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defaultThemeVersion="166925"/>
  <mc:AlternateContent xmlns:mc="http://schemas.openxmlformats.org/markup-compatibility/2006">
    <mc:Choice Requires="x15">
      <x15ac:absPath xmlns:x15ac="http://schemas.microsoft.com/office/spreadsheetml/2010/11/ac" url="C:\Users\Steph\Documents\StephTurner\Business\C - Value Relating\VR transjudicial\EIF\"/>
    </mc:Choice>
  </mc:AlternateContent>
  <xr:revisionPtr revIDLastSave="0" documentId="8_{2D8E343F-917A-440A-954D-7BBA55EFFBFD}" xr6:coauthVersionLast="46" xr6:coauthVersionMax="46" xr10:uidLastSave="{00000000-0000-0000-0000-000000000000}"/>
  <bookViews>
    <workbookView xWindow="-108" yWindow="-108" windowWidth="23256" windowHeight="12576" xr2:uid="{49C4066D-4051-4645-A0F6-4F9B6CF11127}"/>
  </bookViews>
  <sheets>
    <sheet name="EIF-new" sheetId="3" r:id="rId1"/>
    <sheet name="EIF-sample-full" sheetId="1" r:id="rId2"/>
    <sheet name="EIF-sample-brief" sheetId="2" r:id="rId3"/>
  </sheets>
  <definedNames>
    <definedName name="_Hlk528272347" localSheetId="0">'EIF-new'!$AI$871</definedName>
    <definedName name="_Hlk528272347" localSheetId="2">'EIF-sample-brief'!$AI$871</definedName>
    <definedName name="_Hlk528272347" localSheetId="1">'EIF-sample-full'!$AI$871</definedName>
    <definedName name="_Toc525862527" localSheetId="0">'EIF-new'!#REF!</definedName>
    <definedName name="_Toc525862527" localSheetId="2">'EIF-sample-brief'!#REF!</definedName>
    <definedName name="_Toc525862527" localSheetId="1">'EIF-sample-full'!#REF!</definedName>
    <definedName name="_Toc525862528" localSheetId="0">'EIF-new'!$B$1476</definedName>
    <definedName name="_Toc525862528" localSheetId="2">'EIF-sample-brief'!$B$1476</definedName>
    <definedName name="_Toc525862528" localSheetId="1">'EIF-sample-full'!$B$1476</definedName>
    <definedName name="_xlnm.Print_Area" localSheetId="0">'EIF-new'!$A$1:$F$1793</definedName>
    <definedName name="_xlnm.Print_Area" localSheetId="2">'EIF-sample-brief'!$A$1:$F$105</definedName>
    <definedName name="_xlnm.Print_Area" localSheetId="1">'EIF-sample-full'!$A$1:$F$1793</definedName>
  </definedNames>
  <calcPr calcId="181029"/>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65" i="3" l="1"/>
  <c r="BY1846" i="3"/>
  <c r="BY1847" i="3" s="1"/>
  <c r="BY1848" i="3" s="1"/>
  <c r="BY1849" i="3" s="1"/>
  <c r="BY1850" i="3" s="1"/>
  <c r="BY1851" i="3" s="1"/>
  <c r="BY1852" i="3" s="1"/>
  <c r="BY1853" i="3" s="1"/>
  <c r="BY1854" i="3" s="1"/>
  <c r="BY1855" i="3" s="1"/>
  <c r="BY1856" i="3" s="1"/>
  <c r="BY1857" i="3" s="1"/>
  <c r="BY1858" i="3" s="1"/>
  <c r="BY1859" i="3" s="1"/>
  <c r="BY1860" i="3" s="1"/>
  <c r="BY1861" i="3" s="1"/>
  <c r="BY1862" i="3" s="1"/>
  <c r="BY1863" i="3" s="1"/>
  <c r="BY1864" i="3" s="1"/>
  <c r="BY1865" i="3" s="1"/>
  <c r="BY1866" i="3" s="1"/>
  <c r="BY1867" i="3" s="1"/>
  <c r="BY1868" i="3" s="1"/>
  <c r="BY1869" i="3" s="1"/>
  <c r="BY1870" i="3" s="1"/>
  <c r="BY1871" i="3" s="1"/>
  <c r="BY1872" i="3" s="1"/>
  <c r="BY1873" i="3" s="1"/>
  <c r="BY1874" i="3" s="1"/>
  <c r="BY1875" i="3" s="1"/>
  <c r="BY1876" i="3" s="1"/>
  <c r="BY1877" i="3" s="1"/>
  <c r="BY1878" i="3" s="1"/>
  <c r="BY1879" i="3" s="1"/>
  <c r="BY1880" i="3" s="1"/>
  <c r="BY1881" i="3" s="1"/>
  <c r="BY1882" i="3" s="1"/>
  <c r="BY1883" i="3" s="1"/>
  <c r="BY1884" i="3" s="1"/>
  <c r="BY1885" i="3" s="1"/>
  <c r="BY1886" i="3" s="1"/>
  <c r="BY1887" i="3" s="1"/>
  <c r="BY1888" i="3" s="1"/>
  <c r="BY1889" i="3" s="1"/>
  <c r="BY1890" i="3" s="1"/>
  <c r="BY1891" i="3" s="1"/>
  <c r="BY1892" i="3" s="1"/>
  <c r="BY1893" i="3" s="1"/>
  <c r="BY1894" i="3" s="1"/>
  <c r="BY1895" i="3" s="1"/>
  <c r="BY1896" i="3" s="1"/>
  <c r="BY1897" i="3" s="1"/>
  <c r="BY1898" i="3" s="1"/>
  <c r="BY1899" i="3" s="1"/>
  <c r="BY1900" i="3" s="1"/>
  <c r="BY1901" i="3" s="1"/>
  <c r="BY1902" i="3" s="1"/>
  <c r="BY1903" i="3" s="1"/>
  <c r="BY1904" i="3" s="1"/>
  <c r="BY1845" i="3"/>
  <c r="BN2254" i="3"/>
  <c r="AC1065" i="3"/>
  <c r="AC1063" i="1"/>
  <c r="C1085" i="1"/>
  <c r="D2228" i="1"/>
  <c r="C1091" i="1" s="1"/>
  <c r="D2227" i="1"/>
  <c r="C1088" i="1" s="1"/>
  <c r="D2226" i="1"/>
  <c r="D2224" i="1"/>
  <c r="C1080" i="1" s="1"/>
  <c r="D2223" i="1"/>
  <c r="C1076" i="1" s="1"/>
  <c r="D2222" i="1"/>
  <c r="C1068" i="1" s="1"/>
  <c r="D2221" i="1"/>
  <c r="C1066" i="1" s="1"/>
  <c r="AD1042" i="3"/>
  <c r="AD919" i="3"/>
  <c r="AI62" i="3"/>
  <c r="B280" i="3"/>
  <c r="BG2293" i="3"/>
  <c r="BH2293" i="3" s="1"/>
  <c r="BG2292" i="3"/>
  <c r="BH2292" i="3" s="1"/>
  <c r="BK2292" i="3" s="1"/>
  <c r="BG2291" i="3"/>
  <c r="BH2291" i="3" s="1"/>
  <c r="BK2291" i="3" s="1"/>
  <c r="BG2290" i="3"/>
  <c r="BH2290" i="3" s="1"/>
  <c r="AI2290" i="3"/>
  <c r="BG2289" i="3"/>
  <c r="BH2289" i="3" s="1"/>
  <c r="BK2289" i="3" s="1"/>
  <c r="AI2289" i="3"/>
  <c r="BG2288" i="3"/>
  <c r="BH2288" i="3" s="1"/>
  <c r="BI2288" i="3" s="1"/>
  <c r="C2288" i="3"/>
  <c r="BG2287" i="3"/>
  <c r="BH2287" i="3" s="1"/>
  <c r="BI2287" i="3" s="1"/>
  <c r="AI2287" i="3"/>
  <c r="BG2286" i="3"/>
  <c r="BH2286" i="3" s="1"/>
  <c r="D2286" i="3"/>
  <c r="BG2285" i="3"/>
  <c r="BH2285" i="3" s="1"/>
  <c r="AI2285" i="3"/>
  <c r="BG2284" i="3"/>
  <c r="BH2284" i="3" s="1"/>
  <c r="AI2284" i="3"/>
  <c r="BG2283" i="3"/>
  <c r="BH2283" i="3" s="1"/>
  <c r="BK2283" i="3" s="1"/>
  <c r="BG2282" i="3"/>
  <c r="BH2282" i="3" s="1"/>
  <c r="BK2282" i="3" s="1"/>
  <c r="BG2281" i="3"/>
  <c r="BH2281" i="3" s="1"/>
  <c r="BG2280" i="3"/>
  <c r="BH2280" i="3" s="1"/>
  <c r="BK2280" i="3" s="1"/>
  <c r="BG2279" i="3"/>
  <c r="BH2279" i="3" s="1"/>
  <c r="BG2278" i="3"/>
  <c r="BH2278" i="3" s="1"/>
  <c r="BK2278" i="3" s="1"/>
  <c r="AI2278" i="3"/>
  <c r="BG2277" i="3"/>
  <c r="BH2277" i="3" s="1"/>
  <c r="BI2277" i="3" s="1"/>
  <c r="AI2277" i="3"/>
  <c r="BG2276" i="3"/>
  <c r="BH2276" i="3" s="1"/>
  <c r="BG2275" i="3"/>
  <c r="BH2275" i="3" s="1"/>
  <c r="AI2275" i="3"/>
  <c r="BG2274" i="3"/>
  <c r="BH2274" i="3" s="1"/>
  <c r="AI2274" i="3"/>
  <c r="D2290" i="3"/>
  <c r="BG2273" i="3"/>
  <c r="BH2273" i="3" s="1"/>
  <c r="BI2273" i="3" s="1"/>
  <c r="BG2272" i="3"/>
  <c r="BH2272" i="3" s="1"/>
  <c r="BI2272" i="3" s="1"/>
  <c r="AI2272" i="3"/>
  <c r="BG2271" i="3"/>
  <c r="BH2271" i="3" s="1"/>
  <c r="BK2271" i="3" s="1"/>
  <c r="AI2271" i="3"/>
  <c r="BG2270" i="3"/>
  <c r="BH2270" i="3" s="1"/>
  <c r="BI2270" i="3" s="1"/>
  <c r="BG2269" i="3"/>
  <c r="BH2269" i="3" s="1"/>
  <c r="BI2269" i="3" s="1"/>
  <c r="AI2269" i="3"/>
  <c r="BG2268" i="3"/>
  <c r="BH2268" i="3" s="1"/>
  <c r="BK2268" i="3" s="1"/>
  <c r="AI2268" i="3"/>
  <c r="BG2267" i="3"/>
  <c r="BH2267" i="3" s="1"/>
  <c r="BI2267" i="3" s="1"/>
  <c r="C2267" i="3"/>
  <c r="BG2266" i="3"/>
  <c r="BH2266" i="3" s="1"/>
  <c r="BI2266" i="3" s="1"/>
  <c r="AI2266" i="3"/>
  <c r="D2266" i="3"/>
  <c r="BG2265" i="3"/>
  <c r="BH2265" i="3" s="1"/>
  <c r="BI2265" i="3" s="1"/>
  <c r="AI2265" i="3"/>
  <c r="BG2264" i="3"/>
  <c r="BH2264" i="3" s="1"/>
  <c r="AI2264" i="3"/>
  <c r="BG2263" i="3"/>
  <c r="BH2263" i="3" s="1"/>
  <c r="BI2263" i="3" s="1"/>
  <c r="AI2263" i="3"/>
  <c r="BG2262" i="3"/>
  <c r="BH2262" i="3" s="1"/>
  <c r="BG2261" i="3"/>
  <c r="BH2261" i="3" s="1"/>
  <c r="BI2261" i="3" s="1"/>
  <c r="AI2261" i="3"/>
  <c r="BG2260" i="3"/>
  <c r="BH2260" i="3" s="1"/>
  <c r="AI2260" i="3"/>
  <c r="D2260" i="3"/>
  <c r="BG2259" i="3"/>
  <c r="BH2259" i="3" s="1"/>
  <c r="BG2258" i="3"/>
  <c r="BH2258" i="3" s="1"/>
  <c r="AI2258" i="3"/>
  <c r="AI2262" i="3" s="1"/>
  <c r="AI2267" i="3" s="1"/>
  <c r="AI2286" i="3" s="1"/>
  <c r="AI2288" i="3" s="1"/>
  <c r="AI2291" i="3" s="1"/>
  <c r="BG2257" i="3"/>
  <c r="BH2257" i="3" s="1"/>
  <c r="AI2257" i="3"/>
  <c r="C2257" i="3"/>
  <c r="BG2256" i="3"/>
  <c r="BH2256" i="3" s="1"/>
  <c r="BI2256" i="3" s="1"/>
  <c r="AI2256" i="3"/>
  <c r="BG2255" i="3"/>
  <c r="BH2255" i="3" s="1"/>
  <c r="AI2255" i="3"/>
  <c r="BG2254" i="3"/>
  <c r="BH2254" i="3" s="1"/>
  <c r="BI2254" i="3" s="1"/>
  <c r="BG2253" i="3"/>
  <c r="BH2253" i="3" s="1"/>
  <c r="BI2253" i="3" s="1"/>
  <c r="AI2253" i="3"/>
  <c r="BG2252" i="3"/>
  <c r="BH2252" i="3" s="1"/>
  <c r="BI2252" i="3" s="1"/>
  <c r="BG2251" i="3"/>
  <c r="BH2251" i="3" s="1"/>
  <c r="BI2251" i="3" s="1"/>
  <c r="AI2251" i="3"/>
  <c r="BG2250" i="3"/>
  <c r="BH2250" i="3" s="1"/>
  <c r="BG2249" i="3"/>
  <c r="BH2249" i="3" s="1"/>
  <c r="BG2248" i="3"/>
  <c r="BH2248" i="3" s="1"/>
  <c r="AI2248" i="3"/>
  <c r="C2248" i="3"/>
  <c r="BG2247" i="3"/>
  <c r="BH2247" i="3" s="1"/>
  <c r="BK2247" i="3" s="1"/>
  <c r="AI2247" i="3"/>
  <c r="BG2246" i="3"/>
  <c r="BH2246" i="3" s="1"/>
  <c r="BI2246" i="3" s="1"/>
  <c r="AI2246" i="3"/>
  <c r="C2246" i="3"/>
  <c r="BG2245" i="3"/>
  <c r="BH2245" i="3" s="1"/>
  <c r="BG2244" i="3"/>
  <c r="BH2244" i="3" s="1"/>
  <c r="BG2243" i="3"/>
  <c r="BH2243" i="3" s="1"/>
  <c r="BI2243" i="3" s="1"/>
  <c r="BG2242" i="3"/>
  <c r="AI2242" i="3"/>
  <c r="B2228" i="3"/>
  <c r="B2227" i="3"/>
  <c r="B2226" i="3"/>
  <c r="B2225" i="3"/>
  <c r="B2224" i="3"/>
  <c r="B2223" i="3"/>
  <c r="B2222" i="3"/>
  <c r="B2221" i="3"/>
  <c r="B2217" i="3"/>
  <c r="AC2217" i="3" s="1"/>
  <c r="B2216" i="3"/>
  <c r="AC2216" i="3" s="1"/>
  <c r="B2215" i="3"/>
  <c r="CN2215" i="3" s="1"/>
  <c r="B2214" i="3"/>
  <c r="CN2214" i="3" s="1"/>
  <c r="B2213" i="3"/>
  <c r="AC2213" i="3" s="1"/>
  <c r="B2212" i="3"/>
  <c r="AC2212" i="3" s="1"/>
  <c r="B2211" i="3"/>
  <c r="AC2211" i="3" s="1"/>
  <c r="B2210" i="3"/>
  <c r="CN2210" i="3" s="1"/>
  <c r="B2209" i="3"/>
  <c r="AC2209" i="3" s="1"/>
  <c r="AC2208" i="3"/>
  <c r="B2208" i="3"/>
  <c r="B2207" i="3"/>
  <c r="AC2207" i="3" s="1"/>
  <c r="B2206" i="3"/>
  <c r="AC2206" i="3" s="1"/>
  <c r="B2205" i="3"/>
  <c r="AC2205" i="3" s="1"/>
  <c r="B2204" i="3"/>
  <c r="AC2204" i="3" s="1"/>
  <c r="B2203" i="3"/>
  <c r="AC2203" i="3" s="1"/>
  <c r="AC2202" i="3"/>
  <c r="B2202" i="3"/>
  <c r="B2201" i="3"/>
  <c r="AC2201" i="3" s="1"/>
  <c r="B2200" i="3"/>
  <c r="AC2200" i="3" s="1"/>
  <c r="B2199" i="3"/>
  <c r="CN2199" i="3" s="1"/>
  <c r="B2198" i="3"/>
  <c r="CN2198" i="3" s="1"/>
  <c r="B2197" i="3"/>
  <c r="AC2197" i="3" s="1"/>
  <c r="B2196" i="3"/>
  <c r="CN2196" i="3" s="1"/>
  <c r="B2195" i="3"/>
  <c r="CN2195" i="3" s="1"/>
  <c r="B2194" i="3"/>
  <c r="AC2194" i="3" s="1"/>
  <c r="B2193" i="3"/>
  <c r="B2192" i="3"/>
  <c r="AC2192" i="3" s="1"/>
  <c r="B2191" i="3"/>
  <c r="AC2191" i="3" s="1"/>
  <c r="B2190" i="3"/>
  <c r="AC2190" i="3" s="1"/>
  <c r="B2189" i="3"/>
  <c r="CN2193" i="3" s="1"/>
  <c r="B2188" i="3"/>
  <c r="CN2188" i="3" s="1"/>
  <c r="B2187" i="3"/>
  <c r="CN2187" i="3" s="1"/>
  <c r="B2186" i="3"/>
  <c r="AC2186" i="3" s="1"/>
  <c r="B2185" i="3"/>
  <c r="AC2185" i="3" s="1"/>
  <c r="B2184" i="3"/>
  <c r="AC2184" i="3" s="1"/>
  <c r="B2183" i="3"/>
  <c r="CN2183" i="3" s="1"/>
  <c r="B2182" i="3"/>
  <c r="AC2182" i="3" s="1"/>
  <c r="B2181" i="3"/>
  <c r="AC2181" i="3" s="1"/>
  <c r="B2180" i="3"/>
  <c r="AC2180" i="3" s="1"/>
  <c r="B2179" i="3"/>
  <c r="AC2179" i="3" s="1"/>
  <c r="B2178" i="3"/>
  <c r="AC2178" i="3" s="1"/>
  <c r="B2177" i="3"/>
  <c r="AC2177" i="3" s="1"/>
  <c r="B2176" i="3"/>
  <c r="AC2176" i="3" s="1"/>
  <c r="AC2175" i="3"/>
  <c r="B2174" i="3"/>
  <c r="AC2174" i="3" s="1"/>
  <c r="B2173" i="3"/>
  <c r="AC2173" i="3" s="1"/>
  <c r="B2172" i="3"/>
  <c r="CN2172" i="3" s="1"/>
  <c r="B2171" i="3"/>
  <c r="CN2171" i="3" s="1"/>
  <c r="B2170" i="3"/>
  <c r="AC2170" i="3" s="1"/>
  <c r="B2169" i="3"/>
  <c r="AC2169" i="3" s="1"/>
  <c r="B2168" i="3"/>
  <c r="AC2168" i="3" s="1"/>
  <c r="B2167" i="3"/>
  <c r="AC2167" i="3" s="1"/>
  <c r="C2161" i="3"/>
  <c r="B2161" i="3"/>
  <c r="AM2160" i="3"/>
  <c r="C2048" i="3"/>
  <c r="D2048" i="3" s="1"/>
  <c r="D2047" i="3"/>
  <c r="D2046" i="3"/>
  <c r="D2045" i="3"/>
  <c r="D2044" i="3"/>
  <c r="D2043" i="3"/>
  <c r="B1979" i="3"/>
  <c r="AG1972" i="3"/>
  <c r="AF1972" i="3"/>
  <c r="AE1972" i="3"/>
  <c r="AD1972" i="3"/>
  <c r="AC1972" i="3"/>
  <c r="D1951" i="3"/>
  <c r="B1951" i="3"/>
  <c r="D1950" i="3"/>
  <c r="B1978" i="3" s="1"/>
  <c r="D1949" i="3"/>
  <c r="B1971" i="3" s="1"/>
  <c r="D1948" i="3"/>
  <c r="D1947" i="3"/>
  <c r="B1962" i="3" s="1"/>
  <c r="D1946" i="3"/>
  <c r="B1957" i="3" s="1"/>
  <c r="D1945" i="3"/>
  <c r="B1952" i="3" s="1"/>
  <c r="AH1896" i="3"/>
  <c r="AH420" i="3" s="1"/>
  <c r="AG1896" i="3"/>
  <c r="AG410" i="3" s="1"/>
  <c r="AF1896" i="3"/>
  <c r="AE1896" i="3"/>
  <c r="AE400" i="3" s="1"/>
  <c r="AD1896" i="3"/>
  <c r="AD400" i="3" s="1"/>
  <c r="AC1896" i="3"/>
  <c r="AC400" i="3" s="1"/>
  <c r="E1882" i="3"/>
  <c r="AE1881" i="3"/>
  <c r="AE1880" i="3" s="1"/>
  <c r="AE1879" i="3" s="1"/>
  <c r="AE1878" i="3" s="1"/>
  <c r="AE1877" i="3" s="1"/>
  <c r="AD1881" i="3"/>
  <c r="AD1880" i="3" s="1"/>
  <c r="AC1881" i="3"/>
  <c r="AC1880" i="3" s="1"/>
  <c r="AB1881" i="3"/>
  <c r="AB1880" i="3" s="1"/>
  <c r="AB1879" i="3" s="1"/>
  <c r="AB1878" i="3" s="1"/>
  <c r="AB1877" i="3" s="1"/>
  <c r="G1881" i="3"/>
  <c r="G1880" i="3" s="1"/>
  <c r="G1879" i="3" s="1"/>
  <c r="G1878" i="3" s="1"/>
  <c r="G1877" i="3" s="1"/>
  <c r="AD1879" i="3"/>
  <c r="AD1878" i="3" s="1"/>
  <c r="AD1877" i="3" s="1"/>
  <c r="D1801" i="3"/>
  <c r="B1800" i="3"/>
  <c r="BB1641" i="3"/>
  <c r="BB1640" i="3" s="1"/>
  <c r="BH1640" i="3" s="1"/>
  <c r="AH1640" i="3"/>
  <c r="AM1640" i="3" s="1"/>
  <c r="B1640" i="3" s="1"/>
  <c r="BB1638" i="3"/>
  <c r="BB1637" i="3" s="1"/>
  <c r="BH1637" i="3" s="1"/>
  <c r="AH1637" i="3"/>
  <c r="AM1637" i="3" s="1"/>
  <c r="B1637" i="3" s="1"/>
  <c r="BB1635" i="3"/>
  <c r="BB1634" i="3" s="1"/>
  <c r="BH1634" i="3" s="1"/>
  <c r="AM1634" i="3"/>
  <c r="B1634" i="3" s="1"/>
  <c r="AH1634" i="3"/>
  <c r="BD1632" i="3"/>
  <c r="BD1631" i="3" s="1"/>
  <c r="BJ1631" i="3" s="1"/>
  <c r="BB1632" i="3"/>
  <c r="BB1631" i="3" s="1"/>
  <c r="BH1631" i="3" s="1"/>
  <c r="AJ1631" i="3"/>
  <c r="AH1631" i="3"/>
  <c r="BB1629" i="3"/>
  <c r="BB1628" i="3" s="1"/>
  <c r="BH1628" i="3" s="1"/>
  <c r="AH1628" i="3"/>
  <c r="AM1628" i="3" s="1"/>
  <c r="B1628" i="3" s="1"/>
  <c r="BD1626" i="3"/>
  <c r="BD1625" i="3" s="1"/>
  <c r="BJ1625" i="3" s="1"/>
  <c r="BB1626" i="3"/>
  <c r="BB1625" i="3" s="1"/>
  <c r="BH1625" i="3" s="1"/>
  <c r="AJ1625" i="3"/>
  <c r="AH1625" i="3"/>
  <c r="AM1625" i="3" s="1"/>
  <c r="B1625" i="3" s="1"/>
  <c r="BB1623" i="3"/>
  <c r="BB1622" i="3" s="1"/>
  <c r="BH1622" i="3" s="1"/>
  <c r="AH1622" i="3"/>
  <c r="AM1622" i="3" s="1"/>
  <c r="B1622" i="3" s="1"/>
  <c r="BD1620" i="3"/>
  <c r="BD1619" i="3" s="1"/>
  <c r="BB1620" i="3"/>
  <c r="BB1619" i="3" s="1"/>
  <c r="BH1619" i="3" s="1"/>
  <c r="AJ1619" i="3"/>
  <c r="AH1619" i="3"/>
  <c r="AM1619" i="3" s="1"/>
  <c r="B1619" i="3" s="1"/>
  <c r="BD1617" i="3"/>
  <c r="BD1616" i="3" s="1"/>
  <c r="BB1617" i="3"/>
  <c r="BB1616" i="3" s="1"/>
  <c r="BH1616" i="3" s="1"/>
  <c r="AJ1616" i="3"/>
  <c r="AH1616" i="3"/>
  <c r="BB1614" i="3"/>
  <c r="BB1613" i="3" s="1"/>
  <c r="BH1613" i="3" s="1"/>
  <c r="AH1613" i="3"/>
  <c r="AM1613" i="3" s="1"/>
  <c r="B1613" i="3" s="1"/>
  <c r="BD1611" i="3"/>
  <c r="BB1611" i="3"/>
  <c r="BB1610" i="3" s="1"/>
  <c r="BH1610" i="3" s="1"/>
  <c r="AJ1610" i="3"/>
  <c r="AH1610" i="3"/>
  <c r="BD1608" i="3"/>
  <c r="BD1607" i="3" s="1"/>
  <c r="BJ1607" i="3" s="1"/>
  <c r="BB1608" i="3"/>
  <c r="BB1607" i="3" s="1"/>
  <c r="BH1607" i="3" s="1"/>
  <c r="AM1607" i="3"/>
  <c r="B1607" i="3" s="1"/>
  <c r="AJ1607" i="3"/>
  <c r="AH1607" i="3"/>
  <c r="AR1605" i="3"/>
  <c r="AL1605" i="3"/>
  <c r="AR1604" i="3"/>
  <c r="AL1604" i="3"/>
  <c r="AL1603" i="3"/>
  <c r="AR1603" i="3" s="1"/>
  <c r="AR1602" i="3"/>
  <c r="AL1602" i="3"/>
  <c r="AL1601" i="3"/>
  <c r="AR1601" i="3" s="1"/>
  <c r="AX1600" i="3"/>
  <c r="AC1600" i="3"/>
  <c r="C1603" i="3" s="1"/>
  <c r="B1581" i="3"/>
  <c r="AO1580" i="3"/>
  <c r="D1580" i="3" s="1"/>
  <c r="B1580" i="3"/>
  <c r="B1575" i="3"/>
  <c r="AO1574" i="3"/>
  <c r="D1574" i="3" s="1"/>
  <c r="B1574" i="3"/>
  <c r="B1569" i="3"/>
  <c r="AO1568" i="3"/>
  <c r="D1568" i="3" s="1"/>
  <c r="B1568" i="3"/>
  <c r="B1563" i="3"/>
  <c r="AO1562" i="3"/>
  <c r="D1562" i="3" s="1"/>
  <c r="B1562" i="3"/>
  <c r="B1557" i="3"/>
  <c r="AO1556" i="3"/>
  <c r="D1556" i="3" s="1"/>
  <c r="B1556" i="3"/>
  <c r="AE1539" i="3"/>
  <c r="AD1539" i="3"/>
  <c r="AC1539" i="3"/>
  <c r="AD1538" i="3"/>
  <c r="AD1537" i="3"/>
  <c r="AD1536" i="3"/>
  <c r="AD1535" i="3"/>
  <c r="AD1534" i="3"/>
  <c r="AQ1533" i="3"/>
  <c r="AI1533" i="3" s="1"/>
  <c r="C1532" i="3"/>
  <c r="AE1529" i="3"/>
  <c r="AD1529" i="3"/>
  <c r="AC1529" i="3"/>
  <c r="AD1528" i="3"/>
  <c r="AD1527" i="3"/>
  <c r="AD1526" i="3"/>
  <c r="AD1525" i="3"/>
  <c r="AD1524" i="3"/>
  <c r="AQ1523" i="3"/>
  <c r="AI1523" i="3" s="1"/>
  <c r="C1522" i="3"/>
  <c r="AE1519" i="3"/>
  <c r="AD1519" i="3"/>
  <c r="AC1519" i="3"/>
  <c r="AD1518" i="3"/>
  <c r="AD1517" i="3"/>
  <c r="AD1516" i="3"/>
  <c r="BZ1515" i="3"/>
  <c r="CB1515" i="3" s="1"/>
  <c r="AD1515" i="3"/>
  <c r="AC1513" i="3" s="1"/>
  <c r="C1513" i="3" s="1"/>
  <c r="BZ1514" i="3"/>
  <c r="CB1514" i="3" s="1"/>
  <c r="AD1514" i="3"/>
  <c r="CB1513" i="3"/>
  <c r="AQ1513" i="3"/>
  <c r="AI1513" i="3" s="1"/>
  <c r="C1512" i="3"/>
  <c r="AE1509" i="3"/>
  <c r="AD1509" i="3"/>
  <c r="AC1509" i="3"/>
  <c r="AD1508" i="3"/>
  <c r="AD1507" i="3"/>
  <c r="AD1506" i="3"/>
  <c r="AD1505" i="3"/>
  <c r="AD1504" i="3"/>
  <c r="AQ1503" i="3"/>
  <c r="AI1503" i="3" s="1"/>
  <c r="C1502" i="3"/>
  <c r="AE1499" i="3"/>
  <c r="AD1499" i="3"/>
  <c r="AC1499" i="3"/>
  <c r="AD1498" i="3"/>
  <c r="BF1497" i="3"/>
  <c r="AD1497" i="3"/>
  <c r="BF1496" i="3"/>
  <c r="AD1496" i="3"/>
  <c r="BF1495" i="3"/>
  <c r="AD1495" i="3"/>
  <c r="BJ1494" i="3"/>
  <c r="BH1494" i="3"/>
  <c r="BF1494" i="3"/>
  <c r="AD1494" i="3"/>
  <c r="BJ1493" i="3"/>
  <c r="BH1493" i="3"/>
  <c r="AQ1493" i="3"/>
  <c r="AI1493" i="3" s="1"/>
  <c r="BJ1492" i="3"/>
  <c r="BH1492" i="3"/>
  <c r="BF1492" i="3"/>
  <c r="BJ1491" i="3"/>
  <c r="BH1491" i="3"/>
  <c r="BF1491" i="3"/>
  <c r="AE1491" i="3"/>
  <c r="BJ1490" i="3"/>
  <c r="BH1490" i="3"/>
  <c r="BF1490" i="3"/>
  <c r="BJ1489" i="3"/>
  <c r="BH1489" i="3"/>
  <c r="BF1489" i="3"/>
  <c r="AE1489" i="3"/>
  <c r="AD1489" i="3"/>
  <c r="AC1489" i="3"/>
  <c r="BJ1488" i="3"/>
  <c r="BH1488" i="3"/>
  <c r="AD1488" i="3"/>
  <c r="BJ1487" i="3"/>
  <c r="BH1487" i="3"/>
  <c r="BF1487" i="3"/>
  <c r="AD1487" i="3"/>
  <c r="BJ1486" i="3"/>
  <c r="BH1486" i="3"/>
  <c r="BF1486" i="3"/>
  <c r="AD1486" i="3"/>
  <c r="CG1485" i="3"/>
  <c r="CE1485" i="3"/>
  <c r="CD1485" i="3"/>
  <c r="BZ1485" i="3"/>
  <c r="BJ1485" i="3"/>
  <c r="BH1485" i="3"/>
  <c r="BF1485" i="3"/>
  <c r="AD1485" i="3"/>
  <c r="CE1484" i="3"/>
  <c r="CB1484" i="3" s="1"/>
  <c r="CD1484" i="3"/>
  <c r="BZ1484" i="3"/>
  <c r="BJ1484" i="3"/>
  <c r="BH1484" i="3"/>
  <c r="AD1484" i="3"/>
  <c r="CI1483" i="3"/>
  <c r="AE1531" i="3" s="1"/>
  <c r="BJ1483" i="3"/>
  <c r="BF1484" i="3" s="1"/>
  <c r="BH1483" i="3" s="1"/>
  <c r="AQ1483" i="3"/>
  <c r="AI1483" i="3" s="1"/>
  <c r="AE1481" i="3"/>
  <c r="D1435" i="3"/>
  <c r="AH1435" i="3" s="1"/>
  <c r="C1435" i="3"/>
  <c r="AC1432" i="3"/>
  <c r="D1431" i="3"/>
  <c r="AH1431" i="3" s="1"/>
  <c r="C1431" i="3"/>
  <c r="AC1431" i="3" s="1"/>
  <c r="D1425" i="3"/>
  <c r="AH1425" i="3" s="1"/>
  <c r="C1425" i="3"/>
  <c r="AC1422" i="3"/>
  <c r="D1421" i="3"/>
  <c r="AH1421" i="3" s="1"/>
  <c r="C1421" i="3"/>
  <c r="D1415" i="3"/>
  <c r="AH1415" i="3" s="1"/>
  <c r="C1415" i="3"/>
  <c r="AC1412" i="3"/>
  <c r="D1411" i="3"/>
  <c r="AH1411" i="3" s="1"/>
  <c r="C1411" i="3"/>
  <c r="AC1411" i="3" s="1"/>
  <c r="D1405" i="3"/>
  <c r="AH1405" i="3" s="1"/>
  <c r="C1405" i="3"/>
  <c r="AC1402" i="3"/>
  <c r="AC1401" i="3"/>
  <c r="D1401" i="3"/>
  <c r="AH1401" i="3" s="1"/>
  <c r="C1401" i="3"/>
  <c r="D1395" i="3"/>
  <c r="AH1395" i="3" s="1"/>
  <c r="C1395" i="3"/>
  <c r="AC1392" i="3"/>
  <c r="D1391" i="3"/>
  <c r="AH1391" i="3" s="1"/>
  <c r="C1391" i="3"/>
  <c r="AC1391" i="3" s="1"/>
  <c r="D1385" i="3"/>
  <c r="AH1385" i="3" s="1"/>
  <c r="C1385" i="3"/>
  <c r="AC1382" i="3"/>
  <c r="AH1381" i="3"/>
  <c r="D1381" i="3"/>
  <c r="C1381" i="3"/>
  <c r="D1375" i="3"/>
  <c r="AH1375" i="3" s="1"/>
  <c r="C1375" i="3"/>
  <c r="AC1372" i="3"/>
  <c r="D1371" i="3"/>
  <c r="AH1371" i="3" s="1"/>
  <c r="C1371" i="3"/>
  <c r="AC1371" i="3" s="1"/>
  <c r="D1365" i="3"/>
  <c r="AH1365" i="3" s="1"/>
  <c r="C1365" i="3"/>
  <c r="AC1362" i="3"/>
  <c r="D1361" i="3"/>
  <c r="AH1361" i="3" s="1"/>
  <c r="C1361" i="3"/>
  <c r="AC1361" i="3" s="1"/>
  <c r="D1355" i="3"/>
  <c r="AH1355" i="3" s="1"/>
  <c r="C1355" i="3"/>
  <c r="AC1352" i="3"/>
  <c r="D1351" i="3"/>
  <c r="AH1351" i="3" s="1"/>
  <c r="C1351" i="3"/>
  <c r="AC1351" i="3" s="1"/>
  <c r="D1345" i="3"/>
  <c r="AH1345" i="3" s="1"/>
  <c r="C1345" i="3"/>
  <c r="AC1342" i="3"/>
  <c r="D1341" i="3"/>
  <c r="AH1341" i="3" s="1"/>
  <c r="C1341" i="3"/>
  <c r="D1335" i="3"/>
  <c r="AH1335" i="3" s="1"/>
  <c r="C1335" i="3"/>
  <c r="AC1332" i="3"/>
  <c r="D1331" i="3"/>
  <c r="AH1331" i="3" s="1"/>
  <c r="C1331" i="3"/>
  <c r="AC1331" i="3" s="1"/>
  <c r="D1325" i="3"/>
  <c r="AH1325" i="3" s="1"/>
  <c r="C1325" i="3"/>
  <c r="AC1322" i="3"/>
  <c r="AH1321" i="3"/>
  <c r="D1321" i="3"/>
  <c r="C1321" i="3"/>
  <c r="AC1321" i="3" s="1"/>
  <c r="D1315" i="3"/>
  <c r="AH1315" i="3" s="1"/>
  <c r="C1315" i="3"/>
  <c r="AC1312" i="3"/>
  <c r="D1311" i="3"/>
  <c r="AH1311" i="3" s="1"/>
  <c r="C1311" i="3"/>
  <c r="AC1311" i="3" s="1"/>
  <c r="AH1305" i="3"/>
  <c r="D1305" i="3"/>
  <c r="C1305" i="3"/>
  <c r="AC1302" i="3"/>
  <c r="AC1301" i="3"/>
  <c r="D1301" i="3"/>
  <c r="AH1301" i="3" s="1"/>
  <c r="C1301" i="3"/>
  <c r="D1295" i="3"/>
  <c r="AH1295" i="3" s="1"/>
  <c r="C1295" i="3"/>
  <c r="AC1292" i="3"/>
  <c r="D1291" i="3"/>
  <c r="AH1291" i="3" s="1"/>
  <c r="C1291" i="3"/>
  <c r="D1285" i="3"/>
  <c r="AH1285" i="3" s="1"/>
  <c r="C1285" i="3"/>
  <c r="AC1282" i="3"/>
  <c r="D1281" i="3"/>
  <c r="AH1281" i="3" s="1"/>
  <c r="C1281" i="3"/>
  <c r="AC1281" i="3" s="1"/>
  <c r="D1275" i="3"/>
  <c r="AH1275" i="3" s="1"/>
  <c r="C1275" i="3"/>
  <c r="AC1272" i="3"/>
  <c r="D1271" i="3"/>
  <c r="AH1271" i="3" s="1"/>
  <c r="C1271" i="3"/>
  <c r="AC1271" i="3" s="1"/>
  <c r="D1265" i="3"/>
  <c r="AH1265" i="3" s="1"/>
  <c r="C1265" i="3"/>
  <c r="AC1262" i="3"/>
  <c r="AH1261" i="3"/>
  <c r="D1261" i="3"/>
  <c r="C1261" i="3"/>
  <c r="AC1261" i="3" s="1"/>
  <c r="D1255" i="3"/>
  <c r="AH1255" i="3" s="1"/>
  <c r="C1255" i="3"/>
  <c r="AC1252" i="3"/>
  <c r="D1251" i="3"/>
  <c r="AH1251" i="3" s="1"/>
  <c r="C1251" i="3"/>
  <c r="AC1251" i="3" s="1"/>
  <c r="D1245" i="3"/>
  <c r="AH1245" i="3" s="1"/>
  <c r="C1245" i="3"/>
  <c r="AC1242" i="3"/>
  <c r="D1241" i="3"/>
  <c r="AH1241" i="3" s="1"/>
  <c r="C1241" i="3"/>
  <c r="AC1241" i="3" s="1"/>
  <c r="D1235" i="3"/>
  <c r="AH1235" i="3" s="1"/>
  <c r="C1235" i="3"/>
  <c r="AC1232" i="3"/>
  <c r="D1231" i="3"/>
  <c r="AH1231" i="3" s="1"/>
  <c r="C1231" i="3"/>
  <c r="AC1231" i="3" s="1"/>
  <c r="AH1225" i="3"/>
  <c r="D1225" i="3"/>
  <c r="C1225" i="3"/>
  <c r="AC1222" i="3"/>
  <c r="D1221" i="3"/>
  <c r="AH1221" i="3" s="1"/>
  <c r="C1221" i="3"/>
  <c r="AC1221" i="3" s="1"/>
  <c r="D1215" i="3"/>
  <c r="AH1215" i="3" s="1"/>
  <c r="C1215" i="3"/>
  <c r="AS1213" i="3"/>
  <c r="AC1212" i="3"/>
  <c r="D1211" i="3"/>
  <c r="AH1211" i="3" s="1"/>
  <c r="C1211" i="3"/>
  <c r="AC1211" i="3" s="1"/>
  <c r="AX1205" i="3"/>
  <c r="D1205" i="3"/>
  <c r="AH1205" i="3" s="1"/>
  <c r="C1205" i="3"/>
  <c r="BN1196" i="3" s="1"/>
  <c r="AS1204" i="3"/>
  <c r="D1203" i="3"/>
  <c r="AC1202" i="3"/>
  <c r="AE1322" i="3" s="1"/>
  <c r="AH1201" i="3"/>
  <c r="D1201" i="3"/>
  <c r="C1201" i="3"/>
  <c r="A1201" i="3" s="1"/>
  <c r="AC1199" i="3"/>
  <c r="AF1199" i="3" s="1"/>
  <c r="AJ1197" i="3"/>
  <c r="B1197" i="3"/>
  <c r="D1049" i="3"/>
  <c r="D1052" i="3" s="1"/>
  <c r="AG1038" i="3"/>
  <c r="C1026" i="3"/>
  <c r="AF1029" i="3" s="1"/>
  <c r="C1021" i="3"/>
  <c r="AF1024" i="3" s="1"/>
  <c r="C1016" i="3"/>
  <c r="AF1020" i="3" s="1"/>
  <c r="C1011" i="3"/>
  <c r="AF1014" i="3" s="1"/>
  <c r="C1006" i="3"/>
  <c r="AF1010" i="3" s="1"/>
  <c r="C1001" i="3"/>
  <c r="AF1004" i="3" s="1"/>
  <c r="C996" i="3"/>
  <c r="AF1000" i="3" s="1"/>
  <c r="C991" i="3"/>
  <c r="AF994" i="3" s="1"/>
  <c r="C986" i="3"/>
  <c r="AF990" i="3" s="1"/>
  <c r="C981" i="3"/>
  <c r="AF984" i="3" s="1"/>
  <c r="C976" i="3"/>
  <c r="AF980" i="3" s="1"/>
  <c r="C971" i="3"/>
  <c r="AF974" i="3" s="1"/>
  <c r="C966" i="3"/>
  <c r="AF970" i="3" s="1"/>
  <c r="C961" i="3"/>
  <c r="AF964" i="3" s="1"/>
  <c r="C956" i="3"/>
  <c r="AF960" i="3" s="1"/>
  <c r="C951" i="3"/>
  <c r="AF954" i="3" s="1"/>
  <c r="C946" i="3"/>
  <c r="AF950" i="3" s="1"/>
  <c r="C941" i="3"/>
  <c r="AF944" i="3" s="1"/>
  <c r="C936" i="3"/>
  <c r="AF940" i="3" s="1"/>
  <c r="C931" i="3"/>
  <c r="AF934" i="3" s="1"/>
  <c r="C926" i="3"/>
  <c r="AF930" i="3" s="1"/>
  <c r="D925" i="3"/>
  <c r="B923" i="3"/>
  <c r="AD914" i="3"/>
  <c r="AC914" i="3"/>
  <c r="AC913" i="3"/>
  <c r="AF886" i="3"/>
  <c r="AF897" i="3" s="1"/>
  <c r="AE886" i="3"/>
  <c r="AE898" i="3" s="1"/>
  <c r="AD886" i="3"/>
  <c r="AD909" i="3" s="1"/>
  <c r="AC886" i="3"/>
  <c r="AC906" i="3" s="1"/>
  <c r="AR858" i="3"/>
  <c r="AR857" i="3"/>
  <c r="AR856" i="3"/>
  <c r="C23" i="3" s="1"/>
  <c r="B23" i="3" s="1"/>
  <c r="AR855" i="3"/>
  <c r="AR854" i="3"/>
  <c r="AR853" i="3"/>
  <c r="AR852" i="3"/>
  <c r="C19" i="3" s="1"/>
  <c r="B19" i="3" s="1"/>
  <c r="AR851" i="3"/>
  <c r="AR850" i="3"/>
  <c r="AR849" i="3"/>
  <c r="AK827" i="3"/>
  <c r="BA835" i="3" s="1"/>
  <c r="AD827" i="3"/>
  <c r="AE827" i="3" s="1"/>
  <c r="AF827" i="3" s="1"/>
  <c r="AG827" i="3" s="1"/>
  <c r="AI826" i="3"/>
  <c r="AH826" i="3"/>
  <c r="AH830" i="3" s="1"/>
  <c r="AG826" i="3"/>
  <c r="AG832" i="3" s="1"/>
  <c r="AF826" i="3"/>
  <c r="AF832" i="3" s="1"/>
  <c r="AE826" i="3"/>
  <c r="AE832" i="3" s="1"/>
  <c r="AD826" i="3"/>
  <c r="AD832" i="3" s="1"/>
  <c r="AC826" i="3"/>
  <c r="AC832" i="3" s="1"/>
  <c r="AD817" i="3"/>
  <c r="AE817" i="3" s="1"/>
  <c r="AF817" i="3" s="1"/>
  <c r="AG817" i="3" s="1"/>
  <c r="AG816" i="3"/>
  <c r="AF816" i="3"/>
  <c r="AF823" i="3" s="1"/>
  <c r="AE816" i="3"/>
  <c r="AE823" i="3" s="1"/>
  <c r="AD816" i="3"/>
  <c r="AD819" i="3" s="1"/>
  <c r="AC816" i="3"/>
  <c r="AS808" i="3"/>
  <c r="AS805" i="3"/>
  <c r="BI800" i="3"/>
  <c r="BJ800" i="3" s="1"/>
  <c r="BI801" i="3" s="1"/>
  <c r="BJ801" i="3" s="1"/>
  <c r="AS799" i="3"/>
  <c r="BD799" i="3" s="1"/>
  <c r="BF799" i="3" s="1"/>
  <c r="BJ798" i="3"/>
  <c r="BI798" i="3"/>
  <c r="AS798" i="3"/>
  <c r="AS797" i="3"/>
  <c r="AP795" i="3"/>
  <c r="AP798" i="3" s="1"/>
  <c r="AO795" i="3"/>
  <c r="AN795" i="3"/>
  <c r="AN799" i="3" s="1"/>
  <c r="AM795" i="3"/>
  <c r="AM808" i="3" s="1"/>
  <c r="AL795" i="3"/>
  <c r="AL803" i="3" s="1"/>
  <c r="AK795" i="3"/>
  <c r="AJ795" i="3"/>
  <c r="AJ806" i="3" s="1"/>
  <c r="AI795" i="3"/>
  <c r="AI807" i="3" s="1"/>
  <c r="AF795" i="3"/>
  <c r="AF807" i="3" s="1"/>
  <c r="AE795" i="3"/>
  <c r="AD795" i="3"/>
  <c r="AD803" i="3" s="1"/>
  <c r="AC795" i="3"/>
  <c r="AC803" i="3" s="1"/>
  <c r="AJ794" i="3"/>
  <c r="AK794" i="3" s="1"/>
  <c r="AL794" i="3" s="1"/>
  <c r="AD794" i="3"/>
  <c r="AE794" i="3" s="1"/>
  <c r="AF794" i="3" s="1"/>
  <c r="AI789" i="3"/>
  <c r="AH789" i="3"/>
  <c r="AG789" i="3"/>
  <c r="AE789" i="3"/>
  <c r="AD789" i="3"/>
  <c r="AC789" i="3"/>
  <c r="AI788" i="3"/>
  <c r="AH788" i="3"/>
  <c r="AG788" i="3"/>
  <c r="AE788" i="3"/>
  <c r="AD788" i="3"/>
  <c r="AC788" i="3"/>
  <c r="AI787" i="3"/>
  <c r="AH787" i="3"/>
  <c r="AG787" i="3"/>
  <c r="AE787" i="3"/>
  <c r="AD787" i="3"/>
  <c r="AC787" i="3"/>
  <c r="AI786" i="3"/>
  <c r="AH786" i="3"/>
  <c r="AG786" i="3"/>
  <c r="AE786" i="3"/>
  <c r="AD786" i="3"/>
  <c r="AC786" i="3"/>
  <c r="AI785" i="3"/>
  <c r="AH785" i="3"/>
  <c r="AG785" i="3"/>
  <c r="AE785" i="3"/>
  <c r="AD785" i="3"/>
  <c r="AC785" i="3"/>
  <c r="AI784" i="3"/>
  <c r="AH784" i="3"/>
  <c r="AG784" i="3"/>
  <c r="AE784" i="3"/>
  <c r="AD784" i="3"/>
  <c r="AC784" i="3"/>
  <c r="AI783" i="3"/>
  <c r="AH783" i="3"/>
  <c r="AG783" i="3"/>
  <c r="AE783" i="3"/>
  <c r="AD783" i="3"/>
  <c r="AC783" i="3"/>
  <c r="AI782" i="3"/>
  <c r="AH782" i="3"/>
  <c r="AG782" i="3"/>
  <c r="AE782" i="3"/>
  <c r="AD782" i="3"/>
  <c r="AC782" i="3"/>
  <c r="AI781" i="3"/>
  <c r="AH781" i="3"/>
  <c r="AG781" i="3"/>
  <c r="AE781" i="3"/>
  <c r="AD781" i="3"/>
  <c r="AC781" i="3"/>
  <c r="AI780" i="3"/>
  <c r="AH780" i="3"/>
  <c r="AG780" i="3"/>
  <c r="AE780" i="3"/>
  <c r="AD780" i="3"/>
  <c r="AC780" i="3"/>
  <c r="AI779" i="3"/>
  <c r="AH779" i="3"/>
  <c r="AG779" i="3"/>
  <c r="AE779" i="3"/>
  <c r="AD779" i="3"/>
  <c r="AC779" i="3"/>
  <c r="AI778" i="3"/>
  <c r="AH778" i="3"/>
  <c r="AG778" i="3"/>
  <c r="AE778" i="3"/>
  <c r="AD778" i="3"/>
  <c r="AC778" i="3"/>
  <c r="AI777" i="3"/>
  <c r="AH777" i="3"/>
  <c r="AG777" i="3"/>
  <c r="AE777" i="3"/>
  <c r="AD777" i="3"/>
  <c r="AC777" i="3"/>
  <c r="AI776" i="3"/>
  <c r="AH776" i="3"/>
  <c r="AG776" i="3"/>
  <c r="AE776" i="3"/>
  <c r="AD776" i="3"/>
  <c r="AC776" i="3"/>
  <c r="AI775" i="3"/>
  <c r="AH775" i="3"/>
  <c r="AG775" i="3"/>
  <c r="AE775" i="3"/>
  <c r="AD775" i="3"/>
  <c r="AC775" i="3"/>
  <c r="AI774" i="3"/>
  <c r="AH774" i="3"/>
  <c r="AG774" i="3"/>
  <c r="AE774" i="3"/>
  <c r="AD774" i="3"/>
  <c r="AC774" i="3"/>
  <c r="AI773" i="3"/>
  <c r="AH773" i="3"/>
  <c r="AG773" i="3"/>
  <c r="AE773" i="3"/>
  <c r="AD773" i="3"/>
  <c r="AC773" i="3"/>
  <c r="AI772" i="3"/>
  <c r="AH772" i="3"/>
  <c r="AG772" i="3"/>
  <c r="AE772" i="3"/>
  <c r="AD772" i="3"/>
  <c r="AC772" i="3"/>
  <c r="AT771" i="3"/>
  <c r="AT772" i="3" s="1"/>
  <c r="AS771" i="3"/>
  <c r="AI771" i="3"/>
  <c r="AH771" i="3"/>
  <c r="AG771" i="3"/>
  <c r="AE771" i="3"/>
  <c r="AD771" i="3"/>
  <c r="AC771" i="3"/>
  <c r="AI770" i="3"/>
  <c r="AH770" i="3"/>
  <c r="AG770" i="3"/>
  <c r="AE770" i="3"/>
  <c r="AD770" i="3"/>
  <c r="AC770" i="3"/>
  <c r="AV753" i="3"/>
  <c r="AS753" i="3"/>
  <c r="AQ753" i="3"/>
  <c r="AO753" i="3"/>
  <c r="AM753" i="3"/>
  <c r="AK753" i="3"/>
  <c r="AI753" i="3"/>
  <c r="AG753" i="3"/>
  <c r="AV752" i="3"/>
  <c r="AS752" i="3"/>
  <c r="AQ752" i="3"/>
  <c r="AO752" i="3"/>
  <c r="AM752" i="3"/>
  <c r="AK752" i="3"/>
  <c r="AI752" i="3"/>
  <c r="AG752" i="3"/>
  <c r="AV751" i="3"/>
  <c r="AS751" i="3"/>
  <c r="AQ751" i="3"/>
  <c r="AO751" i="3"/>
  <c r="AM751" i="3"/>
  <c r="AK751" i="3"/>
  <c r="AI751" i="3"/>
  <c r="AG751" i="3"/>
  <c r="AZ750" i="3"/>
  <c r="AZ751" i="3" s="1"/>
  <c r="AX750" i="3"/>
  <c r="AV750" i="3"/>
  <c r="AS750" i="3"/>
  <c r="AQ750" i="3"/>
  <c r="AO750" i="3"/>
  <c r="AM750" i="3"/>
  <c r="AK750" i="3"/>
  <c r="AI750" i="3"/>
  <c r="AG750" i="3"/>
  <c r="AV749" i="3"/>
  <c r="AS749" i="3"/>
  <c r="AQ749" i="3"/>
  <c r="AO749" i="3"/>
  <c r="AM749" i="3"/>
  <c r="AK749" i="3"/>
  <c r="AI749" i="3"/>
  <c r="AG749" i="3"/>
  <c r="A749" i="3"/>
  <c r="A750" i="3" s="1"/>
  <c r="A751" i="3" s="1"/>
  <c r="A752" i="3" s="1"/>
  <c r="A753" i="3" s="1"/>
  <c r="A754" i="3" s="1"/>
  <c r="A755" i="3" s="1"/>
  <c r="AV748" i="3"/>
  <c r="AU717" i="3"/>
  <c r="AT717" i="3"/>
  <c r="AS717" i="3"/>
  <c r="AR717" i="3"/>
  <c r="AQ717" i="3"/>
  <c r="AP717" i="3"/>
  <c r="AO717" i="3"/>
  <c r="AN717" i="3"/>
  <c r="AL717" i="3"/>
  <c r="AK717" i="3"/>
  <c r="AJ717" i="3"/>
  <c r="AI717" i="3"/>
  <c r="AH717" i="3"/>
  <c r="AG717" i="3"/>
  <c r="AE717" i="3"/>
  <c r="AD717" i="3"/>
  <c r="AC717" i="3"/>
  <c r="AB717" i="3"/>
  <c r="D716" i="3"/>
  <c r="B716" i="3"/>
  <c r="C716" i="3" s="1"/>
  <c r="D713" i="3"/>
  <c r="AU712" i="3"/>
  <c r="AT712" i="3"/>
  <c r="AS712" i="3"/>
  <c r="AR712" i="3"/>
  <c r="AQ712" i="3"/>
  <c r="AP712" i="3"/>
  <c r="AO712" i="3"/>
  <c r="AN712" i="3"/>
  <c r="AL712" i="3"/>
  <c r="AK712" i="3"/>
  <c r="AJ712" i="3"/>
  <c r="AI712" i="3"/>
  <c r="AH712" i="3"/>
  <c r="AG712" i="3"/>
  <c r="AE712" i="3"/>
  <c r="AD712" i="3"/>
  <c r="AC712" i="3"/>
  <c r="AB712" i="3"/>
  <c r="D711" i="3"/>
  <c r="B711" i="3"/>
  <c r="C711" i="3" s="1"/>
  <c r="D708" i="3"/>
  <c r="AU707" i="3"/>
  <c r="AT707" i="3"/>
  <c r="AS707" i="3"/>
  <c r="AR707" i="3"/>
  <c r="AQ707" i="3"/>
  <c r="AP707" i="3"/>
  <c r="AO707" i="3"/>
  <c r="AN707" i="3"/>
  <c r="AL707" i="3"/>
  <c r="AK707" i="3"/>
  <c r="AJ707" i="3"/>
  <c r="AI707" i="3"/>
  <c r="AH707" i="3"/>
  <c r="AG707" i="3"/>
  <c r="AE707" i="3"/>
  <c r="AD707" i="3"/>
  <c r="AC707" i="3"/>
  <c r="AB707" i="3"/>
  <c r="D706" i="3"/>
  <c r="B706" i="3"/>
  <c r="C706" i="3" s="1"/>
  <c r="D703" i="3"/>
  <c r="AU702" i="3"/>
  <c r="AT702" i="3"/>
  <c r="AS702" i="3"/>
  <c r="AR702" i="3"/>
  <c r="AQ702" i="3"/>
  <c r="AP702" i="3"/>
  <c r="AO702" i="3"/>
  <c r="AN702" i="3"/>
  <c r="AL702" i="3"/>
  <c r="AK702" i="3"/>
  <c r="AJ702" i="3"/>
  <c r="AI702" i="3"/>
  <c r="AH702" i="3"/>
  <c r="AG702" i="3"/>
  <c r="AE702" i="3"/>
  <c r="AD702" i="3"/>
  <c r="AC702" i="3"/>
  <c r="AB702" i="3"/>
  <c r="D701" i="3"/>
  <c r="B701" i="3"/>
  <c r="C701" i="3" s="1"/>
  <c r="D698" i="3"/>
  <c r="AU697" i="3"/>
  <c r="AT697" i="3"/>
  <c r="AS697" i="3"/>
  <c r="AR697" i="3"/>
  <c r="AQ697" i="3"/>
  <c r="AP697" i="3"/>
  <c r="AO697" i="3"/>
  <c r="AN697" i="3"/>
  <c r="AL697" i="3"/>
  <c r="AK697" i="3"/>
  <c r="AJ697" i="3"/>
  <c r="AI697" i="3"/>
  <c r="AH697" i="3"/>
  <c r="AG697" i="3"/>
  <c r="AE697" i="3"/>
  <c r="AD697" i="3"/>
  <c r="AC697" i="3"/>
  <c r="AB697" i="3"/>
  <c r="D696" i="3"/>
  <c r="B696" i="3"/>
  <c r="C696" i="3" s="1"/>
  <c r="D693" i="3"/>
  <c r="AU692" i="3"/>
  <c r="AT692" i="3"/>
  <c r="AS692" i="3"/>
  <c r="AQ692" i="3"/>
  <c r="AO692" i="3"/>
  <c r="AN692" i="3"/>
  <c r="AD692" i="3"/>
  <c r="AP692" i="3" s="1"/>
  <c r="AU687" i="3"/>
  <c r="AT687" i="3"/>
  <c r="AS687" i="3"/>
  <c r="AR687" i="3"/>
  <c r="AQ687" i="3"/>
  <c r="AP687" i="3"/>
  <c r="AO687" i="3"/>
  <c r="AN687" i="3"/>
  <c r="AL687" i="3"/>
  <c r="AK687" i="3"/>
  <c r="AJ687" i="3"/>
  <c r="AI687" i="3"/>
  <c r="AH687" i="3"/>
  <c r="AE687" i="3"/>
  <c r="AC687" i="3"/>
  <c r="AB687" i="3"/>
  <c r="D686" i="3"/>
  <c r="C686" i="3"/>
  <c r="B686" i="3"/>
  <c r="D683" i="3"/>
  <c r="AU682" i="3"/>
  <c r="AS682" i="3"/>
  <c r="AQ682" i="3"/>
  <c r="AO682" i="3"/>
  <c r="AN682" i="3"/>
  <c r="AD682" i="3"/>
  <c r="AP682" i="3" s="1"/>
  <c r="AU679" i="3"/>
  <c r="AT679" i="3"/>
  <c r="AS679" i="3"/>
  <c r="AR679" i="3"/>
  <c r="AQ679" i="3"/>
  <c r="AP679" i="3"/>
  <c r="AO679" i="3"/>
  <c r="AN679" i="3"/>
  <c r="AL679" i="3"/>
  <c r="AK679" i="3"/>
  <c r="AJ679" i="3"/>
  <c r="AI679" i="3"/>
  <c r="AH679" i="3"/>
  <c r="AG679" i="3"/>
  <c r="AE679" i="3"/>
  <c r="AD679" i="3"/>
  <c r="AC679" i="3"/>
  <c r="AB679" i="3"/>
  <c r="D678" i="3"/>
  <c r="B678" i="3"/>
  <c r="C678" i="3" s="1"/>
  <c r="D675" i="3"/>
  <c r="AU674" i="3"/>
  <c r="AT674" i="3"/>
  <c r="AS674" i="3"/>
  <c r="AR674" i="3"/>
  <c r="AQ674" i="3"/>
  <c r="AP674" i="3"/>
  <c r="AO674" i="3"/>
  <c r="AN674" i="3"/>
  <c r="AL674" i="3"/>
  <c r="AK674" i="3"/>
  <c r="AJ674" i="3"/>
  <c r="AH674" i="3"/>
  <c r="AG674" i="3"/>
  <c r="AE674" i="3"/>
  <c r="AC674" i="3"/>
  <c r="AB674" i="3"/>
  <c r="D673" i="3"/>
  <c r="B673" i="3"/>
  <c r="C673" i="3" s="1"/>
  <c r="D670" i="3"/>
  <c r="AU669" i="3"/>
  <c r="AT669" i="3"/>
  <c r="AS669" i="3"/>
  <c r="AR669" i="3"/>
  <c r="AQ669" i="3"/>
  <c r="AP669" i="3"/>
  <c r="AO669" i="3"/>
  <c r="AN669" i="3"/>
  <c r="AL669" i="3"/>
  <c r="AK669" i="3"/>
  <c r="AJ669" i="3"/>
  <c r="AI669" i="3"/>
  <c r="AH669" i="3"/>
  <c r="AG669" i="3"/>
  <c r="AE669" i="3"/>
  <c r="AD669" i="3"/>
  <c r="AC669" i="3"/>
  <c r="AB669" i="3"/>
  <c r="D668" i="3"/>
  <c r="C668" i="3"/>
  <c r="B668" i="3"/>
  <c r="D665" i="3"/>
  <c r="AU664" i="3"/>
  <c r="AT664" i="3"/>
  <c r="AS664" i="3"/>
  <c r="AR664" i="3"/>
  <c r="AQ664" i="3"/>
  <c r="AP664" i="3"/>
  <c r="AO664" i="3"/>
  <c r="AN664" i="3"/>
  <c r="AL664" i="3"/>
  <c r="AK664" i="3"/>
  <c r="AJ664" i="3"/>
  <c r="AI664" i="3"/>
  <c r="AH664" i="3"/>
  <c r="AG664" i="3"/>
  <c r="AE664" i="3"/>
  <c r="AD664" i="3"/>
  <c r="AC664" i="3"/>
  <c r="AB664" i="3"/>
  <c r="D663" i="3"/>
  <c r="B663" i="3"/>
  <c r="C663" i="3" s="1"/>
  <c r="D660" i="3"/>
  <c r="AU658" i="3"/>
  <c r="AT658" i="3"/>
  <c r="AS658" i="3"/>
  <c r="AR658" i="3"/>
  <c r="AQ658" i="3"/>
  <c r="AP658" i="3"/>
  <c r="AO658" i="3"/>
  <c r="AN658" i="3"/>
  <c r="AL658" i="3"/>
  <c r="AK658" i="3"/>
  <c r="AJ658" i="3"/>
  <c r="AI658" i="3"/>
  <c r="AH658" i="3"/>
  <c r="AG658" i="3"/>
  <c r="AE658" i="3"/>
  <c r="AD658" i="3"/>
  <c r="AC658" i="3"/>
  <c r="AB658" i="3"/>
  <c r="D657" i="3"/>
  <c r="B657" i="3"/>
  <c r="C657" i="3" s="1"/>
  <c r="D654" i="3"/>
  <c r="AU653" i="3"/>
  <c r="AT653" i="3"/>
  <c r="AS653" i="3"/>
  <c r="AR653" i="3"/>
  <c r="AQ653" i="3"/>
  <c r="AP653" i="3"/>
  <c r="AO653" i="3"/>
  <c r="AN653" i="3"/>
  <c r="AL653" i="3"/>
  <c r="AK653" i="3"/>
  <c r="AJ653" i="3"/>
  <c r="AI653" i="3"/>
  <c r="AH653" i="3"/>
  <c r="AG653" i="3"/>
  <c r="AE653" i="3"/>
  <c r="AD653" i="3"/>
  <c r="AB653" i="3"/>
  <c r="D652" i="3"/>
  <c r="B652" i="3"/>
  <c r="C652" i="3" s="1"/>
  <c r="D649" i="3"/>
  <c r="AU648" i="3"/>
  <c r="AT648" i="3"/>
  <c r="AS648" i="3"/>
  <c r="AR648" i="3"/>
  <c r="AQ648" i="3"/>
  <c r="AP648" i="3"/>
  <c r="AO648" i="3"/>
  <c r="AN648" i="3"/>
  <c r="AL648" i="3"/>
  <c r="AK648" i="3"/>
  <c r="AJ648" i="3"/>
  <c r="AI648" i="3"/>
  <c r="AH648" i="3"/>
  <c r="AG648" i="3"/>
  <c r="AE648" i="3"/>
  <c r="AC648" i="3"/>
  <c r="AB648" i="3"/>
  <c r="D647" i="3"/>
  <c r="B647" i="3"/>
  <c r="C647" i="3" s="1"/>
  <c r="D644" i="3"/>
  <c r="AU643" i="3"/>
  <c r="AS643" i="3"/>
  <c r="AQ643" i="3"/>
  <c r="AO643" i="3"/>
  <c r="AN643" i="3"/>
  <c r="AD643" i="3"/>
  <c r="AU637" i="3"/>
  <c r="AT637" i="3"/>
  <c r="AS637" i="3"/>
  <c r="AR637" i="3"/>
  <c r="AQ637" i="3"/>
  <c r="AP637" i="3"/>
  <c r="AO637" i="3"/>
  <c r="AN637" i="3"/>
  <c r="AL637" i="3"/>
  <c r="AK637" i="3"/>
  <c r="AJ637" i="3"/>
  <c r="AI637" i="3"/>
  <c r="AG637" i="3"/>
  <c r="AE637" i="3"/>
  <c r="AC637" i="3"/>
  <c r="AB637" i="3"/>
  <c r="D636" i="3"/>
  <c r="B636" i="3"/>
  <c r="C636" i="3" s="1"/>
  <c r="D633" i="3"/>
  <c r="AU631" i="3"/>
  <c r="AT631" i="3"/>
  <c r="AS631" i="3"/>
  <c r="AR631" i="3"/>
  <c r="AQ631" i="3"/>
  <c r="AP631" i="3"/>
  <c r="AO631" i="3"/>
  <c r="AN631" i="3"/>
  <c r="AL631" i="3"/>
  <c r="AK631" i="3"/>
  <c r="AI631" i="3"/>
  <c r="AH631" i="3"/>
  <c r="AG631" i="3"/>
  <c r="AE631" i="3"/>
  <c r="AD631" i="3"/>
  <c r="AC631" i="3"/>
  <c r="AB631" i="3"/>
  <c r="D630" i="3"/>
  <c r="B630" i="3"/>
  <c r="C630" i="3" s="1"/>
  <c r="D627" i="3"/>
  <c r="AU626" i="3"/>
  <c r="AT626" i="3"/>
  <c r="AS626" i="3"/>
  <c r="AR626" i="3"/>
  <c r="AQ626" i="3"/>
  <c r="AP626" i="3"/>
  <c r="AO626" i="3"/>
  <c r="AN626" i="3"/>
  <c r="AL626" i="3"/>
  <c r="AK626" i="3"/>
  <c r="AJ626" i="3"/>
  <c r="AI626" i="3"/>
  <c r="AH626" i="3"/>
  <c r="AE626" i="3"/>
  <c r="AC626" i="3"/>
  <c r="AB626" i="3"/>
  <c r="D625" i="3"/>
  <c r="B625" i="3"/>
  <c r="C625" i="3" s="1"/>
  <c r="D622" i="3"/>
  <c r="AU621" i="3"/>
  <c r="AT621" i="3"/>
  <c r="AS621" i="3"/>
  <c r="AR621" i="3"/>
  <c r="AQ621" i="3"/>
  <c r="AP621" i="3"/>
  <c r="AO621" i="3"/>
  <c r="AN621" i="3"/>
  <c r="AL621" i="3"/>
  <c r="AK621" i="3"/>
  <c r="AJ621" i="3"/>
  <c r="AI621" i="3"/>
  <c r="AH621" i="3"/>
  <c r="AG621" i="3"/>
  <c r="AE621" i="3"/>
  <c r="AC621" i="3"/>
  <c r="AB621" i="3"/>
  <c r="D620" i="3"/>
  <c r="B620" i="3"/>
  <c r="C620" i="3" s="1"/>
  <c r="D617" i="3"/>
  <c r="AU615" i="3"/>
  <c r="AT615" i="3"/>
  <c r="AS615" i="3"/>
  <c r="AR615" i="3"/>
  <c r="AQ615" i="3"/>
  <c r="AP615" i="3"/>
  <c r="AO615" i="3"/>
  <c r="AN615" i="3"/>
  <c r="AL615" i="3"/>
  <c r="AK615" i="3"/>
  <c r="AJ615" i="3"/>
  <c r="AI615" i="3"/>
  <c r="AH615" i="3"/>
  <c r="AG615" i="3"/>
  <c r="AE615" i="3"/>
  <c r="AD615" i="3"/>
  <c r="AC615" i="3"/>
  <c r="AB615" i="3"/>
  <c r="D614" i="3"/>
  <c r="B614" i="3"/>
  <c r="C614" i="3" s="1"/>
  <c r="D611" i="3"/>
  <c r="AU610" i="3"/>
  <c r="AT610" i="3"/>
  <c r="AS610" i="3"/>
  <c r="AR610" i="3"/>
  <c r="AQ610" i="3"/>
  <c r="AP610" i="3"/>
  <c r="AO610" i="3"/>
  <c r="AN610" i="3"/>
  <c r="AL610" i="3"/>
  <c r="AK610" i="3"/>
  <c r="AJ610" i="3"/>
  <c r="AI610" i="3"/>
  <c r="AH610" i="3"/>
  <c r="AG610" i="3"/>
  <c r="AE610" i="3"/>
  <c r="AD610" i="3"/>
  <c r="AC610" i="3"/>
  <c r="AB610" i="3"/>
  <c r="D609" i="3"/>
  <c r="B609" i="3"/>
  <c r="C609" i="3" s="1"/>
  <c r="D606" i="3"/>
  <c r="AU605" i="3"/>
  <c r="AT605" i="3"/>
  <c r="AS605" i="3"/>
  <c r="AR605" i="3"/>
  <c r="AQ605" i="3"/>
  <c r="AP605" i="3"/>
  <c r="AO605" i="3"/>
  <c r="AN605" i="3"/>
  <c r="AL605" i="3"/>
  <c r="AK605" i="3"/>
  <c r="AJ605" i="3"/>
  <c r="AI605" i="3"/>
  <c r="AH605" i="3"/>
  <c r="AG605" i="3"/>
  <c r="AE605" i="3"/>
  <c r="AD605" i="3"/>
  <c r="AC605" i="3"/>
  <c r="AB605" i="3"/>
  <c r="D604" i="3"/>
  <c r="B604" i="3"/>
  <c r="C604" i="3" s="1"/>
  <c r="D601" i="3"/>
  <c r="AU600" i="3"/>
  <c r="AS600" i="3"/>
  <c r="AQ600" i="3"/>
  <c r="AO600" i="3"/>
  <c r="AN600" i="3"/>
  <c r="AD600" i="3"/>
  <c r="AP600" i="3" s="1"/>
  <c r="AU597" i="3"/>
  <c r="AT597" i="3"/>
  <c r="AS597" i="3"/>
  <c r="AR597" i="3"/>
  <c r="AQ597" i="3"/>
  <c r="AP597" i="3"/>
  <c r="AO597" i="3"/>
  <c r="AN597" i="3"/>
  <c r="AL597" i="3"/>
  <c r="AK597" i="3"/>
  <c r="AJ597" i="3"/>
  <c r="AH597" i="3"/>
  <c r="AG597" i="3"/>
  <c r="AE597" i="3"/>
  <c r="AD597" i="3"/>
  <c r="AC597" i="3"/>
  <c r="AB597" i="3"/>
  <c r="D596" i="3"/>
  <c r="B596" i="3"/>
  <c r="C596" i="3" s="1"/>
  <c r="D593" i="3"/>
  <c r="AU592" i="3"/>
  <c r="AT592" i="3"/>
  <c r="AS592" i="3"/>
  <c r="AR592" i="3"/>
  <c r="AQ592" i="3"/>
  <c r="AP592" i="3"/>
  <c r="AO592" i="3"/>
  <c r="AN592" i="3"/>
  <c r="AL592" i="3"/>
  <c r="AK592" i="3"/>
  <c r="AJ592" i="3"/>
  <c r="AI592" i="3"/>
  <c r="AH592" i="3"/>
  <c r="AE592" i="3"/>
  <c r="AC592" i="3"/>
  <c r="AB592" i="3"/>
  <c r="D591" i="3"/>
  <c r="B591" i="3"/>
  <c r="C591" i="3" s="1"/>
  <c r="D588" i="3"/>
  <c r="AU587" i="3"/>
  <c r="AT587" i="3"/>
  <c r="AS587" i="3"/>
  <c r="AR587" i="3"/>
  <c r="AQ587" i="3"/>
  <c r="AP587" i="3"/>
  <c r="AO587" i="3"/>
  <c r="AN587" i="3"/>
  <c r="AL587" i="3"/>
  <c r="AK587" i="3"/>
  <c r="AJ587" i="3"/>
  <c r="AI587" i="3"/>
  <c r="AG587" i="3"/>
  <c r="AE587" i="3"/>
  <c r="AC587" i="3"/>
  <c r="AB587" i="3"/>
  <c r="D586" i="3"/>
  <c r="B586" i="3"/>
  <c r="C586" i="3" s="1"/>
  <c r="D583" i="3"/>
  <c r="AU581" i="3"/>
  <c r="AT581" i="3"/>
  <c r="AS581" i="3"/>
  <c r="AR581" i="3"/>
  <c r="AQ581" i="3"/>
  <c r="AP581" i="3"/>
  <c r="AO581" i="3"/>
  <c r="AN581" i="3"/>
  <c r="AL581" i="3"/>
  <c r="AK581" i="3"/>
  <c r="AJ581" i="3"/>
  <c r="AI581" i="3"/>
  <c r="AH581" i="3"/>
  <c r="AG581" i="3"/>
  <c r="AE581" i="3"/>
  <c r="AD581" i="3"/>
  <c r="AC581" i="3"/>
  <c r="AB581" i="3"/>
  <c r="D580" i="3"/>
  <c r="C580" i="3"/>
  <c r="B580" i="3"/>
  <c r="D577" i="3"/>
  <c r="AU576" i="3"/>
  <c r="AT576" i="3"/>
  <c r="AS576" i="3"/>
  <c r="AR576" i="3"/>
  <c r="AQ576" i="3"/>
  <c r="AP576" i="3"/>
  <c r="AO576" i="3"/>
  <c r="AN576" i="3"/>
  <c r="AL576" i="3"/>
  <c r="AK576" i="3"/>
  <c r="AJ576" i="3"/>
  <c r="AI576" i="3"/>
  <c r="AH576" i="3"/>
  <c r="AE576" i="3"/>
  <c r="AC576" i="3"/>
  <c r="AB576" i="3"/>
  <c r="D575" i="3"/>
  <c r="B575" i="3"/>
  <c r="C575" i="3" s="1"/>
  <c r="D572" i="3"/>
  <c r="AU571" i="3"/>
  <c r="AT571" i="3"/>
  <c r="AS571" i="3"/>
  <c r="AR571" i="3"/>
  <c r="AQ571" i="3"/>
  <c r="AP571" i="3"/>
  <c r="AO571" i="3"/>
  <c r="AN571" i="3"/>
  <c r="AL571" i="3"/>
  <c r="AK571" i="3"/>
  <c r="AJ571" i="3"/>
  <c r="AI571" i="3"/>
  <c r="AH571" i="3"/>
  <c r="AE571" i="3"/>
  <c r="AD571" i="3"/>
  <c r="AB571" i="3"/>
  <c r="D570" i="3"/>
  <c r="B570" i="3"/>
  <c r="C570" i="3" s="1"/>
  <c r="D567" i="3"/>
  <c r="AU566" i="3"/>
  <c r="AS566" i="3"/>
  <c r="AQ566" i="3"/>
  <c r="AO566" i="3"/>
  <c r="AN566" i="3"/>
  <c r="AD566" i="3"/>
  <c r="AU563" i="3"/>
  <c r="AT563" i="3"/>
  <c r="AS563" i="3"/>
  <c r="AR563" i="3"/>
  <c r="AQ563" i="3"/>
  <c r="AP563" i="3"/>
  <c r="AO563" i="3"/>
  <c r="AN563" i="3"/>
  <c r="AL563" i="3"/>
  <c r="AK563" i="3"/>
  <c r="AJ563" i="3"/>
  <c r="AH563" i="3"/>
  <c r="AG563" i="3"/>
  <c r="AE563" i="3"/>
  <c r="AD563" i="3"/>
  <c r="AC563" i="3"/>
  <c r="AB563" i="3"/>
  <c r="D562" i="3"/>
  <c r="B562" i="3"/>
  <c r="C562" i="3" s="1"/>
  <c r="D559" i="3"/>
  <c r="AU558" i="3"/>
  <c r="AT558" i="3"/>
  <c r="AS558" i="3"/>
  <c r="AR558" i="3"/>
  <c r="AQ558" i="3"/>
  <c r="AP558" i="3"/>
  <c r="AO558" i="3"/>
  <c r="AN558" i="3"/>
  <c r="AL558" i="3"/>
  <c r="AK558" i="3"/>
  <c r="AJ558" i="3"/>
  <c r="AI558" i="3"/>
  <c r="AH558" i="3"/>
  <c r="AG558" i="3"/>
  <c r="AE558" i="3"/>
  <c r="AD558" i="3"/>
  <c r="AC558" i="3"/>
  <c r="AB558" i="3"/>
  <c r="D557" i="3"/>
  <c r="B557" i="3"/>
  <c r="C557" i="3" s="1"/>
  <c r="D554" i="3"/>
  <c r="AU553" i="3"/>
  <c r="AT553" i="3"/>
  <c r="AS553" i="3"/>
  <c r="AR553" i="3"/>
  <c r="AQ553" i="3"/>
  <c r="AP553" i="3"/>
  <c r="AO553" i="3"/>
  <c r="AN553" i="3"/>
  <c r="AL553" i="3"/>
  <c r="AK553" i="3"/>
  <c r="AJ553" i="3"/>
  <c r="AI553" i="3"/>
  <c r="AH553" i="3"/>
  <c r="AG553" i="3"/>
  <c r="AE553" i="3"/>
  <c r="AD553" i="3"/>
  <c r="AC553" i="3"/>
  <c r="AB553" i="3"/>
  <c r="D552" i="3"/>
  <c r="C552" i="3"/>
  <c r="B552" i="3"/>
  <c r="D549" i="3"/>
  <c r="AU547" i="3"/>
  <c r="AT547" i="3"/>
  <c r="AS547" i="3"/>
  <c r="AR547" i="3"/>
  <c r="AQ547" i="3"/>
  <c r="AP547" i="3"/>
  <c r="AO547" i="3"/>
  <c r="AN547" i="3"/>
  <c r="AL547" i="3"/>
  <c r="AK547" i="3"/>
  <c r="AJ547" i="3"/>
  <c r="AI547" i="3"/>
  <c r="AH547" i="3"/>
  <c r="AG547" i="3"/>
  <c r="AE547" i="3"/>
  <c r="AD547" i="3"/>
  <c r="AC547" i="3"/>
  <c r="AB547" i="3"/>
  <c r="D546" i="3"/>
  <c r="B546" i="3"/>
  <c r="C546" i="3" s="1"/>
  <c r="D543" i="3"/>
  <c r="AU542" i="3"/>
  <c r="AT542" i="3"/>
  <c r="AS542" i="3"/>
  <c r="AR542" i="3"/>
  <c r="AQ542" i="3"/>
  <c r="AP542" i="3"/>
  <c r="AO542" i="3"/>
  <c r="AN542" i="3"/>
  <c r="AL542" i="3"/>
  <c r="AK542" i="3"/>
  <c r="AJ542" i="3"/>
  <c r="AI542" i="3"/>
  <c r="AH542" i="3"/>
  <c r="AG542" i="3"/>
  <c r="AE542" i="3"/>
  <c r="AC542" i="3"/>
  <c r="AB542" i="3"/>
  <c r="D541" i="3"/>
  <c r="B541" i="3"/>
  <c r="C541" i="3" s="1"/>
  <c r="D538" i="3"/>
  <c r="AU537" i="3"/>
  <c r="AT537" i="3"/>
  <c r="AS537" i="3"/>
  <c r="AR537" i="3"/>
  <c r="AQ537" i="3"/>
  <c r="AP537" i="3"/>
  <c r="AO537" i="3"/>
  <c r="AN537" i="3"/>
  <c r="AL537" i="3"/>
  <c r="AK537" i="3"/>
  <c r="AJ537" i="3"/>
  <c r="AI537" i="3"/>
  <c r="AG537" i="3"/>
  <c r="AE537" i="3"/>
  <c r="AD537" i="3"/>
  <c r="AC537" i="3"/>
  <c r="AB537" i="3"/>
  <c r="D536" i="3"/>
  <c r="B536" i="3"/>
  <c r="C536" i="3" s="1"/>
  <c r="D533" i="3"/>
  <c r="AU532" i="3"/>
  <c r="AS532" i="3"/>
  <c r="AQ532" i="3"/>
  <c r="AO532" i="3"/>
  <c r="AN532" i="3"/>
  <c r="AD532" i="3"/>
  <c r="AP532" i="3" s="1"/>
  <c r="AU529" i="3"/>
  <c r="AT529" i="3"/>
  <c r="AS529" i="3"/>
  <c r="AR529" i="3"/>
  <c r="AQ529" i="3"/>
  <c r="AP529" i="3"/>
  <c r="AO529" i="3"/>
  <c r="AN529" i="3"/>
  <c r="AL529" i="3"/>
  <c r="AK529" i="3"/>
  <c r="AJ529" i="3"/>
  <c r="AI529" i="3"/>
  <c r="AH529" i="3"/>
  <c r="AG529" i="3"/>
  <c r="AE529" i="3"/>
  <c r="AD529" i="3"/>
  <c r="AC529" i="3"/>
  <c r="AB529" i="3"/>
  <c r="D528" i="3"/>
  <c r="C528" i="3"/>
  <c r="B528" i="3"/>
  <c r="D525" i="3"/>
  <c r="AU524" i="3"/>
  <c r="AT524" i="3"/>
  <c r="AS524" i="3"/>
  <c r="AR524" i="3"/>
  <c r="AQ524" i="3"/>
  <c r="AP524" i="3"/>
  <c r="AO524" i="3"/>
  <c r="AN524" i="3"/>
  <c r="AL524" i="3"/>
  <c r="AK524" i="3"/>
  <c r="AJ524" i="3"/>
  <c r="AI524" i="3"/>
  <c r="AH524" i="3"/>
  <c r="AG524" i="3"/>
  <c r="AE524" i="3"/>
  <c r="AD524" i="3"/>
  <c r="AC524" i="3"/>
  <c r="AB524" i="3"/>
  <c r="D523" i="3"/>
  <c r="B523" i="3"/>
  <c r="C523" i="3" s="1"/>
  <c r="D520" i="3"/>
  <c r="AU519" i="3"/>
  <c r="AT519" i="3"/>
  <c r="AS519" i="3"/>
  <c r="AR519" i="3"/>
  <c r="AQ519" i="3"/>
  <c r="AP519" i="3"/>
  <c r="AO519" i="3"/>
  <c r="AN519" i="3"/>
  <c r="AL519" i="3"/>
  <c r="AK519" i="3"/>
  <c r="AJ519" i="3"/>
  <c r="AH519" i="3"/>
  <c r="AG519" i="3"/>
  <c r="AE519" i="3"/>
  <c r="AD519" i="3"/>
  <c r="AC519" i="3"/>
  <c r="AB519" i="3"/>
  <c r="D518" i="3"/>
  <c r="B518" i="3"/>
  <c r="C518" i="3" s="1"/>
  <c r="D515" i="3"/>
  <c r="AU513" i="3"/>
  <c r="AT513" i="3"/>
  <c r="AS513" i="3"/>
  <c r="AR513" i="3"/>
  <c r="AQ513" i="3"/>
  <c r="AP513" i="3"/>
  <c r="AO513" i="3"/>
  <c r="AN513" i="3"/>
  <c r="AL513" i="3"/>
  <c r="AK513" i="3"/>
  <c r="AJ513" i="3"/>
  <c r="AI513" i="3"/>
  <c r="AH513" i="3"/>
  <c r="AG513" i="3"/>
  <c r="AE513" i="3"/>
  <c r="AD513" i="3"/>
  <c r="AC513" i="3"/>
  <c r="AB513" i="3"/>
  <c r="D512" i="3"/>
  <c r="B512" i="3"/>
  <c r="C512" i="3" s="1"/>
  <c r="D509" i="3"/>
  <c r="AU508" i="3"/>
  <c r="AT508" i="3"/>
  <c r="AS508" i="3"/>
  <c r="AR508" i="3"/>
  <c r="AQ508" i="3"/>
  <c r="AP508" i="3"/>
  <c r="AO508" i="3"/>
  <c r="AN508" i="3"/>
  <c r="AL508" i="3"/>
  <c r="AK508" i="3"/>
  <c r="AJ508" i="3"/>
  <c r="AI508" i="3"/>
  <c r="AG508" i="3"/>
  <c r="AE508" i="3"/>
  <c r="AD508" i="3"/>
  <c r="AC508" i="3"/>
  <c r="AB508" i="3"/>
  <c r="D507" i="3"/>
  <c r="B507" i="3"/>
  <c r="C507" i="3" s="1"/>
  <c r="D504" i="3"/>
  <c r="AU503" i="3"/>
  <c r="AT503" i="3"/>
  <c r="AS503" i="3"/>
  <c r="AR503" i="3"/>
  <c r="AQ503" i="3"/>
  <c r="AP503" i="3"/>
  <c r="AO503" i="3"/>
  <c r="AN503" i="3"/>
  <c r="AL503" i="3"/>
  <c r="AK503" i="3"/>
  <c r="AJ503" i="3"/>
  <c r="AI503" i="3"/>
  <c r="AH503" i="3"/>
  <c r="AG503" i="3"/>
  <c r="AE503" i="3"/>
  <c r="AD503" i="3"/>
  <c r="AC503" i="3"/>
  <c r="AB503" i="3"/>
  <c r="D502" i="3"/>
  <c r="C502" i="3"/>
  <c r="B502" i="3"/>
  <c r="D499" i="3"/>
  <c r="AU498" i="3"/>
  <c r="AS498" i="3"/>
  <c r="AQ498" i="3"/>
  <c r="AO498" i="3"/>
  <c r="AN498" i="3"/>
  <c r="AD498" i="3"/>
  <c r="AP498" i="3" s="1"/>
  <c r="AT495" i="3"/>
  <c r="AS495" i="3"/>
  <c r="AR495" i="3"/>
  <c r="AQ495" i="3"/>
  <c r="AP495" i="3"/>
  <c r="AO495" i="3"/>
  <c r="AN495" i="3"/>
  <c r="AL495" i="3"/>
  <c r="AK495" i="3"/>
  <c r="AJ495" i="3"/>
  <c r="AI495" i="3"/>
  <c r="AH495" i="3"/>
  <c r="AG495" i="3"/>
  <c r="AE495" i="3"/>
  <c r="AD495" i="3"/>
  <c r="AB495" i="3"/>
  <c r="D494" i="3"/>
  <c r="B494" i="3"/>
  <c r="C494" i="3" s="1"/>
  <c r="D491" i="3"/>
  <c r="AU490" i="3"/>
  <c r="AT490" i="3"/>
  <c r="AS490" i="3"/>
  <c r="AR490" i="3"/>
  <c r="AQ490" i="3"/>
  <c r="AP490" i="3"/>
  <c r="AO490" i="3"/>
  <c r="AN490" i="3"/>
  <c r="AL490" i="3"/>
  <c r="AK490" i="3"/>
  <c r="AJ490" i="3"/>
  <c r="AI490" i="3"/>
  <c r="AH490" i="3"/>
  <c r="AG490" i="3"/>
  <c r="AE490" i="3"/>
  <c r="AD490" i="3"/>
  <c r="AC490" i="3"/>
  <c r="AB490" i="3"/>
  <c r="D489" i="3"/>
  <c r="C489" i="3"/>
  <c r="B489" i="3"/>
  <c r="D486" i="3"/>
  <c r="AU484" i="3"/>
  <c r="AT484" i="3"/>
  <c r="AS484" i="3"/>
  <c r="AR484" i="3"/>
  <c r="AQ484" i="3"/>
  <c r="AP484" i="3"/>
  <c r="AO484" i="3"/>
  <c r="AN484" i="3"/>
  <c r="AL484" i="3"/>
  <c r="AK484" i="3"/>
  <c r="AJ484" i="3"/>
  <c r="AI484" i="3"/>
  <c r="AH484" i="3"/>
  <c r="AG484" i="3"/>
  <c r="AE484" i="3"/>
  <c r="AD484" i="3"/>
  <c r="AC484" i="3"/>
  <c r="AB484" i="3"/>
  <c r="D483" i="3"/>
  <c r="B483" i="3"/>
  <c r="C483" i="3" s="1"/>
  <c r="D480" i="3"/>
  <c r="AU479" i="3"/>
  <c r="AT479" i="3"/>
  <c r="AS479" i="3"/>
  <c r="AR479" i="3"/>
  <c r="AQ479" i="3"/>
  <c r="AP479" i="3"/>
  <c r="AO479" i="3"/>
  <c r="AN479" i="3"/>
  <c r="AL479" i="3"/>
  <c r="AK479" i="3"/>
  <c r="AJ479" i="3"/>
  <c r="AI479" i="3"/>
  <c r="AH479" i="3"/>
  <c r="AG479" i="3"/>
  <c r="AE479" i="3"/>
  <c r="AD479" i="3"/>
  <c r="AC479" i="3"/>
  <c r="AB479" i="3"/>
  <c r="D478" i="3"/>
  <c r="C478" i="3"/>
  <c r="B478" i="3"/>
  <c r="D475" i="3"/>
  <c r="AU473" i="3"/>
  <c r="AT473" i="3"/>
  <c r="AS473" i="3"/>
  <c r="AR473" i="3"/>
  <c r="AQ473" i="3"/>
  <c r="AP473" i="3"/>
  <c r="AO473" i="3"/>
  <c r="AN473" i="3"/>
  <c r="AL473" i="3"/>
  <c r="AK473" i="3"/>
  <c r="AJ473" i="3"/>
  <c r="AI473" i="3"/>
  <c r="AH473" i="3"/>
  <c r="AG473" i="3"/>
  <c r="AE473" i="3"/>
  <c r="AD473" i="3"/>
  <c r="AC473" i="3"/>
  <c r="AB473" i="3"/>
  <c r="D472" i="3"/>
  <c r="B472" i="3"/>
  <c r="C472" i="3" s="1"/>
  <c r="D469" i="3"/>
  <c r="AU468" i="3"/>
  <c r="AT468" i="3"/>
  <c r="AS468" i="3"/>
  <c r="AR468" i="3"/>
  <c r="AQ468" i="3"/>
  <c r="AP468" i="3"/>
  <c r="AO468" i="3"/>
  <c r="AN468" i="3"/>
  <c r="AL468" i="3"/>
  <c r="AK468" i="3"/>
  <c r="AF455" i="3" s="1"/>
  <c r="AJ468" i="3"/>
  <c r="AI468" i="3"/>
  <c r="AH468" i="3"/>
  <c r="AG468" i="3"/>
  <c r="AE468" i="3"/>
  <c r="AD468" i="3"/>
  <c r="AC468" i="3"/>
  <c r="AB468" i="3"/>
  <c r="D467" i="3"/>
  <c r="B467" i="3"/>
  <c r="C467" i="3" s="1"/>
  <c r="D464" i="3"/>
  <c r="AU463" i="3"/>
  <c r="AU495" i="3" s="1"/>
  <c r="AS463" i="3"/>
  <c r="AQ463" i="3"/>
  <c r="AO463" i="3"/>
  <c r="AN463" i="3"/>
  <c r="AD463" i="3"/>
  <c r="AP463" i="3" s="1"/>
  <c r="AG457" i="3"/>
  <c r="AF457" i="3"/>
  <c r="AE457" i="3"/>
  <c r="AG455" i="3"/>
  <c r="AE455" i="3"/>
  <c r="AD455" i="3" s="1"/>
  <c r="AG453" i="3"/>
  <c r="AF453" i="3"/>
  <c r="AE453" i="3"/>
  <c r="AG451" i="3"/>
  <c r="AF451" i="3"/>
  <c r="AE451" i="3"/>
  <c r="AG449" i="3"/>
  <c r="AF449" i="3"/>
  <c r="AE449" i="3"/>
  <c r="AG447" i="3"/>
  <c r="AF447" i="3"/>
  <c r="AE447" i="3"/>
  <c r="AD447" i="3" s="1"/>
  <c r="AG445" i="3"/>
  <c r="AF445" i="3"/>
  <c r="AE445" i="3"/>
  <c r="AJ443" i="3"/>
  <c r="AI444" i="3" s="1"/>
  <c r="AJ444" i="3" s="1"/>
  <c r="AI445" i="3" s="1"/>
  <c r="AJ445" i="3" s="1"/>
  <c r="AL440" i="3"/>
  <c r="AE1555" i="3" s="1"/>
  <c r="AE1561" i="3" s="1"/>
  <c r="AE1567" i="3" s="1"/>
  <c r="AE1573" i="3" s="1"/>
  <c r="AE1579" i="3" s="1"/>
  <c r="AT436" i="3"/>
  <c r="AS436" i="3"/>
  <c r="AR436" i="3"/>
  <c r="AQ436" i="3"/>
  <c r="AP436" i="3"/>
  <c r="AK436" i="3"/>
  <c r="AX436" i="3" s="1"/>
  <c r="AJ436" i="3"/>
  <c r="C435" i="3" s="1"/>
  <c r="AG436" i="3"/>
  <c r="AF436" i="3"/>
  <c r="AE436" i="3"/>
  <c r="AD436" i="3"/>
  <c r="D435" i="3"/>
  <c r="B435" i="3"/>
  <c r="B434" i="3"/>
  <c r="BJ431" i="3"/>
  <c r="BI431" i="3"/>
  <c r="BH431" i="3"/>
  <c r="BG431" i="3"/>
  <c r="BD431" i="3"/>
  <c r="BB431" i="3"/>
  <c r="AF430" i="3"/>
  <c r="AD430" i="3"/>
  <c r="AD429" i="3"/>
  <c r="AE429" i="3" s="1"/>
  <c r="AF429" i="3" s="1"/>
  <c r="AG429" i="3" s="1"/>
  <c r="AH429" i="3" s="1"/>
  <c r="AT426" i="3"/>
  <c r="AS426" i="3"/>
  <c r="AR426" i="3"/>
  <c r="AQ426" i="3"/>
  <c r="AP426" i="3"/>
  <c r="AJ426" i="3"/>
  <c r="C425" i="3" s="1"/>
  <c r="AG426" i="3"/>
  <c r="AF426" i="3"/>
  <c r="AE426" i="3"/>
  <c r="AD426" i="3"/>
  <c r="D425" i="3"/>
  <c r="B425" i="3"/>
  <c r="B424" i="3"/>
  <c r="BJ421" i="3"/>
  <c r="BI421" i="3"/>
  <c r="BH421" i="3"/>
  <c r="BG421" i="3"/>
  <c r="BD421" i="3"/>
  <c r="BB421" i="3"/>
  <c r="AF420" i="3"/>
  <c r="AE420" i="3"/>
  <c r="AD420" i="3"/>
  <c r="AD419" i="3"/>
  <c r="AE419" i="3" s="1"/>
  <c r="AF419" i="3" s="1"/>
  <c r="AG419" i="3" s="1"/>
  <c r="AH419" i="3" s="1"/>
  <c r="AT416" i="3"/>
  <c r="AS416" i="3"/>
  <c r="AR416" i="3"/>
  <c r="AQ416" i="3"/>
  <c r="AP416" i="3"/>
  <c r="AK416" i="3"/>
  <c r="AX416" i="3" s="1"/>
  <c r="AJ416" i="3"/>
  <c r="C415" i="3" s="1"/>
  <c r="AG416" i="3"/>
  <c r="AF416" i="3"/>
  <c r="AE416" i="3"/>
  <c r="AD416" i="3"/>
  <c r="D415" i="3"/>
  <c r="B415" i="3"/>
  <c r="B414" i="3"/>
  <c r="BJ411" i="3"/>
  <c r="BI411" i="3"/>
  <c r="BH411" i="3"/>
  <c r="BG411" i="3"/>
  <c r="BD411" i="3"/>
  <c r="BB411" i="3"/>
  <c r="AF410" i="3"/>
  <c r="AD410" i="3"/>
  <c r="AD409" i="3"/>
  <c r="AE409" i="3" s="1"/>
  <c r="AF409" i="3" s="1"/>
  <c r="AG409" i="3" s="1"/>
  <c r="AH409" i="3" s="1"/>
  <c r="AT406" i="3"/>
  <c r="AS406" i="3"/>
  <c r="AR406" i="3"/>
  <c r="AQ406" i="3"/>
  <c r="AP406" i="3"/>
  <c r="AK406" i="3"/>
  <c r="BB402" i="3" s="1"/>
  <c r="AJ406" i="3"/>
  <c r="AT405" i="3" s="1"/>
  <c r="AG406" i="3"/>
  <c r="AF406" i="3"/>
  <c r="AE406" i="3"/>
  <c r="AD406" i="3"/>
  <c r="D405" i="3"/>
  <c r="C405" i="3"/>
  <c r="B405" i="3"/>
  <c r="B404" i="3"/>
  <c r="BJ401" i="3"/>
  <c r="BI401" i="3"/>
  <c r="BH401" i="3"/>
  <c r="BG401" i="3"/>
  <c r="BD401" i="3"/>
  <c r="BB401" i="3"/>
  <c r="AF400" i="3"/>
  <c r="AD399" i="3"/>
  <c r="AE399" i="3" s="1"/>
  <c r="AF399" i="3" s="1"/>
  <c r="AG399" i="3" s="1"/>
  <c r="AH399" i="3" s="1"/>
  <c r="AT396" i="3"/>
  <c r="AS396" i="3"/>
  <c r="AR396" i="3"/>
  <c r="AQ396" i="3"/>
  <c r="AP396" i="3"/>
  <c r="AK396" i="3"/>
  <c r="AX396" i="3" s="1"/>
  <c r="AJ396" i="3"/>
  <c r="AT395" i="3" s="1"/>
  <c r="AG396" i="3"/>
  <c r="AF396" i="3"/>
  <c r="AE396" i="3"/>
  <c r="AD396" i="3"/>
  <c r="D395" i="3"/>
  <c r="B395" i="3"/>
  <c r="B394" i="3"/>
  <c r="BJ391" i="3"/>
  <c r="BI391" i="3"/>
  <c r="BH391" i="3"/>
  <c r="BG391" i="3"/>
  <c r="BD391" i="3"/>
  <c r="BB391" i="3"/>
  <c r="AF390" i="3"/>
  <c r="AD389" i="3"/>
  <c r="AE389" i="3" s="1"/>
  <c r="AF389" i="3" s="1"/>
  <c r="AG389" i="3" s="1"/>
  <c r="AH389" i="3" s="1"/>
  <c r="AT386" i="3"/>
  <c r="AS386" i="3"/>
  <c r="AR386" i="3"/>
  <c r="AQ386" i="3"/>
  <c r="AP386" i="3"/>
  <c r="AK386" i="3"/>
  <c r="D386" i="3" s="1"/>
  <c r="AJ386" i="3"/>
  <c r="AT385" i="3" s="1"/>
  <c r="AG386" i="3"/>
  <c r="AF386" i="3"/>
  <c r="AE386" i="3"/>
  <c r="AD386" i="3"/>
  <c r="D385" i="3"/>
  <c r="B385" i="3"/>
  <c r="B384" i="3"/>
  <c r="BJ381" i="3"/>
  <c r="BI381" i="3"/>
  <c r="BH381" i="3"/>
  <c r="BG381" i="3"/>
  <c r="BD381" i="3"/>
  <c r="BB381" i="3"/>
  <c r="AF380" i="3"/>
  <c r="AE380" i="3"/>
  <c r="AD379" i="3"/>
  <c r="AE379" i="3" s="1"/>
  <c r="AF379" i="3" s="1"/>
  <c r="AG379" i="3" s="1"/>
  <c r="AH379" i="3" s="1"/>
  <c r="AT376" i="3"/>
  <c r="AS376" i="3"/>
  <c r="AR376" i="3"/>
  <c r="AQ376" i="3"/>
  <c r="AP376" i="3"/>
  <c r="AJ376" i="3"/>
  <c r="C375" i="3" s="1"/>
  <c r="AG376" i="3"/>
  <c r="AF376" i="3"/>
  <c r="AE376" i="3"/>
  <c r="AD376" i="3"/>
  <c r="D375" i="3"/>
  <c r="B375" i="3"/>
  <c r="B374" i="3"/>
  <c r="BJ371" i="3"/>
  <c r="BI371" i="3"/>
  <c r="BH371" i="3"/>
  <c r="BG371" i="3"/>
  <c r="BD371" i="3"/>
  <c r="BB371" i="3"/>
  <c r="AG370" i="3"/>
  <c r="AF370" i="3"/>
  <c r="AD369" i="3"/>
  <c r="AE369" i="3" s="1"/>
  <c r="AF369" i="3" s="1"/>
  <c r="AG369" i="3" s="1"/>
  <c r="AH369" i="3" s="1"/>
  <c r="AT366" i="3"/>
  <c r="AS366" i="3"/>
  <c r="AR366" i="3"/>
  <c r="AQ366" i="3"/>
  <c r="AP366" i="3"/>
  <c r="AJ366" i="3"/>
  <c r="C365" i="3" s="1"/>
  <c r="AG366" i="3"/>
  <c r="AF366" i="3"/>
  <c r="AE366" i="3"/>
  <c r="AD366" i="3"/>
  <c r="AT365" i="3"/>
  <c r="D365" i="3"/>
  <c r="B365" i="3"/>
  <c r="B364" i="3"/>
  <c r="BJ361" i="3"/>
  <c r="BI361" i="3"/>
  <c r="BH361" i="3"/>
  <c r="BG361" i="3"/>
  <c r="BD361" i="3"/>
  <c r="BB361" i="3"/>
  <c r="AF360" i="3"/>
  <c r="AD359" i="3"/>
  <c r="AE359" i="3" s="1"/>
  <c r="AF359" i="3" s="1"/>
  <c r="AG359" i="3" s="1"/>
  <c r="AH359" i="3" s="1"/>
  <c r="AT356" i="3"/>
  <c r="AS356" i="3"/>
  <c r="AR356" i="3"/>
  <c r="AQ356" i="3"/>
  <c r="AP356" i="3"/>
  <c r="AJ356" i="3"/>
  <c r="C355" i="3" s="1"/>
  <c r="AG356" i="3"/>
  <c r="AF356" i="3"/>
  <c r="AE356" i="3"/>
  <c r="AD356" i="3"/>
  <c r="D355" i="3"/>
  <c r="B355" i="3"/>
  <c r="B354" i="3"/>
  <c r="BJ351" i="3"/>
  <c r="BI351" i="3"/>
  <c r="BH351" i="3"/>
  <c r="BG351" i="3"/>
  <c r="BD351" i="3"/>
  <c r="BB351" i="3"/>
  <c r="AF350" i="3"/>
  <c r="AD350" i="3"/>
  <c r="AE349" i="3"/>
  <c r="AF349" i="3" s="1"/>
  <c r="AG349" i="3" s="1"/>
  <c r="AH349" i="3" s="1"/>
  <c r="AD349" i="3"/>
  <c r="AT346" i="3"/>
  <c r="AS346" i="3"/>
  <c r="AR346" i="3"/>
  <c r="AQ346" i="3"/>
  <c r="AP346" i="3"/>
  <c r="AJ346" i="3"/>
  <c r="C345" i="3" s="1"/>
  <c r="AG346" i="3"/>
  <c r="AF346" i="3"/>
  <c r="AE346" i="3"/>
  <c r="AD346" i="3"/>
  <c r="AT345" i="3"/>
  <c r="D345" i="3"/>
  <c r="B345" i="3"/>
  <c r="B344" i="3"/>
  <c r="BJ341" i="3"/>
  <c r="BI341" i="3"/>
  <c r="BH341" i="3"/>
  <c r="BG341" i="3"/>
  <c r="BD341" i="3"/>
  <c r="BB341" i="3"/>
  <c r="AF340" i="3"/>
  <c r="AD339" i="3"/>
  <c r="AE339" i="3" s="1"/>
  <c r="AF339" i="3" s="1"/>
  <c r="AG339" i="3" s="1"/>
  <c r="AH339" i="3" s="1"/>
  <c r="AT336" i="3"/>
  <c r="AS336" i="3"/>
  <c r="AR336" i="3"/>
  <c r="AQ336" i="3"/>
  <c r="AP336" i="3"/>
  <c r="AK336" i="3"/>
  <c r="AX336" i="3" s="1"/>
  <c r="AJ336" i="3"/>
  <c r="AT335" i="3" s="1"/>
  <c r="AG336" i="3"/>
  <c r="AF336" i="3"/>
  <c r="AE336" i="3"/>
  <c r="AD336" i="3"/>
  <c r="D335" i="3"/>
  <c r="B335" i="3"/>
  <c r="B334" i="3"/>
  <c r="B332" i="3"/>
  <c r="BJ331" i="3"/>
  <c r="BI331" i="3"/>
  <c r="BH331" i="3"/>
  <c r="BG331" i="3"/>
  <c r="BD331" i="3"/>
  <c r="BB331" i="3"/>
  <c r="AF330" i="3"/>
  <c r="AE330" i="3"/>
  <c r="AD330" i="3"/>
  <c r="AD329" i="3"/>
  <c r="AE329" i="3" s="1"/>
  <c r="AF329" i="3" s="1"/>
  <c r="AG329" i="3" s="1"/>
  <c r="AT326" i="3"/>
  <c r="AS326" i="3"/>
  <c r="AR326" i="3"/>
  <c r="AQ326" i="3"/>
  <c r="AP326" i="3"/>
  <c r="AJ326" i="3"/>
  <c r="AT325" i="3" s="1"/>
  <c r="AG326" i="3"/>
  <c r="AF326" i="3"/>
  <c r="AE326" i="3"/>
  <c r="AD326" i="3"/>
  <c r="D325" i="3"/>
  <c r="B325" i="3"/>
  <c r="B324" i="3"/>
  <c r="B322" i="3"/>
  <c r="BJ321" i="3"/>
  <c r="BI321" i="3"/>
  <c r="BH321" i="3"/>
  <c r="BG321" i="3"/>
  <c r="BD321" i="3"/>
  <c r="BB321" i="3"/>
  <c r="AF320" i="3"/>
  <c r="AD320" i="3"/>
  <c r="AE319" i="3"/>
  <c r="AF319" i="3" s="1"/>
  <c r="AG319" i="3" s="1"/>
  <c r="AH319" i="3" s="1"/>
  <c r="AD319" i="3"/>
  <c r="AT316" i="3"/>
  <c r="AS316" i="3"/>
  <c r="AR316" i="3"/>
  <c r="AQ316" i="3"/>
  <c r="AP316" i="3"/>
  <c r="AJ316" i="3"/>
  <c r="AT315" i="3" s="1"/>
  <c r="AG316" i="3"/>
  <c r="AF316" i="3"/>
  <c r="AE316" i="3"/>
  <c r="AD316" i="3"/>
  <c r="BF315" i="3"/>
  <c r="BF325" i="3" s="1"/>
  <c r="BF335" i="3" s="1"/>
  <c r="BF345" i="3" s="1"/>
  <c r="BF355" i="3" s="1"/>
  <c r="BF365" i="3" s="1"/>
  <c r="BF375" i="3" s="1"/>
  <c r="BF385" i="3" s="1"/>
  <c r="BF395" i="3" s="1"/>
  <c r="BF405" i="3" s="1"/>
  <c r="BF415" i="3" s="1"/>
  <c r="BF425" i="3" s="1"/>
  <c r="BF435" i="3" s="1"/>
  <c r="BF440" i="3" s="1"/>
  <c r="D315" i="3"/>
  <c r="C315" i="3"/>
  <c r="B315" i="3"/>
  <c r="B314" i="3"/>
  <c r="B312" i="3"/>
  <c r="BJ311" i="3"/>
  <c r="BI311" i="3"/>
  <c r="BH311" i="3"/>
  <c r="BG311" i="3"/>
  <c r="BD311" i="3"/>
  <c r="BB311" i="3"/>
  <c r="AF310" i="3"/>
  <c r="AD309" i="3"/>
  <c r="AE309" i="3" s="1"/>
  <c r="AF309" i="3" s="1"/>
  <c r="AG309" i="3" s="1"/>
  <c r="AH309" i="3" s="1"/>
  <c r="A308" i="3"/>
  <c r="A318" i="3" s="1"/>
  <c r="A328" i="3" s="1"/>
  <c r="A338" i="3" s="1"/>
  <c r="A348" i="3" s="1"/>
  <c r="A358" i="3" s="1"/>
  <c r="A368" i="3" s="1"/>
  <c r="A378" i="3" s="1"/>
  <c r="A388" i="3" s="1"/>
  <c r="A398" i="3" s="1"/>
  <c r="A408" i="3" s="1"/>
  <c r="A418" i="3" s="1"/>
  <c r="A428" i="3" s="1"/>
  <c r="A464" i="3" s="1"/>
  <c r="A469" i="3" s="1"/>
  <c r="A475" i="3" s="1"/>
  <c r="A480" i="3" s="1"/>
  <c r="A486" i="3" s="1"/>
  <c r="A491" i="3" s="1"/>
  <c r="A499" i="3" s="1"/>
  <c r="A504" i="3" s="1"/>
  <c r="A509" i="3" s="1"/>
  <c r="A515" i="3" s="1"/>
  <c r="A520" i="3" s="1"/>
  <c r="A525" i="3" s="1"/>
  <c r="A533" i="3" s="1"/>
  <c r="A538" i="3" s="1"/>
  <c r="A543" i="3" s="1"/>
  <c r="A549" i="3" s="1"/>
  <c r="A554" i="3" s="1"/>
  <c r="A559" i="3" s="1"/>
  <c r="A567" i="3" s="1"/>
  <c r="A572" i="3" s="1"/>
  <c r="A577" i="3" s="1"/>
  <c r="A583" i="3" s="1"/>
  <c r="A588" i="3" s="1"/>
  <c r="A593" i="3" s="1"/>
  <c r="A601" i="3" s="1"/>
  <c r="A606" i="3" s="1"/>
  <c r="A611" i="3" s="1"/>
  <c r="A617" i="3" s="1"/>
  <c r="A622" i="3" s="1"/>
  <c r="A627" i="3" s="1"/>
  <c r="A633" i="3" s="1"/>
  <c r="A644" i="3" s="1"/>
  <c r="A649" i="3" s="1"/>
  <c r="A654" i="3" s="1"/>
  <c r="A660" i="3" s="1"/>
  <c r="A665" i="3" s="1"/>
  <c r="A670" i="3" s="1"/>
  <c r="A675" i="3" s="1"/>
  <c r="A683" i="3" s="1"/>
  <c r="A693" i="3" s="1"/>
  <c r="A698" i="3" s="1"/>
  <c r="A703" i="3" s="1"/>
  <c r="A708" i="3" s="1"/>
  <c r="A713" i="3" s="1"/>
  <c r="A721" i="3" s="1"/>
  <c r="A725" i="3" s="1"/>
  <c r="A729" i="3" s="1"/>
  <c r="A733" i="3" s="1"/>
  <c r="A746" i="3" s="1"/>
  <c r="A767" i="3" s="1"/>
  <c r="A794" i="3" s="1"/>
  <c r="A813" i="3" s="1"/>
  <c r="A843" i="3" s="1"/>
  <c r="A847" i="3" s="1"/>
  <c r="A860" i="3" s="1"/>
  <c r="A864" i="3" s="1"/>
  <c r="AT306" i="3"/>
  <c r="AS306" i="3"/>
  <c r="AR306" i="3"/>
  <c r="AQ306" i="3"/>
  <c r="AP306" i="3"/>
  <c r="AJ306" i="3"/>
  <c r="AG306" i="3"/>
  <c r="AF306" i="3"/>
  <c r="AE306" i="3"/>
  <c r="AD306" i="3"/>
  <c r="BF305" i="3"/>
  <c r="D305" i="3"/>
  <c r="C305" i="3"/>
  <c r="B305" i="3"/>
  <c r="B304" i="3"/>
  <c r="B302" i="3"/>
  <c r="BJ301" i="3"/>
  <c r="BI301" i="3"/>
  <c r="BH301" i="3"/>
  <c r="BG301" i="3"/>
  <c r="BD301" i="3"/>
  <c r="BB301" i="3"/>
  <c r="BH300" i="3"/>
  <c r="BJ300" i="3" s="1"/>
  <c r="AF300" i="3"/>
  <c r="AC300" i="3"/>
  <c r="AD299" i="3"/>
  <c r="AE299" i="3" s="1"/>
  <c r="AF299" i="3" s="1"/>
  <c r="AG299" i="3" s="1"/>
  <c r="AH299" i="3" s="1"/>
  <c r="AS297" i="3"/>
  <c r="AR297" i="3" s="1"/>
  <c r="AQ297" i="3" s="1"/>
  <c r="AP297" i="3" s="1"/>
  <c r="B294" i="3"/>
  <c r="AD284" i="3"/>
  <c r="AG849" i="3" s="1"/>
  <c r="C16" i="3" s="1"/>
  <c r="B16" i="3" s="1"/>
  <c r="B279" i="3"/>
  <c r="AF271" i="3"/>
  <c r="AS270" i="3"/>
  <c r="AR270" i="3"/>
  <c r="AQ270" i="3"/>
  <c r="AP270" i="3"/>
  <c r="B266" i="3"/>
  <c r="AC265" i="3"/>
  <c r="AB265" i="3"/>
  <c r="AE265" i="3" s="1"/>
  <c r="B265" i="3"/>
  <c r="AB264" i="3"/>
  <c r="AE264" i="3" s="1"/>
  <c r="AP257" i="3"/>
  <c r="AO257" i="3"/>
  <c r="AN257" i="3"/>
  <c r="AK257" i="3"/>
  <c r="AJ257" i="3"/>
  <c r="AI257" i="3"/>
  <c r="AH257" i="3"/>
  <c r="AG257" i="3"/>
  <c r="AF257" i="3"/>
  <c r="AE257" i="3"/>
  <c r="AD257" i="3"/>
  <c r="D244" i="3"/>
  <c r="C244" i="3"/>
  <c r="B244" i="3"/>
  <c r="D243" i="3"/>
  <c r="C243" i="3"/>
  <c r="B243" i="3"/>
  <c r="D242" i="3"/>
  <c r="C242" i="3"/>
  <c r="B242" i="3"/>
  <c r="A242" i="3"/>
  <c r="D240" i="3"/>
  <c r="C240" i="3"/>
  <c r="B240" i="3"/>
  <c r="D239" i="3"/>
  <c r="C239" i="3"/>
  <c r="B239" i="3"/>
  <c r="D238" i="3"/>
  <c r="C238" i="3"/>
  <c r="B238" i="3"/>
  <c r="A238" i="3"/>
  <c r="D236" i="3"/>
  <c r="C236" i="3"/>
  <c r="B236" i="3"/>
  <c r="D235" i="3"/>
  <c r="C235" i="3"/>
  <c r="B235" i="3"/>
  <c r="D234" i="3"/>
  <c r="C234" i="3"/>
  <c r="B234" i="3"/>
  <c r="A234" i="3"/>
  <c r="D232" i="3"/>
  <c r="C232" i="3"/>
  <c r="B232" i="3"/>
  <c r="D231" i="3"/>
  <c r="C231" i="3"/>
  <c r="B231" i="3"/>
  <c r="D230" i="3"/>
  <c r="C230" i="3"/>
  <c r="B230" i="3"/>
  <c r="A230" i="3"/>
  <c r="D228" i="3"/>
  <c r="C228" i="3"/>
  <c r="B228" i="3"/>
  <c r="D227" i="3"/>
  <c r="C227" i="3"/>
  <c r="B227" i="3"/>
  <c r="D226" i="3"/>
  <c r="C226" i="3"/>
  <c r="B226" i="3"/>
  <c r="A226" i="3"/>
  <c r="C224" i="3"/>
  <c r="B224" i="3"/>
  <c r="A222" i="3"/>
  <c r="B221" i="3"/>
  <c r="B203" i="3"/>
  <c r="AL199" i="3"/>
  <c r="AL198" i="3"/>
  <c r="AL197" i="3"/>
  <c r="AL196" i="3"/>
  <c r="AI196" i="3"/>
  <c r="AG193" i="3"/>
  <c r="AF193" i="3"/>
  <c r="AE193" i="3"/>
  <c r="AD191" i="3"/>
  <c r="B191" i="3"/>
  <c r="B189" i="3"/>
  <c r="AD187" i="3"/>
  <c r="B183" i="3"/>
  <c r="B181" i="3"/>
  <c r="A179" i="3"/>
  <c r="A178" i="3"/>
  <c r="A177" i="3"/>
  <c r="A176" i="3"/>
  <c r="A175" i="3"/>
  <c r="A174" i="3"/>
  <c r="A173" i="3"/>
  <c r="A172" i="3"/>
  <c r="A171" i="3"/>
  <c r="A170" i="3"/>
  <c r="AD162" i="3"/>
  <c r="AN162" i="3" s="1"/>
  <c r="AQ158" i="3"/>
  <c r="AQ159" i="3" s="1"/>
  <c r="AL158" i="3"/>
  <c r="AL159" i="3" s="1"/>
  <c r="AH158" i="3"/>
  <c r="AH159" i="3" s="1"/>
  <c r="AD158" i="3"/>
  <c r="AD159" i="3" s="1"/>
  <c r="AD156" i="3"/>
  <c r="AJ156" i="3" s="1"/>
  <c r="AD152" i="3"/>
  <c r="C7" i="3" s="1"/>
  <c r="B136" i="3"/>
  <c r="A136" i="3"/>
  <c r="B134" i="3"/>
  <c r="A134" i="3"/>
  <c r="B132" i="3"/>
  <c r="B130" i="3"/>
  <c r="B128" i="3"/>
  <c r="B126" i="3"/>
  <c r="AP124" i="3"/>
  <c r="B124" i="3"/>
  <c r="B122" i="3"/>
  <c r="B120" i="3"/>
  <c r="B118" i="3"/>
  <c r="B116" i="3"/>
  <c r="B114" i="3"/>
  <c r="B112" i="3"/>
  <c r="B110" i="3"/>
  <c r="B108" i="3"/>
  <c r="AO62" i="3"/>
  <c r="AD60" i="3" s="1"/>
  <c r="B63" i="3" s="1"/>
  <c r="AI54" i="3"/>
  <c r="B2163" i="3" s="1"/>
  <c r="AD54" i="3"/>
  <c r="B56" i="3" s="1"/>
  <c r="B33" i="3"/>
  <c r="B28" i="3"/>
  <c r="B25" i="3"/>
  <c r="B24" i="3"/>
  <c r="C22" i="3"/>
  <c r="B22" i="3" s="1"/>
  <c r="C21" i="3"/>
  <c r="B21" i="3" s="1"/>
  <c r="C20" i="3"/>
  <c r="B20" i="3" s="1"/>
  <c r="C18" i="3"/>
  <c r="B18" i="3" s="1"/>
  <c r="B14" i="3"/>
  <c r="C10" i="3"/>
  <c r="C8" i="3"/>
  <c r="AT2" i="3"/>
  <c r="AU1" i="3"/>
  <c r="AU2" i="3" s="1"/>
  <c r="AT1" i="3"/>
  <c r="AS1" i="3"/>
  <c r="AS2" i="3" s="1"/>
  <c r="AR1" i="3"/>
  <c r="AR2" i="3" s="1"/>
  <c r="AQ1" i="3"/>
  <c r="AQ2" i="3" s="1"/>
  <c r="BG2293" i="2"/>
  <c r="BH2293" i="2" s="1"/>
  <c r="BK2293" i="2" s="1"/>
  <c r="BG2292" i="2"/>
  <c r="BH2292" i="2" s="1"/>
  <c r="BG2291" i="2"/>
  <c r="BH2291" i="2" s="1"/>
  <c r="BG2290" i="2"/>
  <c r="BH2290" i="2" s="1"/>
  <c r="AI2290" i="2"/>
  <c r="BG2289" i="2"/>
  <c r="BH2289" i="2" s="1"/>
  <c r="AI2289" i="2"/>
  <c r="BG2288" i="2"/>
  <c r="BH2288" i="2" s="1"/>
  <c r="C2288" i="2"/>
  <c r="BG2287" i="2"/>
  <c r="BH2287" i="2" s="1"/>
  <c r="AI2287" i="2"/>
  <c r="BJ2286" i="2"/>
  <c r="BG2286" i="2"/>
  <c r="BH2286" i="2" s="1"/>
  <c r="BK2286" i="2" s="1"/>
  <c r="D2286" i="2"/>
  <c r="BG2285" i="2"/>
  <c r="BH2285" i="2" s="1"/>
  <c r="BK2285" i="2" s="1"/>
  <c r="AI2285" i="2"/>
  <c r="BG2284" i="2"/>
  <c r="BH2284" i="2" s="1"/>
  <c r="AI2284" i="2"/>
  <c r="BG2283" i="2"/>
  <c r="BH2283" i="2" s="1"/>
  <c r="BG2282" i="2"/>
  <c r="BH2282" i="2" s="1"/>
  <c r="BG2281" i="2"/>
  <c r="BH2281" i="2" s="1"/>
  <c r="BG2280" i="2"/>
  <c r="BH2280" i="2" s="1"/>
  <c r="BG2279" i="2"/>
  <c r="BH2279" i="2" s="1"/>
  <c r="BG2278" i="2"/>
  <c r="BH2278" i="2" s="1"/>
  <c r="AI2278" i="2"/>
  <c r="BG2277" i="2"/>
  <c r="BH2277" i="2" s="1"/>
  <c r="BI2277" i="2" s="1"/>
  <c r="AI2277" i="2"/>
  <c r="BH2276" i="2"/>
  <c r="BG2276" i="2"/>
  <c r="BG2275" i="2"/>
  <c r="BH2275" i="2" s="1"/>
  <c r="AI2275" i="2"/>
  <c r="BG2274" i="2"/>
  <c r="BH2274" i="2" s="1"/>
  <c r="BI2274" i="2" s="1"/>
  <c r="AI2274" i="2"/>
  <c r="D2274" i="2"/>
  <c r="D2290" i="2" s="1"/>
  <c r="BG2273" i="2"/>
  <c r="BH2273" i="2" s="1"/>
  <c r="BI2273" i="2" s="1"/>
  <c r="BG2272" i="2"/>
  <c r="BH2272" i="2" s="1"/>
  <c r="BK2272" i="2" s="1"/>
  <c r="AI2272" i="2"/>
  <c r="BG2271" i="2"/>
  <c r="BH2271" i="2" s="1"/>
  <c r="BK2271" i="2" s="1"/>
  <c r="AI2271" i="2"/>
  <c r="BG2270" i="2"/>
  <c r="BH2270" i="2" s="1"/>
  <c r="BI2270" i="2" s="1"/>
  <c r="BG2269" i="2"/>
  <c r="BH2269" i="2" s="1"/>
  <c r="BK2269" i="2" s="1"/>
  <c r="AI2269" i="2"/>
  <c r="BG2268" i="2"/>
  <c r="BH2268" i="2" s="1"/>
  <c r="AI2268" i="2"/>
  <c r="BG2267" i="2"/>
  <c r="BH2267" i="2" s="1"/>
  <c r="BI2267" i="2" s="1"/>
  <c r="C2267" i="2"/>
  <c r="BG2266" i="2"/>
  <c r="BH2266" i="2" s="1"/>
  <c r="BI2266" i="2" s="1"/>
  <c r="AI2266" i="2"/>
  <c r="D2266" i="2"/>
  <c r="BG2265" i="2"/>
  <c r="BH2265" i="2" s="1"/>
  <c r="BI2265" i="2" s="1"/>
  <c r="AI2265" i="2"/>
  <c r="BG2264" i="2"/>
  <c r="BH2264" i="2" s="1"/>
  <c r="AI2264" i="2"/>
  <c r="BG2263" i="2"/>
  <c r="BH2263" i="2" s="1"/>
  <c r="BK2263" i="2" s="1"/>
  <c r="AI2263" i="2"/>
  <c r="BG2262" i="2"/>
  <c r="BH2262" i="2" s="1"/>
  <c r="BG2261" i="2"/>
  <c r="BH2261" i="2" s="1"/>
  <c r="BI2261" i="2" s="1"/>
  <c r="AI2261" i="2"/>
  <c r="BG2260" i="2"/>
  <c r="BH2260" i="2" s="1"/>
  <c r="AI2260" i="2"/>
  <c r="D2260" i="2"/>
  <c r="BG2259" i="2"/>
  <c r="BH2259" i="2" s="1"/>
  <c r="BH2258" i="2"/>
  <c r="BK2258" i="2" s="1"/>
  <c r="BG2258" i="2"/>
  <c r="AI2258" i="2"/>
  <c r="AI2262" i="2" s="1"/>
  <c r="AI2267" i="2" s="1"/>
  <c r="AI2286" i="2" s="1"/>
  <c r="AI2288" i="2" s="1"/>
  <c r="AI2291" i="2" s="1"/>
  <c r="BG2257" i="2"/>
  <c r="BH2257" i="2" s="1"/>
  <c r="AI2257" i="2"/>
  <c r="C2257" i="2"/>
  <c r="BG2256" i="2"/>
  <c r="BH2256" i="2" s="1"/>
  <c r="AI2256" i="2"/>
  <c r="BH2255" i="2"/>
  <c r="BG2255" i="2"/>
  <c r="AI2255" i="2"/>
  <c r="BG2254" i="2"/>
  <c r="BH2254" i="2" s="1"/>
  <c r="BI2254" i="2" s="1"/>
  <c r="BG2253" i="2"/>
  <c r="BH2253" i="2" s="1"/>
  <c r="AI2253" i="2"/>
  <c r="BG2252" i="2"/>
  <c r="BH2252" i="2" s="1"/>
  <c r="BK2252" i="2" s="1"/>
  <c r="BG2251" i="2"/>
  <c r="BH2251" i="2" s="1"/>
  <c r="BI2251" i="2" s="1"/>
  <c r="AI2251" i="2"/>
  <c r="BG2250" i="2"/>
  <c r="BH2250" i="2" s="1"/>
  <c r="BG2249" i="2"/>
  <c r="BH2249" i="2" s="1"/>
  <c r="BG2248" i="2"/>
  <c r="BH2248" i="2" s="1"/>
  <c r="AI2248" i="2"/>
  <c r="C2248" i="2"/>
  <c r="BG2247" i="2"/>
  <c r="BH2247" i="2" s="1"/>
  <c r="BJ2247" i="2" s="1"/>
  <c r="AI2247" i="2"/>
  <c r="BG2246" i="2"/>
  <c r="BH2246" i="2" s="1"/>
  <c r="BJ2246" i="2" s="1"/>
  <c r="AI2246" i="2"/>
  <c r="C2246" i="2"/>
  <c r="BG2245" i="2"/>
  <c r="BH2245" i="2" s="1"/>
  <c r="BJ2245" i="2" s="1"/>
  <c r="BG2244" i="2"/>
  <c r="BH2244" i="2" s="1"/>
  <c r="BJ2244" i="2" s="1"/>
  <c r="BG2243" i="2"/>
  <c r="BH2243" i="2" s="1"/>
  <c r="BJ2243" i="2" s="1"/>
  <c r="BG2242" i="2"/>
  <c r="AI2242" i="2"/>
  <c r="D2228" i="2"/>
  <c r="B2228" i="2"/>
  <c r="D2227" i="2"/>
  <c r="C1088" i="2" s="1"/>
  <c r="B2227" i="2"/>
  <c r="D2226" i="2"/>
  <c r="B2226" i="2"/>
  <c r="D2225" i="2"/>
  <c r="B2225" i="2"/>
  <c r="D2224" i="2"/>
  <c r="B2224" i="2"/>
  <c r="D2223" i="2"/>
  <c r="C1076" i="2" s="1"/>
  <c r="B2223" i="2"/>
  <c r="D2222" i="2"/>
  <c r="B2222" i="2"/>
  <c r="D2221" i="2"/>
  <c r="B2221" i="2"/>
  <c r="AC2217" i="2"/>
  <c r="B2217" i="2"/>
  <c r="B2216" i="2"/>
  <c r="AC2216" i="2" s="1"/>
  <c r="B2215" i="2"/>
  <c r="B2214" i="2"/>
  <c r="CN2214" i="2" s="1"/>
  <c r="B2213" i="2"/>
  <c r="AC2213" i="2" s="1"/>
  <c r="B2212" i="2"/>
  <c r="AC2212" i="2" s="1"/>
  <c r="B2211" i="2"/>
  <c r="AC2211" i="2" s="1"/>
  <c r="B2210" i="2"/>
  <c r="CN2210" i="2" s="1"/>
  <c r="B2209" i="2"/>
  <c r="AC2209" i="2" s="1"/>
  <c r="B2208" i="2"/>
  <c r="AC2208" i="2" s="1"/>
  <c r="AC2207" i="2"/>
  <c r="B2207" i="2"/>
  <c r="B2206" i="2"/>
  <c r="AC2206" i="2" s="1"/>
  <c r="B2205" i="2"/>
  <c r="AC2205" i="2" s="1"/>
  <c r="B2204" i="2"/>
  <c r="AC2204" i="2" s="1"/>
  <c r="B2203" i="2"/>
  <c r="AC2203" i="2" s="1"/>
  <c r="B2202" i="2"/>
  <c r="AC2202" i="2" s="1"/>
  <c r="B2201" i="2"/>
  <c r="AC2201" i="2" s="1"/>
  <c r="B2200" i="2"/>
  <c r="AC2200" i="2" s="1"/>
  <c r="B2199" i="2"/>
  <c r="CN2199" i="2" s="1"/>
  <c r="B2198" i="2"/>
  <c r="CN2198" i="2" s="1"/>
  <c r="B2197" i="2"/>
  <c r="AC2197" i="2" s="1"/>
  <c r="B2196" i="2"/>
  <c r="CN2196" i="2" s="1"/>
  <c r="B2195" i="2"/>
  <c r="CN2195" i="2" s="1"/>
  <c r="B2194" i="2"/>
  <c r="AC2194" i="2" s="1"/>
  <c r="B2193" i="2"/>
  <c r="B2192" i="2"/>
  <c r="AC2192" i="2" s="1"/>
  <c r="B2191" i="2"/>
  <c r="AC2191" i="2" s="1"/>
  <c r="B2190" i="2"/>
  <c r="AC2190" i="2" s="1"/>
  <c r="B2189" i="2"/>
  <c r="B2188" i="2"/>
  <c r="CN2188" i="2" s="1"/>
  <c r="CN2187" i="2"/>
  <c r="B2187" i="2"/>
  <c r="B2186" i="2"/>
  <c r="AC2186" i="2" s="1"/>
  <c r="AC2185" i="2"/>
  <c r="B2185" i="2"/>
  <c r="B2184" i="2"/>
  <c r="AC2184" i="2" s="1"/>
  <c r="B2183" i="2"/>
  <c r="CN2183" i="2" s="1"/>
  <c r="B2182" i="2"/>
  <c r="AC2182" i="2" s="1"/>
  <c r="B2181" i="2"/>
  <c r="AC2181" i="2" s="1"/>
  <c r="B2180" i="2"/>
  <c r="AC2180" i="2" s="1"/>
  <c r="AC2179" i="2"/>
  <c r="B2179" i="2"/>
  <c r="B2178" i="2"/>
  <c r="AC2178" i="2" s="1"/>
  <c r="AC2177" i="2"/>
  <c r="B2177" i="2"/>
  <c r="B2176" i="2"/>
  <c r="AC2176" i="2" s="1"/>
  <c r="AC2175" i="2"/>
  <c r="B2174" i="2"/>
  <c r="AC2174" i="2" s="1"/>
  <c r="B2173" i="2"/>
  <c r="AC2173" i="2" s="1"/>
  <c r="B2172" i="2"/>
  <c r="CN2172" i="2" s="1"/>
  <c r="B2171" i="2"/>
  <c r="CN2171" i="2" s="1"/>
  <c r="B2170" i="2"/>
  <c r="AC2170" i="2" s="1"/>
  <c r="B2169" i="2"/>
  <c r="AC2169" i="2" s="1"/>
  <c r="B2168" i="2"/>
  <c r="AC2168" i="2" s="1"/>
  <c r="B2167" i="2"/>
  <c r="AC2167" i="2" s="1"/>
  <c r="C2161" i="2"/>
  <c r="B2161" i="2"/>
  <c r="AM2160" i="2"/>
  <c r="D2048" i="2"/>
  <c r="C2048" i="2"/>
  <c r="D2047" i="2"/>
  <c r="D2046" i="2"/>
  <c r="D2045" i="2"/>
  <c r="D2044" i="2"/>
  <c r="D2043" i="2"/>
  <c r="AG1972" i="2"/>
  <c r="AF1972" i="2"/>
  <c r="AE1972" i="2"/>
  <c r="AD1972" i="2"/>
  <c r="AC1972" i="2"/>
  <c r="D1951" i="2"/>
  <c r="D1950" i="2"/>
  <c r="B1978" i="2" s="1"/>
  <c r="D1949" i="2"/>
  <c r="B1971" i="2" s="1"/>
  <c r="D1948" i="2"/>
  <c r="B1967" i="2" s="1"/>
  <c r="D1947" i="2"/>
  <c r="B1962" i="2" s="1"/>
  <c r="D1946" i="2"/>
  <c r="B1957" i="2" s="1"/>
  <c r="D1945" i="2"/>
  <c r="B1952" i="2" s="1"/>
  <c r="AH1896" i="2"/>
  <c r="AG1896" i="2"/>
  <c r="AG430" i="2" s="1"/>
  <c r="AF1896" i="2"/>
  <c r="AF420" i="2" s="1"/>
  <c r="AE1896" i="2"/>
  <c r="AD1896" i="2"/>
  <c r="AC1896" i="2"/>
  <c r="AC430" i="2" s="1"/>
  <c r="E1882" i="2"/>
  <c r="AL542" i="2" s="1"/>
  <c r="AE1881" i="2"/>
  <c r="AE1880" i="2" s="1"/>
  <c r="AE1879" i="2" s="1"/>
  <c r="AE1878" i="2" s="1"/>
  <c r="AE1877" i="2" s="1"/>
  <c r="AD1881" i="2"/>
  <c r="AC1881" i="2"/>
  <c r="E1881" i="2" s="1"/>
  <c r="AK712" i="2" s="1"/>
  <c r="AB1881" i="2"/>
  <c r="AB1880" i="2" s="1"/>
  <c r="AB1879" i="2" s="1"/>
  <c r="AB1878" i="2" s="1"/>
  <c r="AB1877" i="2" s="1"/>
  <c r="G1881" i="2"/>
  <c r="G1880" i="2" s="1"/>
  <c r="G1879" i="2" s="1"/>
  <c r="G1878" i="2" s="1"/>
  <c r="G1877" i="2" s="1"/>
  <c r="AD1880" i="2"/>
  <c r="AD1879" i="2" s="1"/>
  <c r="AD1878" i="2" s="1"/>
  <c r="AD1877" i="2" s="1"/>
  <c r="AC1880" i="2"/>
  <c r="AC1879" i="2" s="1"/>
  <c r="D1801" i="2"/>
  <c r="B1800" i="2"/>
  <c r="BB1641" i="2"/>
  <c r="BB1640" i="2"/>
  <c r="BH1640" i="2" s="1"/>
  <c r="AH1640" i="2"/>
  <c r="AM1640" i="2" s="1"/>
  <c r="B1640" i="2" s="1"/>
  <c r="BB1638" i="2"/>
  <c r="BB1637" i="2" s="1"/>
  <c r="BH1637" i="2" s="1"/>
  <c r="AH1637" i="2"/>
  <c r="AM1637" i="2" s="1"/>
  <c r="B1637" i="2" s="1"/>
  <c r="BB1635" i="2"/>
  <c r="BB1634" i="2" s="1"/>
  <c r="BH1634" i="2" s="1"/>
  <c r="AH1634" i="2"/>
  <c r="AM1634" i="2" s="1"/>
  <c r="B1634" i="2" s="1"/>
  <c r="BD1632" i="2"/>
  <c r="BD1631" i="2" s="1"/>
  <c r="BJ1631" i="2" s="1"/>
  <c r="BB1632" i="2"/>
  <c r="BB1631" i="2" s="1"/>
  <c r="BH1631" i="2" s="1"/>
  <c r="AJ1631" i="2"/>
  <c r="AH1631" i="2"/>
  <c r="BB1629" i="2"/>
  <c r="BB1628" i="2" s="1"/>
  <c r="BH1628" i="2" s="1"/>
  <c r="AH1628" i="2"/>
  <c r="AM1628" i="2" s="1"/>
  <c r="B1628" i="2" s="1"/>
  <c r="BD1626" i="2"/>
  <c r="BD1625" i="2" s="1"/>
  <c r="BJ1625" i="2" s="1"/>
  <c r="BB1626" i="2"/>
  <c r="BB1625" i="2"/>
  <c r="BH1625" i="2" s="1"/>
  <c r="AM1625" i="2"/>
  <c r="B1625" i="2" s="1"/>
  <c r="AJ1625" i="2"/>
  <c r="AH1625" i="2"/>
  <c r="BB1623" i="2"/>
  <c r="BB1622" i="2" s="1"/>
  <c r="BH1622" i="2" s="1"/>
  <c r="AM1622" i="2"/>
  <c r="B1622" i="2" s="1"/>
  <c r="AH1622" i="2"/>
  <c r="BD1620" i="2"/>
  <c r="BD1619" i="2" s="1"/>
  <c r="BB1620" i="2"/>
  <c r="BB1619" i="2" s="1"/>
  <c r="BH1619" i="2" s="1"/>
  <c r="AJ1619" i="2"/>
  <c r="AH1619" i="2"/>
  <c r="BD1617" i="2"/>
  <c r="BD1616" i="2" s="1"/>
  <c r="BB1617" i="2"/>
  <c r="BB1616" i="2" s="1"/>
  <c r="BH1616" i="2" s="1"/>
  <c r="AJ1616" i="2"/>
  <c r="AH1616" i="2"/>
  <c r="BB1614" i="2"/>
  <c r="BB1613" i="2" s="1"/>
  <c r="BH1613" i="2" s="1"/>
  <c r="AH1613" i="2"/>
  <c r="AM1613" i="2" s="1"/>
  <c r="B1613" i="2" s="1"/>
  <c r="BD1611" i="2"/>
  <c r="BB1611" i="2"/>
  <c r="BB1610" i="2" s="1"/>
  <c r="BH1610" i="2" s="1"/>
  <c r="AJ1610" i="2"/>
  <c r="AH1610" i="2"/>
  <c r="AM1610" i="2" s="1"/>
  <c r="B1610" i="2" s="1"/>
  <c r="BD1608" i="2"/>
  <c r="BD1607" i="2" s="1"/>
  <c r="BJ1607" i="2" s="1"/>
  <c r="BB1608" i="2"/>
  <c r="BB1607" i="2" s="1"/>
  <c r="BH1607" i="2" s="1"/>
  <c r="AJ1607" i="2"/>
  <c r="AH1607" i="2"/>
  <c r="AM1607" i="2" s="1"/>
  <c r="B1607" i="2" s="1"/>
  <c r="AR1605" i="2"/>
  <c r="AC1600" i="2" s="1"/>
  <c r="C1603" i="2" s="1"/>
  <c r="AL1605" i="2"/>
  <c r="AL1604" i="2"/>
  <c r="AR1604" i="2" s="1"/>
  <c r="AL1603" i="2"/>
  <c r="AR1603" i="2" s="1"/>
  <c r="AR1602" i="2"/>
  <c r="AL1602" i="2"/>
  <c r="AL1601" i="2"/>
  <c r="AR1601" i="2" s="1"/>
  <c r="AX1600" i="2"/>
  <c r="AR1610" i="2" s="1"/>
  <c r="B1581" i="2"/>
  <c r="AO1580" i="2"/>
  <c r="D1580" i="2"/>
  <c r="B1580" i="2"/>
  <c r="B1575" i="2"/>
  <c r="AO1574" i="2"/>
  <c r="D1574" i="2" s="1"/>
  <c r="B1574" i="2"/>
  <c r="B1569" i="2"/>
  <c r="AO1568" i="2"/>
  <c r="D1568" i="2" s="1"/>
  <c r="B1568" i="2"/>
  <c r="B1563" i="2"/>
  <c r="AO1562" i="2"/>
  <c r="D1562" i="2" s="1"/>
  <c r="B1562" i="2"/>
  <c r="B1557" i="2"/>
  <c r="AO1556" i="2"/>
  <c r="D1556" i="2" s="1"/>
  <c r="B1556" i="2"/>
  <c r="AE1539" i="2"/>
  <c r="AD1539" i="2"/>
  <c r="AC1539" i="2"/>
  <c r="AD1538" i="2"/>
  <c r="AD1537" i="2"/>
  <c r="AD1536" i="2"/>
  <c r="AD1535" i="2"/>
  <c r="AD1534" i="2"/>
  <c r="AQ1533" i="2"/>
  <c r="AI1533" i="2" s="1"/>
  <c r="C1532" i="2"/>
  <c r="AE1529" i="2"/>
  <c r="AD1529" i="2"/>
  <c r="AC1529" i="2"/>
  <c r="AD1528" i="2"/>
  <c r="AD1527" i="2"/>
  <c r="AD1526" i="2"/>
  <c r="AD1525" i="2"/>
  <c r="AD1524" i="2"/>
  <c r="AQ1523" i="2"/>
  <c r="AI1523" i="2" s="1"/>
  <c r="C1522" i="2"/>
  <c r="AE1519" i="2"/>
  <c r="AD1519" i="2"/>
  <c r="AC1519" i="2"/>
  <c r="AD1518" i="2"/>
  <c r="AD1517" i="2"/>
  <c r="AD1516" i="2"/>
  <c r="BZ1515" i="2"/>
  <c r="CB1515" i="2" s="1"/>
  <c r="AD1515" i="2"/>
  <c r="BZ1514" i="2"/>
  <c r="CB1514" i="2" s="1"/>
  <c r="AD1514" i="2"/>
  <c r="CB1513" i="2"/>
  <c r="AQ1513" i="2"/>
  <c r="AI1513" i="2" s="1"/>
  <c r="C1512" i="2"/>
  <c r="AE1509" i="2"/>
  <c r="AD1509" i="2"/>
  <c r="AC1509" i="2"/>
  <c r="AD1508" i="2"/>
  <c r="AD1507" i="2"/>
  <c r="AD1506" i="2"/>
  <c r="AD1505" i="2"/>
  <c r="AD1504" i="2"/>
  <c r="AQ1503" i="2"/>
  <c r="AI1503" i="2" s="1"/>
  <c r="C1502" i="2"/>
  <c r="AE1499" i="2"/>
  <c r="AD1499" i="2"/>
  <c r="AC1499" i="2"/>
  <c r="AD1498" i="2"/>
  <c r="BF1497" i="2"/>
  <c r="AD1497" i="2"/>
  <c r="BF1496" i="2"/>
  <c r="AD1496" i="2"/>
  <c r="BF1495" i="2"/>
  <c r="AD1495" i="2"/>
  <c r="BJ1494" i="2"/>
  <c r="BH1494" i="2"/>
  <c r="BF1494" i="2"/>
  <c r="AD1494" i="2"/>
  <c r="BJ1493" i="2"/>
  <c r="BH1493" i="2"/>
  <c r="AQ1493" i="2"/>
  <c r="AI1493" i="2" s="1"/>
  <c r="BJ1492" i="2"/>
  <c r="BH1492" i="2"/>
  <c r="BF1492" i="2"/>
  <c r="BJ1491" i="2"/>
  <c r="BH1491" i="2"/>
  <c r="BF1491" i="2"/>
  <c r="BJ1490" i="2"/>
  <c r="BH1490" i="2"/>
  <c r="BF1490" i="2"/>
  <c r="BJ1489" i="2"/>
  <c r="BH1489" i="2"/>
  <c r="BF1489" i="2"/>
  <c r="AE1489" i="2"/>
  <c r="AD1489" i="2"/>
  <c r="AC1489" i="2"/>
  <c r="BJ1488" i="2"/>
  <c r="BH1488" i="2"/>
  <c r="AD1488" i="2"/>
  <c r="BJ1487" i="2"/>
  <c r="BH1487" i="2"/>
  <c r="BF1487" i="2"/>
  <c r="AD1487" i="2"/>
  <c r="BJ1486" i="2"/>
  <c r="BH1486" i="2"/>
  <c r="BF1486" i="2"/>
  <c r="AD1486" i="2"/>
  <c r="CG1485" i="2"/>
  <c r="CD1485" i="2"/>
  <c r="CE1485" i="2" s="1"/>
  <c r="BZ1485" i="2"/>
  <c r="BJ1485" i="2"/>
  <c r="BH1485" i="2"/>
  <c r="BF1485" i="2"/>
  <c r="AD1485" i="2"/>
  <c r="CD1484" i="2"/>
  <c r="CE1484" i="2" s="1"/>
  <c r="CB1484" i="2" s="1"/>
  <c r="BZ1484" i="2"/>
  <c r="BJ1484" i="2"/>
  <c r="BH1484" i="2"/>
  <c r="AD1484" i="2"/>
  <c r="CI1483" i="2"/>
  <c r="AE1501" i="2" s="1"/>
  <c r="BJ1483" i="2"/>
  <c r="BF1484" i="2" s="1"/>
  <c r="BH1483" i="2" s="1"/>
  <c r="AQ1483" i="2"/>
  <c r="AI1483" i="2" s="1"/>
  <c r="D1435" i="2"/>
  <c r="AH1435" i="2" s="1"/>
  <c r="C1435" i="2"/>
  <c r="AC1432" i="2"/>
  <c r="D1431" i="2"/>
  <c r="AH1431" i="2" s="1"/>
  <c r="C1431" i="2"/>
  <c r="AC1431" i="2" s="1"/>
  <c r="D1425" i="2"/>
  <c r="AH1425" i="2" s="1"/>
  <c r="C1425" i="2"/>
  <c r="AC1422" i="2"/>
  <c r="D1421" i="2"/>
  <c r="AH1421" i="2" s="1"/>
  <c r="C1421" i="2"/>
  <c r="D1415" i="2"/>
  <c r="AH1415" i="2" s="1"/>
  <c r="C1415" i="2"/>
  <c r="AC1412" i="2"/>
  <c r="D1411" i="2"/>
  <c r="AH1411" i="2" s="1"/>
  <c r="C1411" i="2"/>
  <c r="D1405" i="2"/>
  <c r="AH1405" i="2" s="1"/>
  <c r="C1405" i="2"/>
  <c r="AC1402" i="2"/>
  <c r="D1401" i="2"/>
  <c r="AH1401" i="2" s="1"/>
  <c r="C1401" i="2"/>
  <c r="AC1401" i="2" s="1"/>
  <c r="D1395" i="2"/>
  <c r="AH1395" i="2" s="1"/>
  <c r="C1395" i="2"/>
  <c r="AC1392" i="2"/>
  <c r="D1391" i="2"/>
  <c r="AH1391" i="2" s="1"/>
  <c r="C1391" i="2"/>
  <c r="AC1391" i="2" s="1"/>
  <c r="D1385" i="2"/>
  <c r="AH1385" i="2" s="1"/>
  <c r="C1385" i="2"/>
  <c r="AC1382" i="2"/>
  <c r="D1381" i="2"/>
  <c r="AH1381" i="2" s="1"/>
  <c r="C1381" i="2"/>
  <c r="D1375" i="2"/>
  <c r="AH1375" i="2" s="1"/>
  <c r="C1375" i="2"/>
  <c r="AC1372" i="2"/>
  <c r="D1371" i="2"/>
  <c r="AH1371" i="2" s="1"/>
  <c r="C1371" i="2"/>
  <c r="D1365" i="2"/>
  <c r="AH1365" i="2" s="1"/>
  <c r="C1365" i="2"/>
  <c r="AC1362" i="2"/>
  <c r="D1361" i="2"/>
  <c r="AH1361" i="2" s="1"/>
  <c r="C1361" i="2"/>
  <c r="AC1361" i="2" s="1"/>
  <c r="D1355" i="2"/>
  <c r="AH1355" i="2" s="1"/>
  <c r="C1355" i="2"/>
  <c r="AC1352" i="2"/>
  <c r="D1351" i="2"/>
  <c r="AH1351" i="2" s="1"/>
  <c r="C1351" i="2"/>
  <c r="AC1351" i="2" s="1"/>
  <c r="D1345" i="2"/>
  <c r="AH1345" i="2" s="1"/>
  <c r="C1345" i="2"/>
  <c r="AC1342" i="2"/>
  <c r="D1341" i="2"/>
  <c r="AH1341" i="2" s="1"/>
  <c r="C1341" i="2"/>
  <c r="D1335" i="2"/>
  <c r="AH1335" i="2" s="1"/>
  <c r="C1335" i="2"/>
  <c r="AC1332" i="2"/>
  <c r="D1331" i="2"/>
  <c r="AH1331" i="2" s="1"/>
  <c r="C1331" i="2"/>
  <c r="AC1331" i="2" s="1"/>
  <c r="D1325" i="2"/>
  <c r="AH1325" i="2" s="1"/>
  <c r="C1325" i="2"/>
  <c r="AC1322" i="2"/>
  <c r="D1321" i="2"/>
  <c r="AH1321" i="2" s="1"/>
  <c r="C1321" i="2"/>
  <c r="AC1321" i="2" s="1"/>
  <c r="D1315" i="2"/>
  <c r="AH1315" i="2" s="1"/>
  <c r="C1315" i="2"/>
  <c r="AC1312" i="2"/>
  <c r="D1311" i="2"/>
  <c r="AH1311" i="2" s="1"/>
  <c r="C1311" i="2"/>
  <c r="AC1311" i="2" s="1"/>
  <c r="D1305" i="2"/>
  <c r="AH1305" i="2" s="1"/>
  <c r="C1305" i="2"/>
  <c r="AC1302" i="2"/>
  <c r="D1301" i="2"/>
  <c r="AH1301" i="2" s="1"/>
  <c r="C1301" i="2"/>
  <c r="D1295" i="2"/>
  <c r="AH1295" i="2" s="1"/>
  <c r="C1295" i="2"/>
  <c r="AC1292" i="2"/>
  <c r="D1291" i="2"/>
  <c r="AH1291" i="2" s="1"/>
  <c r="C1291" i="2"/>
  <c r="AC1291" i="2" s="1"/>
  <c r="D1285" i="2"/>
  <c r="AH1285" i="2" s="1"/>
  <c r="C1285" i="2"/>
  <c r="AC1282" i="2"/>
  <c r="D1281" i="2"/>
  <c r="AH1281" i="2" s="1"/>
  <c r="C1281" i="2"/>
  <c r="AC1281" i="2" s="1"/>
  <c r="D1275" i="2"/>
  <c r="AH1275" i="2" s="1"/>
  <c r="C1275" i="2"/>
  <c r="AC1272" i="2"/>
  <c r="D1271" i="2"/>
  <c r="AH1271" i="2" s="1"/>
  <c r="C1271" i="2"/>
  <c r="D1265" i="2"/>
  <c r="AH1265" i="2" s="1"/>
  <c r="C1265" i="2"/>
  <c r="AC1262" i="2"/>
  <c r="D1261" i="2"/>
  <c r="AH1261" i="2" s="1"/>
  <c r="C1261" i="2"/>
  <c r="AC1261" i="2" s="1"/>
  <c r="D1255" i="2"/>
  <c r="AH1255" i="2" s="1"/>
  <c r="C1255" i="2"/>
  <c r="AC1252" i="2"/>
  <c r="D1251" i="2"/>
  <c r="AH1251" i="2" s="1"/>
  <c r="C1251" i="2"/>
  <c r="AC1251" i="2" s="1"/>
  <c r="D1245" i="2"/>
  <c r="AH1245" i="2" s="1"/>
  <c r="C1245" i="2"/>
  <c r="AC1242" i="2"/>
  <c r="D1241" i="2"/>
  <c r="AH1241" i="2" s="1"/>
  <c r="C1241" i="2"/>
  <c r="D1235" i="2"/>
  <c r="AH1235" i="2" s="1"/>
  <c r="C1235" i="2"/>
  <c r="AC1232" i="2"/>
  <c r="D1231" i="2"/>
  <c r="AH1231" i="2" s="1"/>
  <c r="C1231" i="2"/>
  <c r="AC1231" i="2" s="1"/>
  <c r="D1225" i="2"/>
  <c r="AH1225" i="2" s="1"/>
  <c r="C1225" i="2"/>
  <c r="AC1222" i="2"/>
  <c r="D1221" i="2"/>
  <c r="AH1221" i="2" s="1"/>
  <c r="C1221" i="2"/>
  <c r="AC1221" i="2" s="1"/>
  <c r="D1215" i="2"/>
  <c r="AH1215" i="2" s="1"/>
  <c r="C1215" i="2"/>
  <c r="AS1213" i="2"/>
  <c r="D1213" i="2" s="1"/>
  <c r="AC1212" i="2"/>
  <c r="D1211" i="2"/>
  <c r="AH1211" i="2" s="1"/>
  <c r="C1211" i="2"/>
  <c r="AC1211" i="2" s="1"/>
  <c r="AX1205" i="2"/>
  <c r="AS1204" i="2" s="1"/>
  <c r="D1205" i="2"/>
  <c r="AH1205" i="2" s="1"/>
  <c r="C1205" i="2"/>
  <c r="BN1196" i="2" s="1"/>
  <c r="D1203" i="2"/>
  <c r="AC1202" i="2"/>
  <c r="D1201" i="2"/>
  <c r="AH1201" i="2" s="1"/>
  <c r="C1201" i="2"/>
  <c r="AC1199" i="2"/>
  <c r="AF1199" i="2" s="1"/>
  <c r="AJ1197" i="2"/>
  <c r="B1197" i="2"/>
  <c r="C1091" i="2"/>
  <c r="C1085" i="2"/>
  <c r="C1083" i="2"/>
  <c r="C1080" i="2"/>
  <c r="C1068" i="2"/>
  <c r="C1066" i="2"/>
  <c r="D1065" i="2"/>
  <c r="AC1063" i="2"/>
  <c r="AI1063" i="2" s="1"/>
  <c r="B1063" i="2" s="1"/>
  <c r="D1049" i="2"/>
  <c r="D1052" i="2" s="1"/>
  <c r="AG1038" i="2"/>
  <c r="C1026" i="2"/>
  <c r="C1021" i="2"/>
  <c r="AF1024" i="2" s="1"/>
  <c r="C1016" i="2"/>
  <c r="AF1019" i="2" s="1"/>
  <c r="C1011" i="2"/>
  <c r="AF1014" i="2" s="1"/>
  <c r="AF1007" i="2"/>
  <c r="C1006" i="2"/>
  <c r="AF1009" i="2" s="1"/>
  <c r="C1001" i="2"/>
  <c r="AF1004" i="2" s="1"/>
  <c r="C996" i="2"/>
  <c r="C991" i="2"/>
  <c r="AF994" i="2" s="1"/>
  <c r="C986" i="2"/>
  <c r="AF989" i="2" s="1"/>
  <c r="C981" i="2"/>
  <c r="AF984" i="2" s="1"/>
  <c r="C976" i="2"/>
  <c r="AF979" i="2" s="1"/>
  <c r="C971" i="2"/>
  <c r="AF973" i="2" s="1"/>
  <c r="C966" i="2"/>
  <c r="C961" i="2"/>
  <c r="AF964" i="2" s="1"/>
  <c r="C956" i="2"/>
  <c r="AF959" i="2" s="1"/>
  <c r="C951" i="2"/>
  <c r="AF954" i="2" s="1"/>
  <c r="C946" i="2"/>
  <c r="AF947" i="2" s="1"/>
  <c r="C941" i="2"/>
  <c r="C936" i="2"/>
  <c r="AF940" i="2" s="1"/>
  <c r="C931" i="2"/>
  <c r="AF933" i="2" s="1"/>
  <c r="C926" i="2"/>
  <c r="AF930" i="2" s="1"/>
  <c r="D925" i="2"/>
  <c r="B923" i="2"/>
  <c r="AD914" i="2"/>
  <c r="AC914" i="2"/>
  <c r="AC913" i="2"/>
  <c r="AD890" i="2"/>
  <c r="AF886" i="2"/>
  <c r="AF909" i="2" s="1"/>
  <c r="AE886" i="2"/>
  <c r="AE908" i="2" s="1"/>
  <c r="AD886" i="2"/>
  <c r="AD909" i="2" s="1"/>
  <c r="AC886" i="2"/>
  <c r="AC906" i="2" s="1"/>
  <c r="B871" i="2"/>
  <c r="B33" i="2" s="1"/>
  <c r="B862" i="2"/>
  <c r="AR858" i="2"/>
  <c r="C858" i="2"/>
  <c r="B25" i="2" s="1"/>
  <c r="AR857" i="2"/>
  <c r="C857" i="2"/>
  <c r="AR856" i="2"/>
  <c r="C856" i="2"/>
  <c r="C23" i="2" s="1"/>
  <c r="B23" i="2" s="1"/>
  <c r="AR855" i="2"/>
  <c r="C855" i="2"/>
  <c r="AR854" i="2"/>
  <c r="C854" i="2"/>
  <c r="C21" i="2" s="1"/>
  <c r="B21" i="2" s="1"/>
  <c r="AR853" i="2"/>
  <c r="C853" i="2"/>
  <c r="AR852" i="2"/>
  <c r="C852" i="2"/>
  <c r="C19" i="2" s="1"/>
  <c r="B19" i="2" s="1"/>
  <c r="AR851" i="2"/>
  <c r="C851" i="2"/>
  <c r="AR850" i="2"/>
  <c r="AR849" i="2"/>
  <c r="B845" i="2"/>
  <c r="AK827" i="2"/>
  <c r="BA835" i="2" s="1"/>
  <c r="AD827" i="2"/>
  <c r="AE827" i="2" s="1"/>
  <c r="AF827" i="2" s="1"/>
  <c r="AG827" i="2" s="1"/>
  <c r="AH827" i="2" s="1"/>
  <c r="AI827" i="2" s="1"/>
  <c r="AI826" i="2"/>
  <c r="AI832" i="2" s="1"/>
  <c r="AH826" i="2"/>
  <c r="AH833" i="2" s="1"/>
  <c r="AG826" i="2"/>
  <c r="AG832" i="2" s="1"/>
  <c r="AF826" i="2"/>
  <c r="AF832" i="2" s="1"/>
  <c r="AE826" i="2"/>
  <c r="AE833" i="2" s="1"/>
  <c r="AD826" i="2"/>
  <c r="AD833" i="2" s="1"/>
  <c r="AC826" i="2"/>
  <c r="AC832" i="2" s="1"/>
  <c r="AD821" i="2"/>
  <c r="AD819" i="2"/>
  <c r="AD817" i="2"/>
  <c r="AE817" i="2" s="1"/>
  <c r="AF817" i="2" s="1"/>
  <c r="AG816" i="2"/>
  <c r="AG823" i="2" s="1"/>
  <c r="AF816" i="2"/>
  <c r="AF820" i="2" s="1"/>
  <c r="AE816" i="2"/>
  <c r="AE823" i="2" s="1"/>
  <c r="AD816" i="2"/>
  <c r="AD822" i="2" s="1"/>
  <c r="AC816" i="2"/>
  <c r="AC823" i="2" s="1"/>
  <c r="AS808" i="2"/>
  <c r="AS805" i="2"/>
  <c r="BI800" i="2"/>
  <c r="BJ800" i="2" s="1"/>
  <c r="BI801" i="2" s="1"/>
  <c r="BJ801" i="2" s="1"/>
  <c r="AS799" i="2"/>
  <c r="BD799" i="2" s="1"/>
  <c r="BF799" i="2" s="1"/>
  <c r="BJ798" i="2"/>
  <c r="BI798" i="2"/>
  <c r="AS798" i="2"/>
  <c r="AS797" i="2"/>
  <c r="AP795" i="2"/>
  <c r="AP808" i="2" s="1"/>
  <c r="AO795" i="2"/>
  <c r="AO803" i="2" s="1"/>
  <c r="AN795" i="2"/>
  <c r="AM795" i="2"/>
  <c r="AM806" i="2" s="1"/>
  <c r="AL795" i="2"/>
  <c r="AL808" i="2" s="1"/>
  <c r="AK795" i="2"/>
  <c r="AK803" i="2" s="1"/>
  <c r="AJ795" i="2"/>
  <c r="AJ802" i="2" s="1"/>
  <c r="AI795" i="2"/>
  <c r="AI806" i="2" s="1"/>
  <c r="AF795" i="2"/>
  <c r="AF803" i="2" s="1"/>
  <c r="AE795" i="2"/>
  <c r="AD795" i="2"/>
  <c r="AD807" i="2" s="1"/>
  <c r="AC795" i="2"/>
  <c r="AC808" i="2" s="1"/>
  <c r="AJ794" i="2"/>
  <c r="AK794" i="2" s="1"/>
  <c r="AL794" i="2" s="1"/>
  <c r="AM794" i="2" s="1"/>
  <c r="AN794" i="2" s="1"/>
  <c r="AO794" i="2" s="1"/>
  <c r="AP794" i="2" s="1"/>
  <c r="AD794" i="2"/>
  <c r="AE794" i="2" s="1"/>
  <c r="AF794" i="2" s="1"/>
  <c r="AI789" i="2"/>
  <c r="AH789" i="2"/>
  <c r="AG789" i="2"/>
  <c r="AE789" i="2"/>
  <c r="AD789" i="2"/>
  <c r="AC789" i="2"/>
  <c r="AI788" i="2"/>
  <c r="AH788" i="2"/>
  <c r="AG788" i="2"/>
  <c r="AE788" i="2"/>
  <c r="AD788" i="2"/>
  <c r="AC788" i="2"/>
  <c r="AI787" i="2"/>
  <c r="AH787" i="2"/>
  <c r="AG787" i="2"/>
  <c r="AE787" i="2"/>
  <c r="AD787" i="2"/>
  <c r="AC787" i="2"/>
  <c r="AI786" i="2"/>
  <c r="AH786" i="2"/>
  <c r="AG786" i="2"/>
  <c r="AE786" i="2"/>
  <c r="AD786" i="2"/>
  <c r="AC786" i="2"/>
  <c r="AS785" i="2"/>
  <c r="AI785" i="2"/>
  <c r="AH785" i="2"/>
  <c r="AG785" i="2"/>
  <c r="AE785" i="2"/>
  <c r="AD785" i="2"/>
  <c r="AC785" i="2"/>
  <c r="AI784" i="2"/>
  <c r="AH784" i="2"/>
  <c r="AG784" i="2"/>
  <c r="AE784" i="2"/>
  <c r="AD784" i="2"/>
  <c r="AC784" i="2"/>
  <c r="AI783" i="2"/>
  <c r="AH783" i="2"/>
  <c r="AG783" i="2"/>
  <c r="AE783" i="2"/>
  <c r="AD783" i="2"/>
  <c r="AC783" i="2"/>
  <c r="AI782" i="2"/>
  <c r="AH782" i="2"/>
  <c r="AG782" i="2"/>
  <c r="AE782" i="2"/>
  <c r="AD782" i="2"/>
  <c r="AC782" i="2"/>
  <c r="AI781" i="2"/>
  <c r="AH781" i="2"/>
  <c r="AG781" i="2"/>
  <c r="AE781" i="2"/>
  <c r="AD781" i="2"/>
  <c r="AC781" i="2"/>
  <c r="AI780" i="2"/>
  <c r="AH780" i="2"/>
  <c r="AG780" i="2"/>
  <c r="AE780" i="2"/>
  <c r="AD780" i="2"/>
  <c r="AC780" i="2"/>
  <c r="AI779" i="2"/>
  <c r="AH779" i="2"/>
  <c r="AG779" i="2"/>
  <c r="AE779" i="2"/>
  <c r="AD779" i="2"/>
  <c r="AC779" i="2"/>
  <c r="AI778" i="2"/>
  <c r="AH778" i="2"/>
  <c r="AG778" i="2"/>
  <c r="AE778" i="2"/>
  <c r="AD778" i="2"/>
  <c r="AC778" i="2"/>
  <c r="AI777" i="2"/>
  <c r="AH777" i="2"/>
  <c r="AG777" i="2"/>
  <c r="AE777" i="2"/>
  <c r="AD777" i="2"/>
  <c r="AC777" i="2"/>
  <c r="AI776" i="2"/>
  <c r="AH776" i="2"/>
  <c r="AG776" i="2"/>
  <c r="AE776" i="2"/>
  <c r="AD776" i="2"/>
  <c r="AC776" i="2"/>
  <c r="AI775" i="2"/>
  <c r="AH775" i="2"/>
  <c r="AG775" i="2"/>
  <c r="AE775" i="2"/>
  <c r="AD775" i="2"/>
  <c r="AC775" i="2"/>
  <c r="AI774" i="2"/>
  <c r="AH774" i="2"/>
  <c r="AG774" i="2"/>
  <c r="AE774" i="2"/>
  <c r="AD774" i="2"/>
  <c r="AC774" i="2"/>
  <c r="AI773" i="2"/>
  <c r="AH773" i="2"/>
  <c r="AG773" i="2"/>
  <c r="AE773" i="2"/>
  <c r="AD773" i="2"/>
  <c r="AC773" i="2"/>
  <c r="AI772" i="2"/>
  <c r="AH772" i="2"/>
  <c r="AG772" i="2"/>
  <c r="AE772" i="2"/>
  <c r="AD772" i="2"/>
  <c r="AC772" i="2"/>
  <c r="AT771" i="2"/>
  <c r="AS771" i="2"/>
  <c r="AI771" i="2"/>
  <c r="AH771" i="2"/>
  <c r="AG771" i="2"/>
  <c r="AE771" i="2"/>
  <c r="AD771" i="2"/>
  <c r="AC771" i="2"/>
  <c r="AI770" i="2"/>
  <c r="AH770" i="2"/>
  <c r="AG770" i="2"/>
  <c r="AE770" i="2"/>
  <c r="AD770" i="2"/>
  <c r="AC770" i="2"/>
  <c r="AV753" i="2"/>
  <c r="AS753" i="2"/>
  <c r="AQ753" i="2"/>
  <c r="AO753" i="2"/>
  <c r="AM753" i="2"/>
  <c r="AK753" i="2"/>
  <c r="AI753" i="2"/>
  <c r="AG753" i="2"/>
  <c r="AV752" i="2"/>
  <c r="AS752" i="2"/>
  <c r="AQ752" i="2"/>
  <c r="AO752" i="2"/>
  <c r="AM752" i="2"/>
  <c r="AK752" i="2"/>
  <c r="AI752" i="2"/>
  <c r="AG752" i="2"/>
  <c r="AV751" i="2"/>
  <c r="AS751" i="2"/>
  <c r="AQ751" i="2"/>
  <c r="AO751" i="2"/>
  <c r="AM751" i="2"/>
  <c r="AK751" i="2"/>
  <c r="AI751" i="2"/>
  <c r="AG751" i="2"/>
  <c r="AZ750" i="2"/>
  <c r="AX750" i="2"/>
  <c r="AV750" i="2"/>
  <c r="AS750" i="2"/>
  <c r="AQ750" i="2"/>
  <c r="AO750" i="2"/>
  <c r="AM750" i="2"/>
  <c r="AK750" i="2"/>
  <c r="AI750" i="2"/>
  <c r="AG750" i="2"/>
  <c r="AV749" i="2"/>
  <c r="AS749" i="2"/>
  <c r="AQ749" i="2"/>
  <c r="AO749" i="2"/>
  <c r="AM749" i="2"/>
  <c r="AK749" i="2"/>
  <c r="AI749" i="2"/>
  <c r="AG749" i="2"/>
  <c r="A749" i="2"/>
  <c r="A750" i="2" s="1"/>
  <c r="A751" i="2" s="1"/>
  <c r="A752" i="2" s="1"/>
  <c r="A753" i="2" s="1"/>
  <c r="A754" i="2" s="1"/>
  <c r="A755" i="2" s="1"/>
  <c r="AV748" i="2"/>
  <c r="AU717" i="2"/>
  <c r="AT717" i="2"/>
  <c r="AS717" i="2"/>
  <c r="AR717" i="2"/>
  <c r="AQ717" i="2"/>
  <c r="AP717" i="2"/>
  <c r="AO717" i="2"/>
  <c r="AN717" i="2"/>
  <c r="AL717" i="2"/>
  <c r="AK717" i="2"/>
  <c r="AJ717" i="2"/>
  <c r="AI717" i="2"/>
  <c r="AH717" i="2"/>
  <c r="AG717" i="2"/>
  <c r="AE717" i="2"/>
  <c r="AD717" i="2"/>
  <c r="AC717" i="2"/>
  <c r="AB717" i="2"/>
  <c r="D716" i="2"/>
  <c r="B716" i="2"/>
  <c r="C716" i="2" s="1"/>
  <c r="D713" i="2"/>
  <c r="AU712" i="2"/>
  <c r="AT712" i="2"/>
  <c r="AS712" i="2"/>
  <c r="AR712" i="2"/>
  <c r="AQ712" i="2"/>
  <c r="AP712" i="2"/>
  <c r="AO712" i="2"/>
  <c r="AN712" i="2"/>
  <c r="AL712" i="2"/>
  <c r="AJ712" i="2"/>
  <c r="AI712" i="2"/>
  <c r="AH712" i="2"/>
  <c r="AG712" i="2"/>
  <c r="AE712" i="2"/>
  <c r="AD712" i="2"/>
  <c r="AC712" i="2"/>
  <c r="AB712" i="2"/>
  <c r="D711" i="2"/>
  <c r="B711" i="2"/>
  <c r="C711" i="2" s="1"/>
  <c r="D708" i="2"/>
  <c r="AU707" i="2"/>
  <c r="AT707" i="2"/>
  <c r="AS707" i="2"/>
  <c r="AR707" i="2"/>
  <c r="AQ707" i="2"/>
  <c r="AP707" i="2"/>
  <c r="AO707" i="2"/>
  <c r="AN707" i="2"/>
  <c r="AL707" i="2"/>
  <c r="AK707" i="2"/>
  <c r="AJ707" i="2"/>
  <c r="AI707" i="2"/>
  <c r="AH707" i="2"/>
  <c r="AG707" i="2"/>
  <c r="AE707" i="2"/>
  <c r="AD707" i="2"/>
  <c r="AC707" i="2"/>
  <c r="AB707" i="2"/>
  <c r="D706" i="2"/>
  <c r="B706" i="2"/>
  <c r="C706" i="2" s="1"/>
  <c r="D703" i="2"/>
  <c r="AU702" i="2"/>
  <c r="AT702" i="2"/>
  <c r="AS702" i="2"/>
  <c r="AR702" i="2"/>
  <c r="AQ702" i="2"/>
  <c r="AP702" i="2"/>
  <c r="AO702" i="2"/>
  <c r="AN702" i="2"/>
  <c r="AL702" i="2"/>
  <c r="AK702" i="2"/>
  <c r="AJ702" i="2"/>
  <c r="AI702" i="2"/>
  <c r="AH702" i="2"/>
  <c r="AG702" i="2"/>
  <c r="AE702" i="2"/>
  <c r="AD702" i="2"/>
  <c r="AC702" i="2"/>
  <c r="AB702" i="2"/>
  <c r="D701" i="2"/>
  <c r="B701" i="2"/>
  <c r="C701" i="2" s="1"/>
  <c r="D698" i="2"/>
  <c r="AU697" i="2"/>
  <c r="AT697" i="2"/>
  <c r="AS697" i="2"/>
  <c r="AR697" i="2"/>
  <c r="AQ697" i="2"/>
  <c r="AP697" i="2"/>
  <c r="AO697" i="2"/>
  <c r="AN697" i="2"/>
  <c r="AL697" i="2"/>
  <c r="AK697" i="2"/>
  <c r="AJ697" i="2"/>
  <c r="AI697" i="2"/>
  <c r="AH697" i="2"/>
  <c r="AG697" i="2"/>
  <c r="AE697" i="2"/>
  <c r="AD697" i="2"/>
  <c r="AC697" i="2"/>
  <c r="AB697" i="2"/>
  <c r="D696" i="2"/>
  <c r="B696" i="2"/>
  <c r="C696" i="2" s="1"/>
  <c r="D693" i="2"/>
  <c r="AU692" i="2"/>
  <c r="AS692" i="2"/>
  <c r="AQ692" i="2"/>
  <c r="AO692" i="2"/>
  <c r="AN692" i="2"/>
  <c r="AD692" i="2"/>
  <c r="AP692" i="2" s="1"/>
  <c r="AU687" i="2"/>
  <c r="AT687" i="2"/>
  <c r="AS687" i="2"/>
  <c r="AR687" i="2"/>
  <c r="AQ687" i="2"/>
  <c r="AP687" i="2"/>
  <c r="AO687" i="2"/>
  <c r="AN687" i="2"/>
  <c r="AL687" i="2"/>
  <c r="AK687" i="2"/>
  <c r="AJ687" i="2"/>
  <c r="AI687" i="2"/>
  <c r="AH687" i="2"/>
  <c r="AE687" i="2"/>
  <c r="AC687" i="2"/>
  <c r="AB687" i="2"/>
  <c r="D686" i="2"/>
  <c r="B686" i="2"/>
  <c r="C686" i="2" s="1"/>
  <c r="D683" i="2"/>
  <c r="AU682" i="2"/>
  <c r="AS682" i="2"/>
  <c r="AQ682" i="2"/>
  <c r="AO682" i="2"/>
  <c r="AN682" i="2"/>
  <c r="AD682" i="2"/>
  <c r="AP682" i="2" s="1"/>
  <c r="AU679" i="2"/>
  <c r="AT679" i="2"/>
  <c r="AS679" i="2"/>
  <c r="AR679" i="2"/>
  <c r="AQ679" i="2"/>
  <c r="AP679" i="2"/>
  <c r="AO679" i="2"/>
  <c r="AN679" i="2"/>
  <c r="AL679" i="2"/>
  <c r="AK679" i="2"/>
  <c r="AJ679" i="2"/>
  <c r="AI679" i="2"/>
  <c r="AH679" i="2"/>
  <c r="AG679" i="2"/>
  <c r="AM679" i="2" s="1"/>
  <c r="AE679" i="2"/>
  <c r="AD679" i="2"/>
  <c r="AC679" i="2"/>
  <c r="AB679" i="2"/>
  <c r="AF679" i="2" s="1"/>
  <c r="D678" i="2"/>
  <c r="B678" i="2"/>
  <c r="C678" i="2" s="1"/>
  <c r="D675" i="2"/>
  <c r="AU674" i="2"/>
  <c r="AT674" i="2"/>
  <c r="AS674" i="2"/>
  <c r="AR674" i="2"/>
  <c r="AQ674" i="2"/>
  <c r="AP674" i="2"/>
  <c r="AO674" i="2"/>
  <c r="AN674" i="2"/>
  <c r="AL674" i="2"/>
  <c r="AK674" i="2"/>
  <c r="AJ674" i="2"/>
  <c r="AH674" i="2"/>
  <c r="AG674" i="2"/>
  <c r="AE674" i="2"/>
  <c r="AC674" i="2"/>
  <c r="AB674" i="2"/>
  <c r="D673" i="2"/>
  <c r="B673" i="2"/>
  <c r="C673" i="2" s="1"/>
  <c r="D670" i="2"/>
  <c r="AU669" i="2"/>
  <c r="AT669" i="2"/>
  <c r="AS669" i="2"/>
  <c r="AR669" i="2"/>
  <c r="AQ669" i="2"/>
  <c r="AP669" i="2"/>
  <c r="AO669" i="2"/>
  <c r="AN669" i="2"/>
  <c r="AL669" i="2"/>
  <c r="AK669" i="2"/>
  <c r="AJ669" i="2"/>
  <c r="AI669" i="2"/>
  <c r="AH669" i="2"/>
  <c r="AG669" i="2"/>
  <c r="AE669" i="2"/>
  <c r="AD669" i="2"/>
  <c r="AC669" i="2"/>
  <c r="AB669" i="2"/>
  <c r="D668" i="2"/>
  <c r="B668" i="2"/>
  <c r="C668" i="2" s="1"/>
  <c r="D665" i="2"/>
  <c r="AU664" i="2"/>
  <c r="AT664" i="2"/>
  <c r="AS664" i="2"/>
  <c r="AR664" i="2"/>
  <c r="AQ664" i="2"/>
  <c r="AP664" i="2"/>
  <c r="AO664" i="2"/>
  <c r="AN664" i="2"/>
  <c r="AL664" i="2"/>
  <c r="AK664" i="2"/>
  <c r="AJ664" i="2"/>
  <c r="AI664" i="2"/>
  <c r="AH664" i="2"/>
  <c r="AG664" i="2"/>
  <c r="AE664" i="2"/>
  <c r="AD664" i="2"/>
  <c r="AC664" i="2"/>
  <c r="AB664" i="2"/>
  <c r="D663" i="2"/>
  <c r="B663" i="2"/>
  <c r="C663" i="2" s="1"/>
  <c r="D660" i="2"/>
  <c r="AU658" i="2"/>
  <c r="AT658" i="2"/>
  <c r="AS658" i="2"/>
  <c r="AR658" i="2"/>
  <c r="AQ658" i="2"/>
  <c r="AP658" i="2"/>
  <c r="AO658" i="2"/>
  <c r="AN658" i="2"/>
  <c r="AL658" i="2"/>
  <c r="AK658" i="2"/>
  <c r="AJ658" i="2"/>
  <c r="AI658" i="2"/>
  <c r="AH658" i="2"/>
  <c r="AG658" i="2"/>
  <c r="AE658" i="2"/>
  <c r="AD658" i="2"/>
  <c r="AC658" i="2"/>
  <c r="AB658" i="2"/>
  <c r="D657" i="2"/>
  <c r="B657" i="2"/>
  <c r="C657" i="2" s="1"/>
  <c r="D654" i="2"/>
  <c r="AU653" i="2"/>
  <c r="AT653" i="2"/>
  <c r="AS653" i="2"/>
  <c r="AR653" i="2"/>
  <c r="AQ653" i="2"/>
  <c r="AP653" i="2"/>
  <c r="AO653" i="2"/>
  <c r="AN653" i="2"/>
  <c r="AK653" i="2"/>
  <c r="AJ653" i="2"/>
  <c r="AI653" i="2"/>
  <c r="AH653" i="2"/>
  <c r="AG653" i="2"/>
  <c r="AE653" i="2"/>
  <c r="AD653" i="2"/>
  <c r="AB653" i="2"/>
  <c r="D652" i="2"/>
  <c r="B652" i="2"/>
  <c r="C652" i="2" s="1"/>
  <c r="D649" i="2"/>
  <c r="AU648" i="2"/>
  <c r="AT648" i="2"/>
  <c r="AS648" i="2"/>
  <c r="AR648" i="2"/>
  <c r="AQ648" i="2"/>
  <c r="AP648" i="2"/>
  <c r="AO648" i="2"/>
  <c r="AN648" i="2"/>
  <c r="AK648" i="2"/>
  <c r="AJ648" i="2"/>
  <c r="AI648" i="2"/>
  <c r="AH648" i="2"/>
  <c r="AG648" i="2"/>
  <c r="AE648" i="2"/>
  <c r="AC648" i="2"/>
  <c r="AB648" i="2"/>
  <c r="D647" i="2"/>
  <c r="B647" i="2"/>
  <c r="C647" i="2" s="1"/>
  <c r="D644" i="2"/>
  <c r="AU643" i="2"/>
  <c r="AS643" i="2"/>
  <c r="AQ643" i="2"/>
  <c r="AO643" i="2"/>
  <c r="AN643" i="2"/>
  <c r="AD643" i="2"/>
  <c r="AP643" i="2" s="1"/>
  <c r="AU637" i="2"/>
  <c r="AT637" i="2"/>
  <c r="AS637" i="2"/>
  <c r="AR637" i="2"/>
  <c r="AQ637" i="2"/>
  <c r="AP637" i="2"/>
  <c r="AO637" i="2"/>
  <c r="AN637" i="2"/>
  <c r="AL637" i="2"/>
  <c r="AK637" i="2"/>
  <c r="AJ637" i="2"/>
  <c r="AI637" i="2"/>
  <c r="AG637" i="2"/>
  <c r="AE637" i="2"/>
  <c r="AC637" i="2"/>
  <c r="AB637" i="2"/>
  <c r="D636" i="2"/>
  <c r="B636" i="2"/>
  <c r="C636" i="2" s="1"/>
  <c r="D633" i="2"/>
  <c r="AU631" i="2"/>
  <c r="AT631" i="2"/>
  <c r="AS631" i="2"/>
  <c r="AR631" i="2"/>
  <c r="AQ631" i="2"/>
  <c r="AP631" i="2"/>
  <c r="AO631" i="2"/>
  <c r="AN631" i="2"/>
  <c r="AL631" i="2"/>
  <c r="AK631" i="2"/>
  <c r="AI631" i="2"/>
  <c r="AH631" i="2"/>
  <c r="AG631" i="2"/>
  <c r="AE631" i="2"/>
  <c r="AD631" i="2"/>
  <c r="AC631" i="2"/>
  <c r="AB631" i="2"/>
  <c r="D630" i="2"/>
  <c r="B630" i="2"/>
  <c r="C630" i="2" s="1"/>
  <c r="D627" i="2"/>
  <c r="AU626" i="2"/>
  <c r="AT626" i="2"/>
  <c r="AS626" i="2"/>
  <c r="AR626" i="2"/>
  <c r="AQ626" i="2"/>
  <c r="AP626" i="2"/>
  <c r="AO626" i="2"/>
  <c r="AN626" i="2"/>
  <c r="AL626" i="2"/>
  <c r="AK626" i="2"/>
  <c r="AJ626" i="2"/>
  <c r="AI626" i="2"/>
  <c r="AH626" i="2"/>
  <c r="AE626" i="2"/>
  <c r="AC626" i="2"/>
  <c r="AB626" i="2"/>
  <c r="D625" i="2"/>
  <c r="B625" i="2"/>
  <c r="C625" i="2" s="1"/>
  <c r="D622" i="2"/>
  <c r="AU621" i="2"/>
  <c r="AT621" i="2"/>
  <c r="AS621" i="2"/>
  <c r="AR621" i="2"/>
  <c r="AQ621" i="2"/>
  <c r="AP621" i="2"/>
  <c r="AO621" i="2"/>
  <c r="AN621" i="2"/>
  <c r="AL621" i="2"/>
  <c r="AJ621" i="2"/>
  <c r="AI621" i="2"/>
  <c r="AH621" i="2"/>
  <c r="AG621" i="2"/>
  <c r="AE621" i="2"/>
  <c r="AC621" i="2"/>
  <c r="AB621" i="2"/>
  <c r="D620" i="2"/>
  <c r="B620" i="2"/>
  <c r="C620" i="2" s="1"/>
  <c r="D617" i="2"/>
  <c r="AU615" i="2"/>
  <c r="AT615" i="2"/>
  <c r="AS615" i="2"/>
  <c r="AR615" i="2"/>
  <c r="AQ615" i="2"/>
  <c r="AP615" i="2"/>
  <c r="AO615" i="2"/>
  <c r="AN615" i="2"/>
  <c r="AL615" i="2"/>
  <c r="AJ615" i="2"/>
  <c r="AI615" i="2"/>
  <c r="AH615" i="2"/>
  <c r="AG615" i="2"/>
  <c r="AE615" i="2"/>
  <c r="AC615" i="2"/>
  <c r="AB615" i="2"/>
  <c r="D614" i="2"/>
  <c r="B614" i="2"/>
  <c r="C614" i="2" s="1"/>
  <c r="D611" i="2"/>
  <c r="AU610" i="2"/>
  <c r="AT610" i="2"/>
  <c r="AS610" i="2"/>
  <c r="AR610" i="2"/>
  <c r="AQ610" i="2"/>
  <c r="AP610" i="2"/>
  <c r="AO610" i="2"/>
  <c r="AN610" i="2"/>
  <c r="AL610" i="2"/>
  <c r="AK610" i="2"/>
  <c r="AJ610" i="2"/>
  <c r="AI610" i="2"/>
  <c r="AH610" i="2"/>
  <c r="AG610" i="2"/>
  <c r="AE610" i="2"/>
  <c r="AD610" i="2"/>
  <c r="AC610" i="2"/>
  <c r="AB610" i="2"/>
  <c r="D609" i="2"/>
  <c r="B609" i="2"/>
  <c r="C609" i="2" s="1"/>
  <c r="D606" i="2"/>
  <c r="AU605" i="2"/>
  <c r="AT605" i="2"/>
  <c r="AS605" i="2"/>
  <c r="AR605" i="2"/>
  <c r="AQ605" i="2"/>
  <c r="AP605" i="2"/>
  <c r="AO605" i="2"/>
  <c r="AN605" i="2"/>
  <c r="AL605" i="2"/>
  <c r="AK605" i="2"/>
  <c r="AJ605" i="2"/>
  <c r="AI605" i="2"/>
  <c r="AH605" i="2"/>
  <c r="AG605" i="2"/>
  <c r="AE605" i="2"/>
  <c r="AD605" i="2"/>
  <c r="AC605" i="2"/>
  <c r="AB605" i="2"/>
  <c r="D604" i="2"/>
  <c r="B604" i="2"/>
  <c r="C604" i="2" s="1"/>
  <c r="D601" i="2"/>
  <c r="AU600" i="2"/>
  <c r="AS600" i="2"/>
  <c r="AQ600" i="2"/>
  <c r="AO600" i="2"/>
  <c r="AN600" i="2"/>
  <c r="AD600" i="2"/>
  <c r="AP600" i="2" s="1"/>
  <c r="AU597" i="2"/>
  <c r="AT597" i="2"/>
  <c r="AS597" i="2"/>
  <c r="AR597" i="2"/>
  <c r="AQ597" i="2"/>
  <c r="AP597" i="2"/>
  <c r="AO597" i="2"/>
  <c r="AN597" i="2"/>
  <c r="AL597" i="2"/>
  <c r="AK597" i="2"/>
  <c r="AJ597" i="2"/>
  <c r="AH597" i="2"/>
  <c r="AG597" i="2"/>
  <c r="AE597" i="2"/>
  <c r="AD597" i="2"/>
  <c r="AC597" i="2"/>
  <c r="AB597" i="2"/>
  <c r="D596" i="2"/>
  <c r="B596" i="2"/>
  <c r="C596" i="2" s="1"/>
  <c r="D593" i="2"/>
  <c r="AU592" i="2"/>
  <c r="AT592" i="2"/>
  <c r="AS592" i="2"/>
  <c r="AR592" i="2"/>
  <c r="AQ592" i="2"/>
  <c r="AP592" i="2"/>
  <c r="AO592" i="2"/>
  <c r="AN592" i="2"/>
  <c r="AL592" i="2"/>
  <c r="AK592" i="2"/>
  <c r="AJ592" i="2"/>
  <c r="AI592" i="2"/>
  <c r="AH592" i="2"/>
  <c r="AE592" i="2"/>
  <c r="AC592" i="2"/>
  <c r="AB592" i="2"/>
  <c r="D591" i="2"/>
  <c r="B591" i="2"/>
  <c r="C591" i="2" s="1"/>
  <c r="D588" i="2"/>
  <c r="AU587" i="2"/>
  <c r="AT587" i="2"/>
  <c r="AS587" i="2"/>
  <c r="AR587" i="2"/>
  <c r="AQ587" i="2"/>
  <c r="AP587" i="2"/>
  <c r="AO587" i="2"/>
  <c r="AN587" i="2"/>
  <c r="AV587" i="2" s="1"/>
  <c r="AL587" i="2"/>
  <c r="AK587" i="2"/>
  <c r="AJ587" i="2"/>
  <c r="AI587" i="2"/>
  <c r="AG587" i="2"/>
  <c r="AE587" i="2"/>
  <c r="AC587" i="2"/>
  <c r="AB587" i="2"/>
  <c r="D586" i="2"/>
  <c r="B586" i="2"/>
  <c r="C586" i="2" s="1"/>
  <c r="D583" i="2"/>
  <c r="AU581" i="2"/>
  <c r="AT581" i="2"/>
  <c r="AS581" i="2"/>
  <c r="AR581" i="2"/>
  <c r="AQ581" i="2"/>
  <c r="AP581" i="2"/>
  <c r="AO581" i="2"/>
  <c r="AN581" i="2"/>
  <c r="AL581" i="2"/>
  <c r="AJ581" i="2"/>
  <c r="AI581" i="2"/>
  <c r="AH581" i="2"/>
  <c r="AG581" i="2"/>
  <c r="AE581" i="2"/>
  <c r="AD581" i="2"/>
  <c r="AC581" i="2"/>
  <c r="AB581" i="2"/>
  <c r="D580" i="2"/>
  <c r="B580" i="2"/>
  <c r="C580" i="2" s="1"/>
  <c r="D577" i="2"/>
  <c r="AU576" i="2"/>
  <c r="AT576" i="2"/>
  <c r="AS576" i="2"/>
  <c r="AR576" i="2"/>
  <c r="AQ576" i="2"/>
  <c r="AP576" i="2"/>
  <c r="AO576" i="2"/>
  <c r="AN576" i="2"/>
  <c r="AL576" i="2"/>
  <c r="AK576" i="2"/>
  <c r="AJ576" i="2"/>
  <c r="AI576" i="2"/>
  <c r="AH576" i="2"/>
  <c r="AE576" i="2"/>
  <c r="AC576" i="2"/>
  <c r="AB576" i="2"/>
  <c r="D575" i="2"/>
  <c r="B575" i="2"/>
  <c r="C575" i="2" s="1"/>
  <c r="D572" i="2"/>
  <c r="AU571" i="2"/>
  <c r="AT571" i="2"/>
  <c r="AS571" i="2"/>
  <c r="AR571" i="2"/>
  <c r="AQ571" i="2"/>
  <c r="AP571" i="2"/>
  <c r="AO571" i="2"/>
  <c r="AN571" i="2"/>
  <c r="AL571" i="2"/>
  <c r="AK571" i="2"/>
  <c r="AJ571" i="2"/>
  <c r="AI571" i="2"/>
  <c r="AH571" i="2"/>
  <c r="AE571" i="2"/>
  <c r="AD571" i="2"/>
  <c r="AB571" i="2"/>
  <c r="D570" i="2"/>
  <c r="B570" i="2"/>
  <c r="C570" i="2" s="1"/>
  <c r="D567" i="2"/>
  <c r="AU566" i="2"/>
  <c r="AS566" i="2"/>
  <c r="AQ566" i="2"/>
  <c r="AO566" i="2"/>
  <c r="AN566" i="2"/>
  <c r="AD566" i="2"/>
  <c r="AP566" i="2" s="1"/>
  <c r="AU563" i="2"/>
  <c r="AT563" i="2"/>
  <c r="AS563" i="2"/>
  <c r="AR563" i="2"/>
  <c r="AQ563" i="2"/>
  <c r="AP563" i="2"/>
  <c r="AO563" i="2"/>
  <c r="AN563" i="2"/>
  <c r="AL563" i="2"/>
  <c r="AK563" i="2"/>
  <c r="AJ563" i="2"/>
  <c r="AH563" i="2"/>
  <c r="AG563" i="2"/>
  <c r="AE563" i="2"/>
  <c r="AD563" i="2"/>
  <c r="AC563" i="2"/>
  <c r="AB563" i="2"/>
  <c r="D562" i="2"/>
  <c r="B562" i="2"/>
  <c r="C562" i="2" s="1"/>
  <c r="D559" i="2"/>
  <c r="AU558" i="2"/>
  <c r="AT558" i="2"/>
  <c r="AS558" i="2"/>
  <c r="AR558" i="2"/>
  <c r="AQ558" i="2"/>
  <c r="AP558" i="2"/>
  <c r="AO558" i="2"/>
  <c r="AN558" i="2"/>
  <c r="AL558" i="2"/>
  <c r="AK558" i="2"/>
  <c r="AJ558" i="2"/>
  <c r="AI558" i="2"/>
  <c r="AH558" i="2"/>
  <c r="AG558" i="2"/>
  <c r="AE558" i="2"/>
  <c r="AD558" i="2"/>
  <c r="AC558" i="2"/>
  <c r="AB558" i="2"/>
  <c r="D557" i="2"/>
  <c r="B557" i="2"/>
  <c r="C557" i="2" s="1"/>
  <c r="D554" i="2"/>
  <c r="AU553" i="2"/>
  <c r="AT553" i="2"/>
  <c r="AS553" i="2"/>
  <c r="AR553" i="2"/>
  <c r="AQ553" i="2"/>
  <c r="AP553" i="2"/>
  <c r="AO553" i="2"/>
  <c r="AN553" i="2"/>
  <c r="AL553" i="2"/>
  <c r="AK553" i="2"/>
  <c r="AJ553" i="2"/>
  <c r="AI553" i="2"/>
  <c r="AH553" i="2"/>
  <c r="AG553" i="2"/>
  <c r="AE553" i="2"/>
  <c r="AD553" i="2"/>
  <c r="AC553" i="2"/>
  <c r="AB553" i="2"/>
  <c r="D552" i="2"/>
  <c r="B552" i="2"/>
  <c r="C552" i="2" s="1"/>
  <c r="D549" i="2"/>
  <c r="AU547" i="2"/>
  <c r="AT547" i="2"/>
  <c r="AS547" i="2"/>
  <c r="AR547" i="2"/>
  <c r="AQ547" i="2"/>
  <c r="AP547" i="2"/>
  <c r="AO547" i="2"/>
  <c r="AN547" i="2"/>
  <c r="AL547" i="2"/>
  <c r="AK547" i="2"/>
  <c r="AJ547" i="2"/>
  <c r="AI547" i="2"/>
  <c r="AH547" i="2"/>
  <c r="AG547" i="2"/>
  <c r="AE547" i="2"/>
  <c r="AD547" i="2"/>
  <c r="AC547" i="2"/>
  <c r="AB547" i="2"/>
  <c r="D546" i="2"/>
  <c r="B546" i="2"/>
  <c r="C546" i="2" s="1"/>
  <c r="D543" i="2"/>
  <c r="AU542" i="2"/>
  <c r="AT542" i="2"/>
  <c r="AS542" i="2"/>
  <c r="AR542" i="2"/>
  <c r="AQ542" i="2"/>
  <c r="AP542" i="2"/>
  <c r="AO542" i="2"/>
  <c r="AN542" i="2"/>
  <c r="AK542" i="2"/>
  <c r="AJ542" i="2"/>
  <c r="AI542" i="2"/>
  <c r="AH542" i="2"/>
  <c r="AG542" i="2"/>
  <c r="AE542" i="2"/>
  <c r="AC542" i="2"/>
  <c r="AB542" i="2"/>
  <c r="D541" i="2"/>
  <c r="B541" i="2"/>
  <c r="C541" i="2" s="1"/>
  <c r="D538" i="2"/>
  <c r="AU537" i="2"/>
  <c r="AT537" i="2"/>
  <c r="AS537" i="2"/>
  <c r="AR537" i="2"/>
  <c r="AQ537" i="2"/>
  <c r="AP537" i="2"/>
  <c r="AO537" i="2"/>
  <c r="AN537" i="2"/>
  <c r="AL537" i="2"/>
  <c r="AK537" i="2"/>
  <c r="AJ537" i="2"/>
  <c r="AI537" i="2"/>
  <c r="AG537" i="2"/>
  <c r="AE537" i="2"/>
  <c r="AD537" i="2"/>
  <c r="AC537" i="2"/>
  <c r="AB537" i="2"/>
  <c r="D536" i="2"/>
  <c r="B536" i="2"/>
  <c r="C536" i="2" s="1"/>
  <c r="D533" i="2"/>
  <c r="AU532" i="2"/>
  <c r="AS532" i="2"/>
  <c r="AQ532" i="2"/>
  <c r="AO532" i="2"/>
  <c r="AN532" i="2"/>
  <c r="AD532" i="2"/>
  <c r="AP532" i="2" s="1"/>
  <c r="AU529" i="2"/>
  <c r="AT529" i="2"/>
  <c r="AS529" i="2"/>
  <c r="AR529" i="2"/>
  <c r="AQ529" i="2"/>
  <c r="AP529" i="2"/>
  <c r="AO529" i="2"/>
  <c r="AN529" i="2"/>
  <c r="AK529" i="2"/>
  <c r="AJ529" i="2"/>
  <c r="AI529" i="2"/>
  <c r="AH529" i="2"/>
  <c r="AG529" i="2"/>
  <c r="AE529" i="2"/>
  <c r="AD529" i="2"/>
  <c r="AC529" i="2"/>
  <c r="AB529" i="2"/>
  <c r="D528" i="2"/>
  <c r="B528" i="2"/>
  <c r="C528" i="2" s="1"/>
  <c r="D525" i="2"/>
  <c r="AU524" i="2"/>
  <c r="AT524" i="2"/>
  <c r="AS524" i="2"/>
  <c r="AR524" i="2"/>
  <c r="AQ524" i="2"/>
  <c r="AP524" i="2"/>
  <c r="AO524" i="2"/>
  <c r="AN524" i="2"/>
  <c r="AK524" i="2"/>
  <c r="AJ524" i="2"/>
  <c r="AI524" i="2"/>
  <c r="AH524" i="2"/>
  <c r="AG524" i="2"/>
  <c r="AE524" i="2"/>
  <c r="AD524" i="2"/>
  <c r="AC524" i="2"/>
  <c r="AB524" i="2"/>
  <c r="D523" i="2"/>
  <c r="B523" i="2"/>
  <c r="C523" i="2" s="1"/>
  <c r="D520" i="2"/>
  <c r="AU519" i="2"/>
  <c r="AT519" i="2"/>
  <c r="AS519" i="2"/>
  <c r="AR519" i="2"/>
  <c r="AQ519" i="2"/>
  <c r="AP519" i="2"/>
  <c r="AO519" i="2"/>
  <c r="AN519" i="2"/>
  <c r="AL519" i="2"/>
  <c r="AK519" i="2"/>
  <c r="AJ519" i="2"/>
  <c r="AH519" i="2"/>
  <c r="AG519" i="2"/>
  <c r="AE519" i="2"/>
  <c r="AD519" i="2"/>
  <c r="AC519" i="2"/>
  <c r="AB519" i="2"/>
  <c r="D518" i="2"/>
  <c r="B518" i="2"/>
  <c r="C518" i="2" s="1"/>
  <c r="D515" i="2"/>
  <c r="AU513" i="2"/>
  <c r="AT513" i="2"/>
  <c r="AS513" i="2"/>
  <c r="AR513" i="2"/>
  <c r="AQ513" i="2"/>
  <c r="AP513" i="2"/>
  <c r="AO513" i="2"/>
  <c r="AN513" i="2"/>
  <c r="AK513" i="2"/>
  <c r="AJ513" i="2"/>
  <c r="AI513" i="2"/>
  <c r="AH513" i="2"/>
  <c r="AG513" i="2"/>
  <c r="AE513" i="2"/>
  <c r="AD513" i="2"/>
  <c r="AC513" i="2"/>
  <c r="AB513" i="2"/>
  <c r="D512" i="2"/>
  <c r="B512" i="2"/>
  <c r="C512" i="2" s="1"/>
  <c r="D509" i="2"/>
  <c r="AU508" i="2"/>
  <c r="AT508" i="2"/>
  <c r="AS508" i="2"/>
  <c r="AR508" i="2"/>
  <c r="AQ508" i="2"/>
  <c r="AP508" i="2"/>
  <c r="AO508" i="2"/>
  <c r="AN508" i="2"/>
  <c r="AL508" i="2"/>
  <c r="AK508" i="2"/>
  <c r="AJ508" i="2"/>
  <c r="AI508" i="2"/>
  <c r="AG508" i="2"/>
  <c r="AE508" i="2"/>
  <c r="AD508" i="2"/>
  <c r="AC508" i="2"/>
  <c r="AB508" i="2"/>
  <c r="D507" i="2"/>
  <c r="C507" i="2"/>
  <c r="B507" i="2"/>
  <c r="D504" i="2"/>
  <c r="AU503" i="2"/>
  <c r="AT503" i="2"/>
  <c r="AS503" i="2"/>
  <c r="AR503" i="2"/>
  <c r="AQ503" i="2"/>
  <c r="AP503" i="2"/>
  <c r="AO503" i="2"/>
  <c r="AN503" i="2"/>
  <c r="AL503" i="2"/>
  <c r="AK503" i="2"/>
  <c r="AJ503" i="2"/>
  <c r="AI503" i="2"/>
  <c r="AH503" i="2"/>
  <c r="AG503" i="2"/>
  <c r="AE503" i="2"/>
  <c r="AD503" i="2"/>
  <c r="AC503" i="2"/>
  <c r="AB503" i="2"/>
  <c r="D502" i="2"/>
  <c r="B502" i="2"/>
  <c r="C502" i="2" s="1"/>
  <c r="D499" i="2"/>
  <c r="AU498" i="2"/>
  <c r="AS498" i="2"/>
  <c r="AQ498" i="2"/>
  <c r="AO498" i="2"/>
  <c r="AN498" i="2"/>
  <c r="AD498" i="2"/>
  <c r="AP498" i="2" s="1"/>
  <c r="AT495" i="2"/>
  <c r="AS495" i="2"/>
  <c r="AR495" i="2"/>
  <c r="AQ495" i="2"/>
  <c r="AP495" i="2"/>
  <c r="AO495" i="2"/>
  <c r="AN495" i="2"/>
  <c r="AL495" i="2"/>
  <c r="AK495" i="2"/>
  <c r="AJ495" i="2"/>
  <c r="AI495" i="2"/>
  <c r="AH495" i="2"/>
  <c r="AG495" i="2"/>
  <c r="AE495" i="2"/>
  <c r="AD495" i="2"/>
  <c r="AB495" i="2"/>
  <c r="D494" i="2"/>
  <c r="B494" i="2"/>
  <c r="C494" i="2" s="1"/>
  <c r="D491" i="2"/>
  <c r="AU490" i="2"/>
  <c r="AT490" i="2"/>
  <c r="AS490" i="2"/>
  <c r="AR490" i="2"/>
  <c r="AQ490" i="2"/>
  <c r="AP490" i="2"/>
  <c r="AO490" i="2"/>
  <c r="AN490" i="2"/>
  <c r="AL490" i="2"/>
  <c r="AK490" i="2"/>
  <c r="AJ490" i="2"/>
  <c r="AI490" i="2"/>
  <c r="AH490" i="2"/>
  <c r="AG490" i="2"/>
  <c r="AE490" i="2"/>
  <c r="AD490" i="2"/>
  <c r="AC490" i="2"/>
  <c r="AB490" i="2"/>
  <c r="D489" i="2"/>
  <c r="B489" i="2"/>
  <c r="C489" i="2" s="1"/>
  <c r="D486" i="2"/>
  <c r="AU484" i="2"/>
  <c r="AT484" i="2"/>
  <c r="AS484" i="2"/>
  <c r="AR484" i="2"/>
  <c r="AQ484" i="2"/>
  <c r="AP484" i="2"/>
  <c r="AO484" i="2"/>
  <c r="AN484" i="2"/>
  <c r="AK484" i="2"/>
  <c r="AJ484" i="2"/>
  <c r="AI484" i="2"/>
  <c r="AH484" i="2"/>
  <c r="AG484" i="2"/>
  <c r="AE484" i="2"/>
  <c r="AD484" i="2"/>
  <c r="AC484" i="2"/>
  <c r="AB484" i="2"/>
  <c r="D483" i="2"/>
  <c r="B483" i="2"/>
  <c r="C483" i="2" s="1"/>
  <c r="D480" i="2"/>
  <c r="AU479" i="2"/>
  <c r="AT479" i="2"/>
  <c r="AS479" i="2"/>
  <c r="AR479" i="2"/>
  <c r="AQ479" i="2"/>
  <c r="AP479" i="2"/>
  <c r="AO479" i="2"/>
  <c r="AN479" i="2"/>
  <c r="AL479" i="2"/>
  <c r="AK479" i="2"/>
  <c r="AJ479" i="2"/>
  <c r="AI479" i="2"/>
  <c r="AH479" i="2"/>
  <c r="AG479" i="2"/>
  <c r="AE479" i="2"/>
  <c r="AD479" i="2"/>
  <c r="AC479" i="2"/>
  <c r="AB479" i="2"/>
  <c r="D478" i="2"/>
  <c r="B478" i="2"/>
  <c r="C478" i="2" s="1"/>
  <c r="D475" i="2"/>
  <c r="AU473" i="2"/>
  <c r="AT473" i="2"/>
  <c r="AS473" i="2"/>
  <c r="AR473" i="2"/>
  <c r="AQ473" i="2"/>
  <c r="AP473" i="2"/>
  <c r="AO473" i="2"/>
  <c r="AN473" i="2"/>
  <c r="AL473" i="2"/>
  <c r="AK473" i="2"/>
  <c r="AJ473" i="2"/>
  <c r="AI473" i="2"/>
  <c r="AH473" i="2"/>
  <c r="AG473" i="2"/>
  <c r="AE473" i="2"/>
  <c r="AD473" i="2"/>
  <c r="AC473" i="2"/>
  <c r="AB473" i="2"/>
  <c r="D472" i="2"/>
  <c r="B472" i="2"/>
  <c r="C472" i="2" s="1"/>
  <c r="D469" i="2"/>
  <c r="AU468" i="2"/>
  <c r="AT468" i="2"/>
  <c r="AS468" i="2"/>
  <c r="AR468" i="2"/>
  <c r="AQ468" i="2"/>
  <c r="AP468" i="2"/>
  <c r="AO468" i="2"/>
  <c r="AN468" i="2"/>
  <c r="AL468" i="2"/>
  <c r="AK468" i="2"/>
  <c r="AJ468" i="2"/>
  <c r="AI468" i="2"/>
  <c r="AH468" i="2"/>
  <c r="AG468" i="2"/>
  <c r="AE468" i="2"/>
  <c r="AD468" i="2"/>
  <c r="AC468" i="2"/>
  <c r="AB468" i="2"/>
  <c r="D467" i="2"/>
  <c r="B467" i="2"/>
  <c r="C467" i="2" s="1"/>
  <c r="D464" i="2"/>
  <c r="AU463" i="2"/>
  <c r="AU495" i="2" s="1"/>
  <c r="AS463" i="2"/>
  <c r="AQ463" i="2"/>
  <c r="AO463" i="2"/>
  <c r="AN463" i="2"/>
  <c r="AD463" i="2"/>
  <c r="AT463" i="2" s="1"/>
  <c r="AG457" i="2"/>
  <c r="AF457" i="2"/>
  <c r="AE457" i="2"/>
  <c r="AG455" i="2"/>
  <c r="AF455" i="2"/>
  <c r="AE455" i="2"/>
  <c r="AG453" i="2"/>
  <c r="AF453" i="2"/>
  <c r="AE453" i="2"/>
  <c r="AG451" i="2"/>
  <c r="AF451" i="2"/>
  <c r="AE451" i="2"/>
  <c r="AG449" i="2"/>
  <c r="AF449" i="2"/>
  <c r="AE449" i="2"/>
  <c r="AG447" i="2"/>
  <c r="AF447" i="2"/>
  <c r="AE447" i="2"/>
  <c r="AG445" i="2"/>
  <c r="AF445" i="2"/>
  <c r="AE445" i="2"/>
  <c r="AJ443" i="2"/>
  <c r="AI444" i="2" s="1"/>
  <c r="AJ444" i="2" s="1"/>
  <c r="AI445" i="2" s="1"/>
  <c r="AJ445" i="2" s="1"/>
  <c r="AL440" i="2"/>
  <c r="AE1555" i="2" s="1"/>
  <c r="AE1561" i="2" s="1"/>
  <c r="AE1567" i="2" s="1"/>
  <c r="AE1573" i="2" s="1"/>
  <c r="AE1579" i="2" s="1"/>
  <c r="AT436" i="2"/>
  <c r="AS436" i="2"/>
  <c r="AR436" i="2"/>
  <c r="AQ436" i="2"/>
  <c r="AP436" i="2"/>
  <c r="AK436" i="2"/>
  <c r="D436" i="2" s="1"/>
  <c r="AJ436" i="2"/>
  <c r="C435" i="2" s="1"/>
  <c r="AG436" i="2"/>
  <c r="AF436" i="2"/>
  <c r="AE436" i="2"/>
  <c r="AD436" i="2"/>
  <c r="D435" i="2"/>
  <c r="B435" i="2"/>
  <c r="B434" i="2"/>
  <c r="BB432" i="2"/>
  <c r="BJ431" i="2"/>
  <c r="BI431" i="2"/>
  <c r="BH431" i="2"/>
  <c r="BG431" i="2"/>
  <c r="BD431" i="2"/>
  <c r="BB431" i="2"/>
  <c r="AH430" i="2"/>
  <c r="AF430" i="2"/>
  <c r="AE430" i="2"/>
  <c r="AD430" i="2"/>
  <c r="AD429" i="2"/>
  <c r="AE429" i="2" s="1"/>
  <c r="AF429" i="2" s="1"/>
  <c r="AG429" i="2" s="1"/>
  <c r="AH429" i="2" s="1"/>
  <c r="AT426" i="2"/>
  <c r="AS426" i="2"/>
  <c r="AR426" i="2"/>
  <c r="AQ426" i="2"/>
  <c r="AP426" i="2"/>
  <c r="AJ426" i="2"/>
  <c r="AT425" i="2" s="1"/>
  <c r="AG426" i="2"/>
  <c r="AF426" i="2"/>
  <c r="AE426" i="2"/>
  <c r="AD426" i="2"/>
  <c r="D425" i="2"/>
  <c r="C425" i="2"/>
  <c r="B425" i="2"/>
  <c r="B424" i="2"/>
  <c r="BJ421" i="2"/>
  <c r="BI421" i="2"/>
  <c r="BH421" i="2"/>
  <c r="BG421" i="2"/>
  <c r="BD421" i="2"/>
  <c r="BB421" i="2"/>
  <c r="AH420" i="2"/>
  <c r="AE420" i="2"/>
  <c r="AD420" i="2"/>
  <c r="AD419" i="2"/>
  <c r="AE419" i="2" s="1"/>
  <c r="AF419" i="2" s="1"/>
  <c r="AG419" i="2" s="1"/>
  <c r="AH419" i="2" s="1"/>
  <c r="AT416" i="2"/>
  <c r="AS416" i="2"/>
  <c r="AR416" i="2"/>
  <c r="AQ416" i="2"/>
  <c r="AP416" i="2"/>
  <c r="AK416" i="2"/>
  <c r="AX416" i="2" s="1"/>
  <c r="AJ416" i="2"/>
  <c r="AT415" i="2" s="1"/>
  <c r="AG416" i="2"/>
  <c r="AF416" i="2"/>
  <c r="AE416" i="2"/>
  <c r="AD416" i="2"/>
  <c r="D415" i="2"/>
  <c r="B415" i="2"/>
  <c r="B414" i="2"/>
  <c r="BJ411" i="2"/>
  <c r="BI411" i="2"/>
  <c r="BH411" i="2"/>
  <c r="BG411" i="2"/>
  <c r="BD411" i="2"/>
  <c r="BB411" i="2"/>
  <c r="AH410" i="2"/>
  <c r="AF410" i="2"/>
  <c r="AE410" i="2"/>
  <c r="AD410" i="2"/>
  <c r="AD409" i="2"/>
  <c r="AE409" i="2" s="1"/>
  <c r="AF409" i="2" s="1"/>
  <c r="AG409" i="2" s="1"/>
  <c r="AH409" i="2" s="1"/>
  <c r="AT406" i="2"/>
  <c r="AS406" i="2"/>
  <c r="AR406" i="2"/>
  <c r="AQ406" i="2"/>
  <c r="AP406" i="2"/>
  <c r="AK406" i="2"/>
  <c r="AX406" i="2" s="1"/>
  <c r="AJ406" i="2"/>
  <c r="AG406" i="2"/>
  <c r="AF406" i="2"/>
  <c r="AE406" i="2"/>
  <c r="AD406" i="2"/>
  <c r="AT405" i="2"/>
  <c r="D405" i="2"/>
  <c r="C405" i="2"/>
  <c r="B405" i="2"/>
  <c r="B404" i="2"/>
  <c r="BD402" i="2"/>
  <c r="BB402" i="2"/>
  <c r="BJ401" i="2"/>
  <c r="BI401" i="2"/>
  <c r="BH401" i="2"/>
  <c r="BG401" i="2"/>
  <c r="BD401" i="2"/>
  <c r="BB401" i="2"/>
  <c r="AH400" i="2"/>
  <c r="AE400" i="2"/>
  <c r="AD400" i="2"/>
  <c r="AC400" i="2"/>
  <c r="AD399" i="2"/>
  <c r="AE399" i="2" s="1"/>
  <c r="AF399" i="2" s="1"/>
  <c r="AG399" i="2" s="1"/>
  <c r="AH399" i="2" s="1"/>
  <c r="AT396" i="2"/>
  <c r="AS396" i="2"/>
  <c r="AR396" i="2"/>
  <c r="AQ396" i="2"/>
  <c r="AP396" i="2"/>
  <c r="AK396" i="2"/>
  <c r="D396" i="2" s="1"/>
  <c r="AJ396" i="2"/>
  <c r="C395" i="2" s="1"/>
  <c r="AG396" i="2"/>
  <c r="AF396" i="2"/>
  <c r="AE396" i="2"/>
  <c r="AD396" i="2"/>
  <c r="D395" i="2"/>
  <c r="B395" i="2"/>
  <c r="B394" i="2"/>
  <c r="BJ391" i="2"/>
  <c r="BI391" i="2"/>
  <c r="BH391" i="2"/>
  <c r="BG391" i="2"/>
  <c r="BD391" i="2"/>
  <c r="BB391" i="2"/>
  <c r="AH390" i="2"/>
  <c r="AE390" i="2"/>
  <c r="AD390" i="2"/>
  <c r="AD389" i="2"/>
  <c r="AE389" i="2" s="1"/>
  <c r="AF389" i="2" s="1"/>
  <c r="AG389" i="2" s="1"/>
  <c r="AH389" i="2" s="1"/>
  <c r="AT386" i="2"/>
  <c r="AS386" i="2"/>
  <c r="AR386" i="2"/>
  <c r="AQ386" i="2"/>
  <c r="AP386" i="2"/>
  <c r="AK386" i="2"/>
  <c r="D386" i="2" s="1"/>
  <c r="AJ386" i="2"/>
  <c r="AG386" i="2"/>
  <c r="AF386" i="2"/>
  <c r="AE386" i="2"/>
  <c r="AD386" i="2"/>
  <c r="AT385" i="2"/>
  <c r="D385" i="2"/>
  <c r="C385" i="2"/>
  <c r="B385" i="2"/>
  <c r="B384" i="2"/>
  <c r="BJ381" i="2"/>
  <c r="BI381" i="2"/>
  <c r="BH381" i="2"/>
  <c r="BG381" i="2"/>
  <c r="BD381" i="2"/>
  <c r="BB381" i="2"/>
  <c r="AH380" i="2"/>
  <c r="AE380" i="2"/>
  <c r="AD380" i="2"/>
  <c r="AD379" i="2"/>
  <c r="AE379" i="2" s="1"/>
  <c r="AF379" i="2" s="1"/>
  <c r="AG379" i="2" s="1"/>
  <c r="AH379" i="2" s="1"/>
  <c r="AT376" i="2"/>
  <c r="AS376" i="2"/>
  <c r="AR376" i="2"/>
  <c r="AQ376" i="2"/>
  <c r="AP376" i="2"/>
  <c r="AJ376" i="2"/>
  <c r="C375" i="2" s="1"/>
  <c r="AG376" i="2"/>
  <c r="AF376" i="2"/>
  <c r="AE376" i="2"/>
  <c r="AD376" i="2"/>
  <c r="D375" i="2"/>
  <c r="B375" i="2"/>
  <c r="B374" i="2"/>
  <c r="BJ371" i="2"/>
  <c r="BI371" i="2"/>
  <c r="BH371" i="2"/>
  <c r="BG371" i="2"/>
  <c r="BD371" i="2"/>
  <c r="BB371" i="2"/>
  <c r="AH370" i="2"/>
  <c r="AG370" i="2"/>
  <c r="AE370" i="2"/>
  <c r="AD370" i="2"/>
  <c r="AD369" i="2"/>
  <c r="AE369" i="2" s="1"/>
  <c r="AF369" i="2" s="1"/>
  <c r="AG369" i="2" s="1"/>
  <c r="AH369" i="2" s="1"/>
  <c r="AT366" i="2"/>
  <c r="AS366" i="2"/>
  <c r="AR366" i="2"/>
  <c r="AQ366" i="2"/>
  <c r="AP366" i="2"/>
  <c r="AJ366" i="2"/>
  <c r="C365" i="2" s="1"/>
  <c r="AG366" i="2"/>
  <c r="AF366" i="2"/>
  <c r="AE366" i="2"/>
  <c r="AD366" i="2"/>
  <c r="D365" i="2"/>
  <c r="B365" i="2"/>
  <c r="B364" i="2"/>
  <c r="BJ361" i="2"/>
  <c r="BI361" i="2"/>
  <c r="BH361" i="2"/>
  <c r="BG361" i="2"/>
  <c r="BD361" i="2"/>
  <c r="BB361" i="2"/>
  <c r="AH360" i="2"/>
  <c r="AE360" i="2"/>
  <c r="AD360" i="2"/>
  <c r="AC360" i="2"/>
  <c r="AD359" i="2"/>
  <c r="AE359" i="2" s="1"/>
  <c r="AF359" i="2" s="1"/>
  <c r="AG359" i="2" s="1"/>
  <c r="AH359" i="2" s="1"/>
  <c r="AT356" i="2"/>
  <c r="AS356" i="2"/>
  <c r="AR356" i="2"/>
  <c r="AQ356" i="2"/>
  <c r="AP356" i="2"/>
  <c r="AJ356" i="2"/>
  <c r="C355" i="2" s="1"/>
  <c r="AG356" i="2"/>
  <c r="AF356" i="2"/>
  <c r="AE356" i="2"/>
  <c r="AD356" i="2"/>
  <c r="D355" i="2"/>
  <c r="B355" i="2"/>
  <c r="B354" i="2"/>
  <c r="BJ351" i="2"/>
  <c r="BI351" i="2"/>
  <c r="BH351" i="2"/>
  <c r="BG351" i="2"/>
  <c r="BD351" i="2"/>
  <c r="BB351" i="2"/>
  <c r="AH350" i="2"/>
  <c r="AE350" i="2"/>
  <c r="AD350" i="2"/>
  <c r="AD349" i="2"/>
  <c r="AE349" i="2" s="1"/>
  <c r="AF349" i="2" s="1"/>
  <c r="AG349" i="2" s="1"/>
  <c r="AH349" i="2" s="1"/>
  <c r="AT346" i="2"/>
  <c r="AS346" i="2"/>
  <c r="AR346" i="2"/>
  <c r="AQ346" i="2"/>
  <c r="AP346" i="2"/>
  <c r="AJ346" i="2"/>
  <c r="C345" i="2" s="1"/>
  <c r="AG346" i="2"/>
  <c r="AF346" i="2"/>
  <c r="AE346" i="2"/>
  <c r="AD346" i="2"/>
  <c r="D345" i="2"/>
  <c r="B345" i="2"/>
  <c r="B344" i="2"/>
  <c r="BJ341" i="2"/>
  <c r="BI341" i="2"/>
  <c r="BH341" i="2"/>
  <c r="BG341" i="2"/>
  <c r="BD341" i="2"/>
  <c r="BB341" i="2"/>
  <c r="AH340" i="2"/>
  <c r="AE340" i="2"/>
  <c r="AD340" i="2"/>
  <c r="AD339" i="2"/>
  <c r="AE339" i="2" s="1"/>
  <c r="AF339" i="2" s="1"/>
  <c r="AG339" i="2" s="1"/>
  <c r="AH339" i="2" s="1"/>
  <c r="AT336" i="2"/>
  <c r="AS336" i="2"/>
  <c r="AR336" i="2"/>
  <c r="AQ336" i="2"/>
  <c r="AP336" i="2"/>
  <c r="AK336" i="2"/>
  <c r="D336" i="2" s="1"/>
  <c r="AJ336" i="2"/>
  <c r="AG336" i="2"/>
  <c r="AF336" i="2"/>
  <c r="AE336" i="2"/>
  <c r="AD336" i="2"/>
  <c r="AT335" i="2"/>
  <c r="D335" i="2"/>
  <c r="C335" i="2"/>
  <c r="B335" i="2"/>
  <c r="B334" i="2"/>
  <c r="B332" i="2"/>
  <c r="BJ331" i="2"/>
  <c r="BI331" i="2"/>
  <c r="BH331" i="2"/>
  <c r="BG331" i="2"/>
  <c r="BD331" i="2"/>
  <c r="BB331" i="2"/>
  <c r="AH330" i="2"/>
  <c r="AG330" i="2"/>
  <c r="AE330" i="2"/>
  <c r="AD330" i="2"/>
  <c r="AD329" i="2"/>
  <c r="AE329" i="2" s="1"/>
  <c r="AF329" i="2" s="1"/>
  <c r="AG329" i="2" s="1"/>
  <c r="AT326" i="2"/>
  <c r="AS326" i="2"/>
  <c r="AR326" i="2"/>
  <c r="AQ326" i="2"/>
  <c r="AP326" i="2"/>
  <c r="AJ326" i="2"/>
  <c r="C325" i="2" s="1"/>
  <c r="AG326" i="2"/>
  <c r="AF326" i="2"/>
  <c r="AE326" i="2"/>
  <c r="AD326" i="2"/>
  <c r="AT325" i="2"/>
  <c r="D325" i="2"/>
  <c r="B325" i="2"/>
  <c r="B324" i="2"/>
  <c r="B322" i="2"/>
  <c r="BJ321" i="2"/>
  <c r="BI321" i="2"/>
  <c r="BH321" i="2"/>
  <c r="BG321" i="2"/>
  <c r="BD321" i="2"/>
  <c r="BB321" i="2"/>
  <c r="AH320" i="2"/>
  <c r="AD320" i="2"/>
  <c r="AD319" i="2"/>
  <c r="AE319" i="2" s="1"/>
  <c r="AT316" i="2"/>
  <c r="AS316" i="2"/>
  <c r="AR316" i="2"/>
  <c r="AQ316" i="2"/>
  <c r="AP316" i="2"/>
  <c r="AJ316" i="2"/>
  <c r="C315" i="2" s="1"/>
  <c r="AG316" i="2"/>
  <c r="AF316" i="2"/>
  <c r="AE316" i="2"/>
  <c r="AD316" i="2"/>
  <c r="D315" i="2"/>
  <c r="B315" i="2"/>
  <c r="B314" i="2"/>
  <c r="B312" i="2"/>
  <c r="BJ311" i="2"/>
  <c r="BI311" i="2"/>
  <c r="BH311" i="2"/>
  <c r="BG311" i="2"/>
  <c r="BD311" i="2"/>
  <c r="BB311" i="2"/>
  <c r="AH310" i="2"/>
  <c r="AE310" i="2"/>
  <c r="AD310" i="2"/>
  <c r="AC310" i="2"/>
  <c r="AD309" i="2"/>
  <c r="AE309" i="2" s="1"/>
  <c r="AF309" i="2" s="1"/>
  <c r="AG309" i="2" s="1"/>
  <c r="AH309" i="2" s="1"/>
  <c r="A308" i="2"/>
  <c r="A318" i="2" s="1"/>
  <c r="A328" i="2" s="1"/>
  <c r="A338" i="2" s="1"/>
  <c r="A348" i="2" s="1"/>
  <c r="A358" i="2" s="1"/>
  <c r="A368" i="2" s="1"/>
  <c r="A378" i="2" s="1"/>
  <c r="A388" i="2" s="1"/>
  <c r="A398" i="2" s="1"/>
  <c r="A408" i="2" s="1"/>
  <c r="A418" i="2" s="1"/>
  <c r="A428" i="2" s="1"/>
  <c r="A464" i="2" s="1"/>
  <c r="A469" i="2" s="1"/>
  <c r="A475" i="2" s="1"/>
  <c r="A480" i="2" s="1"/>
  <c r="A486" i="2" s="1"/>
  <c r="A491" i="2" s="1"/>
  <c r="A499" i="2" s="1"/>
  <c r="A504" i="2" s="1"/>
  <c r="A509" i="2" s="1"/>
  <c r="A515" i="2" s="1"/>
  <c r="A520" i="2" s="1"/>
  <c r="A525" i="2" s="1"/>
  <c r="A533" i="2" s="1"/>
  <c r="A538" i="2" s="1"/>
  <c r="A543" i="2" s="1"/>
  <c r="A549" i="2" s="1"/>
  <c r="A554" i="2" s="1"/>
  <c r="A559" i="2" s="1"/>
  <c r="A567" i="2" s="1"/>
  <c r="A572" i="2" s="1"/>
  <c r="A577" i="2" s="1"/>
  <c r="A583" i="2" s="1"/>
  <c r="A588" i="2" s="1"/>
  <c r="A593" i="2" s="1"/>
  <c r="A601" i="2" s="1"/>
  <c r="A606" i="2" s="1"/>
  <c r="A611" i="2" s="1"/>
  <c r="A617" i="2" s="1"/>
  <c r="A622" i="2" s="1"/>
  <c r="A627" i="2" s="1"/>
  <c r="A633" i="2" s="1"/>
  <c r="A644" i="2" s="1"/>
  <c r="A649" i="2" s="1"/>
  <c r="A654" i="2" s="1"/>
  <c r="A660" i="2" s="1"/>
  <c r="A665" i="2" s="1"/>
  <c r="A670" i="2" s="1"/>
  <c r="A675" i="2" s="1"/>
  <c r="A683" i="2" s="1"/>
  <c r="A693" i="2" s="1"/>
  <c r="A698" i="2" s="1"/>
  <c r="A703" i="2" s="1"/>
  <c r="A708" i="2" s="1"/>
  <c r="A713" i="2" s="1"/>
  <c r="A721" i="2" s="1"/>
  <c r="A725" i="2" s="1"/>
  <c r="A729" i="2" s="1"/>
  <c r="A733" i="2" s="1"/>
  <c r="A746" i="2" s="1"/>
  <c r="A767" i="2" s="1"/>
  <c r="A794" i="2" s="1"/>
  <c r="A813" i="2" s="1"/>
  <c r="A843" i="2" s="1"/>
  <c r="A847" i="2" s="1"/>
  <c r="A860" i="2" s="1"/>
  <c r="A864" i="2" s="1"/>
  <c r="AT306" i="2"/>
  <c r="AS306" i="2"/>
  <c r="AR306" i="2"/>
  <c r="AQ306" i="2"/>
  <c r="AP306" i="2"/>
  <c r="AJ306" i="2"/>
  <c r="AT305" i="2" s="1"/>
  <c r="AG306" i="2"/>
  <c r="AF306" i="2"/>
  <c r="AE306" i="2"/>
  <c r="AD306" i="2"/>
  <c r="B306" i="2"/>
  <c r="BF305" i="2"/>
  <c r="BF315" i="2" s="1"/>
  <c r="BF325" i="2" s="1"/>
  <c r="BF335" i="2" s="1"/>
  <c r="BF345" i="2" s="1"/>
  <c r="BF355" i="2" s="1"/>
  <c r="BF365" i="2" s="1"/>
  <c r="BF375" i="2" s="1"/>
  <c r="BF385" i="2" s="1"/>
  <c r="BF395" i="2" s="1"/>
  <c r="BF405" i="2" s="1"/>
  <c r="BF415" i="2" s="1"/>
  <c r="BF425" i="2" s="1"/>
  <c r="BF435" i="2" s="1"/>
  <c r="BF440" i="2" s="1"/>
  <c r="D305" i="2"/>
  <c r="C305" i="2"/>
  <c r="B305" i="2"/>
  <c r="B304" i="2"/>
  <c r="B302" i="2"/>
  <c r="BJ301" i="2"/>
  <c r="BI301" i="2"/>
  <c r="BH301" i="2"/>
  <c r="BG301" i="2"/>
  <c r="BD301" i="2"/>
  <c r="BB301" i="2"/>
  <c r="BH300" i="2"/>
  <c r="BH310" i="2" s="1"/>
  <c r="AH300" i="2"/>
  <c r="AG300" i="2"/>
  <c r="AE300" i="2"/>
  <c r="AD300" i="2"/>
  <c r="AD299" i="2"/>
  <c r="AE299" i="2" s="1"/>
  <c r="AF299" i="2" s="1"/>
  <c r="AG299" i="2" s="1"/>
  <c r="AH299" i="2" s="1"/>
  <c r="AS297" i="2"/>
  <c r="AR297" i="2" s="1"/>
  <c r="AQ297" i="2" s="1"/>
  <c r="AP297" i="2" s="1"/>
  <c r="B294" i="2"/>
  <c r="B292" i="2"/>
  <c r="B289" i="2"/>
  <c r="AD284" i="2"/>
  <c r="AG849" i="2" s="1"/>
  <c r="C849" i="2" s="1"/>
  <c r="B280" i="2"/>
  <c r="B279" i="2"/>
  <c r="AF271" i="2"/>
  <c r="AS270" i="2"/>
  <c r="AR270" i="2"/>
  <c r="AQ270" i="2"/>
  <c r="AP270" i="2"/>
  <c r="B266" i="2"/>
  <c r="AC265" i="2"/>
  <c r="AB265" i="2"/>
  <c r="AE265" i="2" s="1"/>
  <c r="B265" i="2"/>
  <c r="AB264" i="2"/>
  <c r="AE264" i="2" s="1"/>
  <c r="AP257" i="2"/>
  <c r="AO257" i="2"/>
  <c r="AN257" i="2"/>
  <c r="AK257" i="2"/>
  <c r="AJ257" i="2"/>
  <c r="AI257" i="2"/>
  <c r="AH257" i="2"/>
  <c r="AG257" i="2"/>
  <c r="AF257" i="2"/>
  <c r="AE257" i="2"/>
  <c r="AD257" i="2"/>
  <c r="D244" i="2"/>
  <c r="C244" i="2"/>
  <c r="B244" i="2"/>
  <c r="D243" i="2"/>
  <c r="C243" i="2"/>
  <c r="B243" i="2"/>
  <c r="D242" i="2"/>
  <c r="C242" i="2"/>
  <c r="B242" i="2"/>
  <c r="A242" i="2"/>
  <c r="D240" i="2"/>
  <c r="C240" i="2"/>
  <c r="B240" i="2"/>
  <c r="D239" i="2"/>
  <c r="C239" i="2"/>
  <c r="B239" i="2"/>
  <c r="D238" i="2"/>
  <c r="C238" i="2"/>
  <c r="B238" i="2"/>
  <c r="A238" i="2"/>
  <c r="D236" i="2"/>
  <c r="C236" i="2"/>
  <c r="B236" i="2"/>
  <c r="D235" i="2"/>
  <c r="C235" i="2"/>
  <c r="B235" i="2"/>
  <c r="D234" i="2"/>
  <c r="C234" i="2"/>
  <c r="B234" i="2"/>
  <c r="A234" i="2"/>
  <c r="D232" i="2"/>
  <c r="C232" i="2"/>
  <c r="B232" i="2"/>
  <c r="D231" i="2"/>
  <c r="C231" i="2"/>
  <c r="B231" i="2"/>
  <c r="D230" i="2"/>
  <c r="C230" i="2"/>
  <c r="B230" i="2"/>
  <c r="A230" i="2"/>
  <c r="D228" i="2"/>
  <c r="C228" i="2"/>
  <c r="B228" i="2"/>
  <c r="D227" i="2"/>
  <c r="C227" i="2"/>
  <c r="B227" i="2"/>
  <c r="D226" i="2"/>
  <c r="C226" i="2"/>
  <c r="B226" i="2"/>
  <c r="A226" i="2"/>
  <c r="C224" i="2"/>
  <c r="B224" i="2"/>
  <c r="A222" i="2"/>
  <c r="B221" i="2"/>
  <c r="B203" i="2"/>
  <c r="AL199" i="2"/>
  <c r="AL198" i="2"/>
  <c r="AL197" i="2"/>
  <c r="AL196" i="2"/>
  <c r="C196" i="2"/>
  <c r="AI196" i="2" s="1"/>
  <c r="B196" i="2"/>
  <c r="D263" i="2" s="1"/>
  <c r="AG193" i="2"/>
  <c r="AF193" i="2"/>
  <c r="AE193" i="2"/>
  <c r="AD191" i="2"/>
  <c r="B191" i="2"/>
  <c r="B189" i="2"/>
  <c r="AD187" i="2"/>
  <c r="B183" i="2"/>
  <c r="B181" i="2"/>
  <c r="A179" i="2"/>
  <c r="A178" i="2"/>
  <c r="A177" i="2"/>
  <c r="A176" i="2"/>
  <c r="A175" i="2"/>
  <c r="A174" i="2"/>
  <c r="A173" i="2"/>
  <c r="A172" i="2"/>
  <c r="A170" i="2"/>
  <c r="A171" i="2" s="1"/>
  <c r="AN162" i="2"/>
  <c r="AD162" i="2"/>
  <c r="AQ158" i="2"/>
  <c r="AQ159" i="2" s="1"/>
  <c r="AL158" i="2"/>
  <c r="AL159" i="2" s="1"/>
  <c r="AH158" i="2"/>
  <c r="AH159" i="2" s="1"/>
  <c r="AD158" i="2"/>
  <c r="AD159" i="2" s="1"/>
  <c r="AD156" i="2"/>
  <c r="AJ156" i="2" s="1"/>
  <c r="AN152" i="2"/>
  <c r="AD152" i="2"/>
  <c r="B136" i="2"/>
  <c r="A136" i="2"/>
  <c r="B134" i="2"/>
  <c r="A134" i="2"/>
  <c r="B132" i="2"/>
  <c r="B130" i="2"/>
  <c r="B128" i="2"/>
  <c r="B126" i="2"/>
  <c r="AP124" i="2"/>
  <c r="B124" i="2"/>
  <c r="B122" i="2"/>
  <c r="B120" i="2"/>
  <c r="B118" i="2"/>
  <c r="B116" i="2"/>
  <c r="B114" i="2"/>
  <c r="B112" i="2"/>
  <c r="B110" i="2"/>
  <c r="B108" i="2"/>
  <c r="AI62" i="2"/>
  <c r="AO62" i="2" s="1"/>
  <c r="AD60" i="2" s="1"/>
  <c r="B63" i="2" s="1"/>
  <c r="AI54" i="2"/>
  <c r="B2163" i="2" s="1"/>
  <c r="AD54" i="2"/>
  <c r="B28" i="2"/>
  <c r="B24" i="2"/>
  <c r="C22" i="2"/>
  <c r="B22" i="2" s="1"/>
  <c r="C20" i="2"/>
  <c r="B20" i="2" s="1"/>
  <c r="C18" i="2"/>
  <c r="B18" i="2" s="1"/>
  <c r="C16" i="2"/>
  <c r="B16" i="2" s="1"/>
  <c r="B14" i="2"/>
  <c r="C10" i="2"/>
  <c r="C8" i="2"/>
  <c r="C7" i="2"/>
  <c r="AU1" i="2"/>
  <c r="AU2" i="2" s="1"/>
  <c r="AT1" i="2"/>
  <c r="AT2" i="2" s="1"/>
  <c r="AS1" i="2"/>
  <c r="AS2" i="2" s="1"/>
  <c r="AR1" i="2"/>
  <c r="AR2" i="2" s="1"/>
  <c r="AQ1" i="2"/>
  <c r="AQ2" i="2" s="1"/>
  <c r="AX1600" i="1"/>
  <c r="AV749" i="1"/>
  <c r="AV750" i="1"/>
  <c r="AV751" i="1"/>
  <c r="AV752" i="1"/>
  <c r="AV753" i="1"/>
  <c r="AV748" i="1"/>
  <c r="AZ750" i="1"/>
  <c r="AX751" i="1" s="1"/>
  <c r="AX750" i="1"/>
  <c r="AS750" i="1"/>
  <c r="AS751" i="1"/>
  <c r="AS752" i="1"/>
  <c r="AS753" i="1"/>
  <c r="AQ750" i="1"/>
  <c r="AQ751" i="1"/>
  <c r="AQ752" i="1"/>
  <c r="AQ753" i="1"/>
  <c r="AO750" i="1"/>
  <c r="AO751" i="1"/>
  <c r="AO752" i="1"/>
  <c r="AO753" i="1"/>
  <c r="AM750" i="1"/>
  <c r="AM751" i="1"/>
  <c r="AM752" i="1"/>
  <c r="AM753" i="1"/>
  <c r="AK750" i="1"/>
  <c r="AK751" i="1"/>
  <c r="AK752" i="1"/>
  <c r="AK753" i="1"/>
  <c r="AS749" i="1"/>
  <c r="AQ749" i="1"/>
  <c r="AO749" i="1"/>
  <c r="AM749" i="1"/>
  <c r="AK749" i="1"/>
  <c r="AI750" i="1"/>
  <c r="AI751" i="1"/>
  <c r="AI752" i="1"/>
  <c r="AI753" i="1"/>
  <c r="AI749" i="1"/>
  <c r="AG753" i="1"/>
  <c r="AG752" i="1"/>
  <c r="AG751" i="1"/>
  <c r="AG750" i="1"/>
  <c r="AG749" i="1"/>
  <c r="A749" i="1"/>
  <c r="A750" i="1" s="1"/>
  <c r="A751" i="1" s="1"/>
  <c r="A752" i="1" s="1"/>
  <c r="A753" i="1" s="1"/>
  <c r="A754" i="1" s="1"/>
  <c r="A755" i="1" s="1"/>
  <c r="A136" i="1"/>
  <c r="A134" i="1"/>
  <c r="BG2293" i="1"/>
  <c r="BH2293" i="1" s="1"/>
  <c r="BG2292" i="1"/>
  <c r="BH2292" i="1" s="1"/>
  <c r="BK2292" i="1" s="1"/>
  <c r="BG2291" i="1"/>
  <c r="BH2291" i="1" s="1"/>
  <c r="BG2290" i="1"/>
  <c r="BH2290" i="1" s="1"/>
  <c r="AI2290" i="1"/>
  <c r="BG2289" i="1"/>
  <c r="BH2289" i="1" s="1"/>
  <c r="AI2289" i="1"/>
  <c r="BG2288" i="1"/>
  <c r="BH2288" i="1" s="1"/>
  <c r="BK2288" i="1" s="1"/>
  <c r="C2288" i="1"/>
  <c r="BG2287" i="1"/>
  <c r="BH2287" i="1" s="1"/>
  <c r="BK2287" i="1" s="1"/>
  <c r="AI2287" i="1"/>
  <c r="BG2286" i="1"/>
  <c r="BH2286" i="1" s="1"/>
  <c r="D2286" i="1"/>
  <c r="BG2285" i="1"/>
  <c r="BH2285" i="1" s="1"/>
  <c r="AI2285" i="1"/>
  <c r="BG2284" i="1"/>
  <c r="BH2284" i="1" s="1"/>
  <c r="AI2284" i="1"/>
  <c r="BG2283" i="1"/>
  <c r="BH2283" i="1" s="1"/>
  <c r="BG2282" i="1"/>
  <c r="BH2282" i="1" s="1"/>
  <c r="BG2281" i="1"/>
  <c r="BH2281" i="1" s="1"/>
  <c r="BG2280" i="1"/>
  <c r="BH2280" i="1" s="1"/>
  <c r="BG2279" i="1"/>
  <c r="BH2279" i="1" s="1"/>
  <c r="BG2278" i="1"/>
  <c r="BH2278" i="1" s="1"/>
  <c r="AI2278" i="1"/>
  <c r="D2225" i="1" s="1"/>
  <c r="C1083" i="1" s="1"/>
  <c r="BG2277" i="1"/>
  <c r="BH2277" i="1" s="1"/>
  <c r="AI2277" i="1"/>
  <c r="BG2276" i="1"/>
  <c r="BH2276" i="1" s="1"/>
  <c r="BG2275" i="1"/>
  <c r="BH2275" i="1" s="1"/>
  <c r="AI2275" i="1"/>
  <c r="BG2274" i="1"/>
  <c r="BH2274" i="1" s="1"/>
  <c r="BI2274" i="1" s="1"/>
  <c r="AI2274" i="1"/>
  <c r="D2274" i="1"/>
  <c r="D2290" i="1" s="1"/>
  <c r="BG2273" i="1"/>
  <c r="BH2273" i="1" s="1"/>
  <c r="BG2272" i="1"/>
  <c r="BH2272" i="1" s="1"/>
  <c r="BK2272" i="1" s="1"/>
  <c r="AI2272" i="1"/>
  <c r="BG2271" i="1"/>
  <c r="BH2271" i="1" s="1"/>
  <c r="AI2271" i="1"/>
  <c r="BG2270" i="1"/>
  <c r="BH2270" i="1" s="1"/>
  <c r="BG2269" i="1"/>
  <c r="BH2269" i="1" s="1"/>
  <c r="BK2269" i="1" s="1"/>
  <c r="AI2269" i="1"/>
  <c r="BG2268" i="1"/>
  <c r="BH2268" i="1" s="1"/>
  <c r="AI2268" i="1"/>
  <c r="BG2267" i="1"/>
  <c r="BH2267" i="1" s="1"/>
  <c r="C2267" i="1"/>
  <c r="BG2266" i="1"/>
  <c r="BH2266" i="1" s="1"/>
  <c r="AI2266" i="1"/>
  <c r="D2266" i="1"/>
  <c r="BG2265" i="1"/>
  <c r="BH2265" i="1" s="1"/>
  <c r="BJ2265" i="1" s="1"/>
  <c r="AI2265" i="1"/>
  <c r="BG2264" i="1"/>
  <c r="BH2264" i="1" s="1"/>
  <c r="AI2264" i="1"/>
  <c r="BG2263" i="1"/>
  <c r="BH2263" i="1" s="1"/>
  <c r="BK2263" i="1" s="1"/>
  <c r="AI2263" i="1"/>
  <c r="BG2262" i="1"/>
  <c r="BH2262" i="1" s="1"/>
  <c r="BG2261" i="1"/>
  <c r="BH2261" i="1" s="1"/>
  <c r="BJ2261" i="1" s="1"/>
  <c r="AI2261" i="1"/>
  <c r="BG2260" i="1"/>
  <c r="BH2260" i="1" s="1"/>
  <c r="AI2260" i="1"/>
  <c r="D2260" i="1"/>
  <c r="BG2259" i="1"/>
  <c r="BH2259" i="1" s="1"/>
  <c r="BG2258" i="1"/>
  <c r="BH2258" i="1" s="1"/>
  <c r="AI2258" i="1"/>
  <c r="AI2262" i="1" s="1"/>
  <c r="AI2267" i="1" s="1"/>
  <c r="AI2286" i="1" s="1"/>
  <c r="AI2288" i="1" s="1"/>
  <c r="AI2291" i="1" s="1"/>
  <c r="BG2257" i="1"/>
  <c r="BH2257" i="1" s="1"/>
  <c r="BJ2257" i="1" s="1"/>
  <c r="AI2257" i="1"/>
  <c r="C2257" i="1"/>
  <c r="BG2256" i="1"/>
  <c r="BH2256" i="1" s="1"/>
  <c r="BJ2256" i="1" s="1"/>
  <c r="AI2256" i="1"/>
  <c r="BG2255" i="1"/>
  <c r="BH2255" i="1" s="1"/>
  <c r="AI2255" i="1"/>
  <c r="BG2254" i="1"/>
  <c r="BH2254" i="1" s="1"/>
  <c r="BJ2254" i="1" s="1"/>
  <c r="BG2253" i="1"/>
  <c r="BH2253" i="1" s="1"/>
  <c r="AI2253" i="1"/>
  <c r="BG2252" i="1"/>
  <c r="BH2252" i="1" s="1"/>
  <c r="BG2251" i="1"/>
  <c r="BH2251" i="1" s="1"/>
  <c r="BJ2251" i="1" s="1"/>
  <c r="AI2251" i="1"/>
  <c r="BG2250" i="1"/>
  <c r="BH2250" i="1" s="1"/>
  <c r="BG2249" i="1"/>
  <c r="BH2249" i="1" s="1"/>
  <c r="BG2248" i="1"/>
  <c r="BH2248" i="1" s="1"/>
  <c r="AI2248" i="1"/>
  <c r="C2248" i="1"/>
  <c r="BG2247" i="1"/>
  <c r="BH2247" i="1" s="1"/>
  <c r="AI2247" i="1"/>
  <c r="BG2246" i="1"/>
  <c r="BH2246" i="1" s="1"/>
  <c r="BK2246" i="1" s="1"/>
  <c r="AI2246" i="1"/>
  <c r="C2246" i="1"/>
  <c r="BG2245" i="1"/>
  <c r="BH2245" i="1" s="1"/>
  <c r="BK2245" i="1" s="1"/>
  <c r="BG2244" i="1"/>
  <c r="BH2244" i="1" s="1"/>
  <c r="BG2243" i="1"/>
  <c r="BH2243" i="1" s="1"/>
  <c r="BK2243" i="1" s="1"/>
  <c r="BG2242" i="1"/>
  <c r="BH2242" i="1" s="1"/>
  <c r="AI2242" i="1"/>
  <c r="B2228" i="1"/>
  <c r="B2227" i="1"/>
  <c r="B2226" i="1"/>
  <c r="B2225" i="1"/>
  <c r="B2224" i="1"/>
  <c r="B2223" i="1"/>
  <c r="B2222" i="1"/>
  <c r="B2221" i="1"/>
  <c r="B2217" i="1"/>
  <c r="AC2217" i="1" s="1"/>
  <c r="B2216" i="1"/>
  <c r="AC2216" i="1" s="1"/>
  <c r="B2215" i="1"/>
  <c r="B2214" i="1"/>
  <c r="CN2214" i="1" s="1"/>
  <c r="B2213" i="1"/>
  <c r="AC2213" i="1" s="1"/>
  <c r="B2212" i="1"/>
  <c r="AC2212" i="1" s="1"/>
  <c r="B2211" i="1"/>
  <c r="AC2211" i="1" s="1"/>
  <c r="B2210" i="1"/>
  <c r="CN2210" i="1" s="1"/>
  <c r="B2209" i="1"/>
  <c r="AC2209" i="1" s="1"/>
  <c r="B2208" i="1"/>
  <c r="AC2208" i="1" s="1"/>
  <c r="B2207" i="1"/>
  <c r="AC2207" i="1" s="1"/>
  <c r="B2206" i="1"/>
  <c r="AC2206" i="1" s="1"/>
  <c r="B2205" i="1"/>
  <c r="AC2205" i="1" s="1"/>
  <c r="B2204" i="1"/>
  <c r="AC2204" i="1" s="1"/>
  <c r="B2203" i="1"/>
  <c r="AC2203" i="1" s="1"/>
  <c r="B2202" i="1"/>
  <c r="AC2202" i="1" s="1"/>
  <c r="B2201" i="1"/>
  <c r="AC2201" i="1" s="1"/>
  <c r="B2200" i="1"/>
  <c r="AC2200" i="1" s="1"/>
  <c r="B2199" i="1"/>
  <c r="CN2199" i="1" s="1"/>
  <c r="B2198" i="1"/>
  <c r="CN2198" i="1" s="1"/>
  <c r="B2197" i="1"/>
  <c r="AC2197" i="1" s="1"/>
  <c r="B2196" i="1"/>
  <c r="CN2196" i="1" s="1"/>
  <c r="B2195" i="1"/>
  <c r="CN2195" i="1" s="1"/>
  <c r="B2194" i="1"/>
  <c r="AC2194" i="1" s="1"/>
  <c r="B2193" i="1"/>
  <c r="B2192" i="1"/>
  <c r="AC2192" i="1" s="1"/>
  <c r="B2191" i="1"/>
  <c r="AC2191" i="1" s="1"/>
  <c r="B2190" i="1"/>
  <c r="AC2190" i="1" s="1"/>
  <c r="B2189" i="1"/>
  <c r="CN2193" i="1" s="1"/>
  <c r="B2188" i="1"/>
  <c r="CN2188" i="1" s="1"/>
  <c r="B2187" i="1"/>
  <c r="CN2187" i="1" s="1"/>
  <c r="B2186" i="1"/>
  <c r="AC2186" i="1" s="1"/>
  <c r="B2185" i="1"/>
  <c r="AC2185" i="1" s="1"/>
  <c r="B2184" i="1"/>
  <c r="AC2184" i="1" s="1"/>
  <c r="B2183" i="1"/>
  <c r="CN2183" i="1" s="1"/>
  <c r="B2182" i="1"/>
  <c r="AC2182" i="1" s="1"/>
  <c r="B2181" i="1"/>
  <c r="AC2181" i="1" s="1"/>
  <c r="B2180" i="1"/>
  <c r="AC2180" i="1" s="1"/>
  <c r="B2179" i="1"/>
  <c r="AC2179" i="1" s="1"/>
  <c r="B2178" i="1"/>
  <c r="AC2178" i="1" s="1"/>
  <c r="B2177" i="1"/>
  <c r="AC2177" i="1" s="1"/>
  <c r="B2176" i="1"/>
  <c r="AC2176" i="1" s="1"/>
  <c r="AC2175" i="1"/>
  <c r="B2174" i="1"/>
  <c r="AC2174" i="1" s="1"/>
  <c r="B2173" i="1"/>
  <c r="AC2173" i="1" s="1"/>
  <c r="B2172" i="1"/>
  <c r="CN2172" i="1" s="1"/>
  <c r="B2171" i="1"/>
  <c r="CN2171" i="1" s="1"/>
  <c r="B2170" i="1"/>
  <c r="AC2170" i="1" s="1"/>
  <c r="B2169" i="1"/>
  <c r="AC2169" i="1" s="1"/>
  <c r="B2168" i="1"/>
  <c r="AC2168" i="1" s="1"/>
  <c r="B2167" i="1"/>
  <c r="AC2167" i="1" s="1"/>
  <c r="C2161" i="1"/>
  <c r="B2161" i="1"/>
  <c r="AM2160" i="1"/>
  <c r="C2048" i="1"/>
  <c r="D2048" i="1" s="1"/>
  <c r="D2047" i="1"/>
  <c r="D2046" i="1"/>
  <c r="D2045" i="1"/>
  <c r="D2044" i="1"/>
  <c r="D2043" i="1"/>
  <c r="AG1972" i="1"/>
  <c r="AF1972" i="1"/>
  <c r="AE1972" i="1"/>
  <c r="AD1972" i="1"/>
  <c r="AC1972" i="1"/>
  <c r="D1951" i="1"/>
  <c r="D1950" i="1"/>
  <c r="B1979" i="1" s="1"/>
  <c r="D1949" i="1"/>
  <c r="B1971" i="1" s="1"/>
  <c r="D1948" i="1"/>
  <c r="B1966" i="1" s="1"/>
  <c r="D1947" i="1"/>
  <c r="D1946" i="1"/>
  <c r="B1959" i="1" s="1"/>
  <c r="D1945" i="1"/>
  <c r="B1954" i="1" s="1"/>
  <c r="AH1896" i="1"/>
  <c r="AH430" i="1" s="1"/>
  <c r="AG1896" i="1"/>
  <c r="AG420" i="1" s="1"/>
  <c r="AF1896" i="1"/>
  <c r="AF420" i="1" s="1"/>
  <c r="AE1896" i="1"/>
  <c r="AE360" i="1" s="1"/>
  <c r="AD1896" i="1"/>
  <c r="AD420" i="1" s="1"/>
  <c r="AC1896" i="1"/>
  <c r="AC320" i="1" s="1"/>
  <c r="E1882" i="1"/>
  <c r="AL524" i="1" s="1"/>
  <c r="AE1881" i="1"/>
  <c r="AE1880" i="1" s="1"/>
  <c r="AE1879" i="1" s="1"/>
  <c r="AE1878" i="1" s="1"/>
  <c r="AE1877" i="1" s="1"/>
  <c r="AD1881" i="1"/>
  <c r="AD1880" i="1" s="1"/>
  <c r="AD1879" i="1" s="1"/>
  <c r="AD1878" i="1" s="1"/>
  <c r="AD1877" i="1" s="1"/>
  <c r="AC1881" i="1"/>
  <c r="AB1881" i="1"/>
  <c r="AB1880" i="1" s="1"/>
  <c r="AB1879" i="1" s="1"/>
  <c r="AB1878" i="1" s="1"/>
  <c r="AB1877" i="1" s="1"/>
  <c r="G1881" i="1"/>
  <c r="G1880" i="1" s="1"/>
  <c r="G1879" i="1" s="1"/>
  <c r="G1878" i="1" s="1"/>
  <c r="G1877" i="1" s="1"/>
  <c r="D1801" i="1"/>
  <c r="B1800" i="1"/>
  <c r="BB1641" i="1"/>
  <c r="BB1640" i="1" s="1"/>
  <c r="BH1640" i="1" s="1"/>
  <c r="AH1640" i="1"/>
  <c r="AM1640" i="1" s="1"/>
  <c r="B1640" i="1" s="1"/>
  <c r="BB1638" i="1"/>
  <c r="BB1637" i="1" s="1"/>
  <c r="BH1637" i="1" s="1"/>
  <c r="AH1637" i="1"/>
  <c r="AM1637" i="1" s="1"/>
  <c r="B1637" i="1" s="1"/>
  <c r="BB1635" i="1"/>
  <c r="BB1634" i="1" s="1"/>
  <c r="BH1634" i="1" s="1"/>
  <c r="AH1634" i="1"/>
  <c r="AM1634" i="1" s="1"/>
  <c r="B1634" i="1" s="1"/>
  <c r="BD1632" i="1"/>
  <c r="BD1631" i="1" s="1"/>
  <c r="BJ1631" i="1" s="1"/>
  <c r="BB1632" i="1"/>
  <c r="BB1631" i="1" s="1"/>
  <c r="BH1631" i="1" s="1"/>
  <c r="AJ1631" i="1"/>
  <c r="AH1631" i="1"/>
  <c r="BB1629" i="1"/>
  <c r="BB1628" i="1" s="1"/>
  <c r="BH1628" i="1" s="1"/>
  <c r="AH1628" i="1"/>
  <c r="AM1628" i="1" s="1"/>
  <c r="B1628" i="1" s="1"/>
  <c r="BD1626" i="1"/>
  <c r="BD1625" i="1" s="1"/>
  <c r="BJ1625" i="1" s="1"/>
  <c r="BB1626" i="1"/>
  <c r="BB1625" i="1" s="1"/>
  <c r="BH1625" i="1" s="1"/>
  <c r="AJ1625" i="1"/>
  <c r="AH1625" i="1"/>
  <c r="BB1623" i="1"/>
  <c r="BB1622" i="1" s="1"/>
  <c r="BH1622" i="1" s="1"/>
  <c r="AH1622" i="1"/>
  <c r="AM1622" i="1" s="1"/>
  <c r="B1622" i="1" s="1"/>
  <c r="BD1620" i="1"/>
  <c r="BD1619" i="1" s="1"/>
  <c r="BB1620" i="1"/>
  <c r="BB1619" i="1" s="1"/>
  <c r="BH1619" i="1" s="1"/>
  <c r="AJ1619" i="1"/>
  <c r="AH1619" i="1"/>
  <c r="BD1617" i="1"/>
  <c r="BD1616" i="1" s="1"/>
  <c r="BB1617" i="1"/>
  <c r="BB1616" i="1" s="1"/>
  <c r="BH1616" i="1" s="1"/>
  <c r="AJ1616" i="1"/>
  <c r="AH1616" i="1"/>
  <c r="BB1614" i="1"/>
  <c r="BB1613" i="1" s="1"/>
  <c r="BH1613" i="1" s="1"/>
  <c r="AH1613" i="1"/>
  <c r="AM1613" i="1" s="1"/>
  <c r="B1613" i="1" s="1"/>
  <c r="BD1611" i="1"/>
  <c r="BB1611" i="1"/>
  <c r="BB1610" i="1" s="1"/>
  <c r="BH1610" i="1" s="1"/>
  <c r="AJ1610" i="1"/>
  <c r="AH1610" i="1"/>
  <c r="BD1608" i="1"/>
  <c r="BD1607" i="1" s="1"/>
  <c r="BJ1607" i="1" s="1"/>
  <c r="BB1608" i="1"/>
  <c r="BB1607" i="1" s="1"/>
  <c r="BH1607" i="1" s="1"/>
  <c r="AJ1607" i="1"/>
  <c r="AH1607" i="1"/>
  <c r="AR1605" i="1"/>
  <c r="AL1605" i="1"/>
  <c r="AL1604" i="1"/>
  <c r="AR1604" i="1" s="1"/>
  <c r="AL1603" i="1"/>
  <c r="AR1603" i="1" s="1"/>
  <c r="AL1602" i="1"/>
  <c r="AR1602" i="1" s="1"/>
  <c r="AL1601" i="1"/>
  <c r="AR1601" i="1" s="1"/>
  <c r="AR1634" i="1"/>
  <c r="B1581" i="1"/>
  <c r="AO1580" i="1"/>
  <c r="D1580" i="1" s="1"/>
  <c r="B1580" i="1"/>
  <c r="B1575" i="1"/>
  <c r="AO1574" i="1"/>
  <c r="D1574" i="1" s="1"/>
  <c r="B1574" i="1"/>
  <c r="B1569" i="1"/>
  <c r="AO1568" i="1"/>
  <c r="D1568" i="1" s="1"/>
  <c r="B1568" i="1"/>
  <c r="B1563" i="1"/>
  <c r="AO1562" i="1"/>
  <c r="D1562" i="1" s="1"/>
  <c r="B1562" i="1"/>
  <c r="B1557" i="1"/>
  <c r="AO1556" i="1"/>
  <c r="D1556" i="1" s="1"/>
  <c r="B1556" i="1"/>
  <c r="AE1539" i="1"/>
  <c r="AD1539" i="1"/>
  <c r="AC1539" i="1"/>
  <c r="AD1538" i="1"/>
  <c r="AD1537" i="1"/>
  <c r="AD1536" i="1"/>
  <c r="AD1535" i="1"/>
  <c r="AD1534" i="1"/>
  <c r="AQ1533" i="1"/>
  <c r="AI1533" i="1" s="1"/>
  <c r="C1532" i="1"/>
  <c r="AE1529" i="1"/>
  <c r="AD1529" i="1"/>
  <c r="AC1529" i="1"/>
  <c r="AD1528" i="1"/>
  <c r="AD1527" i="1"/>
  <c r="AD1526" i="1"/>
  <c r="AD1525" i="1"/>
  <c r="AD1524" i="1"/>
  <c r="AQ1523" i="1"/>
  <c r="AI1523" i="1" s="1"/>
  <c r="C1522" i="1"/>
  <c r="AE1519" i="1"/>
  <c r="AD1519" i="1"/>
  <c r="AC1519" i="1"/>
  <c r="AD1518" i="1"/>
  <c r="AD1517" i="1"/>
  <c r="AD1516" i="1"/>
  <c r="BZ1515" i="1"/>
  <c r="CB1515" i="1" s="1"/>
  <c r="AD1515" i="1"/>
  <c r="BZ1514" i="1"/>
  <c r="CB1514" i="1" s="1"/>
  <c r="AD1514" i="1"/>
  <c r="CB1513" i="1"/>
  <c r="AQ1513" i="1"/>
  <c r="AI1513" i="1" s="1"/>
  <c r="C1512" i="1"/>
  <c r="AE1509" i="1"/>
  <c r="AD1509" i="1"/>
  <c r="AC1509" i="1"/>
  <c r="AD1508" i="1"/>
  <c r="AD1507" i="1"/>
  <c r="AD1506" i="1"/>
  <c r="AD1505" i="1"/>
  <c r="AD1504" i="1"/>
  <c r="AQ1503" i="1"/>
  <c r="AI1503" i="1" s="1"/>
  <c r="C1502" i="1"/>
  <c r="AE1499" i="1"/>
  <c r="AD1499" i="1"/>
  <c r="AC1499" i="1"/>
  <c r="AD1498" i="1"/>
  <c r="BF1497" i="1"/>
  <c r="AD1497" i="1"/>
  <c r="BF1496" i="1"/>
  <c r="AD1496" i="1"/>
  <c r="BF1495" i="1"/>
  <c r="AD1495" i="1"/>
  <c r="BJ1494" i="1"/>
  <c r="BH1494" i="1"/>
  <c r="BF1494" i="1"/>
  <c r="AD1494" i="1"/>
  <c r="BJ1493" i="1"/>
  <c r="BH1493" i="1"/>
  <c r="AQ1493" i="1"/>
  <c r="AI1493" i="1" s="1"/>
  <c r="BJ1492" i="1"/>
  <c r="BH1492" i="1"/>
  <c r="BF1492" i="1"/>
  <c r="BJ1491" i="1"/>
  <c r="BH1491" i="1"/>
  <c r="BF1491" i="1"/>
  <c r="BJ1490" i="1"/>
  <c r="BH1490" i="1"/>
  <c r="BF1490" i="1"/>
  <c r="BJ1489" i="1"/>
  <c r="BH1489" i="1"/>
  <c r="BF1489" i="1"/>
  <c r="AE1489" i="1"/>
  <c r="AD1489" i="1"/>
  <c r="AC1489" i="1"/>
  <c r="BJ1488" i="1"/>
  <c r="BH1488" i="1"/>
  <c r="AD1488" i="1"/>
  <c r="BJ1487" i="1"/>
  <c r="BH1487" i="1"/>
  <c r="BF1487" i="1"/>
  <c r="AD1487" i="1"/>
  <c r="BJ1486" i="1"/>
  <c r="BH1486" i="1"/>
  <c r="BF1486" i="1"/>
  <c r="AD1486" i="1"/>
  <c r="CG1485" i="1"/>
  <c r="CD1485" i="1"/>
  <c r="CE1485" i="1" s="1"/>
  <c r="BZ1485" i="1"/>
  <c r="BJ1485" i="1"/>
  <c r="BH1485" i="1"/>
  <c r="BF1485" i="1"/>
  <c r="AD1485" i="1"/>
  <c r="CD1484" i="1"/>
  <c r="CE1484" i="1" s="1"/>
  <c r="CB1484" i="1" s="1"/>
  <c r="BZ1484" i="1"/>
  <c r="BJ1484" i="1"/>
  <c r="BH1484" i="1"/>
  <c r="AD1484" i="1"/>
  <c r="CI1483" i="1"/>
  <c r="AE1491" i="1" s="1"/>
  <c r="BJ1483" i="1"/>
  <c r="BF1484" i="1" s="1"/>
  <c r="BH1483" i="1" s="1"/>
  <c r="AQ1483" i="1"/>
  <c r="AI1483" i="1" s="1"/>
  <c r="D1435" i="1"/>
  <c r="AH1435" i="1" s="1"/>
  <c r="C1435" i="1"/>
  <c r="AC1432" i="1"/>
  <c r="D1431" i="1"/>
  <c r="AH1431" i="1" s="1"/>
  <c r="C1431" i="1"/>
  <c r="AC1431" i="1" s="1"/>
  <c r="D1425" i="1"/>
  <c r="AH1425" i="1" s="1"/>
  <c r="C1425" i="1"/>
  <c r="AC1422" i="1"/>
  <c r="D1421" i="1"/>
  <c r="AH1421" i="1" s="1"/>
  <c r="C1421" i="1"/>
  <c r="AC1421" i="1" s="1"/>
  <c r="D1415" i="1"/>
  <c r="AH1415" i="1" s="1"/>
  <c r="C1415" i="1"/>
  <c r="AC1412" i="1"/>
  <c r="D1411" i="1"/>
  <c r="AH1411" i="1" s="1"/>
  <c r="C1411" i="1"/>
  <c r="AC1411" i="1" s="1"/>
  <c r="D1405" i="1"/>
  <c r="AH1405" i="1" s="1"/>
  <c r="C1405" i="1"/>
  <c r="AC1402" i="1"/>
  <c r="D1401" i="1"/>
  <c r="AH1401" i="1" s="1"/>
  <c r="C1401" i="1"/>
  <c r="AC1401" i="1" s="1"/>
  <c r="D1395" i="1"/>
  <c r="AH1395" i="1" s="1"/>
  <c r="C1395" i="1"/>
  <c r="AC1392" i="1"/>
  <c r="D1391" i="1"/>
  <c r="AH1391" i="1" s="1"/>
  <c r="C1391" i="1"/>
  <c r="D1385" i="1"/>
  <c r="AH1385" i="1" s="1"/>
  <c r="C1385" i="1"/>
  <c r="AC1382" i="1"/>
  <c r="D1381" i="1"/>
  <c r="AH1381" i="1" s="1"/>
  <c r="C1381" i="1"/>
  <c r="D1375" i="1"/>
  <c r="AH1375" i="1" s="1"/>
  <c r="C1375" i="1"/>
  <c r="AC1372" i="1"/>
  <c r="D1371" i="1"/>
  <c r="AH1371" i="1" s="1"/>
  <c r="C1371" i="1"/>
  <c r="AC1371" i="1" s="1"/>
  <c r="D1365" i="1"/>
  <c r="AH1365" i="1" s="1"/>
  <c r="C1365" i="1"/>
  <c r="AC1362" i="1"/>
  <c r="D1361" i="1"/>
  <c r="AH1361" i="1" s="1"/>
  <c r="C1361" i="1"/>
  <c r="AC1361" i="1" s="1"/>
  <c r="D1355" i="1"/>
  <c r="AH1355" i="1" s="1"/>
  <c r="C1355" i="1"/>
  <c r="AC1352" i="1"/>
  <c r="D1351" i="1"/>
  <c r="AH1351" i="1" s="1"/>
  <c r="C1351" i="1"/>
  <c r="D1345" i="1"/>
  <c r="AH1345" i="1" s="1"/>
  <c r="C1345" i="1"/>
  <c r="AC1342" i="1"/>
  <c r="D1341" i="1"/>
  <c r="AH1341" i="1" s="1"/>
  <c r="C1341" i="1"/>
  <c r="D1335" i="1"/>
  <c r="AH1335" i="1" s="1"/>
  <c r="C1335" i="1"/>
  <c r="AC1332" i="1"/>
  <c r="D1331" i="1"/>
  <c r="AH1331" i="1" s="1"/>
  <c r="C1331" i="1"/>
  <c r="AC1331" i="1" s="1"/>
  <c r="D1325" i="1"/>
  <c r="AH1325" i="1" s="1"/>
  <c r="C1325" i="1"/>
  <c r="AC1322" i="1"/>
  <c r="D1321" i="1"/>
  <c r="AH1321" i="1" s="1"/>
  <c r="C1321" i="1"/>
  <c r="AC1321" i="1" s="1"/>
  <c r="D1315" i="1"/>
  <c r="AH1315" i="1" s="1"/>
  <c r="C1315" i="1"/>
  <c r="AC1312" i="1"/>
  <c r="D1311" i="1"/>
  <c r="AH1311" i="1" s="1"/>
  <c r="C1311" i="1"/>
  <c r="D1305" i="1"/>
  <c r="AH1305" i="1" s="1"/>
  <c r="C1305" i="1"/>
  <c r="AC1302" i="1"/>
  <c r="D1301" i="1"/>
  <c r="AH1301" i="1" s="1"/>
  <c r="C1301" i="1"/>
  <c r="AC1301" i="1" s="1"/>
  <c r="D1295" i="1"/>
  <c r="AH1295" i="1" s="1"/>
  <c r="C1295" i="1"/>
  <c r="AC1292" i="1"/>
  <c r="D1291" i="1"/>
  <c r="AH1291" i="1" s="1"/>
  <c r="C1291" i="1"/>
  <c r="D1285" i="1"/>
  <c r="AH1285" i="1" s="1"/>
  <c r="C1285" i="1"/>
  <c r="AC1282" i="1"/>
  <c r="D1281" i="1"/>
  <c r="AH1281" i="1" s="1"/>
  <c r="C1281" i="1"/>
  <c r="AC1281" i="1" s="1"/>
  <c r="D1275" i="1"/>
  <c r="AH1275" i="1" s="1"/>
  <c r="C1275" i="1"/>
  <c r="AC1272" i="1"/>
  <c r="D1271" i="1"/>
  <c r="AH1271" i="1" s="1"/>
  <c r="C1271" i="1"/>
  <c r="D1265" i="1"/>
  <c r="AH1265" i="1" s="1"/>
  <c r="C1265" i="1"/>
  <c r="AC1262" i="1"/>
  <c r="D1261" i="1"/>
  <c r="AH1261" i="1" s="1"/>
  <c r="C1261" i="1"/>
  <c r="AC1261" i="1" s="1"/>
  <c r="D1255" i="1"/>
  <c r="AH1255" i="1" s="1"/>
  <c r="C1255" i="1"/>
  <c r="AC1252" i="1"/>
  <c r="D1251" i="1"/>
  <c r="AH1251" i="1" s="1"/>
  <c r="C1251" i="1"/>
  <c r="AC1251" i="1" s="1"/>
  <c r="D1245" i="1"/>
  <c r="AH1245" i="1" s="1"/>
  <c r="C1245" i="1"/>
  <c r="AC1242" i="1"/>
  <c r="D1241" i="1"/>
  <c r="AH1241" i="1" s="1"/>
  <c r="C1241" i="1"/>
  <c r="D1235" i="1"/>
  <c r="AH1235" i="1" s="1"/>
  <c r="C1235" i="1"/>
  <c r="AC1232" i="1"/>
  <c r="D1231" i="1"/>
  <c r="AH1231" i="1" s="1"/>
  <c r="C1231" i="1"/>
  <c r="AC1231" i="1" s="1"/>
  <c r="D1225" i="1"/>
  <c r="AH1225" i="1" s="1"/>
  <c r="C1225" i="1"/>
  <c r="AC1222" i="1"/>
  <c r="D1221" i="1"/>
  <c r="AH1221" i="1" s="1"/>
  <c r="C1221" i="1"/>
  <c r="AC1221" i="1" s="1"/>
  <c r="D1215" i="1"/>
  <c r="AH1215" i="1" s="1"/>
  <c r="C1215" i="1"/>
  <c r="AS1213" i="1"/>
  <c r="AC1212" i="1"/>
  <c r="D1211" i="1"/>
  <c r="AH1211" i="1" s="1"/>
  <c r="C1211" i="1"/>
  <c r="AC1211" i="1" s="1"/>
  <c r="AX1205" i="1"/>
  <c r="AS1204" i="1" s="1"/>
  <c r="D1205" i="1"/>
  <c r="AH1205" i="1" s="1"/>
  <c r="C1205" i="1"/>
  <c r="D1203" i="1"/>
  <c r="AC1202" i="1"/>
  <c r="D1201" i="1"/>
  <c r="AH1201" i="1" s="1"/>
  <c r="C1201" i="1"/>
  <c r="A1201" i="1" s="1"/>
  <c r="AC1199" i="1"/>
  <c r="AI1199" i="1" s="1"/>
  <c r="AJ1197" i="1"/>
  <c r="B1197" i="1"/>
  <c r="BN1196" i="1"/>
  <c r="AC1065" i="1"/>
  <c r="D1049" i="1"/>
  <c r="D1052" i="1" s="1"/>
  <c r="AG1038" i="1"/>
  <c r="C1026" i="1"/>
  <c r="C1021" i="1"/>
  <c r="AF1025" i="1" s="1"/>
  <c r="C1016" i="1"/>
  <c r="C1011" i="1"/>
  <c r="AF1014" i="1" s="1"/>
  <c r="C1006" i="1"/>
  <c r="AF1009" i="1" s="1"/>
  <c r="C1001" i="1"/>
  <c r="AF1004" i="1" s="1"/>
  <c r="C996" i="1"/>
  <c r="AF999" i="1" s="1"/>
  <c r="C991" i="1"/>
  <c r="AF995" i="1" s="1"/>
  <c r="C986" i="1"/>
  <c r="C981" i="1"/>
  <c r="AF985" i="1" s="1"/>
  <c r="C976" i="1"/>
  <c r="C971" i="1"/>
  <c r="AF974" i="1" s="1"/>
  <c r="C966" i="1"/>
  <c r="AF969" i="1" s="1"/>
  <c r="C961" i="1"/>
  <c r="AF964" i="1" s="1"/>
  <c r="C956" i="1"/>
  <c r="AF959" i="1" s="1"/>
  <c r="C951" i="1"/>
  <c r="AF953" i="1" s="1"/>
  <c r="C946" i="1"/>
  <c r="C941" i="1"/>
  <c r="AF945" i="1" s="1"/>
  <c r="C936" i="1"/>
  <c r="C931" i="1"/>
  <c r="AF934" i="1" s="1"/>
  <c r="C926" i="1"/>
  <c r="AF929" i="1" s="1"/>
  <c r="D925" i="1"/>
  <c r="B923" i="1"/>
  <c r="AD914" i="1"/>
  <c r="AC914" i="1"/>
  <c r="AC913" i="1"/>
  <c r="AF886" i="1"/>
  <c r="AE886" i="1"/>
  <c r="AE907" i="1" s="1"/>
  <c r="AD886" i="1"/>
  <c r="AD905" i="1" s="1"/>
  <c r="AC886" i="1"/>
  <c r="AC898" i="1" s="1"/>
  <c r="B871" i="1"/>
  <c r="B33" i="1" s="1"/>
  <c r="B862" i="1"/>
  <c r="B28" i="1" s="1"/>
  <c r="AR858" i="1"/>
  <c r="C858" i="1"/>
  <c r="B25" i="1" s="1"/>
  <c r="AR857" i="1"/>
  <c r="C857" i="1"/>
  <c r="B24" i="1" s="1"/>
  <c r="AR856" i="1"/>
  <c r="C856" i="1"/>
  <c r="C23" i="1" s="1"/>
  <c r="B23" i="1" s="1"/>
  <c r="AR855" i="1"/>
  <c r="C855" i="1"/>
  <c r="C22" i="1" s="1"/>
  <c r="B22" i="1" s="1"/>
  <c r="AR854" i="1"/>
  <c r="C854" i="1"/>
  <c r="C21" i="1" s="1"/>
  <c r="B21" i="1" s="1"/>
  <c r="AR853" i="1"/>
  <c r="C853" i="1"/>
  <c r="C20" i="1" s="1"/>
  <c r="B20" i="1" s="1"/>
  <c r="AR852" i="1"/>
  <c r="C852" i="1"/>
  <c r="C19" i="1" s="1"/>
  <c r="B19" i="1" s="1"/>
  <c r="AR851" i="1"/>
  <c r="C851" i="1"/>
  <c r="C18" i="1" s="1"/>
  <c r="B18" i="1" s="1"/>
  <c r="AR850" i="1"/>
  <c r="AR849" i="1"/>
  <c r="B845" i="1"/>
  <c r="B14" i="1" s="1"/>
  <c r="AK827" i="1"/>
  <c r="BA835" i="1" s="1"/>
  <c r="AD827" i="1"/>
  <c r="AE827" i="1" s="1"/>
  <c r="AF827" i="1" s="1"/>
  <c r="AG827" i="1" s="1"/>
  <c r="AH827" i="1" s="1"/>
  <c r="AI827" i="1" s="1"/>
  <c r="AI826" i="1"/>
  <c r="AI833" i="1" s="1"/>
  <c r="AH826" i="1"/>
  <c r="AG826" i="1"/>
  <c r="AG831" i="1" s="1"/>
  <c r="AF826" i="1"/>
  <c r="AE826" i="1"/>
  <c r="AE831" i="1" s="1"/>
  <c r="AD826" i="1"/>
  <c r="AD828" i="1" s="1"/>
  <c r="AC826" i="1"/>
  <c r="AD817" i="1"/>
  <c r="AE817" i="1" s="1"/>
  <c r="AG816" i="1"/>
  <c r="AG818" i="1" s="1"/>
  <c r="AF816" i="1"/>
  <c r="AE816" i="1"/>
  <c r="AE821" i="1" s="1"/>
  <c r="AD816" i="1"/>
  <c r="AC816" i="1"/>
  <c r="AS808" i="1"/>
  <c r="AS805" i="1"/>
  <c r="BI800" i="1"/>
  <c r="BJ800" i="1" s="1"/>
  <c r="BI801" i="1" s="1"/>
  <c r="BJ801" i="1" s="1"/>
  <c r="AS799" i="1"/>
  <c r="BD799" i="1" s="1"/>
  <c r="BF799" i="1" s="1"/>
  <c r="BJ798" i="1"/>
  <c r="BI798" i="1"/>
  <c r="AS798" i="1"/>
  <c r="AS797" i="1"/>
  <c r="BD797" i="1" s="1"/>
  <c r="BF797" i="1" s="1"/>
  <c r="AP795" i="1"/>
  <c r="AP808" i="1" s="1"/>
  <c r="AO795" i="1"/>
  <c r="AO802" i="1" s="1"/>
  <c r="AN795" i="1"/>
  <c r="AN806" i="1" s="1"/>
  <c r="AM795" i="1"/>
  <c r="AM803" i="1" s="1"/>
  <c r="AL795" i="1"/>
  <c r="AL807" i="1" s="1"/>
  <c r="AK795" i="1"/>
  <c r="AK803" i="1" s="1"/>
  <c r="AJ795" i="1"/>
  <c r="AI795" i="1"/>
  <c r="AI807" i="1" s="1"/>
  <c r="AF795" i="1"/>
  <c r="AF801" i="1" s="1"/>
  <c r="AE795" i="1"/>
  <c r="AE805" i="1" s="1"/>
  <c r="AD795" i="1"/>
  <c r="AC795" i="1"/>
  <c r="AC804" i="1" s="1"/>
  <c r="AJ794" i="1"/>
  <c r="AK794" i="1" s="1"/>
  <c r="AD794" i="1"/>
  <c r="AE794" i="1" s="1"/>
  <c r="AE806" i="1" s="1"/>
  <c r="AI789" i="1"/>
  <c r="AH789" i="1"/>
  <c r="AG789" i="1"/>
  <c r="AE789" i="1"/>
  <c r="AD789" i="1"/>
  <c r="AC789" i="1"/>
  <c r="AI788" i="1"/>
  <c r="AH788" i="1"/>
  <c r="AG788" i="1"/>
  <c r="AE788" i="1"/>
  <c r="AD788" i="1"/>
  <c r="AC788" i="1"/>
  <c r="AI787" i="1"/>
  <c r="AH787" i="1"/>
  <c r="AG787" i="1"/>
  <c r="AE787" i="1"/>
  <c r="AD787" i="1"/>
  <c r="AC787" i="1"/>
  <c r="AI786" i="1"/>
  <c r="AH786" i="1"/>
  <c r="AG786" i="1"/>
  <c r="AE786" i="1"/>
  <c r="AD786" i="1"/>
  <c r="AC786" i="1"/>
  <c r="AI785" i="1"/>
  <c r="AH785" i="1"/>
  <c r="AG785" i="1"/>
  <c r="AE785" i="1"/>
  <c r="AD785" i="1"/>
  <c r="AC785" i="1"/>
  <c r="AI784" i="1"/>
  <c r="AH784" i="1"/>
  <c r="AG784" i="1"/>
  <c r="AE784" i="1"/>
  <c r="AD784" i="1"/>
  <c r="AC784" i="1"/>
  <c r="AI783" i="1"/>
  <c r="AH783" i="1"/>
  <c r="AG783" i="1"/>
  <c r="AE783" i="1"/>
  <c r="AD783" i="1"/>
  <c r="AC783" i="1"/>
  <c r="AI782" i="1"/>
  <c r="AH782" i="1"/>
  <c r="AG782" i="1"/>
  <c r="AE782" i="1"/>
  <c r="AD782" i="1"/>
  <c r="AC782" i="1"/>
  <c r="AI781" i="1"/>
  <c r="AH781" i="1"/>
  <c r="AG781" i="1"/>
  <c r="AE781" i="1"/>
  <c r="AD781" i="1"/>
  <c r="AC781" i="1"/>
  <c r="AI780" i="1"/>
  <c r="AH780" i="1"/>
  <c r="AG780" i="1"/>
  <c r="AE780" i="1"/>
  <c r="AD780" i="1"/>
  <c r="AC780" i="1"/>
  <c r="AI779" i="1"/>
  <c r="AH779" i="1"/>
  <c r="AG779" i="1"/>
  <c r="AE779" i="1"/>
  <c r="AD779" i="1"/>
  <c r="AC779" i="1"/>
  <c r="AI778" i="1"/>
  <c r="AH778" i="1"/>
  <c r="AG778" i="1"/>
  <c r="AE778" i="1"/>
  <c r="AD778" i="1"/>
  <c r="AC778" i="1"/>
  <c r="AI777" i="1"/>
  <c r="AH777" i="1"/>
  <c r="AG777" i="1"/>
  <c r="AE777" i="1"/>
  <c r="AD777" i="1"/>
  <c r="AC777" i="1"/>
  <c r="AI776" i="1"/>
  <c r="AH776" i="1"/>
  <c r="AG776" i="1"/>
  <c r="AE776" i="1"/>
  <c r="AD776" i="1"/>
  <c r="AC776" i="1"/>
  <c r="AI775" i="1"/>
  <c r="AH775" i="1"/>
  <c r="AG775" i="1"/>
  <c r="AE775" i="1"/>
  <c r="AD775" i="1"/>
  <c r="AC775" i="1"/>
  <c r="AI774" i="1"/>
  <c r="AH774" i="1"/>
  <c r="AG774" i="1"/>
  <c r="AE774" i="1"/>
  <c r="AD774" i="1"/>
  <c r="AC774" i="1"/>
  <c r="AI773" i="1"/>
  <c r="AH773" i="1"/>
  <c r="AG773" i="1"/>
  <c r="AE773" i="1"/>
  <c r="AD773" i="1"/>
  <c r="AC773" i="1"/>
  <c r="AI772" i="1"/>
  <c r="AH772" i="1"/>
  <c r="AG772" i="1"/>
  <c r="AE772" i="1"/>
  <c r="AD772" i="1"/>
  <c r="AC772" i="1"/>
  <c r="AT771" i="1"/>
  <c r="AT772" i="1" s="1"/>
  <c r="AS771" i="1"/>
  <c r="AI771" i="1"/>
  <c r="AH771" i="1"/>
  <c r="AG771" i="1"/>
  <c r="AE771" i="1"/>
  <c r="AD771" i="1"/>
  <c r="AC771" i="1"/>
  <c r="AI770" i="1"/>
  <c r="AH770" i="1"/>
  <c r="AG770" i="1"/>
  <c r="AE770" i="1"/>
  <c r="AD770" i="1"/>
  <c r="AC770" i="1"/>
  <c r="AU717" i="1"/>
  <c r="AT717" i="1"/>
  <c r="AS717" i="1"/>
  <c r="AR717" i="1"/>
  <c r="AQ717" i="1"/>
  <c r="AP717" i="1"/>
  <c r="AO717" i="1"/>
  <c r="AN717" i="1"/>
  <c r="AL717" i="1"/>
  <c r="AK717" i="1"/>
  <c r="AJ717" i="1"/>
  <c r="AI717" i="1"/>
  <c r="AH717" i="1"/>
  <c r="AG717" i="1"/>
  <c r="AE717" i="1"/>
  <c r="AD717" i="1"/>
  <c r="AC717" i="1"/>
  <c r="AB717" i="1"/>
  <c r="D716" i="1"/>
  <c r="B716" i="1"/>
  <c r="C716" i="1" s="1"/>
  <c r="D713" i="1"/>
  <c r="AU712" i="1"/>
  <c r="AT712" i="1"/>
  <c r="AS712" i="1"/>
  <c r="AR712" i="1"/>
  <c r="AQ712" i="1"/>
  <c r="AP712" i="1"/>
  <c r="AO712" i="1"/>
  <c r="AN712" i="1"/>
  <c r="AL712" i="1"/>
  <c r="AJ712" i="1"/>
  <c r="AI712" i="1"/>
  <c r="AH712" i="1"/>
  <c r="AG712" i="1"/>
  <c r="AE712" i="1"/>
  <c r="AD712" i="1"/>
  <c r="AC712" i="1"/>
  <c r="AB712" i="1"/>
  <c r="D711" i="1"/>
  <c r="B711" i="1"/>
  <c r="C711" i="1" s="1"/>
  <c r="D708" i="1"/>
  <c r="AU707" i="1"/>
  <c r="AT707" i="1"/>
  <c r="AS707" i="1"/>
  <c r="AR707" i="1"/>
  <c r="AQ707" i="1"/>
  <c r="AP707" i="1"/>
  <c r="AO707" i="1"/>
  <c r="AN707" i="1"/>
  <c r="AL707" i="1"/>
  <c r="AK707" i="1"/>
  <c r="AJ707" i="1"/>
  <c r="AI707" i="1"/>
  <c r="AH707" i="1"/>
  <c r="AG707" i="1"/>
  <c r="AE707" i="1"/>
  <c r="AD707" i="1"/>
  <c r="AC707" i="1"/>
  <c r="AB707" i="1"/>
  <c r="D706" i="1"/>
  <c r="B706" i="1"/>
  <c r="C706" i="1" s="1"/>
  <c r="D703" i="1"/>
  <c r="AU702" i="1"/>
  <c r="AT702" i="1"/>
  <c r="AS702" i="1"/>
  <c r="AR702" i="1"/>
  <c r="AQ702" i="1"/>
  <c r="AP702" i="1"/>
  <c r="AO702" i="1"/>
  <c r="AN702" i="1"/>
  <c r="AL702" i="1"/>
  <c r="AK702" i="1"/>
  <c r="AJ702" i="1"/>
  <c r="AI702" i="1"/>
  <c r="AH702" i="1"/>
  <c r="AG702" i="1"/>
  <c r="AE702" i="1"/>
  <c r="AD702" i="1"/>
  <c r="AC702" i="1"/>
  <c r="AB702" i="1"/>
  <c r="D701" i="1"/>
  <c r="B701" i="1"/>
  <c r="C701" i="1" s="1"/>
  <c r="D698" i="1"/>
  <c r="AU697" i="1"/>
  <c r="AT697" i="1"/>
  <c r="AS697" i="1"/>
  <c r="AR697" i="1"/>
  <c r="AQ697" i="1"/>
  <c r="AP697" i="1"/>
  <c r="AO697" i="1"/>
  <c r="AN697" i="1"/>
  <c r="AL697" i="1"/>
  <c r="AK697" i="1"/>
  <c r="AJ697" i="1"/>
  <c r="AI697" i="1"/>
  <c r="AH697" i="1"/>
  <c r="AG697" i="1"/>
  <c r="AE697" i="1"/>
  <c r="AD697" i="1"/>
  <c r="AC697" i="1"/>
  <c r="AB697" i="1"/>
  <c r="D696" i="1"/>
  <c r="B696" i="1"/>
  <c r="C696" i="1" s="1"/>
  <c r="D693" i="1"/>
  <c r="AU692" i="1"/>
  <c r="AS692" i="1"/>
  <c r="AQ692" i="1"/>
  <c r="AO692" i="1"/>
  <c r="AN692" i="1"/>
  <c r="AD692" i="1"/>
  <c r="AP692" i="1" s="1"/>
  <c r="AU687" i="1"/>
  <c r="AT687" i="1"/>
  <c r="AS687" i="1"/>
  <c r="AR687" i="1"/>
  <c r="AQ687" i="1"/>
  <c r="AP687" i="1"/>
  <c r="AO687" i="1"/>
  <c r="AN687" i="1"/>
  <c r="AL687" i="1"/>
  <c r="AK687" i="1"/>
  <c r="AJ687" i="1"/>
  <c r="AI687" i="1"/>
  <c r="AH687" i="1"/>
  <c r="AE687" i="1"/>
  <c r="AC687" i="1"/>
  <c r="AB687" i="1"/>
  <c r="D686" i="1"/>
  <c r="B686" i="1"/>
  <c r="C686" i="1" s="1"/>
  <c r="D683" i="1"/>
  <c r="AU682" i="1"/>
  <c r="AS682" i="1"/>
  <c r="AQ682" i="1"/>
  <c r="AO682" i="1"/>
  <c r="AN682" i="1"/>
  <c r="AD682" i="1"/>
  <c r="AP682" i="1" s="1"/>
  <c r="AU679" i="1"/>
  <c r="AT679" i="1"/>
  <c r="AS679" i="1"/>
  <c r="AR679" i="1"/>
  <c r="AQ679" i="1"/>
  <c r="AP679" i="1"/>
  <c r="AO679" i="1"/>
  <c r="AN679" i="1"/>
  <c r="AL679" i="1"/>
  <c r="AK679" i="1"/>
  <c r="AJ679" i="1"/>
  <c r="AI679" i="1"/>
  <c r="AH679" i="1"/>
  <c r="AG679" i="1"/>
  <c r="AE679" i="1"/>
  <c r="AD679" i="1"/>
  <c r="AC679" i="1"/>
  <c r="AB679" i="1"/>
  <c r="D678" i="1"/>
  <c r="B678" i="1"/>
  <c r="C678" i="1" s="1"/>
  <c r="D675" i="1"/>
  <c r="AU674" i="1"/>
  <c r="AT674" i="1"/>
  <c r="AS674" i="1"/>
  <c r="AR674" i="1"/>
  <c r="AQ674" i="1"/>
  <c r="AP674" i="1"/>
  <c r="AO674" i="1"/>
  <c r="AN674" i="1"/>
  <c r="AL674" i="1"/>
  <c r="AK674" i="1"/>
  <c r="AJ674" i="1"/>
  <c r="AH674" i="1"/>
  <c r="AG674" i="1"/>
  <c r="AE674" i="1"/>
  <c r="AC674" i="1"/>
  <c r="AB674" i="1"/>
  <c r="D673" i="1"/>
  <c r="B673" i="1"/>
  <c r="C673" i="1" s="1"/>
  <c r="D670" i="1"/>
  <c r="AU669" i="1"/>
  <c r="AT669" i="1"/>
  <c r="AS669" i="1"/>
  <c r="AR669" i="1"/>
  <c r="AQ669" i="1"/>
  <c r="AP669" i="1"/>
  <c r="AO669" i="1"/>
  <c r="AN669" i="1"/>
  <c r="AL669" i="1"/>
  <c r="AK669" i="1"/>
  <c r="AJ669" i="1"/>
  <c r="AI669" i="1"/>
  <c r="AH669" i="1"/>
  <c r="AG669" i="1"/>
  <c r="AE669" i="1"/>
  <c r="AD669" i="1"/>
  <c r="AC669" i="1"/>
  <c r="AB669" i="1"/>
  <c r="D668" i="1"/>
  <c r="B668" i="1"/>
  <c r="C668" i="1" s="1"/>
  <c r="D665" i="1"/>
  <c r="AU664" i="1"/>
  <c r="AT664" i="1"/>
  <c r="AS664" i="1"/>
  <c r="AR664" i="1"/>
  <c r="AQ664" i="1"/>
  <c r="AP664" i="1"/>
  <c r="AO664" i="1"/>
  <c r="AN664" i="1"/>
  <c r="AL664" i="1"/>
  <c r="AK664" i="1"/>
  <c r="AJ664" i="1"/>
  <c r="AI664" i="1"/>
  <c r="AH664" i="1"/>
  <c r="AG664" i="1"/>
  <c r="AE664" i="1"/>
  <c r="AD664" i="1"/>
  <c r="AC664" i="1"/>
  <c r="AB664" i="1"/>
  <c r="D663" i="1"/>
  <c r="B663" i="1"/>
  <c r="C663" i="1" s="1"/>
  <c r="D660" i="1"/>
  <c r="AU658" i="1"/>
  <c r="AT658" i="1"/>
  <c r="AS658" i="1"/>
  <c r="AR658" i="1"/>
  <c r="AQ658" i="1"/>
  <c r="AP658" i="1"/>
  <c r="AO658" i="1"/>
  <c r="AN658" i="1"/>
  <c r="AL658" i="1"/>
  <c r="AK658" i="1"/>
  <c r="AJ658" i="1"/>
  <c r="AI658" i="1"/>
  <c r="AH658" i="1"/>
  <c r="AG658" i="1"/>
  <c r="AE658" i="1"/>
  <c r="AD658" i="1"/>
  <c r="AC658" i="1"/>
  <c r="AB658" i="1"/>
  <c r="D657" i="1"/>
  <c r="B657" i="1"/>
  <c r="C657" i="1" s="1"/>
  <c r="D654" i="1"/>
  <c r="AU653" i="1"/>
  <c r="AT653" i="1"/>
  <c r="AS653" i="1"/>
  <c r="AR653" i="1"/>
  <c r="AQ653" i="1"/>
  <c r="AP653" i="1"/>
  <c r="AO653" i="1"/>
  <c r="AN653" i="1"/>
  <c r="AK653" i="1"/>
  <c r="AJ653" i="1"/>
  <c r="AI653" i="1"/>
  <c r="AH653" i="1"/>
  <c r="AG653" i="1"/>
  <c r="AE653" i="1"/>
  <c r="AD653" i="1"/>
  <c r="AB653" i="1"/>
  <c r="D652" i="1"/>
  <c r="B652" i="1"/>
  <c r="C652" i="1" s="1"/>
  <c r="D649" i="1"/>
  <c r="AU648" i="1"/>
  <c r="AT648" i="1"/>
  <c r="AS648" i="1"/>
  <c r="AR648" i="1"/>
  <c r="AQ648" i="1"/>
  <c r="AP648" i="1"/>
  <c r="AO648" i="1"/>
  <c r="AN648" i="1"/>
  <c r="AK648" i="1"/>
  <c r="AJ648" i="1"/>
  <c r="AI648" i="1"/>
  <c r="AH648" i="1"/>
  <c r="AG648" i="1"/>
  <c r="AE648" i="1"/>
  <c r="AC648" i="1"/>
  <c r="AB648" i="1"/>
  <c r="D647" i="1"/>
  <c r="B647" i="1"/>
  <c r="C647" i="1" s="1"/>
  <c r="D644" i="1"/>
  <c r="AU643" i="1"/>
  <c r="AS643" i="1"/>
  <c r="AQ643" i="1"/>
  <c r="AO643" i="1"/>
  <c r="AN643" i="1"/>
  <c r="AD643" i="1"/>
  <c r="AP643" i="1" s="1"/>
  <c r="AU637" i="1"/>
  <c r="AT637" i="1"/>
  <c r="AS637" i="1"/>
  <c r="AR637" i="1"/>
  <c r="AQ637" i="1"/>
  <c r="AP637" i="1"/>
  <c r="AO637" i="1"/>
  <c r="AN637" i="1"/>
  <c r="AL637" i="1"/>
  <c r="AK637" i="1"/>
  <c r="AJ637" i="1"/>
  <c r="AI637" i="1"/>
  <c r="AG637" i="1"/>
  <c r="AE637" i="1"/>
  <c r="AC637" i="1"/>
  <c r="AB637" i="1"/>
  <c r="D636" i="1"/>
  <c r="B636" i="1"/>
  <c r="C636" i="1" s="1"/>
  <c r="D633" i="1"/>
  <c r="AU631" i="1"/>
  <c r="AT631" i="1"/>
  <c r="AS631" i="1"/>
  <c r="AR631" i="1"/>
  <c r="AQ631" i="1"/>
  <c r="AP631" i="1"/>
  <c r="AO631" i="1"/>
  <c r="AN631" i="1"/>
  <c r="AL631" i="1"/>
  <c r="AK631" i="1"/>
  <c r="AI631" i="1"/>
  <c r="AH631" i="1"/>
  <c r="AG631" i="1"/>
  <c r="AE631" i="1"/>
  <c r="AD631" i="1"/>
  <c r="AC631" i="1"/>
  <c r="AB631" i="1"/>
  <c r="D630" i="1"/>
  <c r="B630" i="1"/>
  <c r="C630" i="1" s="1"/>
  <c r="D627" i="1"/>
  <c r="AU626" i="1"/>
  <c r="AT626" i="1"/>
  <c r="AS626" i="1"/>
  <c r="AR626" i="1"/>
  <c r="AQ626" i="1"/>
  <c r="AP626" i="1"/>
  <c r="AO626" i="1"/>
  <c r="AN626" i="1"/>
  <c r="AL626" i="1"/>
  <c r="AK626" i="1"/>
  <c r="AJ626" i="1"/>
  <c r="AI626" i="1"/>
  <c r="AH626" i="1"/>
  <c r="AE626" i="1"/>
  <c r="AC626" i="1"/>
  <c r="AB626" i="1"/>
  <c r="D625" i="1"/>
  <c r="B625" i="1"/>
  <c r="C625" i="1" s="1"/>
  <c r="D622" i="1"/>
  <c r="AU621" i="1"/>
  <c r="AT621" i="1"/>
  <c r="AS621" i="1"/>
  <c r="AR621" i="1"/>
  <c r="AQ621" i="1"/>
  <c r="AP621" i="1"/>
  <c r="AO621" i="1"/>
  <c r="AN621" i="1"/>
  <c r="AL621" i="1"/>
  <c r="AJ621" i="1"/>
  <c r="AI621" i="1"/>
  <c r="AH621" i="1"/>
  <c r="AG621" i="1"/>
  <c r="AE621" i="1"/>
  <c r="AC621" i="1"/>
  <c r="AB621" i="1"/>
  <c r="D620" i="1"/>
  <c r="B620" i="1"/>
  <c r="C620" i="1" s="1"/>
  <c r="D617" i="1"/>
  <c r="AU615" i="1"/>
  <c r="AT615" i="1"/>
  <c r="AS615" i="1"/>
  <c r="AR615" i="1"/>
  <c r="AQ615" i="1"/>
  <c r="AP615" i="1"/>
  <c r="AO615" i="1"/>
  <c r="AN615" i="1"/>
  <c r="AL615" i="1"/>
  <c r="AJ615" i="1"/>
  <c r="AI615" i="1"/>
  <c r="AH615" i="1"/>
  <c r="AG615" i="1"/>
  <c r="AE615" i="1"/>
  <c r="AC615" i="1"/>
  <c r="AB615" i="1"/>
  <c r="D614" i="1"/>
  <c r="B614" i="1"/>
  <c r="C614" i="1" s="1"/>
  <c r="D611" i="1"/>
  <c r="AU610" i="1"/>
  <c r="AT610" i="1"/>
  <c r="AS610" i="1"/>
  <c r="AR610" i="1"/>
  <c r="AQ610" i="1"/>
  <c r="AP610" i="1"/>
  <c r="AO610" i="1"/>
  <c r="AN610" i="1"/>
  <c r="AL610" i="1"/>
  <c r="AK610" i="1"/>
  <c r="AJ610" i="1"/>
  <c r="AI610" i="1"/>
  <c r="AH610" i="1"/>
  <c r="AG610" i="1"/>
  <c r="AE610" i="1"/>
  <c r="AD610" i="1"/>
  <c r="AC610" i="1"/>
  <c r="AB610" i="1"/>
  <c r="D609" i="1"/>
  <c r="B609" i="1"/>
  <c r="C609" i="1" s="1"/>
  <c r="D606" i="1"/>
  <c r="AU605" i="1"/>
  <c r="AT605" i="1"/>
  <c r="AS605" i="1"/>
  <c r="AR605" i="1"/>
  <c r="AQ605" i="1"/>
  <c r="AP605" i="1"/>
  <c r="AO605" i="1"/>
  <c r="AN605" i="1"/>
  <c r="AL605" i="1"/>
  <c r="AJ605" i="1"/>
  <c r="AI605" i="1"/>
  <c r="AH605" i="1"/>
  <c r="AG605" i="1"/>
  <c r="AE605" i="1"/>
  <c r="AD605" i="1"/>
  <c r="AC605" i="1"/>
  <c r="AB605" i="1"/>
  <c r="D604" i="1"/>
  <c r="B604" i="1"/>
  <c r="C604" i="1" s="1"/>
  <c r="D601" i="1"/>
  <c r="AU600" i="1"/>
  <c r="AS600" i="1"/>
  <c r="AQ600" i="1"/>
  <c r="AO600" i="1"/>
  <c r="AN600" i="1"/>
  <c r="AD600" i="1"/>
  <c r="AP600" i="1" s="1"/>
  <c r="AU597" i="1"/>
  <c r="AT597" i="1"/>
  <c r="AS597" i="1"/>
  <c r="AR597" i="1"/>
  <c r="AQ597" i="1"/>
  <c r="AP597" i="1"/>
  <c r="AO597" i="1"/>
  <c r="AN597" i="1"/>
  <c r="AL597" i="1"/>
  <c r="AK597" i="1"/>
  <c r="AJ597" i="1"/>
  <c r="AH597" i="1"/>
  <c r="AG597" i="1"/>
  <c r="AE597" i="1"/>
  <c r="AD597" i="1"/>
  <c r="AC597" i="1"/>
  <c r="AB597" i="1"/>
  <c r="D596" i="1"/>
  <c r="B596" i="1"/>
  <c r="C596" i="1" s="1"/>
  <c r="D593" i="1"/>
  <c r="AU592" i="1"/>
  <c r="AT592" i="1"/>
  <c r="AS592" i="1"/>
  <c r="AR592" i="1"/>
  <c r="AQ592" i="1"/>
  <c r="AP592" i="1"/>
  <c r="AO592" i="1"/>
  <c r="AN592" i="1"/>
  <c r="AL592" i="1"/>
  <c r="AK592" i="1"/>
  <c r="AJ592" i="1"/>
  <c r="AI592" i="1"/>
  <c r="AH592" i="1"/>
  <c r="AE592" i="1"/>
  <c r="AC592" i="1"/>
  <c r="AB592" i="1"/>
  <c r="D591" i="1"/>
  <c r="B591" i="1"/>
  <c r="C591" i="1" s="1"/>
  <c r="D588" i="1"/>
  <c r="AU587" i="1"/>
  <c r="AT587" i="1"/>
  <c r="AS587" i="1"/>
  <c r="AR587" i="1"/>
  <c r="AQ587" i="1"/>
  <c r="AP587" i="1"/>
  <c r="AO587" i="1"/>
  <c r="AN587" i="1"/>
  <c r="AL587" i="1"/>
  <c r="AK587" i="1"/>
  <c r="AJ587" i="1"/>
  <c r="AI587" i="1"/>
  <c r="AG587" i="1"/>
  <c r="AE587" i="1"/>
  <c r="AC587" i="1"/>
  <c r="AB587" i="1"/>
  <c r="D586" i="1"/>
  <c r="B586" i="1"/>
  <c r="C586" i="1" s="1"/>
  <c r="D583" i="1"/>
  <c r="AU581" i="1"/>
  <c r="AT581" i="1"/>
  <c r="AS581" i="1"/>
  <c r="AR581" i="1"/>
  <c r="AQ581" i="1"/>
  <c r="AP581" i="1"/>
  <c r="AO581" i="1"/>
  <c r="AN581" i="1"/>
  <c r="AL581" i="1"/>
  <c r="AJ581" i="1"/>
  <c r="AI581" i="1"/>
  <c r="AH581" i="1"/>
  <c r="AG581" i="1"/>
  <c r="AE581" i="1"/>
  <c r="AD581" i="1"/>
  <c r="AC581" i="1"/>
  <c r="AB581" i="1"/>
  <c r="D580" i="1"/>
  <c r="B580" i="1"/>
  <c r="C580" i="1" s="1"/>
  <c r="D577" i="1"/>
  <c r="AU576" i="1"/>
  <c r="AT576" i="1"/>
  <c r="AS576" i="1"/>
  <c r="AR576" i="1"/>
  <c r="AQ576" i="1"/>
  <c r="AP576" i="1"/>
  <c r="AO576" i="1"/>
  <c r="AN576" i="1"/>
  <c r="AL576" i="1"/>
  <c r="AK576" i="1"/>
  <c r="AJ576" i="1"/>
  <c r="AI576" i="1"/>
  <c r="AH576" i="1"/>
  <c r="AE576" i="1"/>
  <c r="AC576" i="1"/>
  <c r="AB576" i="1"/>
  <c r="D575" i="1"/>
  <c r="B575" i="1"/>
  <c r="C575" i="1" s="1"/>
  <c r="D572" i="1"/>
  <c r="AU571" i="1"/>
  <c r="AT571" i="1"/>
  <c r="AS571" i="1"/>
  <c r="AR571" i="1"/>
  <c r="AQ571" i="1"/>
  <c r="AP571" i="1"/>
  <c r="AO571" i="1"/>
  <c r="AN571" i="1"/>
  <c r="AL571" i="1"/>
  <c r="AK571" i="1"/>
  <c r="AJ571" i="1"/>
  <c r="AI571" i="1"/>
  <c r="AH571" i="1"/>
  <c r="AE571" i="1"/>
  <c r="AD571" i="1"/>
  <c r="AB571" i="1"/>
  <c r="D570" i="1"/>
  <c r="B570" i="1"/>
  <c r="C570" i="1" s="1"/>
  <c r="D567" i="1"/>
  <c r="AU566" i="1"/>
  <c r="AS566" i="1"/>
  <c r="AQ566" i="1"/>
  <c r="AO566" i="1"/>
  <c r="AN566" i="1"/>
  <c r="AD566" i="1"/>
  <c r="AT566" i="1" s="1"/>
  <c r="AU563" i="1"/>
  <c r="AT563" i="1"/>
  <c r="AS563" i="1"/>
  <c r="AR563" i="1"/>
  <c r="AQ563" i="1"/>
  <c r="AP563" i="1"/>
  <c r="AO563" i="1"/>
  <c r="AN563" i="1"/>
  <c r="AL563" i="1"/>
  <c r="AK563" i="1"/>
  <c r="AJ563" i="1"/>
  <c r="AH563" i="1"/>
  <c r="AG563" i="1"/>
  <c r="AE563" i="1"/>
  <c r="AD563" i="1"/>
  <c r="AC563" i="1"/>
  <c r="AB563" i="1"/>
  <c r="D562" i="1"/>
  <c r="B562" i="1"/>
  <c r="C562" i="1" s="1"/>
  <c r="D559" i="1"/>
  <c r="AU558" i="1"/>
  <c r="AT558" i="1"/>
  <c r="AS558" i="1"/>
  <c r="AR558" i="1"/>
  <c r="AQ558" i="1"/>
  <c r="AP558" i="1"/>
  <c r="AO558" i="1"/>
  <c r="AN558" i="1"/>
  <c r="AL558" i="1"/>
  <c r="AK558" i="1"/>
  <c r="AJ558" i="1"/>
  <c r="AI558" i="1"/>
  <c r="AH558" i="1"/>
  <c r="AG558" i="1"/>
  <c r="AE558" i="1"/>
  <c r="AD558" i="1"/>
  <c r="AC558" i="1"/>
  <c r="AB558" i="1"/>
  <c r="D557" i="1"/>
  <c r="B557" i="1"/>
  <c r="C557" i="1" s="1"/>
  <c r="D554" i="1"/>
  <c r="AU553" i="1"/>
  <c r="AT553" i="1"/>
  <c r="AS553" i="1"/>
  <c r="AR553" i="1"/>
  <c r="AQ553" i="1"/>
  <c r="AP553" i="1"/>
  <c r="AO553" i="1"/>
  <c r="AN553" i="1"/>
  <c r="AL553" i="1"/>
  <c r="AK553" i="1"/>
  <c r="AJ553" i="1"/>
  <c r="AI553" i="1"/>
  <c r="AH553" i="1"/>
  <c r="AG553" i="1"/>
  <c r="AE553" i="1"/>
  <c r="AD553" i="1"/>
  <c r="AC553" i="1"/>
  <c r="AB553" i="1"/>
  <c r="D552" i="1"/>
  <c r="B552" i="1"/>
  <c r="C552" i="1" s="1"/>
  <c r="D549" i="1"/>
  <c r="AU547" i="1"/>
  <c r="AT547" i="1"/>
  <c r="AS547" i="1"/>
  <c r="AR547" i="1"/>
  <c r="AQ547" i="1"/>
  <c r="AP547" i="1"/>
  <c r="AO547" i="1"/>
  <c r="AN547" i="1"/>
  <c r="AL547" i="1"/>
  <c r="AK547" i="1"/>
  <c r="AJ547" i="1"/>
  <c r="AI547" i="1"/>
  <c r="AH547" i="1"/>
  <c r="AG547" i="1"/>
  <c r="AE547" i="1"/>
  <c r="AD547" i="1"/>
  <c r="AC547" i="1"/>
  <c r="AB547" i="1"/>
  <c r="D546" i="1"/>
  <c r="B546" i="1"/>
  <c r="C546" i="1" s="1"/>
  <c r="D543" i="1"/>
  <c r="AU542" i="1"/>
  <c r="AT542" i="1"/>
  <c r="AS542" i="1"/>
  <c r="AR542" i="1"/>
  <c r="AQ542" i="1"/>
  <c r="AP542" i="1"/>
  <c r="AO542" i="1"/>
  <c r="AN542" i="1"/>
  <c r="AK542" i="1"/>
  <c r="AJ542" i="1"/>
  <c r="AI542" i="1"/>
  <c r="AH542" i="1"/>
  <c r="AG542" i="1"/>
  <c r="AE542" i="1"/>
  <c r="AC542" i="1"/>
  <c r="AB542" i="1"/>
  <c r="D541" i="1"/>
  <c r="B541" i="1"/>
  <c r="C541" i="1" s="1"/>
  <c r="D538" i="1"/>
  <c r="AU537" i="1"/>
  <c r="AT537" i="1"/>
  <c r="AS537" i="1"/>
  <c r="AR537" i="1"/>
  <c r="AQ537" i="1"/>
  <c r="AP537" i="1"/>
  <c r="AO537" i="1"/>
  <c r="AN537" i="1"/>
  <c r="AL537" i="1"/>
  <c r="AK537" i="1"/>
  <c r="AJ537" i="1"/>
  <c r="AI537" i="1"/>
  <c r="AG537" i="1"/>
  <c r="AE537" i="1"/>
  <c r="AD537" i="1"/>
  <c r="AC537" i="1"/>
  <c r="AB537" i="1"/>
  <c r="D536" i="1"/>
  <c r="B536" i="1"/>
  <c r="C536" i="1" s="1"/>
  <c r="D533" i="1"/>
  <c r="AU532" i="1"/>
  <c r="AS532" i="1"/>
  <c r="AQ532" i="1"/>
  <c r="AO532" i="1"/>
  <c r="AN532" i="1"/>
  <c r="AD532" i="1"/>
  <c r="AP532" i="1" s="1"/>
  <c r="AU529" i="1"/>
  <c r="AT529" i="1"/>
  <c r="AS529" i="1"/>
  <c r="AR529" i="1"/>
  <c r="AQ529" i="1"/>
  <c r="AP529" i="1"/>
  <c r="AO529" i="1"/>
  <c r="AN529" i="1"/>
  <c r="AK529" i="1"/>
  <c r="AJ529" i="1"/>
  <c r="AI529" i="1"/>
  <c r="AH529" i="1"/>
  <c r="AG529" i="1"/>
  <c r="AE529" i="1"/>
  <c r="AD529" i="1"/>
  <c r="AC529" i="1"/>
  <c r="AB529" i="1"/>
  <c r="D528" i="1"/>
  <c r="B528" i="1"/>
  <c r="C528" i="1" s="1"/>
  <c r="D525" i="1"/>
  <c r="AU524" i="1"/>
  <c r="AT524" i="1"/>
  <c r="AS524" i="1"/>
  <c r="AR524" i="1"/>
  <c r="AQ524" i="1"/>
  <c r="AP524" i="1"/>
  <c r="AO524" i="1"/>
  <c r="AN524" i="1"/>
  <c r="AK524" i="1"/>
  <c r="AJ524" i="1"/>
  <c r="AI524" i="1"/>
  <c r="AH524" i="1"/>
  <c r="AG524" i="1"/>
  <c r="AE524" i="1"/>
  <c r="AD524" i="1"/>
  <c r="AC524" i="1"/>
  <c r="AB524" i="1"/>
  <c r="D523" i="1"/>
  <c r="B523" i="1"/>
  <c r="C523" i="1" s="1"/>
  <c r="D520" i="1"/>
  <c r="AU519" i="1"/>
  <c r="AT519" i="1"/>
  <c r="AS519" i="1"/>
  <c r="AR519" i="1"/>
  <c r="AQ519" i="1"/>
  <c r="AP519" i="1"/>
  <c r="AO519" i="1"/>
  <c r="AN519" i="1"/>
  <c r="AL519" i="1"/>
  <c r="AK519" i="1"/>
  <c r="AJ519" i="1"/>
  <c r="AH519" i="1"/>
  <c r="AG519" i="1"/>
  <c r="AE519" i="1"/>
  <c r="AD519" i="1"/>
  <c r="AC519" i="1"/>
  <c r="AB519" i="1"/>
  <c r="D518" i="1"/>
  <c r="B518" i="1"/>
  <c r="C518" i="1" s="1"/>
  <c r="D515" i="1"/>
  <c r="AU513" i="1"/>
  <c r="AT513" i="1"/>
  <c r="AS513" i="1"/>
  <c r="AR513" i="1"/>
  <c r="AQ513" i="1"/>
  <c r="AP513" i="1"/>
  <c r="AO513" i="1"/>
  <c r="AN513" i="1"/>
  <c r="AK513" i="1"/>
  <c r="AJ513" i="1"/>
  <c r="AI513" i="1"/>
  <c r="AH513" i="1"/>
  <c r="AG513" i="1"/>
  <c r="AE513" i="1"/>
  <c r="AD513" i="1"/>
  <c r="AC513" i="1"/>
  <c r="AB513" i="1"/>
  <c r="D512" i="1"/>
  <c r="B512" i="1"/>
  <c r="C512" i="1" s="1"/>
  <c r="D509" i="1"/>
  <c r="AU508" i="1"/>
  <c r="AT508" i="1"/>
  <c r="AS508" i="1"/>
  <c r="AR508" i="1"/>
  <c r="AQ508" i="1"/>
  <c r="AP508" i="1"/>
  <c r="AO508" i="1"/>
  <c r="AN508" i="1"/>
  <c r="AL508" i="1"/>
  <c r="AK508" i="1"/>
  <c r="AJ508" i="1"/>
  <c r="AI508" i="1"/>
  <c r="AG508" i="1"/>
  <c r="AE508" i="1"/>
  <c r="AD508" i="1"/>
  <c r="AC508" i="1"/>
  <c r="AB508" i="1"/>
  <c r="D507" i="1"/>
  <c r="B507" i="1"/>
  <c r="C507" i="1" s="1"/>
  <c r="D504" i="1"/>
  <c r="AU503" i="1"/>
  <c r="AT503" i="1"/>
  <c r="AS503" i="1"/>
  <c r="AR503" i="1"/>
  <c r="AQ503" i="1"/>
  <c r="AP503" i="1"/>
  <c r="AO503" i="1"/>
  <c r="AN503" i="1"/>
  <c r="AL503" i="1"/>
  <c r="AJ503" i="1"/>
  <c r="AI503" i="1"/>
  <c r="AH503" i="1"/>
  <c r="AG503" i="1"/>
  <c r="AE503" i="1"/>
  <c r="AD503" i="1"/>
  <c r="AC503" i="1"/>
  <c r="AB503" i="1"/>
  <c r="D502" i="1"/>
  <c r="B502" i="1"/>
  <c r="C502" i="1" s="1"/>
  <c r="D499" i="1"/>
  <c r="AU498" i="1"/>
  <c r="AS498" i="1"/>
  <c r="AQ498" i="1"/>
  <c r="AO498" i="1"/>
  <c r="AN498" i="1"/>
  <c r="AD498" i="1"/>
  <c r="AT498" i="1" s="1"/>
  <c r="AT495" i="1"/>
  <c r="AS495" i="1"/>
  <c r="AR495" i="1"/>
  <c r="AQ495" i="1"/>
  <c r="AP495" i="1"/>
  <c r="AO495" i="1"/>
  <c r="AN495" i="1"/>
  <c r="AL495" i="1"/>
  <c r="AK495" i="1"/>
  <c r="AJ495" i="1"/>
  <c r="AI495" i="1"/>
  <c r="AH495" i="1"/>
  <c r="AG495" i="1"/>
  <c r="AE495" i="1"/>
  <c r="AD495" i="1"/>
  <c r="AB495" i="1"/>
  <c r="D494" i="1"/>
  <c r="B494" i="1"/>
  <c r="C494" i="1" s="1"/>
  <c r="D491" i="1"/>
  <c r="AU490" i="1"/>
  <c r="AT490" i="1"/>
  <c r="AS490" i="1"/>
  <c r="AR490" i="1"/>
  <c r="AQ490" i="1"/>
  <c r="AP490" i="1"/>
  <c r="AO490" i="1"/>
  <c r="AN490" i="1"/>
  <c r="AL490" i="1"/>
  <c r="AK490" i="1"/>
  <c r="AJ490" i="1"/>
  <c r="AI490" i="1"/>
  <c r="AH490" i="1"/>
  <c r="AG490" i="1"/>
  <c r="AE490" i="1"/>
  <c r="AD490" i="1"/>
  <c r="AC490" i="1"/>
  <c r="AB490" i="1"/>
  <c r="D489" i="1"/>
  <c r="B489" i="1"/>
  <c r="C489" i="1" s="1"/>
  <c r="D486" i="1"/>
  <c r="AU484" i="1"/>
  <c r="AT484" i="1"/>
  <c r="AS484" i="1"/>
  <c r="AR484" i="1"/>
  <c r="AQ484" i="1"/>
  <c r="AP484" i="1"/>
  <c r="AO484" i="1"/>
  <c r="AN484" i="1"/>
  <c r="AK484" i="1"/>
  <c r="AJ484" i="1"/>
  <c r="AI484" i="1"/>
  <c r="AH484" i="1"/>
  <c r="AG484" i="1"/>
  <c r="AE484" i="1"/>
  <c r="AD484" i="1"/>
  <c r="AC484" i="1"/>
  <c r="AB484" i="1"/>
  <c r="D483" i="1"/>
  <c r="B483" i="1"/>
  <c r="C483" i="1" s="1"/>
  <c r="D480" i="1"/>
  <c r="AU479" i="1"/>
  <c r="AT479" i="1"/>
  <c r="AS479" i="1"/>
  <c r="AR479" i="1"/>
  <c r="AQ479" i="1"/>
  <c r="AP479" i="1"/>
  <c r="AO479" i="1"/>
  <c r="AN479" i="1"/>
  <c r="AK479" i="1"/>
  <c r="AJ479" i="1"/>
  <c r="AI479" i="1"/>
  <c r="AH479" i="1"/>
  <c r="AG479" i="1"/>
  <c r="AE479" i="1"/>
  <c r="AD479" i="1"/>
  <c r="AC479" i="1"/>
  <c r="AB479" i="1"/>
  <c r="D478" i="1"/>
  <c r="B478" i="1"/>
  <c r="C478" i="1" s="1"/>
  <c r="D475" i="1"/>
  <c r="AU473" i="1"/>
  <c r="AT473" i="1"/>
  <c r="AS473" i="1"/>
  <c r="AR473" i="1"/>
  <c r="AQ473" i="1"/>
  <c r="AP473" i="1"/>
  <c r="AO473" i="1"/>
  <c r="AN473" i="1"/>
  <c r="AL473" i="1"/>
  <c r="AK473" i="1"/>
  <c r="AJ473" i="1"/>
  <c r="AI473" i="1"/>
  <c r="AH473" i="1"/>
  <c r="AG473" i="1"/>
  <c r="AE473" i="1"/>
  <c r="AD473" i="1"/>
  <c r="AC473" i="1"/>
  <c r="AB473" i="1"/>
  <c r="D472" i="1"/>
  <c r="B472" i="1"/>
  <c r="C472" i="1" s="1"/>
  <c r="D469" i="1"/>
  <c r="AU468" i="1"/>
  <c r="AT468" i="1"/>
  <c r="AS468" i="1"/>
  <c r="AR468" i="1"/>
  <c r="AQ468" i="1"/>
  <c r="AP468" i="1"/>
  <c r="AO468" i="1"/>
  <c r="AN468" i="1"/>
  <c r="AL468" i="1"/>
  <c r="AK468" i="1"/>
  <c r="AF455" i="1" s="1"/>
  <c r="AJ468" i="1"/>
  <c r="AI468" i="1"/>
  <c r="AH468" i="1"/>
  <c r="AG468" i="1"/>
  <c r="AE468" i="1"/>
  <c r="AD468" i="1"/>
  <c r="AC468" i="1"/>
  <c r="AB468" i="1"/>
  <c r="D467" i="1"/>
  <c r="B467" i="1"/>
  <c r="C467" i="1" s="1"/>
  <c r="D464" i="1"/>
  <c r="AU463" i="1"/>
  <c r="AU495" i="1" s="1"/>
  <c r="AS463" i="1"/>
  <c r="AQ463" i="1"/>
  <c r="AO463" i="1"/>
  <c r="AN463" i="1"/>
  <c r="AD463" i="1"/>
  <c r="AD542" i="1" s="1"/>
  <c r="AG457" i="1"/>
  <c r="AF457" i="1"/>
  <c r="AE457" i="1"/>
  <c r="AG455" i="1"/>
  <c r="AE455" i="1"/>
  <c r="AG453" i="1"/>
  <c r="AF453" i="1"/>
  <c r="AE453" i="1"/>
  <c r="AG451" i="1"/>
  <c r="AF451" i="1"/>
  <c r="AE451" i="1"/>
  <c r="AG449" i="1"/>
  <c r="AF449" i="1"/>
  <c r="AE449" i="1"/>
  <c r="AG447" i="1"/>
  <c r="AF447" i="1"/>
  <c r="AE447" i="1"/>
  <c r="AG445" i="1"/>
  <c r="AF445" i="1"/>
  <c r="AE445" i="1"/>
  <c r="AJ443" i="1"/>
  <c r="AI444" i="1" s="1"/>
  <c r="AJ444" i="1" s="1"/>
  <c r="AI445" i="1" s="1"/>
  <c r="AJ445" i="1" s="1"/>
  <c r="AL440" i="1"/>
  <c r="AE1555" i="1" s="1"/>
  <c r="AE1561" i="1" s="1"/>
  <c r="AE1567" i="1" s="1"/>
  <c r="AE1573" i="1" s="1"/>
  <c r="AE1579" i="1" s="1"/>
  <c r="AT436" i="1"/>
  <c r="AS436" i="1"/>
  <c r="AR436" i="1"/>
  <c r="AQ436" i="1"/>
  <c r="AP436" i="1"/>
  <c r="AK436" i="1"/>
  <c r="AX436" i="1" s="1"/>
  <c r="AJ436" i="1"/>
  <c r="C435" i="1" s="1"/>
  <c r="AG436" i="1"/>
  <c r="AF436" i="1"/>
  <c r="AE436" i="1"/>
  <c r="AD436" i="1"/>
  <c r="D435" i="1"/>
  <c r="B435" i="1"/>
  <c r="B434" i="1"/>
  <c r="BJ431" i="1"/>
  <c r="BI431" i="1"/>
  <c r="BH431" i="1"/>
  <c r="BG431" i="1"/>
  <c r="BD431" i="1"/>
  <c r="BB431" i="1"/>
  <c r="AD430" i="1"/>
  <c r="AC430" i="1"/>
  <c r="AD429" i="1"/>
  <c r="AE429" i="1" s="1"/>
  <c r="AF429" i="1" s="1"/>
  <c r="AG429" i="1" s="1"/>
  <c r="AH429" i="1" s="1"/>
  <c r="AT426" i="1"/>
  <c r="AS426" i="1"/>
  <c r="AR426" i="1"/>
  <c r="AQ426" i="1"/>
  <c r="AP426" i="1"/>
  <c r="AJ426" i="1"/>
  <c r="AT425" i="1" s="1"/>
  <c r="AG426" i="1"/>
  <c r="AF426" i="1"/>
  <c r="AE426" i="1"/>
  <c r="AD426" i="1"/>
  <c r="D425" i="1"/>
  <c r="B425" i="1"/>
  <c r="B424" i="1"/>
  <c r="BJ421" i="1"/>
  <c r="BI421" i="1"/>
  <c r="BH421" i="1"/>
  <c r="BG421" i="1"/>
  <c r="BD421" i="1"/>
  <c r="BB421" i="1"/>
  <c r="AD419" i="1"/>
  <c r="AE419" i="1" s="1"/>
  <c r="AF419" i="1" s="1"/>
  <c r="AG419" i="1" s="1"/>
  <c r="AH419" i="1" s="1"/>
  <c r="AT416" i="1"/>
  <c r="AS416" i="1"/>
  <c r="AR416" i="1"/>
  <c r="AQ416" i="1"/>
  <c r="AP416" i="1"/>
  <c r="AK416" i="1"/>
  <c r="AX416" i="1" s="1"/>
  <c r="AJ416" i="1"/>
  <c r="AT415" i="1" s="1"/>
  <c r="AG416" i="1"/>
  <c r="AF416" i="1"/>
  <c r="AE416" i="1"/>
  <c r="AD416" i="1"/>
  <c r="D415" i="1"/>
  <c r="B415" i="1"/>
  <c r="B414" i="1"/>
  <c r="BJ411" i="1"/>
  <c r="BI411" i="1"/>
  <c r="BH411" i="1"/>
  <c r="BG411" i="1"/>
  <c r="BD411" i="1"/>
  <c r="BB411" i="1"/>
  <c r="AD409" i="1"/>
  <c r="AE409" i="1" s="1"/>
  <c r="AF409" i="1" s="1"/>
  <c r="AG409" i="1" s="1"/>
  <c r="AH409" i="1" s="1"/>
  <c r="AT406" i="1"/>
  <c r="AS406" i="1"/>
  <c r="AR406" i="1"/>
  <c r="AQ406" i="1"/>
  <c r="AP406" i="1"/>
  <c r="AK406" i="1"/>
  <c r="D406" i="1" s="1"/>
  <c r="AJ406" i="1"/>
  <c r="C405" i="1" s="1"/>
  <c r="AG406" i="1"/>
  <c r="AF406" i="1"/>
  <c r="AE406" i="1"/>
  <c r="AD406" i="1"/>
  <c r="D405" i="1"/>
  <c r="B405" i="1"/>
  <c r="B404" i="1"/>
  <c r="BJ401" i="1"/>
  <c r="BI401" i="1"/>
  <c r="BH401" i="1"/>
  <c r="BG401" i="1"/>
  <c r="BD401" i="1"/>
  <c r="BB401" i="1"/>
  <c r="AD399" i="1"/>
  <c r="AE399" i="1" s="1"/>
  <c r="AF399" i="1" s="1"/>
  <c r="AG399" i="1" s="1"/>
  <c r="AH399" i="1" s="1"/>
  <c r="AT396" i="1"/>
  <c r="AS396" i="1"/>
  <c r="AR396" i="1"/>
  <c r="AQ396" i="1"/>
  <c r="AP396" i="1"/>
  <c r="AK396" i="1"/>
  <c r="AX396" i="1" s="1"/>
  <c r="AJ396" i="1"/>
  <c r="C395" i="1" s="1"/>
  <c r="AG396" i="1"/>
  <c r="AF396" i="1"/>
  <c r="AE396" i="1"/>
  <c r="AD396" i="1"/>
  <c r="D395" i="1"/>
  <c r="B395" i="1"/>
  <c r="B394" i="1"/>
  <c r="BJ391" i="1"/>
  <c r="BI391" i="1"/>
  <c r="BH391" i="1"/>
  <c r="BG391" i="1"/>
  <c r="BD391" i="1"/>
  <c r="BB391" i="1"/>
  <c r="AD389" i="1"/>
  <c r="AE389" i="1" s="1"/>
  <c r="AF389" i="1" s="1"/>
  <c r="AG389" i="1" s="1"/>
  <c r="AH389" i="1" s="1"/>
  <c r="AT386" i="1"/>
  <c r="AS386" i="1"/>
  <c r="AR386" i="1"/>
  <c r="AQ386" i="1"/>
  <c r="AP386" i="1"/>
  <c r="AK386" i="1"/>
  <c r="AX386" i="1" s="1"/>
  <c r="AJ386" i="1"/>
  <c r="AT385" i="1" s="1"/>
  <c r="AG386" i="1"/>
  <c r="AF386" i="1"/>
  <c r="AE386" i="1"/>
  <c r="AD386" i="1"/>
  <c r="D385" i="1"/>
  <c r="B385" i="1"/>
  <c r="B384" i="1"/>
  <c r="BJ381" i="1"/>
  <c r="BI381" i="1"/>
  <c r="BH381" i="1"/>
  <c r="BG381" i="1"/>
  <c r="BD381" i="1"/>
  <c r="BB381" i="1"/>
  <c r="AD379" i="1"/>
  <c r="AE379" i="1" s="1"/>
  <c r="AF379" i="1" s="1"/>
  <c r="AG379" i="1" s="1"/>
  <c r="AH379" i="1" s="1"/>
  <c r="AT376" i="1"/>
  <c r="AS376" i="1"/>
  <c r="AR376" i="1"/>
  <c r="AQ376" i="1"/>
  <c r="AP376" i="1"/>
  <c r="AJ376" i="1"/>
  <c r="C375" i="1" s="1"/>
  <c r="AG376" i="1"/>
  <c r="AF376" i="1"/>
  <c r="AE376" i="1"/>
  <c r="AD376" i="1"/>
  <c r="D375" i="1"/>
  <c r="B375" i="1"/>
  <c r="B374" i="1"/>
  <c r="BJ371" i="1"/>
  <c r="BI371" i="1"/>
  <c r="BH371" i="1"/>
  <c r="BG371" i="1"/>
  <c r="BD371" i="1"/>
  <c r="BB371" i="1"/>
  <c r="AD369" i="1"/>
  <c r="AE369" i="1" s="1"/>
  <c r="AF369" i="1" s="1"/>
  <c r="AG369" i="1" s="1"/>
  <c r="AH369" i="1" s="1"/>
  <c r="AT366" i="1"/>
  <c r="AS366" i="1"/>
  <c r="AR366" i="1"/>
  <c r="AQ366" i="1"/>
  <c r="AP366" i="1"/>
  <c r="AJ366" i="1"/>
  <c r="C365" i="1" s="1"/>
  <c r="AG366" i="1"/>
  <c r="AF366" i="1"/>
  <c r="AE366" i="1"/>
  <c r="AD366" i="1"/>
  <c r="D365" i="1"/>
  <c r="B365" i="1"/>
  <c r="B364" i="1"/>
  <c r="BJ361" i="1"/>
  <c r="BI361" i="1"/>
  <c r="BH361" i="1"/>
  <c r="BG361" i="1"/>
  <c r="BD361" i="1"/>
  <c r="BB361" i="1"/>
  <c r="AD359" i="1"/>
  <c r="AE359" i="1" s="1"/>
  <c r="AF359" i="1" s="1"/>
  <c r="AG359" i="1" s="1"/>
  <c r="AH359" i="1" s="1"/>
  <c r="AT356" i="1"/>
  <c r="AS356" i="1"/>
  <c r="AR356" i="1"/>
  <c r="AQ356" i="1"/>
  <c r="AP356" i="1"/>
  <c r="AJ356" i="1"/>
  <c r="C355" i="1" s="1"/>
  <c r="AG356" i="1"/>
  <c r="AF356" i="1"/>
  <c r="AE356" i="1"/>
  <c r="AD356" i="1"/>
  <c r="D355" i="1"/>
  <c r="B355" i="1"/>
  <c r="B354" i="1"/>
  <c r="BJ351" i="1"/>
  <c r="BI351" i="1"/>
  <c r="BH351" i="1"/>
  <c r="BG351" i="1"/>
  <c r="BD351" i="1"/>
  <c r="BB351" i="1"/>
  <c r="AD349" i="1"/>
  <c r="AE349" i="1" s="1"/>
  <c r="AF349" i="1" s="1"/>
  <c r="AG349" i="1" s="1"/>
  <c r="AH349" i="1" s="1"/>
  <c r="AT346" i="1"/>
  <c r="AS346" i="1"/>
  <c r="AR346" i="1"/>
  <c r="AQ346" i="1"/>
  <c r="AP346" i="1"/>
  <c r="AJ346" i="1"/>
  <c r="C345" i="1" s="1"/>
  <c r="AG346" i="1"/>
  <c r="AF346" i="1"/>
  <c r="AE346" i="1"/>
  <c r="AD346" i="1"/>
  <c r="D345" i="1"/>
  <c r="B345" i="1"/>
  <c r="B344" i="1"/>
  <c r="BJ341" i="1"/>
  <c r="BI341" i="1"/>
  <c r="BH341" i="1"/>
  <c r="BG341" i="1"/>
  <c r="BD341" i="1"/>
  <c r="BB341" i="1"/>
  <c r="AD339" i="1"/>
  <c r="AE339" i="1" s="1"/>
  <c r="AF339" i="1" s="1"/>
  <c r="AG339" i="1" s="1"/>
  <c r="AH339" i="1" s="1"/>
  <c r="AT336" i="1"/>
  <c r="AS336" i="1"/>
  <c r="AR336" i="1"/>
  <c r="AQ336" i="1"/>
  <c r="AP336" i="1"/>
  <c r="AK336" i="1"/>
  <c r="AJ336" i="1"/>
  <c r="AT335" i="1" s="1"/>
  <c r="AG336" i="1"/>
  <c r="AF336" i="1"/>
  <c r="AE336" i="1"/>
  <c r="AD336" i="1"/>
  <c r="D335" i="1"/>
  <c r="B335" i="1"/>
  <c r="B334" i="1"/>
  <c r="B332" i="1"/>
  <c r="BJ331" i="1"/>
  <c r="BI331" i="1"/>
  <c r="BH331" i="1"/>
  <c r="BG331" i="1"/>
  <c r="BD331" i="1"/>
  <c r="BB331" i="1"/>
  <c r="AD329" i="1"/>
  <c r="AE329" i="1" s="1"/>
  <c r="AF329" i="1" s="1"/>
  <c r="AG329" i="1" s="1"/>
  <c r="AT326" i="1"/>
  <c r="AS326" i="1"/>
  <c r="AR326" i="1"/>
  <c r="AQ326" i="1"/>
  <c r="AP326" i="1"/>
  <c r="AJ326" i="1"/>
  <c r="AG326" i="1"/>
  <c r="AF326" i="1"/>
  <c r="AE326" i="1"/>
  <c r="AD326" i="1"/>
  <c r="D325" i="1"/>
  <c r="B325" i="1"/>
  <c r="B324" i="1"/>
  <c r="B322" i="1"/>
  <c r="BJ321" i="1"/>
  <c r="BI321" i="1"/>
  <c r="BH321" i="1"/>
  <c r="BG321" i="1"/>
  <c r="BD321" i="1"/>
  <c r="BB321" i="1"/>
  <c r="AD319" i="1"/>
  <c r="AE319" i="1" s="1"/>
  <c r="AT316" i="1"/>
  <c r="AS316" i="1"/>
  <c r="AR316" i="1"/>
  <c r="AQ316" i="1"/>
  <c r="AP316" i="1"/>
  <c r="AJ316" i="1"/>
  <c r="C315" i="1" s="1"/>
  <c r="AG316" i="1"/>
  <c r="AF316" i="1"/>
  <c r="AE316" i="1"/>
  <c r="AD316" i="1"/>
  <c r="D315" i="1"/>
  <c r="B315" i="1"/>
  <c r="B314" i="1"/>
  <c r="B312" i="1"/>
  <c r="BJ311" i="1"/>
  <c r="BI311" i="1"/>
  <c r="BH311" i="1"/>
  <c r="BG311" i="1"/>
  <c r="BD311" i="1"/>
  <c r="BB311" i="1"/>
  <c r="AD309" i="1"/>
  <c r="AE309" i="1" s="1"/>
  <c r="AF309" i="1" s="1"/>
  <c r="AG309" i="1" s="1"/>
  <c r="AH309" i="1" s="1"/>
  <c r="A308" i="1"/>
  <c r="A318" i="1" s="1"/>
  <c r="A328" i="1" s="1"/>
  <c r="A338" i="1" s="1"/>
  <c r="A348" i="1" s="1"/>
  <c r="A358" i="1" s="1"/>
  <c r="A368" i="1" s="1"/>
  <c r="A378" i="1" s="1"/>
  <c r="A388" i="1" s="1"/>
  <c r="A398" i="1" s="1"/>
  <c r="A408" i="1" s="1"/>
  <c r="A418" i="1" s="1"/>
  <c r="A428" i="1" s="1"/>
  <c r="A464" i="1" s="1"/>
  <c r="A469" i="1" s="1"/>
  <c r="A475" i="1" s="1"/>
  <c r="A480" i="1" s="1"/>
  <c r="A486" i="1" s="1"/>
  <c r="A491" i="1" s="1"/>
  <c r="A499" i="1" s="1"/>
  <c r="A504" i="1" s="1"/>
  <c r="A509" i="1" s="1"/>
  <c r="A515" i="1" s="1"/>
  <c r="A520" i="1" s="1"/>
  <c r="A525" i="1" s="1"/>
  <c r="A533" i="1" s="1"/>
  <c r="A538" i="1" s="1"/>
  <c r="A543" i="1" s="1"/>
  <c r="A549" i="1" s="1"/>
  <c r="A554" i="1" s="1"/>
  <c r="A559" i="1" s="1"/>
  <c r="A567" i="1" s="1"/>
  <c r="A572" i="1" s="1"/>
  <c r="A577" i="1" s="1"/>
  <c r="A583" i="1" s="1"/>
  <c r="A588" i="1" s="1"/>
  <c r="A593" i="1" s="1"/>
  <c r="A601" i="1" s="1"/>
  <c r="A606" i="1" s="1"/>
  <c r="A611" i="1" s="1"/>
  <c r="A617" i="1" s="1"/>
  <c r="A622" i="1" s="1"/>
  <c r="A627" i="1" s="1"/>
  <c r="A633" i="1" s="1"/>
  <c r="A644" i="1" s="1"/>
  <c r="A649" i="1" s="1"/>
  <c r="A654" i="1" s="1"/>
  <c r="A660" i="1" s="1"/>
  <c r="A665" i="1" s="1"/>
  <c r="A670" i="1" s="1"/>
  <c r="A675" i="1" s="1"/>
  <c r="A683" i="1" s="1"/>
  <c r="A693" i="1" s="1"/>
  <c r="A698" i="1" s="1"/>
  <c r="A703" i="1" s="1"/>
  <c r="A708" i="1" s="1"/>
  <c r="A713" i="1" s="1"/>
  <c r="A721" i="1" s="1"/>
  <c r="A725" i="1" s="1"/>
  <c r="A729" i="1" s="1"/>
  <c r="A733" i="1" s="1"/>
  <c r="A746" i="1" s="1"/>
  <c r="A767" i="1" s="1"/>
  <c r="AT306" i="1"/>
  <c r="AS306" i="1"/>
  <c r="AR306" i="1"/>
  <c r="AQ306" i="1"/>
  <c r="AP306" i="1"/>
  <c r="AJ306" i="1"/>
  <c r="AG306" i="1"/>
  <c r="AF306" i="1"/>
  <c r="AE306" i="1"/>
  <c r="AD306" i="1"/>
  <c r="B306" i="1"/>
  <c r="BF305" i="1"/>
  <c r="BF315" i="1" s="1"/>
  <c r="BF325" i="1" s="1"/>
  <c r="BF335" i="1" s="1"/>
  <c r="BF345" i="1" s="1"/>
  <c r="BF355" i="1" s="1"/>
  <c r="BF365" i="1" s="1"/>
  <c r="BF375" i="1" s="1"/>
  <c r="BF385" i="1" s="1"/>
  <c r="BF395" i="1" s="1"/>
  <c r="BF405" i="1" s="1"/>
  <c r="BF415" i="1" s="1"/>
  <c r="BF425" i="1" s="1"/>
  <c r="BF435" i="1" s="1"/>
  <c r="BF440" i="1" s="1"/>
  <c r="D305" i="1"/>
  <c r="B305" i="1"/>
  <c r="B304" i="1"/>
  <c r="B302" i="1"/>
  <c r="BJ301" i="1"/>
  <c r="BI301" i="1"/>
  <c r="BH301" i="1"/>
  <c r="BG301" i="1"/>
  <c r="BD301" i="1"/>
  <c r="BB301" i="1"/>
  <c r="BH300" i="1"/>
  <c r="BH310" i="1" s="1"/>
  <c r="AD299" i="1"/>
  <c r="AE299" i="1" s="1"/>
  <c r="AF299" i="1" s="1"/>
  <c r="AG299" i="1" s="1"/>
  <c r="AH299" i="1" s="1"/>
  <c r="AS297" i="1"/>
  <c r="AR297" i="1" s="1"/>
  <c r="AQ297" i="1" s="1"/>
  <c r="AP297" i="1" s="1"/>
  <c r="B294" i="1"/>
  <c r="B292" i="1"/>
  <c r="B289" i="1"/>
  <c r="AD284" i="1"/>
  <c r="AG849" i="1" s="1"/>
  <c r="C849" i="1" s="1"/>
  <c r="C16" i="1" s="1"/>
  <c r="B16" i="1" s="1"/>
  <c r="B280" i="1"/>
  <c r="B279" i="1"/>
  <c r="AF271" i="1"/>
  <c r="AS270" i="1"/>
  <c r="AR270" i="1"/>
  <c r="AQ270" i="1"/>
  <c r="AP270" i="1"/>
  <c r="B266" i="1"/>
  <c r="AC265" i="1"/>
  <c r="AB265" i="1"/>
  <c r="AE265" i="1" s="1"/>
  <c r="B265" i="1"/>
  <c r="AB264" i="1"/>
  <c r="AE264" i="1" s="1"/>
  <c r="AP257" i="1"/>
  <c r="AO257" i="1"/>
  <c r="AN257" i="1"/>
  <c r="AK257" i="1"/>
  <c r="AJ257" i="1"/>
  <c r="AI257" i="1"/>
  <c r="AH257" i="1"/>
  <c r="AG257" i="1"/>
  <c r="AF257" i="1"/>
  <c r="AE257" i="1"/>
  <c r="AD257" i="1"/>
  <c r="D244" i="1"/>
  <c r="C244" i="1"/>
  <c r="B244" i="1"/>
  <c r="D243" i="1"/>
  <c r="C243" i="1"/>
  <c r="B243" i="1"/>
  <c r="D242" i="1"/>
  <c r="C242" i="1"/>
  <c r="B242" i="1"/>
  <c r="A242" i="1"/>
  <c r="D240" i="1"/>
  <c r="C240" i="1"/>
  <c r="B240" i="1"/>
  <c r="D239" i="1"/>
  <c r="C239" i="1"/>
  <c r="B239" i="1"/>
  <c r="D238" i="1"/>
  <c r="C238" i="1"/>
  <c r="B238" i="1"/>
  <c r="A238" i="1"/>
  <c r="D236" i="1"/>
  <c r="C236" i="1"/>
  <c r="B236" i="1"/>
  <c r="D235" i="1"/>
  <c r="C235" i="1"/>
  <c r="B235" i="1"/>
  <c r="D234" i="1"/>
  <c r="C234" i="1"/>
  <c r="B234" i="1"/>
  <c r="A234" i="1"/>
  <c r="D232" i="1"/>
  <c r="C232" i="1"/>
  <c r="B232" i="1"/>
  <c r="D231" i="1"/>
  <c r="C231" i="1"/>
  <c r="B231" i="1"/>
  <c r="D230" i="1"/>
  <c r="C230" i="1"/>
  <c r="B230" i="1"/>
  <c r="A230" i="1"/>
  <c r="D228" i="1"/>
  <c r="C228" i="1"/>
  <c r="B228" i="1"/>
  <c r="D227" i="1"/>
  <c r="C227" i="1"/>
  <c r="B227" i="1"/>
  <c r="D226" i="1"/>
  <c r="C226" i="1"/>
  <c r="B226" i="1"/>
  <c r="A226" i="1"/>
  <c r="C224" i="1"/>
  <c r="B224" i="1"/>
  <c r="A222" i="1"/>
  <c r="B221" i="1"/>
  <c r="B203" i="1"/>
  <c r="AL199" i="1"/>
  <c r="AL198" i="1"/>
  <c r="AL197" i="1"/>
  <c r="AL196" i="1"/>
  <c r="C196" i="1"/>
  <c r="AI196" i="1" s="1"/>
  <c r="B196" i="1"/>
  <c r="D263" i="1" s="1"/>
  <c r="AG193" i="1"/>
  <c r="AF193" i="1"/>
  <c r="AE193" i="1"/>
  <c r="AD191" i="1"/>
  <c r="B191" i="1"/>
  <c r="B189" i="1"/>
  <c r="AD187" i="1"/>
  <c r="B183" i="1"/>
  <c r="B181" i="1"/>
  <c r="A179" i="1"/>
  <c r="A178" i="1"/>
  <c r="A177" i="1"/>
  <c r="A176" i="1"/>
  <c r="A175" i="1"/>
  <c r="A174" i="1"/>
  <c r="A173" i="1"/>
  <c r="A172" i="1"/>
  <c r="A170" i="1"/>
  <c r="A171" i="1" s="1"/>
  <c r="AD162" i="1"/>
  <c r="AN162" i="1" s="1"/>
  <c r="AQ158" i="1"/>
  <c r="AQ159" i="1" s="1"/>
  <c r="AL158" i="1"/>
  <c r="AL159" i="1" s="1"/>
  <c r="AH158" i="1"/>
  <c r="AH159" i="1" s="1"/>
  <c r="AD158" i="1"/>
  <c r="AD159" i="1" s="1"/>
  <c r="AD156" i="1"/>
  <c r="AJ156" i="1" s="1"/>
  <c r="AD152" i="1"/>
  <c r="C7" i="1" s="1"/>
  <c r="B136" i="1"/>
  <c r="B134" i="1"/>
  <c r="AP124" i="1"/>
  <c r="B132" i="1"/>
  <c r="B130" i="1"/>
  <c r="B128" i="1"/>
  <c r="B126" i="1"/>
  <c r="B124" i="1"/>
  <c r="B122" i="1"/>
  <c r="B120" i="1"/>
  <c r="B118" i="1"/>
  <c r="B116" i="1"/>
  <c r="B114" i="1"/>
  <c r="B112" i="1"/>
  <c r="B110" i="1"/>
  <c r="B108" i="1"/>
  <c r="AI62" i="1"/>
  <c r="AI54" i="1"/>
  <c r="B2163" i="1" s="1"/>
  <c r="AD54" i="1"/>
  <c r="C8" i="1"/>
  <c r="AU1" i="1"/>
  <c r="AU2" i="1" s="1"/>
  <c r="AT1" i="1"/>
  <c r="AT2" i="1" s="1"/>
  <c r="AS1" i="1"/>
  <c r="AS2" i="1" s="1"/>
  <c r="AR1" i="1"/>
  <c r="AR2" i="1" s="1"/>
  <c r="AQ1" i="1"/>
  <c r="AQ2" i="1" s="1"/>
  <c r="AD300" i="3" l="1"/>
  <c r="AD310" i="3"/>
  <c r="AH340" i="3"/>
  <c r="AH360" i="3"/>
  <c r="BB382" i="3"/>
  <c r="AD390" i="3"/>
  <c r="AH400" i="3"/>
  <c r="AH320" i="3"/>
  <c r="AI320" i="3" s="1"/>
  <c r="AK320" i="3" s="1"/>
  <c r="AH350" i="3"/>
  <c r="AH370" i="3"/>
  <c r="AH380" i="3"/>
  <c r="BD392" i="3"/>
  <c r="D396" i="3"/>
  <c r="AH410" i="3"/>
  <c r="AH430" i="3"/>
  <c r="AH300" i="3"/>
  <c r="AH310" i="3"/>
  <c r="AH330" i="3"/>
  <c r="BB332" i="3"/>
  <c r="AD340" i="3"/>
  <c r="AI340" i="3" s="1"/>
  <c r="AK340" i="3" s="1"/>
  <c r="AD360" i="3"/>
  <c r="AD370" i="3"/>
  <c r="AD380" i="3"/>
  <c r="AH390" i="3"/>
  <c r="C395" i="3"/>
  <c r="AD828" i="3"/>
  <c r="C325" i="3"/>
  <c r="C385" i="3"/>
  <c r="AG430" i="3"/>
  <c r="AT532" i="3"/>
  <c r="AT600" i="3"/>
  <c r="AM664" i="3"/>
  <c r="AF779" i="3"/>
  <c r="AF783" i="3"/>
  <c r="AS785" i="3"/>
  <c r="AJ787" i="3"/>
  <c r="AL787" i="3" s="1"/>
  <c r="AO787" i="3" s="1"/>
  <c r="AJ788" i="3"/>
  <c r="AG320" i="3"/>
  <c r="AC380" i="3"/>
  <c r="AG380" i="3"/>
  <c r="AI380" i="3" s="1"/>
  <c r="AK380" i="3" s="1"/>
  <c r="AG400" i="3"/>
  <c r="AC430" i="3"/>
  <c r="AV626" i="3"/>
  <c r="AV631" i="3"/>
  <c r="AF770" i="3"/>
  <c r="AS772" i="3"/>
  <c r="AJ783" i="3"/>
  <c r="AJ785" i="3"/>
  <c r="AL785" i="3" s="1"/>
  <c r="AO785" i="3" s="1"/>
  <c r="AF786" i="3"/>
  <c r="AF788" i="3"/>
  <c r="AE819" i="3"/>
  <c r="AM1631" i="3"/>
  <c r="B1631" i="3" s="1"/>
  <c r="B1958" i="3"/>
  <c r="AL193" i="3"/>
  <c r="C201" i="3" s="1"/>
  <c r="AG300" i="3"/>
  <c r="AU306" i="3"/>
  <c r="AC310" i="3"/>
  <c r="AC330" i="3"/>
  <c r="AG330" i="3"/>
  <c r="AG350" i="3"/>
  <c r="AU396" i="3"/>
  <c r="AC420" i="3"/>
  <c r="AG420" i="3"/>
  <c r="AM702" i="3"/>
  <c r="BB702" i="3" s="1"/>
  <c r="AV702" i="3"/>
  <c r="AM1610" i="3"/>
  <c r="B1610" i="3" s="1"/>
  <c r="AI801" i="3"/>
  <c r="AF829" i="3"/>
  <c r="AE1232" i="3"/>
  <c r="AE1242" i="3"/>
  <c r="AG310" i="3"/>
  <c r="AU316" i="3"/>
  <c r="AC340" i="3"/>
  <c r="AC360" i="3"/>
  <c r="AC390" i="3"/>
  <c r="AC410" i="3"/>
  <c r="AI410" i="3" s="1"/>
  <c r="AK410" i="3" s="1"/>
  <c r="BD412" i="3"/>
  <c r="AT415" i="3"/>
  <c r="AD451" i="3"/>
  <c r="AD457" i="3"/>
  <c r="AV581" i="3"/>
  <c r="AC908" i="3"/>
  <c r="AC1201" i="3"/>
  <c r="AE1252" i="3"/>
  <c r="AE1262" i="3"/>
  <c r="CB1485" i="3"/>
  <c r="B1954" i="3"/>
  <c r="AT375" i="3"/>
  <c r="AU406" i="3"/>
  <c r="AT425" i="3"/>
  <c r="AT435" i="3"/>
  <c r="AD449" i="3"/>
  <c r="AK754" i="3"/>
  <c r="AS754" i="3"/>
  <c r="AJ786" i="3"/>
  <c r="AM807" i="3"/>
  <c r="AE818" i="3"/>
  <c r="AC891" i="3"/>
  <c r="AE1212" i="3"/>
  <c r="AC1196" i="3"/>
  <c r="AC1226" i="3" s="1"/>
  <c r="D1226" i="3" s="1"/>
  <c r="AE1282" i="3"/>
  <c r="AE1511" i="3"/>
  <c r="AC1523" i="3"/>
  <c r="C1523" i="3" s="1"/>
  <c r="AM1616" i="3"/>
  <c r="B1616" i="3" s="1"/>
  <c r="B1956" i="3"/>
  <c r="AD898" i="3"/>
  <c r="AC320" i="3"/>
  <c r="BD332" i="3"/>
  <c r="D336" i="3"/>
  <c r="AU336" i="3"/>
  <c r="AG340" i="3"/>
  <c r="AC350" i="3"/>
  <c r="AG360" i="3"/>
  <c r="AC370" i="3"/>
  <c r="AI386" i="3"/>
  <c r="AN386" i="3" s="1"/>
  <c r="AG390" i="3"/>
  <c r="BB392" i="3"/>
  <c r="BB412" i="3"/>
  <c r="AU426" i="3"/>
  <c r="AD445" i="3"/>
  <c r="AD453" i="3"/>
  <c r="AC463" i="3"/>
  <c r="AM495" i="3"/>
  <c r="AF508" i="3"/>
  <c r="AV537" i="3"/>
  <c r="AV571" i="3"/>
  <c r="AC692" i="3"/>
  <c r="AG754" i="3"/>
  <c r="AO754" i="3"/>
  <c r="AC798" i="3"/>
  <c r="AC799" i="3"/>
  <c r="AM802" i="3"/>
  <c r="AC904" i="3"/>
  <c r="AE1202" i="3"/>
  <c r="AC1503" i="3"/>
  <c r="C1503" i="3" s="1"/>
  <c r="B1964" i="3"/>
  <c r="D2161" i="3"/>
  <c r="AM2159" i="3" s="1"/>
  <c r="AE2152" i="3" s="1"/>
  <c r="AC2193" i="3" s="1"/>
  <c r="AE380" i="1"/>
  <c r="BD432" i="3"/>
  <c r="AG833" i="3"/>
  <c r="AE320" i="3"/>
  <c r="AI336" i="3"/>
  <c r="AN336" i="3" s="1"/>
  <c r="AE360" i="3"/>
  <c r="AE370" i="3"/>
  <c r="AI370" i="3" s="1"/>
  <c r="AK370" i="3" s="1"/>
  <c r="AI396" i="3"/>
  <c r="AN396" i="3" s="1"/>
  <c r="AI400" i="3"/>
  <c r="AE410" i="3"/>
  <c r="D416" i="3"/>
  <c r="AU416" i="3"/>
  <c r="AE430" i="3"/>
  <c r="AI430" i="3" s="1"/>
  <c r="AM468" i="3"/>
  <c r="AV468" i="3"/>
  <c r="AZ469" i="3" s="1"/>
  <c r="AF473" i="3"/>
  <c r="AM473" i="3"/>
  <c r="AV479" i="3"/>
  <c r="AF484" i="3"/>
  <c r="BB484" i="3" s="1"/>
  <c r="AM484" i="3"/>
  <c r="AV490" i="3"/>
  <c r="AV503" i="3"/>
  <c r="AV508" i="3"/>
  <c r="AF519" i="3"/>
  <c r="AF524" i="3"/>
  <c r="AV529" i="3"/>
  <c r="AV542" i="3"/>
  <c r="AF547" i="3"/>
  <c r="AM547" i="3"/>
  <c r="AM558" i="3"/>
  <c r="AV592" i="3"/>
  <c r="AV615" i="3"/>
  <c r="AV648" i="3"/>
  <c r="AV653" i="3"/>
  <c r="AF658" i="3"/>
  <c r="AV664" i="3"/>
  <c r="AF669" i="3"/>
  <c r="AF679" i="3"/>
  <c r="AV687" i="3"/>
  <c r="AF697" i="3"/>
  <c r="AM707" i="3"/>
  <c r="AV707" i="3"/>
  <c r="AF717" i="3"/>
  <c r="AJ778" i="3"/>
  <c r="AJ780" i="3"/>
  <c r="AC797" i="3"/>
  <c r="AI798" i="3"/>
  <c r="AF799" i="3"/>
  <c r="AM800" i="3"/>
  <c r="AM801" i="3"/>
  <c r="AP803" i="3"/>
  <c r="AI808" i="3"/>
  <c r="AD818" i="3"/>
  <c r="AD820" i="3"/>
  <c r="AE822" i="3"/>
  <c r="AC2215" i="3"/>
  <c r="AG831" i="3"/>
  <c r="AE300" i="3"/>
  <c r="AE310" i="3"/>
  <c r="AI310" i="3" s="1"/>
  <c r="AK310" i="3" s="1"/>
  <c r="AU356" i="3"/>
  <c r="AU386" i="3"/>
  <c r="AI406" i="3"/>
  <c r="AN406" i="3" s="1"/>
  <c r="AI416" i="3"/>
  <c r="AN416" i="3" s="1"/>
  <c r="AI420" i="3"/>
  <c r="D436" i="3"/>
  <c r="AU436" i="3"/>
  <c r="AV513" i="3"/>
  <c r="AV519" i="3"/>
  <c r="AV587" i="3"/>
  <c r="AV597" i="3"/>
  <c r="AM610" i="3"/>
  <c r="AV674" i="3"/>
  <c r="AF702" i="3"/>
  <c r="AV712" i="3"/>
  <c r="AF773" i="3"/>
  <c r="AF776" i="3"/>
  <c r="AF777" i="3"/>
  <c r="AJ777" i="3"/>
  <c r="AF785" i="3"/>
  <c r="AF797" i="3"/>
  <c r="AL798" i="3"/>
  <c r="AP800" i="3"/>
  <c r="AP801" i="3"/>
  <c r="AI804" i="3"/>
  <c r="AD821" i="3"/>
  <c r="AD823" i="3"/>
  <c r="AC831" i="3"/>
  <c r="AC833" i="3"/>
  <c r="AL800" i="3"/>
  <c r="AD822" i="3"/>
  <c r="AD193" i="3"/>
  <c r="AU326" i="3"/>
  <c r="AI330" i="3"/>
  <c r="AK330" i="3" s="1"/>
  <c r="AE340" i="3"/>
  <c r="AE350" i="3"/>
  <c r="AE390" i="3"/>
  <c r="AI426" i="3"/>
  <c r="AN426" i="3" s="1"/>
  <c r="BB432" i="3"/>
  <c r="AI436" i="3"/>
  <c r="AN436" i="3" s="1"/>
  <c r="AV473" i="3"/>
  <c r="AV484" i="3"/>
  <c r="AM490" i="3"/>
  <c r="AV524" i="3"/>
  <c r="AV558" i="3"/>
  <c r="AV563" i="3"/>
  <c r="AV576" i="3"/>
  <c r="AF631" i="3"/>
  <c r="AV658" i="3"/>
  <c r="AF664" i="3"/>
  <c r="BB664" i="3" s="1"/>
  <c r="AV669" i="3"/>
  <c r="AM679" i="3"/>
  <c r="AV679" i="3"/>
  <c r="AM697" i="3"/>
  <c r="AX697" i="3" s="1"/>
  <c r="AZ697" i="3" s="1"/>
  <c r="BD697" i="3" s="1"/>
  <c r="AV697" i="3"/>
  <c r="AF707" i="3"/>
  <c r="AM717" i="3"/>
  <c r="AV717" i="3"/>
  <c r="AF771" i="3"/>
  <c r="AF772" i="3"/>
  <c r="AM798" i="3"/>
  <c r="AI800" i="3"/>
  <c r="AI802" i="3"/>
  <c r="AE821" i="3"/>
  <c r="AC829" i="3"/>
  <c r="AF831" i="3"/>
  <c r="AF833" i="3"/>
  <c r="E1881" i="3"/>
  <c r="AC2189" i="3"/>
  <c r="AF529" i="3"/>
  <c r="AC300" i="2"/>
  <c r="AG320" i="2"/>
  <c r="AC330" i="2"/>
  <c r="AG340" i="2"/>
  <c r="AC370" i="2"/>
  <c r="AG380" i="2"/>
  <c r="AG390" i="2"/>
  <c r="AK615" i="2"/>
  <c r="AK621" i="2"/>
  <c r="AV674" i="2"/>
  <c r="AD896" i="2"/>
  <c r="AF1017" i="2"/>
  <c r="B1968" i="2"/>
  <c r="BJ2258" i="2"/>
  <c r="AC340" i="2"/>
  <c r="AG350" i="2"/>
  <c r="AI350" i="2" s="1"/>
  <c r="AK350" i="2" s="1"/>
  <c r="AC380" i="2"/>
  <c r="AC390" i="2"/>
  <c r="AU396" i="2"/>
  <c r="AC410" i="2"/>
  <c r="AI410" i="2" s="1"/>
  <c r="AK410" i="2" s="1"/>
  <c r="AG410" i="2"/>
  <c r="BB412" i="2"/>
  <c r="AG420" i="2"/>
  <c r="AV503" i="2"/>
  <c r="AF508" i="2"/>
  <c r="AV537" i="2"/>
  <c r="AF664" i="2"/>
  <c r="AV669" i="2"/>
  <c r="AG976" i="2"/>
  <c r="AF1013" i="2"/>
  <c r="AD56" i="2"/>
  <c r="AG310" i="2"/>
  <c r="AI310" i="2" s="1"/>
  <c r="AK310" i="2" s="1"/>
  <c r="AT315" i="2"/>
  <c r="AC320" i="2"/>
  <c r="AC350" i="2"/>
  <c r="AG360" i="2"/>
  <c r="AG400" i="2"/>
  <c r="BD412" i="2"/>
  <c r="AC420" i="2"/>
  <c r="AT435" i="2"/>
  <c r="AK581" i="2"/>
  <c r="AV658" i="2"/>
  <c r="AM754" i="2"/>
  <c r="AV754" i="2"/>
  <c r="AJ789" i="2"/>
  <c r="AF977" i="2"/>
  <c r="AG1006" i="2"/>
  <c r="AM1619" i="2"/>
  <c r="B1619" i="2" s="1"/>
  <c r="D2161" i="2"/>
  <c r="AM2159" i="2" s="1"/>
  <c r="BK2282" i="2"/>
  <c r="BJ2282" i="2"/>
  <c r="AF300" i="2"/>
  <c r="BJ300" i="2"/>
  <c r="AU306" i="2"/>
  <c r="AF340" i="2"/>
  <c r="AF370" i="2"/>
  <c r="AI370" i="2" s="1"/>
  <c r="AK370" i="2" s="1"/>
  <c r="BD382" i="2"/>
  <c r="AF400" i="2"/>
  <c r="C415" i="2"/>
  <c r="AL513" i="2"/>
  <c r="AM513" i="2" s="1"/>
  <c r="AL529" i="2"/>
  <c r="AV563" i="2"/>
  <c r="AV581" i="2"/>
  <c r="AL648" i="2"/>
  <c r="AM648" i="2" s="1"/>
  <c r="AL653" i="2"/>
  <c r="AM653" i="2" s="1"/>
  <c r="AM800" i="2"/>
  <c r="AF822" i="2"/>
  <c r="AI829" i="2"/>
  <c r="AF906" i="2"/>
  <c r="AG956" i="2"/>
  <c r="AC1196" i="2"/>
  <c r="AC1523" i="2"/>
  <c r="C1523" i="2" s="1"/>
  <c r="BJ1616" i="2"/>
  <c r="AM1616" i="2"/>
  <c r="B1616" i="2" s="1"/>
  <c r="BJ2271" i="2"/>
  <c r="AH829" i="2"/>
  <c r="AF903" i="2"/>
  <c r="AC257" i="2"/>
  <c r="AF310" i="2"/>
  <c r="AF320" i="2"/>
  <c r="AI320" i="2" s="1"/>
  <c r="AU326" i="2"/>
  <c r="AU386" i="2"/>
  <c r="AF390" i="2"/>
  <c r="AU416" i="2"/>
  <c r="AL484" i="2"/>
  <c r="AV519" i="2"/>
  <c r="AF524" i="2"/>
  <c r="AM524" i="2"/>
  <c r="BB524" i="2" s="1"/>
  <c r="AV529" i="2"/>
  <c r="AF597" i="2"/>
  <c r="AJ770" i="2"/>
  <c r="AJ775" i="2"/>
  <c r="AL775" i="2" s="1"/>
  <c r="AO775" i="2" s="1"/>
  <c r="AJ777" i="2"/>
  <c r="AJ779" i="2"/>
  <c r="AJ785" i="2"/>
  <c r="AF788" i="2"/>
  <c r="AM798" i="2"/>
  <c r="AC799" i="2"/>
  <c r="AF819" i="2"/>
  <c r="AF823" i="2"/>
  <c r="AI831" i="2"/>
  <c r="AE831" i="2"/>
  <c r="AF891" i="2"/>
  <c r="AF898" i="2"/>
  <c r="AF908" i="2"/>
  <c r="AF932" i="2"/>
  <c r="AF960" i="2"/>
  <c r="AF974" i="2"/>
  <c r="AF980" i="2"/>
  <c r="AG986" i="2"/>
  <c r="AF1010" i="2"/>
  <c r="B1959" i="2"/>
  <c r="BB382" i="2"/>
  <c r="AI420" i="2"/>
  <c r="AF894" i="2"/>
  <c r="AF330" i="2"/>
  <c r="AI330" i="2" s="1"/>
  <c r="AK330" i="2" s="1"/>
  <c r="AU346" i="2"/>
  <c r="AF350" i="2"/>
  <c r="AT355" i="2"/>
  <c r="AF360" i="2"/>
  <c r="AI360" i="2" s="1"/>
  <c r="AK360" i="2" s="1"/>
  <c r="AF380" i="2"/>
  <c r="AU406" i="2"/>
  <c r="AD445" i="2"/>
  <c r="AD449" i="2"/>
  <c r="AD457" i="2"/>
  <c r="AF468" i="2"/>
  <c r="AM468" i="2"/>
  <c r="AV473" i="2"/>
  <c r="AF479" i="2"/>
  <c r="AM479" i="2"/>
  <c r="AV484" i="2"/>
  <c r="AF490" i="2"/>
  <c r="AX490" i="2" s="1"/>
  <c r="AZ490" i="2" s="1"/>
  <c r="BD490" i="2" s="1"/>
  <c r="AM490" i="2"/>
  <c r="AL524" i="2"/>
  <c r="AV592" i="2"/>
  <c r="AV615" i="2"/>
  <c r="AF773" i="2"/>
  <c r="AF775" i="2"/>
  <c r="AF777" i="2"/>
  <c r="AF779" i="2"/>
  <c r="AF783" i="2"/>
  <c r="AI801" i="2"/>
  <c r="AD820" i="2"/>
  <c r="AF892" i="2"/>
  <c r="AF900" i="2"/>
  <c r="AF990" i="2"/>
  <c r="AD193" i="2"/>
  <c r="AD186" i="2" s="1"/>
  <c r="AG850" i="2" s="1"/>
  <c r="C850" i="2" s="1"/>
  <c r="C17" i="2" s="1"/>
  <c r="B17" i="2" s="1"/>
  <c r="AI300" i="2"/>
  <c r="AK300" i="2" s="1"/>
  <c r="AD798" i="2"/>
  <c r="AF945" i="2"/>
  <c r="AF942" i="2"/>
  <c r="AF969" i="2"/>
  <c r="AF970" i="2"/>
  <c r="AG966" i="2"/>
  <c r="BJ1610" i="2"/>
  <c r="BD1610" i="2"/>
  <c r="BJ2285" i="2"/>
  <c r="D196" i="2"/>
  <c r="AQ257" i="2"/>
  <c r="AU257" i="2" s="1"/>
  <c r="AO270" i="2"/>
  <c r="AM270" i="2" s="1"/>
  <c r="B271" i="2" s="1"/>
  <c r="AI306" i="2"/>
  <c r="AN306" i="2" s="1"/>
  <c r="AU316" i="2"/>
  <c r="AI336" i="2"/>
  <c r="AN336" i="2" s="1"/>
  <c r="AT345" i="2"/>
  <c r="AI356" i="2"/>
  <c r="AN356" i="2" s="1"/>
  <c r="AT365" i="2"/>
  <c r="AT375" i="2"/>
  <c r="AI386" i="2"/>
  <c r="AN386" i="2" s="1"/>
  <c r="AI390" i="2"/>
  <c r="BB392" i="2"/>
  <c r="AT395" i="2"/>
  <c r="D406" i="2"/>
  <c r="D416" i="2"/>
  <c r="AI426" i="2"/>
  <c r="AN426" i="2" s="1"/>
  <c r="AI430" i="2"/>
  <c r="AU436" i="2"/>
  <c r="AD447" i="2"/>
  <c r="AD455" i="2"/>
  <c r="AM495" i="2"/>
  <c r="AT498" i="2"/>
  <c r="AV508" i="2"/>
  <c r="AF513" i="2"/>
  <c r="AT532" i="2"/>
  <c r="AV542" i="2"/>
  <c r="AF547" i="2"/>
  <c r="AM547" i="2"/>
  <c r="BB547" i="2" s="1"/>
  <c r="AV553" i="2"/>
  <c r="AF558" i="2"/>
  <c r="AM558" i="2"/>
  <c r="AV597" i="2"/>
  <c r="AV605" i="2"/>
  <c r="AF610" i="2"/>
  <c r="AM610" i="2"/>
  <c r="AV621" i="2"/>
  <c r="AV626" i="2"/>
  <c r="AF631" i="2"/>
  <c r="AV648" i="2"/>
  <c r="AM664" i="2"/>
  <c r="BB664" i="2" s="1"/>
  <c r="AJ771" i="2"/>
  <c r="AT772" i="2"/>
  <c r="AS772" i="2"/>
  <c r="AJ772" i="2"/>
  <c r="AJ776" i="2"/>
  <c r="AJ778" i="2"/>
  <c r="AJ780" i="2"/>
  <c r="AJ787" i="2"/>
  <c r="AL787" i="2" s="1"/>
  <c r="AO787" i="2" s="1"/>
  <c r="AF948" i="2"/>
  <c r="AG946" i="2"/>
  <c r="AF949" i="2"/>
  <c r="AF967" i="2"/>
  <c r="CN2193" i="2"/>
  <c r="AC2189" i="2"/>
  <c r="BK2268" i="2"/>
  <c r="BJ2268" i="2"/>
  <c r="BK2275" i="2"/>
  <c r="BJ2275" i="2"/>
  <c r="AL193" i="2"/>
  <c r="C201" i="2" s="1"/>
  <c r="AI340" i="2"/>
  <c r="AK340" i="2" s="1"/>
  <c r="AI346" i="2"/>
  <c r="AK346" i="2" s="1"/>
  <c r="AU356" i="2"/>
  <c r="AI366" i="2"/>
  <c r="AI376" i="2"/>
  <c r="AN376" i="2" s="1"/>
  <c r="AI380" i="2"/>
  <c r="AI396" i="2"/>
  <c r="AN396" i="2" s="1"/>
  <c r="AI400" i="2"/>
  <c r="AI406" i="2"/>
  <c r="AN406" i="2" s="1"/>
  <c r="AI416" i="2"/>
  <c r="AN416" i="2" s="1"/>
  <c r="AI436" i="2"/>
  <c r="AN436" i="2" s="1"/>
  <c r="AD453" i="2"/>
  <c r="AV468" i="2"/>
  <c r="AZ469" i="2" s="1"/>
  <c r="AF473" i="2"/>
  <c r="AM473" i="2"/>
  <c r="AV479" i="2"/>
  <c r="AF484" i="2"/>
  <c r="BB484" i="2" s="1"/>
  <c r="AM484" i="2"/>
  <c r="AV490" i="2"/>
  <c r="AC498" i="2"/>
  <c r="AF503" i="2"/>
  <c r="AV524" i="2"/>
  <c r="AF529" i="2"/>
  <c r="AM529" i="2"/>
  <c r="AV571" i="2"/>
  <c r="AV576" i="2"/>
  <c r="AF581" i="2"/>
  <c r="AM581" i="2"/>
  <c r="AM615" i="2"/>
  <c r="AV631" i="2"/>
  <c r="AV637" i="2"/>
  <c r="AV653" i="2"/>
  <c r="AF658" i="2"/>
  <c r="BB658" i="2" s="1"/>
  <c r="AM658" i="2"/>
  <c r="AV664" i="2"/>
  <c r="AF669" i="2"/>
  <c r="AV679" i="2"/>
  <c r="AI754" i="2"/>
  <c r="AQ754" i="2"/>
  <c r="AZ751" i="2"/>
  <c r="AX751" i="2"/>
  <c r="AF774" i="2"/>
  <c r="AF776" i="2"/>
  <c r="AF778" i="2"/>
  <c r="AF780" i="2"/>
  <c r="AF782" i="2"/>
  <c r="AJ784" i="2"/>
  <c r="AF787" i="2"/>
  <c r="AF999" i="2"/>
  <c r="AG996" i="2"/>
  <c r="AF1000" i="2"/>
  <c r="CB1485" i="2"/>
  <c r="CI1485" i="2" s="1"/>
  <c r="BO1610" i="2"/>
  <c r="C1610" i="2" s="1"/>
  <c r="CN2215" i="2"/>
  <c r="AC2215" i="2"/>
  <c r="BK2262" i="2"/>
  <c r="BJ2262" i="2"/>
  <c r="BK2280" i="2"/>
  <c r="BJ2280" i="2"/>
  <c r="AI316" i="2"/>
  <c r="AI326" i="2"/>
  <c r="AK326" i="2" s="1"/>
  <c r="BB332" i="2"/>
  <c r="AU336" i="2"/>
  <c r="AU366" i="2"/>
  <c r="AU376" i="2"/>
  <c r="AU426" i="2"/>
  <c r="AD451" i="2"/>
  <c r="AM503" i="2"/>
  <c r="AV513" i="2"/>
  <c r="AF519" i="2"/>
  <c r="AF537" i="2"/>
  <c r="AM542" i="2"/>
  <c r="AV547" i="2"/>
  <c r="AF553" i="2"/>
  <c r="AM553" i="2"/>
  <c r="AV558" i="2"/>
  <c r="AF563" i="2"/>
  <c r="AF605" i="2"/>
  <c r="AM605" i="2"/>
  <c r="AV610" i="2"/>
  <c r="AM621" i="2"/>
  <c r="AM669" i="2"/>
  <c r="AD829" i="2"/>
  <c r="AF997" i="2"/>
  <c r="AF1028" i="2"/>
  <c r="AF1030" i="2"/>
  <c r="AF1029" i="2"/>
  <c r="AG1026" i="2"/>
  <c r="BK2278" i="2"/>
  <c r="BJ2278" i="2"/>
  <c r="AF697" i="2"/>
  <c r="AM697" i="2"/>
  <c r="AV702" i="2"/>
  <c r="AF707" i="2"/>
  <c r="AM707" i="2"/>
  <c r="AX707" i="2" s="1"/>
  <c r="AV712" i="2"/>
  <c r="AF717" i="2"/>
  <c r="AM717" i="2"/>
  <c r="AG754" i="2"/>
  <c r="AO754" i="2"/>
  <c r="AU754" i="2" s="1"/>
  <c r="AV755" i="2" s="1"/>
  <c r="AF770" i="2"/>
  <c r="AJ773" i="2"/>
  <c r="AJ781" i="2"/>
  <c r="AJ783" i="2"/>
  <c r="AL783" i="2" s="1"/>
  <c r="AO783" i="2" s="1"/>
  <c r="AJ786" i="2"/>
  <c r="AC798" i="2"/>
  <c r="AD818" i="2"/>
  <c r="AD823" i="2"/>
  <c r="AE829" i="2"/>
  <c r="AI833" i="2"/>
  <c r="AF890" i="2"/>
  <c r="AD894" i="2"/>
  <c r="AF896" i="2"/>
  <c r="AF902" i="2"/>
  <c r="AF907" i="2"/>
  <c r="AF957" i="2"/>
  <c r="AF1020" i="2"/>
  <c r="AC1503" i="2"/>
  <c r="C1503" i="2" s="1"/>
  <c r="AC1513" i="2"/>
  <c r="C1513" i="2" s="1"/>
  <c r="AM1631" i="2"/>
  <c r="B1631" i="2" s="1"/>
  <c r="B1966" i="2"/>
  <c r="B1979" i="2"/>
  <c r="CI1484" i="2"/>
  <c r="AF1491" i="2" s="1"/>
  <c r="AC1493" i="2"/>
  <c r="C1493" i="2" s="1"/>
  <c r="AC1533" i="2"/>
  <c r="C1533" i="2" s="1"/>
  <c r="BJ1619" i="2"/>
  <c r="BI2243" i="2"/>
  <c r="BI2245" i="2"/>
  <c r="AV687" i="2"/>
  <c r="AV697" i="2"/>
  <c r="AF702" i="2"/>
  <c r="AM702" i="2"/>
  <c r="AV707" i="2"/>
  <c r="AF712" i="2"/>
  <c r="AM712" i="2"/>
  <c r="BB712" i="2" s="1"/>
  <c r="AV717" i="2"/>
  <c r="AK754" i="2"/>
  <c r="AS754" i="2"/>
  <c r="AF771" i="2"/>
  <c r="AL771" i="2" s="1"/>
  <c r="AO771" i="2" s="1"/>
  <c r="AF772" i="2"/>
  <c r="AL772" i="2" s="1"/>
  <c r="AO772" i="2" s="1"/>
  <c r="AJ774" i="2"/>
  <c r="AJ782" i="2"/>
  <c r="AF785" i="2"/>
  <c r="AL785" i="2" s="1"/>
  <c r="AJ788" i="2"/>
  <c r="AF789" i="2"/>
  <c r="AC797" i="2"/>
  <c r="AI798" i="2"/>
  <c r="AI800" i="2"/>
  <c r="AM801" i="2"/>
  <c r="AD892" i="2"/>
  <c r="AF895" i="2"/>
  <c r="AF899" i="2"/>
  <c r="AF904" i="2"/>
  <c r="AF987" i="2"/>
  <c r="AG1016" i="2"/>
  <c r="AE1481" i="2"/>
  <c r="AC1483" i="2"/>
  <c r="C1483" i="2" s="1"/>
  <c r="AE1511" i="2"/>
  <c r="B1956" i="2"/>
  <c r="B1969" i="2"/>
  <c r="BK2243" i="2"/>
  <c r="AD890" i="3"/>
  <c r="AD899" i="3"/>
  <c r="AG931" i="3"/>
  <c r="AG941" i="3"/>
  <c r="AG951" i="3"/>
  <c r="AG961" i="3"/>
  <c r="AG971" i="3"/>
  <c r="AG981" i="3"/>
  <c r="AG991" i="3"/>
  <c r="AG1001" i="3"/>
  <c r="AG1011" i="3"/>
  <c r="AG1021" i="3"/>
  <c r="AD902" i="3"/>
  <c r="AF935" i="3"/>
  <c r="AF955" i="3"/>
  <c r="AF975" i="3"/>
  <c r="AF995" i="3"/>
  <c r="AF1015" i="3"/>
  <c r="AD895" i="3"/>
  <c r="AF928" i="3"/>
  <c r="AF948" i="3"/>
  <c r="AF968" i="3"/>
  <c r="AF988" i="3"/>
  <c r="AF1008" i="3"/>
  <c r="AF1030" i="3"/>
  <c r="AD891" i="3"/>
  <c r="AC895" i="3"/>
  <c r="AC899" i="3"/>
  <c r="AE902" i="3"/>
  <c r="AD906" i="3"/>
  <c r="AF937" i="3"/>
  <c r="AF945" i="3"/>
  <c r="AF957" i="3"/>
  <c r="AF965" i="3"/>
  <c r="AF977" i="3"/>
  <c r="AF985" i="3"/>
  <c r="AF997" i="3"/>
  <c r="AF1005" i="3"/>
  <c r="AF1017" i="3"/>
  <c r="AF1025" i="3"/>
  <c r="AC892" i="3"/>
  <c r="AC903" i="3"/>
  <c r="AC907" i="3"/>
  <c r="AF938" i="3"/>
  <c r="AF958" i="3"/>
  <c r="AF978" i="3"/>
  <c r="AF998" i="3"/>
  <c r="AF1018" i="3"/>
  <c r="AE894" i="3"/>
  <c r="AE890" i="3"/>
  <c r="AD894" i="3"/>
  <c r="AC896" i="3"/>
  <c r="AC900" i="3"/>
  <c r="AD903" i="3"/>
  <c r="AD907" i="3"/>
  <c r="AF927" i="3"/>
  <c r="AF947" i="3"/>
  <c r="AF967" i="3"/>
  <c r="AF987" i="3"/>
  <c r="AF1007" i="3"/>
  <c r="AF1027" i="3"/>
  <c r="BJ1616" i="3"/>
  <c r="BJ1619" i="3"/>
  <c r="BK2270" i="3"/>
  <c r="AJ770" i="3"/>
  <c r="AL770" i="3" s="1"/>
  <c r="AO770" i="3" s="1"/>
  <c r="AJ774" i="3"/>
  <c r="AJ779" i="3"/>
  <c r="AL779" i="3" s="1"/>
  <c r="AO779" i="3" s="1"/>
  <c r="AJ789" i="3"/>
  <c r="AJ773" i="3"/>
  <c r="AL773" i="3" s="1"/>
  <c r="AO773" i="3" s="1"/>
  <c r="AJ776" i="3"/>
  <c r="AJ782" i="3"/>
  <c r="AJ771" i="3"/>
  <c r="AJ772" i="3"/>
  <c r="AL772" i="3" s="1"/>
  <c r="AO772" i="3" s="1"/>
  <c r="AJ775" i="3"/>
  <c r="AJ781" i="3"/>
  <c r="AJ784" i="3"/>
  <c r="AF775" i="3"/>
  <c r="AF782" i="3"/>
  <c r="AF787" i="3"/>
  <c r="AF774" i="3"/>
  <c r="AF778" i="3"/>
  <c r="AL778" i="3" s="1"/>
  <c r="AO778" i="3" s="1"/>
  <c r="AF780" i="3"/>
  <c r="AL780" i="3" s="1"/>
  <c r="AO780" i="3" s="1"/>
  <c r="AF781" i="3"/>
  <c r="AL781" i="3" s="1"/>
  <c r="AF789" i="3"/>
  <c r="AL789" i="3" s="1"/>
  <c r="AO789" i="3" s="1"/>
  <c r="AF784" i="3"/>
  <c r="AL784" i="3" s="1"/>
  <c r="AO784" i="3" s="1"/>
  <c r="AM754" i="3"/>
  <c r="AV754" i="3"/>
  <c r="AI754" i="3"/>
  <c r="AQ754" i="3"/>
  <c r="AM712" i="3"/>
  <c r="AX712" i="3" s="1"/>
  <c r="AZ712" i="3" s="1"/>
  <c r="BD712" i="3" s="1"/>
  <c r="AF712" i="3"/>
  <c r="AM653" i="3"/>
  <c r="AM648" i="3"/>
  <c r="AF610" i="3"/>
  <c r="AX610" i="3" s="1"/>
  <c r="AM605" i="3"/>
  <c r="AX605" i="3" s="1"/>
  <c r="AF605" i="3"/>
  <c r="AF597" i="3"/>
  <c r="AF581" i="3"/>
  <c r="AF553" i="3"/>
  <c r="AM513" i="3"/>
  <c r="AF513" i="3"/>
  <c r="BB513" i="3" s="1"/>
  <c r="AF503" i="3"/>
  <c r="AF490" i="3"/>
  <c r="AX490" i="3" s="1"/>
  <c r="AZ490" i="3" s="1"/>
  <c r="BD490" i="3" s="1"/>
  <c r="AM479" i="3"/>
  <c r="AF479" i="3"/>
  <c r="BB479" i="3" s="1"/>
  <c r="AF468" i="3"/>
  <c r="BB468" i="3" s="1"/>
  <c r="AU376" i="3"/>
  <c r="AI376" i="3"/>
  <c r="AK376" i="3" s="1"/>
  <c r="AU366" i="3"/>
  <c r="AI366" i="3"/>
  <c r="AT355" i="3"/>
  <c r="AI356" i="3"/>
  <c r="AU346" i="3"/>
  <c r="AI346" i="3"/>
  <c r="AI326" i="3"/>
  <c r="AN326" i="3" s="1"/>
  <c r="AI316" i="3"/>
  <c r="AN316" i="3" s="1"/>
  <c r="AI306" i="3"/>
  <c r="AK306" i="3" s="1"/>
  <c r="AC2157" i="3"/>
  <c r="AO270" i="3"/>
  <c r="AM270" i="3" s="1"/>
  <c r="B271" i="3" s="1"/>
  <c r="AQ257" i="3"/>
  <c r="AS781" i="3" s="1"/>
  <c r="AC257" i="3"/>
  <c r="AM257" i="3" s="1"/>
  <c r="BK2277" i="3"/>
  <c r="BK2251" i="3"/>
  <c r="BJ2265" i="3"/>
  <c r="BJ2266" i="3"/>
  <c r="BJ2267" i="3"/>
  <c r="BJ2251" i="3"/>
  <c r="BK2256" i="3"/>
  <c r="BK2266" i="3"/>
  <c r="BK2267" i="3"/>
  <c r="BK2248" i="3"/>
  <c r="BI2248" i="3"/>
  <c r="BJ2248" i="3"/>
  <c r="BK2260" i="3"/>
  <c r="BJ2260" i="3"/>
  <c r="BI2260" i="3"/>
  <c r="BK2279" i="3"/>
  <c r="BI2279" i="3"/>
  <c r="BJ2279" i="3"/>
  <c r="BK2259" i="3"/>
  <c r="BJ2259" i="3"/>
  <c r="BI2259" i="3"/>
  <c r="BK2250" i="3"/>
  <c r="BJ2250" i="3"/>
  <c r="BI2250" i="3"/>
  <c r="BK2276" i="3"/>
  <c r="BI2276" i="3"/>
  <c r="BJ2276" i="3"/>
  <c r="BK2281" i="3"/>
  <c r="BJ2281" i="3"/>
  <c r="BI2281" i="3"/>
  <c r="BK2255" i="3"/>
  <c r="BI2255" i="3"/>
  <c r="BJ2255" i="3"/>
  <c r="BK2264" i="3"/>
  <c r="BJ2264" i="3"/>
  <c r="BI2264" i="3"/>
  <c r="BK2290" i="3"/>
  <c r="BI2290" i="3"/>
  <c r="BJ2290" i="3"/>
  <c r="BI2283" i="3"/>
  <c r="BI2289" i="3"/>
  <c r="BI2292" i="3"/>
  <c r="BJ2247" i="3"/>
  <c r="BJ2254" i="3"/>
  <c r="BJ2261" i="3"/>
  <c r="BJ2273" i="3"/>
  <c r="BJ2283" i="3"/>
  <c r="BJ2289" i="3"/>
  <c r="BI2247" i="3"/>
  <c r="BK2254" i="3"/>
  <c r="BJ2256" i="3"/>
  <c r="BK2261" i="3"/>
  <c r="BJ2270" i="3"/>
  <c r="BK2273" i="3"/>
  <c r="BJ2277" i="3"/>
  <c r="AD186" i="3"/>
  <c r="AG850" i="3" s="1"/>
  <c r="C17" i="3" s="1"/>
  <c r="B17" i="3" s="1"/>
  <c r="AI1199" i="3"/>
  <c r="AK316" i="3"/>
  <c r="AD459" i="3"/>
  <c r="B444" i="3" s="1"/>
  <c r="AX664" i="3"/>
  <c r="AZ664" i="3" s="1"/>
  <c r="BD664" i="3" s="1"/>
  <c r="B269" i="3"/>
  <c r="C258" i="3"/>
  <c r="AK326" i="3"/>
  <c r="AK356" i="3"/>
  <c r="AN356" i="3"/>
  <c r="AK366" i="3"/>
  <c r="AN366" i="3"/>
  <c r="AN376" i="3"/>
  <c r="AU810" i="3"/>
  <c r="AN810" i="3"/>
  <c r="AN259" i="3"/>
  <c r="AK400" i="3"/>
  <c r="AK430" i="3"/>
  <c r="BB473" i="3"/>
  <c r="AX484" i="3"/>
  <c r="AZ484" i="3" s="1"/>
  <c r="BD484" i="3" s="1"/>
  <c r="AN346" i="3"/>
  <c r="AK346" i="3"/>
  <c r="AK420" i="3"/>
  <c r="AV495" i="3"/>
  <c r="AK426" i="3"/>
  <c r="BB490" i="3"/>
  <c r="D2253" i="3"/>
  <c r="AX406" i="3"/>
  <c r="AX547" i="3"/>
  <c r="BB605" i="3"/>
  <c r="AP643" i="3"/>
  <c r="AC643" i="3"/>
  <c r="AT643" i="3"/>
  <c r="AN152" i="3"/>
  <c r="BH310" i="3"/>
  <c r="BD402" i="3"/>
  <c r="D406" i="3"/>
  <c r="AD674" i="3"/>
  <c r="AF674" i="3" s="1"/>
  <c r="AD648" i="3"/>
  <c r="AF648" i="3" s="1"/>
  <c r="AD592" i="3"/>
  <c r="AF592" i="3" s="1"/>
  <c r="AD587" i="3"/>
  <c r="AF587" i="3" s="1"/>
  <c r="AD576" i="3"/>
  <c r="AF576" i="3" s="1"/>
  <c r="AD687" i="3"/>
  <c r="AF687" i="3" s="1"/>
  <c r="AT498" i="3"/>
  <c r="AM503" i="3"/>
  <c r="AM529" i="3"/>
  <c r="AD542" i="3"/>
  <c r="AF542" i="3" s="1"/>
  <c r="AM553" i="3"/>
  <c r="AD621" i="3"/>
  <c r="AV621" i="3"/>
  <c r="BB707" i="3"/>
  <c r="AX707" i="3"/>
  <c r="AZ707" i="3" s="1"/>
  <c r="BD707" i="3" s="1"/>
  <c r="AX752" i="3"/>
  <c r="AZ752" i="3"/>
  <c r="AT773" i="3"/>
  <c r="AS773" i="3"/>
  <c r="AC653" i="3"/>
  <c r="AF653" i="3" s="1"/>
  <c r="AC571" i="3"/>
  <c r="AF571" i="3" s="1"/>
  <c r="AT305" i="3"/>
  <c r="C335" i="3"/>
  <c r="AX386" i="3"/>
  <c r="AF537" i="3"/>
  <c r="AV547" i="3"/>
  <c r="AF558" i="3"/>
  <c r="AP566" i="3"/>
  <c r="AC566" i="3"/>
  <c r="AT566" i="3"/>
  <c r="AM581" i="3"/>
  <c r="AV605" i="3"/>
  <c r="AF615" i="3"/>
  <c r="AM615" i="3"/>
  <c r="AD626" i="3"/>
  <c r="AF626" i="3" s="1"/>
  <c r="AD637" i="3"/>
  <c r="AF637" i="3" s="1"/>
  <c r="AV637" i="3"/>
  <c r="AM658" i="3"/>
  <c r="AL771" i="3"/>
  <c r="AO771" i="3" s="1"/>
  <c r="AI1199" i="2"/>
  <c r="AD56" i="3"/>
  <c r="BD382" i="3"/>
  <c r="AT463" i="3"/>
  <c r="AC495" i="3"/>
  <c r="AF495" i="3" s="1"/>
  <c r="AC498" i="3"/>
  <c r="AM524" i="3"/>
  <c r="BB524" i="3" s="1"/>
  <c r="AM542" i="3"/>
  <c r="AV553" i="3"/>
  <c r="AF563" i="3"/>
  <c r="AV610" i="3"/>
  <c r="AF621" i="3"/>
  <c r="AM621" i="3"/>
  <c r="AM669" i="3"/>
  <c r="BB669" i="3" s="1"/>
  <c r="AX679" i="3"/>
  <c r="AZ679" i="3" s="1"/>
  <c r="BD679" i="3" s="1"/>
  <c r="BB697" i="3"/>
  <c r="AT682" i="3"/>
  <c r="AX751" i="3"/>
  <c r="AO783" i="3"/>
  <c r="AL783" i="3"/>
  <c r="AV1227" i="3"/>
  <c r="AZ1227" i="3" s="1"/>
  <c r="AX1227" i="3" s="1"/>
  <c r="AC532" i="3"/>
  <c r="AC600" i="3"/>
  <c r="AC682" i="3"/>
  <c r="AL801" i="3"/>
  <c r="AM794" i="3"/>
  <c r="AN794" i="3" s="1"/>
  <c r="AO794" i="3" s="1"/>
  <c r="AP794" i="3" s="1"/>
  <c r="AH827" i="3"/>
  <c r="AI827" i="3" s="1"/>
  <c r="AG829" i="3"/>
  <c r="AO781" i="3"/>
  <c r="AL786" i="3"/>
  <c r="AO786" i="3" s="1"/>
  <c r="AI830" i="3"/>
  <c r="AL788" i="3"/>
  <c r="AO788" i="3" s="1"/>
  <c r="AE806" i="3"/>
  <c r="AK803" i="3"/>
  <c r="AK808" i="3"/>
  <c r="AK807" i="3"/>
  <c r="AK804" i="3"/>
  <c r="AO803" i="3"/>
  <c r="AO808" i="3"/>
  <c r="AO807" i="3"/>
  <c r="AO804" i="3"/>
  <c r="AK797" i="3"/>
  <c r="AO797" i="3"/>
  <c r="AV797" i="3"/>
  <c r="AD798" i="3"/>
  <c r="AK799" i="3"/>
  <c r="AO799" i="3"/>
  <c r="AE800" i="3"/>
  <c r="AE801" i="3"/>
  <c r="AE802" i="3"/>
  <c r="AJ802" i="3"/>
  <c r="AN802" i="3"/>
  <c r="AF803" i="3"/>
  <c r="AJ804" i="3"/>
  <c r="AK805" i="3"/>
  <c r="AC806" i="3"/>
  <c r="AK806" i="3"/>
  <c r="AN807" i="3"/>
  <c r="AJ808" i="3"/>
  <c r="AE820" i="3"/>
  <c r="AD833" i="3"/>
  <c r="AD831" i="3"/>
  <c r="AD829" i="3"/>
  <c r="AH833" i="3"/>
  <c r="AH831" i="3"/>
  <c r="AH829" i="3"/>
  <c r="AE828" i="3"/>
  <c r="AE889" i="3"/>
  <c r="AF892" i="3"/>
  <c r="AF905" i="3"/>
  <c r="AC1216" i="3"/>
  <c r="D1216" i="3" s="1"/>
  <c r="AF808" i="3"/>
  <c r="AF804" i="3"/>
  <c r="AL808" i="3"/>
  <c r="AL807" i="3"/>
  <c r="AL804" i="3"/>
  <c r="AL806" i="3"/>
  <c r="AL805" i="3"/>
  <c r="AP808" i="3"/>
  <c r="AP807" i="3"/>
  <c r="AP804" i="3"/>
  <c r="AP806" i="3"/>
  <c r="AP805" i="3"/>
  <c r="AD797" i="3"/>
  <c r="AL797" i="3"/>
  <c r="AP797" i="3"/>
  <c r="BD797" i="3"/>
  <c r="BF797" i="3" s="1"/>
  <c r="AE798" i="3"/>
  <c r="AJ798" i="3"/>
  <c r="AN798" i="3"/>
  <c r="AD799" i="3"/>
  <c r="AL799" i="3"/>
  <c r="AP799" i="3"/>
  <c r="AF800" i="3"/>
  <c r="AJ800" i="3"/>
  <c r="AN800" i="3"/>
  <c r="AF801" i="3"/>
  <c r="AJ801" i="3"/>
  <c r="AN801" i="3"/>
  <c r="AF802" i="3"/>
  <c r="AK802" i="3"/>
  <c r="AO802" i="3"/>
  <c r="AM803" i="3"/>
  <c r="AD804" i="3"/>
  <c r="AM804" i="3"/>
  <c r="AE805" i="3"/>
  <c r="AN805" i="3"/>
  <c r="AF806" i="3"/>
  <c r="AN806" i="3"/>
  <c r="AD808" i="3"/>
  <c r="AE833" i="3"/>
  <c r="AE831" i="3"/>
  <c r="AE829" i="3"/>
  <c r="AI833" i="3"/>
  <c r="AI831" i="3"/>
  <c r="AI829" i="3"/>
  <c r="AH828" i="3"/>
  <c r="AD830" i="3"/>
  <c r="AH832" i="3"/>
  <c r="AF889" i="3"/>
  <c r="AF901" i="3"/>
  <c r="D1213" i="3"/>
  <c r="AS1223" i="3"/>
  <c r="AC1406" i="3"/>
  <c r="D1406" i="3" s="1"/>
  <c r="AC1366" i="3"/>
  <c r="D1366" i="3" s="1"/>
  <c r="AC1416" i="3"/>
  <c r="D1416" i="3" s="1"/>
  <c r="AC1376" i="3"/>
  <c r="D1376" i="3" s="1"/>
  <c r="AC1436" i="3"/>
  <c r="D1436" i="3" s="1"/>
  <c r="AC1426" i="3"/>
  <c r="D1426" i="3" s="1"/>
  <c r="AC1396" i="3"/>
  <c r="D1396" i="3" s="1"/>
  <c r="AC1386" i="3"/>
  <c r="D1386" i="3" s="1"/>
  <c r="AC1356" i="3"/>
  <c r="D1356" i="3" s="1"/>
  <c r="AC1346" i="3"/>
  <c r="D1346" i="3" s="1"/>
  <c r="AC1316" i="3"/>
  <c r="D1316" i="3" s="1"/>
  <c r="AC1286" i="3"/>
  <c r="D1286" i="3" s="1"/>
  <c r="AC1306" i="3"/>
  <c r="D1306" i="3" s="1"/>
  <c r="AC1276" i="3"/>
  <c r="D1276" i="3" s="1"/>
  <c r="AC1336" i="3"/>
  <c r="D1336" i="3" s="1"/>
  <c r="AC1326" i="3"/>
  <c r="D1326" i="3" s="1"/>
  <c r="AC1266" i="3"/>
  <c r="D1266" i="3" s="1"/>
  <c r="AC1236" i="3"/>
  <c r="D1236" i="3" s="1"/>
  <c r="AC1296" i="3"/>
  <c r="D1296" i="3" s="1"/>
  <c r="AL1196" i="3"/>
  <c r="AC1246" i="3"/>
  <c r="D1246" i="3" s="1"/>
  <c r="AC1206" i="3"/>
  <c r="D1206" i="3" s="1"/>
  <c r="AC808" i="3"/>
  <c r="AC804" i="3"/>
  <c r="AC807" i="3"/>
  <c r="AC805" i="3"/>
  <c r="AI806" i="3"/>
  <c r="AI805" i="3"/>
  <c r="AM806" i="3"/>
  <c r="AM805" i="3"/>
  <c r="AE797" i="3"/>
  <c r="AI797" i="3"/>
  <c r="AM797" i="3"/>
  <c r="AF798" i="3"/>
  <c r="AK798" i="3"/>
  <c r="AO798" i="3"/>
  <c r="AE799" i="3"/>
  <c r="AI799" i="3"/>
  <c r="AM799" i="3"/>
  <c r="AC800" i="3"/>
  <c r="AK800" i="3"/>
  <c r="AO800" i="3"/>
  <c r="AC801" i="3"/>
  <c r="AK801" i="3"/>
  <c r="AO801" i="3"/>
  <c r="AC802" i="3"/>
  <c r="AL802" i="3"/>
  <c r="AP802" i="3"/>
  <c r="AI803" i="3"/>
  <c r="AN803" i="3"/>
  <c r="AE804" i="3"/>
  <c r="AN804" i="3"/>
  <c r="AF805" i="3"/>
  <c r="AO805" i="3"/>
  <c r="AO806" i="3"/>
  <c r="AJ807" i="3"/>
  <c r="AE808" i="3"/>
  <c r="AN808" i="3"/>
  <c r="AI828" i="3"/>
  <c r="AE830" i="3"/>
  <c r="AI832" i="3"/>
  <c r="AE909" i="3"/>
  <c r="AE905" i="3"/>
  <c r="AE901" i="3"/>
  <c r="AE897" i="3"/>
  <c r="AE908" i="3"/>
  <c r="AE904" i="3"/>
  <c r="AE900" i="3"/>
  <c r="AE896" i="3"/>
  <c r="AE892" i="3"/>
  <c r="AE907" i="3"/>
  <c r="AE903" i="3"/>
  <c r="AE899" i="3"/>
  <c r="AE895" i="3"/>
  <c r="AE891" i="3"/>
  <c r="AE893" i="3"/>
  <c r="AE906" i="3"/>
  <c r="AD807" i="3"/>
  <c r="AD805" i="3"/>
  <c r="AD806" i="3"/>
  <c r="AJ797" i="3"/>
  <c r="AN797" i="3"/>
  <c r="AJ799" i="3"/>
  <c r="AD800" i="3"/>
  <c r="AD801" i="3"/>
  <c r="AD802" i="3"/>
  <c r="AE803" i="3"/>
  <c r="AJ803" i="3"/>
  <c r="AJ805" i="3"/>
  <c r="AE807" i="3"/>
  <c r="AC823" i="3"/>
  <c r="AC822" i="3"/>
  <c r="AC821" i="3"/>
  <c r="AC820" i="3"/>
  <c r="AC819" i="3"/>
  <c r="AC818" i="3"/>
  <c r="AG823" i="3"/>
  <c r="AG822" i="3"/>
  <c r="AG821" i="3"/>
  <c r="AG820" i="3"/>
  <c r="AG819" i="3"/>
  <c r="AG818" i="3"/>
  <c r="AJ832" i="3"/>
  <c r="AF908" i="3"/>
  <c r="AF904" i="3"/>
  <c r="AF900" i="3"/>
  <c r="AF896" i="3"/>
  <c r="AF907" i="3"/>
  <c r="AF903" i="3"/>
  <c r="AF899" i="3"/>
  <c r="AF895" i="3"/>
  <c r="AF891" i="3"/>
  <c r="AF906" i="3"/>
  <c r="AF902" i="3"/>
  <c r="AF898" i="3"/>
  <c r="AF894" i="3"/>
  <c r="AF890" i="3"/>
  <c r="AF893" i="3"/>
  <c r="AF909" i="3"/>
  <c r="AC1256" i="3"/>
  <c r="D1256" i="3" s="1"/>
  <c r="AF818" i="3"/>
  <c r="AF819" i="3"/>
  <c r="AF820" i="3"/>
  <c r="AF821" i="3"/>
  <c r="AF822" i="3"/>
  <c r="AF828" i="3"/>
  <c r="AF830" i="3"/>
  <c r="AC889" i="3"/>
  <c r="AD892" i="3"/>
  <c r="AC893" i="3"/>
  <c r="AD896" i="3"/>
  <c r="AC897" i="3"/>
  <c r="AD900" i="3"/>
  <c r="AC901" i="3"/>
  <c r="AD904" i="3"/>
  <c r="AC905" i="3"/>
  <c r="AD908" i="3"/>
  <c r="AC909" i="3"/>
  <c r="AF929" i="3"/>
  <c r="AF932" i="3"/>
  <c r="AF939" i="3"/>
  <c r="AF942" i="3"/>
  <c r="AF949" i="3"/>
  <c r="AF952" i="3"/>
  <c r="AF959" i="3"/>
  <c r="AF962" i="3"/>
  <c r="AF969" i="3"/>
  <c r="AF972" i="3"/>
  <c r="AF979" i="3"/>
  <c r="AF982" i="3"/>
  <c r="AF989" i="3"/>
  <c r="AF992" i="3"/>
  <c r="AF999" i="3"/>
  <c r="AF1002" i="3"/>
  <c r="AF1009" i="3"/>
  <c r="AF1012" i="3"/>
  <c r="AF1019" i="3"/>
  <c r="AF1022" i="3"/>
  <c r="AF1028" i="3"/>
  <c r="AC828" i="3"/>
  <c r="AG828" i="3"/>
  <c r="AC830" i="3"/>
  <c r="AG830" i="3"/>
  <c r="AD889" i="3"/>
  <c r="AC890" i="3"/>
  <c r="AD893" i="3"/>
  <c r="AC894" i="3"/>
  <c r="AD897" i="3"/>
  <c r="AC898" i="3"/>
  <c r="AD901" i="3"/>
  <c r="AC902" i="3"/>
  <c r="AD905" i="3"/>
  <c r="AG926" i="3"/>
  <c r="AF933" i="3"/>
  <c r="AG936" i="3"/>
  <c r="AF943" i="3"/>
  <c r="AG946" i="3"/>
  <c r="AF953" i="3"/>
  <c r="AG956" i="3"/>
  <c r="AF963" i="3"/>
  <c r="AG966" i="3"/>
  <c r="AF973" i="3"/>
  <c r="AG976" i="3"/>
  <c r="AF983" i="3"/>
  <c r="AG986" i="3"/>
  <c r="AF993" i="3"/>
  <c r="AG996" i="3"/>
  <c r="AF1003" i="3"/>
  <c r="AG1006" i="3"/>
  <c r="AF1013" i="3"/>
  <c r="AG1016" i="3"/>
  <c r="AF1023" i="3"/>
  <c r="AG1026" i="3"/>
  <c r="AC1197" i="3"/>
  <c r="A1211" i="3"/>
  <c r="A1221" i="3" s="1"/>
  <c r="A1231" i="3" s="1"/>
  <c r="A1241" i="3" s="1"/>
  <c r="A1251" i="3" s="1"/>
  <c r="A1261" i="3" s="1"/>
  <c r="A1271" i="3" s="1"/>
  <c r="A1281" i="3" s="1"/>
  <c r="A1291" i="3" s="1"/>
  <c r="A1301" i="3" s="1"/>
  <c r="A1311" i="3" s="1"/>
  <c r="A1321" i="3" s="1"/>
  <c r="A1331" i="3" s="1"/>
  <c r="A1341" i="3" s="1"/>
  <c r="A1351" i="3" s="1"/>
  <c r="A1361" i="3" s="1"/>
  <c r="A1371" i="3" s="1"/>
  <c r="A1381" i="3" s="1"/>
  <c r="A1391" i="3" s="1"/>
  <c r="A1401" i="3" s="1"/>
  <c r="A1411" i="3" s="1"/>
  <c r="A1421" i="3" s="1"/>
  <c r="A1431" i="3" s="1"/>
  <c r="AE1312" i="3"/>
  <c r="AE1432" i="3"/>
  <c r="AE1392" i="3"/>
  <c r="AE1352" i="3"/>
  <c r="AE1402" i="3"/>
  <c r="AE1362" i="3"/>
  <c r="AE1332" i="3"/>
  <c r="AE1222" i="3"/>
  <c r="AI1228" i="3" s="1"/>
  <c r="AJ1228" i="3" s="1"/>
  <c r="AK1228" i="3" s="1"/>
  <c r="AE1292" i="3"/>
  <c r="AE1372" i="3"/>
  <c r="AE1412" i="3"/>
  <c r="CI1484" i="3"/>
  <c r="AF1501" i="3" s="1"/>
  <c r="CI1485" i="3"/>
  <c r="AC1291" i="3"/>
  <c r="AC1341" i="3"/>
  <c r="AE1342" i="3"/>
  <c r="AC1381" i="3"/>
  <c r="AE1382" i="3"/>
  <c r="AC1421" i="3"/>
  <c r="AE1422" i="3"/>
  <c r="AC1493" i="3"/>
  <c r="C1493" i="3" s="1"/>
  <c r="AE1272" i="3"/>
  <c r="AE1302" i="3"/>
  <c r="AF1531" i="3"/>
  <c r="AR1640" i="3"/>
  <c r="BO1640" i="3" s="1"/>
  <c r="C1640" i="3" s="1"/>
  <c r="AR1628" i="3"/>
  <c r="BO1628" i="3" s="1"/>
  <c r="C1628" i="3" s="1"/>
  <c r="AR1625" i="3"/>
  <c r="BO1625" i="3" s="1"/>
  <c r="C1625" i="3" s="1"/>
  <c r="AR1637" i="3"/>
  <c r="BO1637" i="3" s="1"/>
  <c r="C1637" i="3" s="1"/>
  <c r="AR1613" i="3"/>
  <c r="BO1613" i="3" s="1"/>
  <c r="C1613" i="3" s="1"/>
  <c r="AR1610" i="3"/>
  <c r="AR1616" i="3"/>
  <c r="AR1634" i="3"/>
  <c r="BO1634" i="3" s="1"/>
  <c r="C1634" i="3" s="1"/>
  <c r="AR1631" i="3"/>
  <c r="BO1631" i="3" s="1"/>
  <c r="C1631" i="3" s="1"/>
  <c r="AR1622" i="3"/>
  <c r="BO1622" i="3" s="1"/>
  <c r="C1622" i="3" s="1"/>
  <c r="AR1619" i="3"/>
  <c r="BO1619" i="3" s="1"/>
  <c r="C1619" i="3" s="1"/>
  <c r="AR1607" i="3"/>
  <c r="BO1607" i="3" s="1"/>
  <c r="C1607" i="3" s="1"/>
  <c r="BD1610" i="3"/>
  <c r="BJ1610" i="3" s="1"/>
  <c r="B1967" i="3"/>
  <c r="B1969" i="3"/>
  <c r="B1968" i="3"/>
  <c r="B1966" i="3"/>
  <c r="BI2244" i="3"/>
  <c r="BK2244" i="3"/>
  <c r="BJ2244" i="3"/>
  <c r="BJ2249" i="3"/>
  <c r="BI2249" i="3"/>
  <c r="BK2249" i="3"/>
  <c r="BJ2258" i="3"/>
  <c r="BI2258" i="3"/>
  <c r="BK2258" i="3"/>
  <c r="BJ2262" i="3"/>
  <c r="BI2262" i="3"/>
  <c r="BK2262" i="3"/>
  <c r="BI2274" i="3"/>
  <c r="BK2274" i="3"/>
  <c r="BJ2274" i="3"/>
  <c r="BJ2285" i="3"/>
  <c r="BI2285" i="3"/>
  <c r="BK2285" i="3"/>
  <c r="AC1483" i="3"/>
  <c r="C1483" i="3" s="1"/>
  <c r="AF1521" i="3"/>
  <c r="AC1533" i="3"/>
  <c r="C1533" i="3" s="1"/>
  <c r="BK2245" i="3"/>
  <c r="BJ2245" i="3"/>
  <c r="BI2245" i="3"/>
  <c r="AC1879" i="3"/>
  <c r="E1880" i="3"/>
  <c r="AJ631" i="3" s="1"/>
  <c r="AM631" i="3" s="1"/>
  <c r="BI2257" i="3"/>
  <c r="BK2257" i="3"/>
  <c r="BJ2257" i="3"/>
  <c r="BJ2275" i="3"/>
  <c r="BI2275" i="3"/>
  <c r="BK2275" i="3"/>
  <c r="BI2284" i="3"/>
  <c r="BK2284" i="3"/>
  <c r="BJ2284" i="3"/>
  <c r="BJ2286" i="3"/>
  <c r="BI2286" i="3"/>
  <c r="BK2286" i="3"/>
  <c r="AE1521" i="3"/>
  <c r="B1953" i="3"/>
  <c r="B1959" i="3"/>
  <c r="BH2242" i="3"/>
  <c r="BG2241" i="3"/>
  <c r="BK2243" i="3"/>
  <c r="BJ2243" i="3"/>
  <c r="BK2246" i="3"/>
  <c r="BJ2246" i="3"/>
  <c r="BK2263" i="3"/>
  <c r="BJ2263" i="3"/>
  <c r="BK2265" i="3"/>
  <c r="BK2287" i="3"/>
  <c r="BJ2287" i="3"/>
  <c r="BJ2291" i="3"/>
  <c r="BI2291" i="3"/>
  <c r="AE1501" i="3"/>
  <c r="B1961" i="3"/>
  <c r="BK2252" i="3"/>
  <c r="BJ2252" i="3"/>
  <c r="BK2288" i="3"/>
  <c r="BJ2288" i="3"/>
  <c r="B1963" i="3"/>
  <c r="BK2253" i="3"/>
  <c r="BJ2253" i="3"/>
  <c r="BJ2268" i="3"/>
  <c r="BI2268" i="3"/>
  <c r="BK2269" i="3"/>
  <c r="BJ2269" i="3"/>
  <c r="BJ2271" i="3"/>
  <c r="BI2271" i="3"/>
  <c r="BK2272" i="3"/>
  <c r="BJ2272" i="3"/>
  <c r="BJ2278" i="3"/>
  <c r="BI2278" i="3"/>
  <c r="BJ2280" i="3"/>
  <c r="BI2280" i="3"/>
  <c r="BJ2282" i="3"/>
  <c r="BI2282" i="3"/>
  <c r="BK2293" i="3"/>
  <c r="BJ2293" i="3"/>
  <c r="BI2293" i="3"/>
  <c r="BJ2292" i="3"/>
  <c r="D258" i="2"/>
  <c r="AM257" i="2"/>
  <c r="B269" i="2"/>
  <c r="B264" i="2"/>
  <c r="C258" i="2"/>
  <c r="B258" i="2"/>
  <c r="AN316" i="2"/>
  <c r="AK316" i="2"/>
  <c r="AV495" i="2"/>
  <c r="AU810" i="2"/>
  <c r="AN810" i="2"/>
  <c r="D2253" i="2"/>
  <c r="C2255" i="2"/>
  <c r="AK306" i="2"/>
  <c r="AK420" i="2"/>
  <c r="AD459" i="2"/>
  <c r="B444" i="2" s="1"/>
  <c r="BB468" i="2"/>
  <c r="AX468" i="2"/>
  <c r="AX479" i="2"/>
  <c r="AZ479" i="2" s="1"/>
  <c r="BD479" i="2" s="1"/>
  <c r="BB479" i="2"/>
  <c r="AE320" i="2"/>
  <c r="AF319" i="2"/>
  <c r="AG319" i="2" s="1"/>
  <c r="AH319" i="2" s="1"/>
  <c r="AK390" i="2"/>
  <c r="AK430" i="2"/>
  <c r="BH320" i="2"/>
  <c r="BJ310" i="2"/>
  <c r="AN346" i="2"/>
  <c r="AK366" i="2"/>
  <c r="AN366" i="2"/>
  <c r="AK380" i="2"/>
  <c r="AK400" i="2"/>
  <c r="AX473" i="2"/>
  <c r="BB473" i="2"/>
  <c r="AD1042" i="2"/>
  <c r="AD919" i="2"/>
  <c r="AX336" i="2"/>
  <c r="AD674" i="2"/>
  <c r="AD648" i="2"/>
  <c r="AF648" i="2" s="1"/>
  <c r="AD592" i="2"/>
  <c r="AF592" i="2" s="1"/>
  <c r="AD587" i="2"/>
  <c r="AD576" i="2"/>
  <c r="AF576" i="2" s="1"/>
  <c r="AD687" i="2"/>
  <c r="AF687" i="2" s="1"/>
  <c r="AD637" i="2"/>
  <c r="AF637" i="2" s="1"/>
  <c r="AD626" i="2"/>
  <c r="AD621" i="2"/>
  <c r="AF621" i="2" s="1"/>
  <c r="AD615" i="2"/>
  <c r="AF615" i="2" s="1"/>
  <c r="AD542" i="2"/>
  <c r="AX553" i="2"/>
  <c r="BB553" i="2"/>
  <c r="AX605" i="2"/>
  <c r="AZ605" i="2" s="1"/>
  <c r="BD605" i="2" s="1"/>
  <c r="BB605" i="2"/>
  <c r="AX752" i="2"/>
  <c r="AZ752" i="2"/>
  <c r="AT773" i="2"/>
  <c r="AS773" i="2"/>
  <c r="AL773" i="2"/>
  <c r="AO773" i="2" s="1"/>
  <c r="BD332" i="2"/>
  <c r="AX386" i="2"/>
  <c r="AF542" i="2"/>
  <c r="AF587" i="2"/>
  <c r="AX664" i="2"/>
  <c r="AZ664" i="2" s="1"/>
  <c r="BD664" i="2" s="1"/>
  <c r="AF674" i="2"/>
  <c r="BB679" i="2"/>
  <c r="AX679" i="2"/>
  <c r="AX712" i="2"/>
  <c r="AZ712" i="2" s="1"/>
  <c r="BD712" i="2" s="1"/>
  <c r="AX396" i="2"/>
  <c r="AX436" i="2"/>
  <c r="AX547" i="2"/>
  <c r="AZ547" i="2" s="1"/>
  <c r="BD547" i="2" s="1"/>
  <c r="AX558" i="2"/>
  <c r="BB558" i="2"/>
  <c r="AX610" i="2"/>
  <c r="BB610" i="2"/>
  <c r="AF626" i="2"/>
  <c r="AL774" i="2"/>
  <c r="AO774" i="2" s="1"/>
  <c r="AC2157" i="2"/>
  <c r="B56" i="2" s="1"/>
  <c r="BD392" i="2"/>
  <c r="BD432" i="2"/>
  <c r="AC463" i="2"/>
  <c r="AP463" i="2"/>
  <c r="BB529" i="2"/>
  <c r="AX529" i="2"/>
  <c r="AZ529" i="2" s="1"/>
  <c r="BD529" i="2" s="1"/>
  <c r="BB581" i="2"/>
  <c r="AX581" i="2"/>
  <c r="AZ581" i="2" s="1"/>
  <c r="BD581" i="2" s="1"/>
  <c r="BB669" i="2"/>
  <c r="AX669" i="2"/>
  <c r="BB707" i="2"/>
  <c r="BB717" i="2"/>
  <c r="AX717" i="2"/>
  <c r="AL770" i="2"/>
  <c r="AO770" i="2" s="1"/>
  <c r="AT600" i="2"/>
  <c r="AT682" i="2"/>
  <c r="AL782" i="2"/>
  <c r="AO782" i="2" s="1"/>
  <c r="AC532" i="2"/>
  <c r="AC600" i="2"/>
  <c r="AC682" i="2"/>
  <c r="AL777" i="2"/>
  <c r="AO777" i="2" s="1"/>
  <c r="AF781" i="2"/>
  <c r="AF784" i="2"/>
  <c r="AL789" i="2"/>
  <c r="AO789" i="2" s="1"/>
  <c r="AT566" i="2"/>
  <c r="AT643" i="2"/>
  <c r="AT692" i="2"/>
  <c r="AL778" i="2"/>
  <c r="AO778" i="2" s="1"/>
  <c r="AN802" i="2"/>
  <c r="AF821" i="2"/>
  <c r="AF818" i="2"/>
  <c r="AG817" i="2"/>
  <c r="AC566" i="2"/>
  <c r="AC643" i="2"/>
  <c r="AC692" i="2"/>
  <c r="AL779" i="2"/>
  <c r="AO779" i="2" s="1"/>
  <c r="AF786" i="2"/>
  <c r="AE806" i="2"/>
  <c r="AD797" i="2"/>
  <c r="AL797" i="2"/>
  <c r="AP797" i="2"/>
  <c r="BD797" i="2"/>
  <c r="BF797" i="2" s="1"/>
  <c r="AE798" i="2"/>
  <c r="AJ798" i="2"/>
  <c r="AN798" i="2"/>
  <c r="AD799" i="2"/>
  <c r="AL799" i="2"/>
  <c r="AP799" i="2"/>
  <c r="AF800" i="2"/>
  <c r="AJ800" i="2"/>
  <c r="AN800" i="2"/>
  <c r="AF801" i="2"/>
  <c r="AJ801" i="2"/>
  <c r="AN801" i="2"/>
  <c r="AF802" i="2"/>
  <c r="AK802" i="2"/>
  <c r="AO802" i="2"/>
  <c r="AC803" i="2"/>
  <c r="AL803" i="2"/>
  <c r="AP803" i="2"/>
  <c r="AD804" i="2"/>
  <c r="AI804" i="2"/>
  <c r="AM804" i="2"/>
  <c r="AE805" i="2"/>
  <c r="AJ805" i="2"/>
  <c r="AN805" i="2"/>
  <c r="AF806" i="2"/>
  <c r="AJ806" i="2"/>
  <c r="AN806" i="2"/>
  <c r="AE807" i="2"/>
  <c r="AI807" i="2"/>
  <c r="AM807" i="2"/>
  <c r="AD808" i="2"/>
  <c r="AI808" i="2"/>
  <c r="AM808" i="2"/>
  <c r="AD828" i="2"/>
  <c r="AH828" i="2"/>
  <c r="AF829" i="2"/>
  <c r="AD830" i="2"/>
  <c r="AH830" i="2"/>
  <c r="AF831" i="2"/>
  <c r="AD832" i="2"/>
  <c r="AH832" i="2"/>
  <c r="AF833" i="2"/>
  <c r="AE889" i="2"/>
  <c r="AC891" i="2"/>
  <c r="AE893" i="2"/>
  <c r="AC895" i="2"/>
  <c r="AE897" i="2"/>
  <c r="AD898" i="2"/>
  <c r="AC899" i="2"/>
  <c r="AE901" i="2"/>
  <c r="AD902" i="2"/>
  <c r="AC903" i="2"/>
  <c r="AE905" i="2"/>
  <c r="AD906" i="2"/>
  <c r="AC907" i="2"/>
  <c r="AE909" i="2"/>
  <c r="AF927" i="2"/>
  <c r="AF934" i="2"/>
  <c r="AF937" i="2"/>
  <c r="AF944" i="2"/>
  <c r="AF953" i="2"/>
  <c r="AF982" i="2"/>
  <c r="AF985" i="2"/>
  <c r="AG981" i="2"/>
  <c r="AF993" i="2"/>
  <c r="AF1022" i="2"/>
  <c r="AF1025" i="2"/>
  <c r="AG1021" i="2"/>
  <c r="AE1402" i="2"/>
  <c r="AE1362" i="2"/>
  <c r="AE1332" i="2"/>
  <c r="AE1432" i="2"/>
  <c r="AE1392" i="2"/>
  <c r="AE1352" i="2"/>
  <c r="AE1322" i="2"/>
  <c r="AE1292" i="2"/>
  <c r="AE1222" i="2"/>
  <c r="AE1422" i="2"/>
  <c r="AE1382" i="2"/>
  <c r="AE1342" i="2"/>
  <c r="AE1312" i="2"/>
  <c r="AE1282" i="2"/>
  <c r="AE1252" i="2"/>
  <c r="AE1212" i="2"/>
  <c r="AE1412" i="2"/>
  <c r="AE1372" i="2"/>
  <c r="AE1242" i="2"/>
  <c r="AE1232" i="2"/>
  <c r="AE1202" i="2"/>
  <c r="AE1262" i="2"/>
  <c r="AE797" i="2"/>
  <c r="AI797" i="2"/>
  <c r="AM797" i="2"/>
  <c r="AF798" i="2"/>
  <c r="AK798" i="2"/>
  <c r="AO798" i="2"/>
  <c r="AE799" i="2"/>
  <c r="AI799" i="2"/>
  <c r="AM799" i="2"/>
  <c r="AC800" i="2"/>
  <c r="AK800" i="2"/>
  <c r="AO800" i="2"/>
  <c r="AC801" i="2"/>
  <c r="AK801" i="2"/>
  <c r="AO801" i="2"/>
  <c r="AC802" i="2"/>
  <c r="AL802" i="2"/>
  <c r="AP802" i="2"/>
  <c r="AD803" i="2"/>
  <c r="AI803" i="2"/>
  <c r="AM803" i="2"/>
  <c r="AE804" i="2"/>
  <c r="AJ804" i="2"/>
  <c r="AN804" i="2"/>
  <c r="AF805" i="2"/>
  <c r="AK805" i="2"/>
  <c r="AO805" i="2"/>
  <c r="AC806" i="2"/>
  <c r="AK806" i="2"/>
  <c r="AO806" i="2"/>
  <c r="AF807" i="2"/>
  <c r="AJ807" i="2"/>
  <c r="AN807" i="2"/>
  <c r="AE808" i="2"/>
  <c r="AJ808" i="2"/>
  <c r="AN808" i="2"/>
  <c r="AE818" i="2"/>
  <c r="AE819" i="2"/>
  <c r="AE820" i="2"/>
  <c r="AE821" i="2"/>
  <c r="AE822" i="2"/>
  <c r="AE828" i="2"/>
  <c r="AI828" i="2"/>
  <c r="AC829" i="2"/>
  <c r="AG829" i="2"/>
  <c r="AE830" i="2"/>
  <c r="AI830" i="2"/>
  <c r="AC831" i="2"/>
  <c r="AG831" i="2"/>
  <c r="AE832" i="2"/>
  <c r="AC833" i="2"/>
  <c r="AG833" i="2"/>
  <c r="AF889" i="2"/>
  <c r="AE890" i="2"/>
  <c r="AD891" i="2"/>
  <c r="AC892" i="2"/>
  <c r="AF893" i="2"/>
  <c r="AE894" i="2"/>
  <c r="AD895" i="2"/>
  <c r="AC896" i="2"/>
  <c r="AF897" i="2"/>
  <c r="AE898" i="2"/>
  <c r="AD899" i="2"/>
  <c r="AC900" i="2"/>
  <c r="AF901" i="2"/>
  <c r="AE902" i="2"/>
  <c r="AD903" i="2"/>
  <c r="AC904" i="2"/>
  <c r="AF905" i="2"/>
  <c r="AE906" i="2"/>
  <c r="AD907" i="2"/>
  <c r="AC908" i="2"/>
  <c r="AF928" i="2"/>
  <c r="AG931" i="2"/>
  <c r="AF935" i="2"/>
  <c r="AF938" i="2"/>
  <c r="AG941" i="2"/>
  <c r="AF950" i="2"/>
  <c r="AF972" i="2"/>
  <c r="AF975" i="2"/>
  <c r="AG971" i="2"/>
  <c r="AF983" i="2"/>
  <c r="AF1012" i="2"/>
  <c r="AF1015" i="2"/>
  <c r="AG1011" i="2"/>
  <c r="AF1023" i="2"/>
  <c r="A1201" i="2"/>
  <c r="A1211" i="2" s="1"/>
  <c r="A1221" i="2" s="1"/>
  <c r="A1231" i="2" s="1"/>
  <c r="A1241" i="2" s="1"/>
  <c r="A1251" i="2" s="1"/>
  <c r="A1261" i="2" s="1"/>
  <c r="A1271" i="2" s="1"/>
  <c r="A1281" i="2" s="1"/>
  <c r="A1291" i="2" s="1"/>
  <c r="A1301" i="2" s="1"/>
  <c r="A1311" i="2" s="1"/>
  <c r="A1321" i="2" s="1"/>
  <c r="A1331" i="2" s="1"/>
  <c r="A1341" i="2" s="1"/>
  <c r="A1351" i="2" s="1"/>
  <c r="A1361" i="2" s="1"/>
  <c r="A1371" i="2" s="1"/>
  <c r="A1381" i="2" s="1"/>
  <c r="A1391" i="2" s="1"/>
  <c r="A1401" i="2" s="1"/>
  <c r="A1411" i="2" s="1"/>
  <c r="A1421" i="2" s="1"/>
  <c r="A1431" i="2" s="1"/>
  <c r="AC1201" i="2"/>
  <c r="AE1302" i="2"/>
  <c r="AF797" i="2"/>
  <c r="AJ797" i="2"/>
  <c r="AN797" i="2"/>
  <c r="AL798" i="2"/>
  <c r="AP798" i="2"/>
  <c r="AF799" i="2"/>
  <c r="AJ799" i="2"/>
  <c r="AN799" i="2"/>
  <c r="AD800" i="2"/>
  <c r="AL800" i="2"/>
  <c r="AP800" i="2"/>
  <c r="AD801" i="2"/>
  <c r="AL801" i="2"/>
  <c r="AP801" i="2"/>
  <c r="AD802" i="2"/>
  <c r="AI802" i="2"/>
  <c r="AM802" i="2"/>
  <c r="AE803" i="2"/>
  <c r="AJ803" i="2"/>
  <c r="AN803" i="2"/>
  <c r="AF804" i="2"/>
  <c r="AK804" i="2"/>
  <c r="AO804" i="2"/>
  <c r="AC805" i="2"/>
  <c r="AL805" i="2"/>
  <c r="AP805" i="2"/>
  <c r="AD806" i="2"/>
  <c r="AL806" i="2"/>
  <c r="AP806" i="2"/>
  <c r="AC807" i="2"/>
  <c r="AG807" i="2" s="1"/>
  <c r="AK807" i="2"/>
  <c r="AO807" i="2"/>
  <c r="AF808" i="2"/>
  <c r="AK808" i="2"/>
  <c r="AO808" i="2"/>
  <c r="AF828" i="2"/>
  <c r="AF830" i="2"/>
  <c r="AD831" i="2"/>
  <c r="AH831" i="2"/>
  <c r="AC889" i="2"/>
  <c r="AE891" i="2"/>
  <c r="AC893" i="2"/>
  <c r="AE895" i="2"/>
  <c r="AC897" i="2"/>
  <c r="AE899" i="2"/>
  <c r="AD900" i="2"/>
  <c r="AC901" i="2"/>
  <c r="AE903" i="2"/>
  <c r="AD904" i="2"/>
  <c r="AC905" i="2"/>
  <c r="AE907" i="2"/>
  <c r="AD908" i="2"/>
  <c r="AC909" i="2"/>
  <c r="AG909" i="2" s="1"/>
  <c r="AF929" i="2"/>
  <c r="AF939" i="2"/>
  <c r="AF955" i="2"/>
  <c r="AG951" i="2"/>
  <c r="AF962" i="2"/>
  <c r="AF965" i="2"/>
  <c r="AG961" i="2"/>
  <c r="AF1002" i="2"/>
  <c r="AF1005" i="2"/>
  <c r="AG1001" i="2"/>
  <c r="AC1416" i="2"/>
  <c r="D1416" i="2" s="1"/>
  <c r="AC1376" i="2"/>
  <c r="D1376" i="2" s="1"/>
  <c r="AC1406" i="2"/>
  <c r="D1406" i="2" s="1"/>
  <c r="AC1366" i="2"/>
  <c r="D1366" i="2" s="1"/>
  <c r="AC1336" i="2"/>
  <c r="D1336" i="2" s="1"/>
  <c r="AC1266" i="2"/>
  <c r="D1266" i="2" s="1"/>
  <c r="AC1236" i="2"/>
  <c r="D1236" i="2" s="1"/>
  <c r="AC1436" i="2"/>
  <c r="D1436" i="2" s="1"/>
  <c r="AC1396" i="2"/>
  <c r="D1396" i="2" s="1"/>
  <c r="AC1356" i="2"/>
  <c r="D1356" i="2" s="1"/>
  <c r="AC1326" i="2"/>
  <c r="D1326" i="2" s="1"/>
  <c r="AC1296" i="2"/>
  <c r="D1296" i="2" s="1"/>
  <c r="AC1226" i="2"/>
  <c r="D1226" i="2" s="1"/>
  <c r="AC1426" i="2"/>
  <c r="D1426" i="2" s="1"/>
  <c r="AC1316" i="2"/>
  <c r="D1316" i="2" s="1"/>
  <c r="AC1306" i="2"/>
  <c r="D1306" i="2" s="1"/>
  <c r="AC1216" i="2"/>
  <c r="D1216" i="2" s="1"/>
  <c r="AC1386" i="2"/>
  <c r="D1386" i="2" s="1"/>
  <c r="AC1346" i="2"/>
  <c r="D1346" i="2" s="1"/>
  <c r="AC1246" i="2"/>
  <c r="D1246" i="2" s="1"/>
  <c r="AC1197" i="2"/>
  <c r="AC1206" i="2"/>
  <c r="D1206" i="2" s="1"/>
  <c r="AC1276" i="2"/>
  <c r="D1276" i="2" s="1"/>
  <c r="AC1301" i="2"/>
  <c r="AK797" i="2"/>
  <c r="AO797" i="2"/>
  <c r="AK799" i="2"/>
  <c r="AO799" i="2"/>
  <c r="AE800" i="2"/>
  <c r="AE801" i="2"/>
  <c r="AE802" i="2"/>
  <c r="AC804" i="2"/>
  <c r="AG804" i="2" s="1"/>
  <c r="AL804" i="2"/>
  <c r="AP804" i="2"/>
  <c r="AD805" i="2"/>
  <c r="AI805" i="2"/>
  <c r="AM805" i="2"/>
  <c r="AL807" i="2"/>
  <c r="AP807" i="2"/>
  <c r="AC818" i="2"/>
  <c r="AG818" i="2"/>
  <c r="AC819" i="2"/>
  <c r="AG819" i="2"/>
  <c r="AC820" i="2"/>
  <c r="AG820" i="2"/>
  <c r="AC821" i="2"/>
  <c r="AG821" i="2"/>
  <c r="AC822" i="2"/>
  <c r="AG822" i="2"/>
  <c r="AC828" i="2"/>
  <c r="AG828" i="2"/>
  <c r="AC830" i="2"/>
  <c r="AG830" i="2"/>
  <c r="AD889" i="2"/>
  <c r="AC890" i="2"/>
  <c r="AG890" i="2" s="1"/>
  <c r="AE892" i="2"/>
  <c r="AD893" i="2"/>
  <c r="AC894" i="2"/>
  <c r="AE896" i="2"/>
  <c r="AD897" i="2"/>
  <c r="AC898" i="2"/>
  <c r="AE900" i="2"/>
  <c r="AD901" i="2"/>
  <c r="AC902" i="2"/>
  <c r="AG902" i="2" s="1"/>
  <c r="AE904" i="2"/>
  <c r="AD905" i="2"/>
  <c r="AG926" i="2"/>
  <c r="AG936" i="2"/>
  <c r="AF943" i="2"/>
  <c r="AF952" i="2"/>
  <c r="AF963" i="2"/>
  <c r="AF992" i="2"/>
  <c r="AF995" i="2"/>
  <c r="AG991" i="2"/>
  <c r="AF1003" i="2"/>
  <c r="C1094" i="2"/>
  <c r="AL1196" i="2"/>
  <c r="AC1241" i="2"/>
  <c r="AC1256" i="2"/>
  <c r="D1256" i="2" s="1"/>
  <c r="AE1272" i="2"/>
  <c r="AC1286" i="2"/>
  <c r="D1286" i="2" s="1"/>
  <c r="AF958" i="2"/>
  <c r="AF968" i="2"/>
  <c r="AF978" i="2"/>
  <c r="AF988" i="2"/>
  <c r="AF998" i="2"/>
  <c r="AF1008" i="2"/>
  <c r="AF1018" i="2"/>
  <c r="AF1027" i="2"/>
  <c r="AS1223" i="2"/>
  <c r="AC1271" i="2"/>
  <c r="AC1341" i="2"/>
  <c r="AC1381" i="2"/>
  <c r="AF1521" i="2"/>
  <c r="AF1501" i="2"/>
  <c r="AG1531" i="2"/>
  <c r="AG1491" i="2"/>
  <c r="AG1511" i="2"/>
  <c r="AG1501" i="2"/>
  <c r="AG1481" i="2"/>
  <c r="AG1521" i="2"/>
  <c r="AE1531" i="2"/>
  <c r="AC1371" i="2"/>
  <c r="AC1411" i="2"/>
  <c r="AE1491" i="2"/>
  <c r="AC1421" i="2"/>
  <c r="AE1521" i="2"/>
  <c r="AC1878" i="2"/>
  <c r="E1879" i="2"/>
  <c r="AR1637" i="2"/>
  <c r="BO1637" i="2" s="1"/>
  <c r="C1637" i="2" s="1"/>
  <c r="AR1634" i="2"/>
  <c r="BO1634" i="2" s="1"/>
  <c r="C1634" i="2" s="1"/>
  <c r="AR1631" i="2"/>
  <c r="BO1631" i="2" s="1"/>
  <c r="C1631" i="2" s="1"/>
  <c r="AR1622" i="2"/>
  <c r="BO1622" i="2" s="1"/>
  <c r="C1622" i="2" s="1"/>
  <c r="AR1619" i="2"/>
  <c r="BO1619" i="2" s="1"/>
  <c r="C1619" i="2" s="1"/>
  <c r="AR1607" i="2"/>
  <c r="BO1607" i="2" s="1"/>
  <c r="C1607" i="2" s="1"/>
  <c r="AR1616" i="2"/>
  <c r="BO1616" i="2" s="1"/>
  <c r="C1616" i="2" s="1"/>
  <c r="AR1640" i="2"/>
  <c r="BO1640" i="2" s="1"/>
  <c r="C1640" i="2" s="1"/>
  <c r="AR1628" i="2"/>
  <c r="BO1628" i="2" s="1"/>
  <c r="C1628" i="2" s="1"/>
  <c r="AR1625" i="2"/>
  <c r="BO1625" i="2" s="1"/>
  <c r="C1625" i="2" s="1"/>
  <c r="AR1613" i="2"/>
  <c r="BO1613" i="2" s="1"/>
  <c r="C1613" i="2" s="1"/>
  <c r="E1880" i="2"/>
  <c r="AJ631" i="2" s="1"/>
  <c r="AM631" i="2" s="1"/>
  <c r="B1954" i="2"/>
  <c r="B1961" i="2"/>
  <c r="BJ2251" i="2"/>
  <c r="BK2251" i="2"/>
  <c r="BJ2265" i="2"/>
  <c r="BK2265" i="2"/>
  <c r="BJ2266" i="2"/>
  <c r="BK2266" i="2"/>
  <c r="BJ2267" i="2"/>
  <c r="BK2267" i="2"/>
  <c r="BJ2269" i="2"/>
  <c r="BI2269" i="2"/>
  <c r="BJ2273" i="2"/>
  <c r="BK2273" i="2"/>
  <c r="BJ2274" i="2"/>
  <c r="BK2274" i="2"/>
  <c r="BI2276" i="2"/>
  <c r="BK2276" i="2"/>
  <c r="BJ2276" i="2"/>
  <c r="BI2281" i="2"/>
  <c r="BK2281" i="2"/>
  <c r="BJ2281" i="2"/>
  <c r="BJ2284" i="2"/>
  <c r="BK2284" i="2"/>
  <c r="BJ2288" i="2"/>
  <c r="BI2288" i="2"/>
  <c r="BI2289" i="2"/>
  <c r="BK2289" i="2"/>
  <c r="BJ2289" i="2"/>
  <c r="BI2290" i="2"/>
  <c r="BK2290" i="2"/>
  <c r="BJ2290" i="2"/>
  <c r="BJ2292" i="2"/>
  <c r="BI2292" i="2"/>
  <c r="B1951" i="2"/>
  <c r="B1963" i="2"/>
  <c r="BI2248" i="2"/>
  <c r="BK2248" i="2"/>
  <c r="BK2249" i="2"/>
  <c r="BI2249" i="2"/>
  <c r="BI2250" i="2"/>
  <c r="BK2250" i="2"/>
  <c r="BJ2253" i="2"/>
  <c r="BI2253" i="2"/>
  <c r="BJ2256" i="2"/>
  <c r="BK2256" i="2"/>
  <c r="BJ2257" i="2"/>
  <c r="BK2257" i="2"/>
  <c r="BI2259" i="2"/>
  <c r="BK2259" i="2"/>
  <c r="BJ2259" i="2"/>
  <c r="BI2260" i="2"/>
  <c r="BK2260" i="2"/>
  <c r="BJ2260" i="2"/>
  <c r="BI2284" i="2"/>
  <c r="BJ2287" i="2"/>
  <c r="BI2287" i="2"/>
  <c r="BK2288" i="2"/>
  <c r="BK2292" i="2"/>
  <c r="B1958" i="2"/>
  <c r="B1964" i="2"/>
  <c r="BI2244" i="2"/>
  <c r="BK2245" i="2"/>
  <c r="BI2246" i="2"/>
  <c r="BJ2248" i="2"/>
  <c r="BJ2249" i="2"/>
  <c r="BJ2250" i="2"/>
  <c r="BJ2252" i="2"/>
  <c r="BI2252" i="2"/>
  <c r="BK2253" i="2"/>
  <c r="BI2256" i="2"/>
  <c r="BI2257" i="2"/>
  <c r="BJ2263" i="2"/>
  <c r="BI2263" i="2"/>
  <c r="BI2264" i="2"/>
  <c r="BK2264" i="2"/>
  <c r="BJ2264" i="2"/>
  <c r="BJ2270" i="2"/>
  <c r="BK2270" i="2"/>
  <c r="BJ2272" i="2"/>
  <c r="BI2272" i="2"/>
  <c r="BJ2277" i="2"/>
  <c r="BK2277" i="2"/>
  <c r="BI2279" i="2"/>
  <c r="BK2279" i="2"/>
  <c r="BJ2279" i="2"/>
  <c r="BI2283" i="2"/>
  <c r="BK2283" i="2"/>
  <c r="BJ2283" i="2"/>
  <c r="BK2287" i="2"/>
  <c r="BJ2291" i="2"/>
  <c r="BK2291" i="2"/>
  <c r="B1953" i="2"/>
  <c r="BH2242" i="2"/>
  <c r="BG2241" i="2"/>
  <c r="BK2244" i="2"/>
  <c r="BK2246" i="2"/>
  <c r="BI2247" i="2"/>
  <c r="BK2247" i="2"/>
  <c r="BJ2254" i="2"/>
  <c r="BK2254" i="2"/>
  <c r="BI2255" i="2"/>
  <c r="BK2255" i="2"/>
  <c r="BJ2255" i="2"/>
  <c r="BJ2261" i="2"/>
  <c r="BK2261" i="2"/>
  <c r="BI2291" i="2"/>
  <c r="BI2258" i="2"/>
  <c r="BI2262" i="2"/>
  <c r="BI2268" i="2"/>
  <c r="BI2271" i="2"/>
  <c r="BI2275" i="2"/>
  <c r="BI2278" i="2"/>
  <c r="BI2280" i="2"/>
  <c r="BI2282" i="2"/>
  <c r="BI2285" i="2"/>
  <c r="BI2286" i="2"/>
  <c r="BI2293" i="2"/>
  <c r="BJ2293" i="2"/>
  <c r="AF320" i="1"/>
  <c r="AL648" i="1"/>
  <c r="AL653" i="1"/>
  <c r="AM653" i="1" s="1"/>
  <c r="AG350" i="1"/>
  <c r="AC380" i="1"/>
  <c r="AC310" i="1"/>
  <c r="AC1600" i="1"/>
  <c r="C1603" i="1" s="1"/>
  <c r="AE320" i="1"/>
  <c r="BD402" i="1"/>
  <c r="AD340" i="1"/>
  <c r="AZ751" i="1"/>
  <c r="AZ752" i="1" s="1"/>
  <c r="AZ753" i="1" s="1"/>
  <c r="AH350" i="1"/>
  <c r="AH410" i="1"/>
  <c r="AD360" i="1"/>
  <c r="AM754" i="1"/>
  <c r="AV754" i="1"/>
  <c r="AG754" i="1"/>
  <c r="AS754" i="1"/>
  <c r="AQ754" i="1"/>
  <c r="AO754" i="1"/>
  <c r="AK754" i="1"/>
  <c r="AI754" i="1"/>
  <c r="AF340" i="1"/>
  <c r="AT365" i="1"/>
  <c r="AL529" i="1"/>
  <c r="AM529" i="1" s="1"/>
  <c r="AE1481" i="1"/>
  <c r="BO1634" i="1"/>
  <c r="C1634" i="1" s="1"/>
  <c r="A794" i="1"/>
  <c r="A813" i="1" s="1"/>
  <c r="A843" i="1" s="1"/>
  <c r="A847" i="1" s="1"/>
  <c r="A860" i="1" s="1"/>
  <c r="A864" i="1" s="1"/>
  <c r="AT345" i="1"/>
  <c r="AF350" i="1"/>
  <c r="AF360" i="1"/>
  <c r="AF380" i="1"/>
  <c r="BB412" i="1"/>
  <c r="AD330" i="1"/>
  <c r="AD350" i="1"/>
  <c r="AH360" i="1"/>
  <c r="AH400" i="1"/>
  <c r="CB1485" i="1"/>
  <c r="CI1485" i="1" s="1"/>
  <c r="AC400" i="1"/>
  <c r="AH320" i="1"/>
  <c r="AH340" i="1"/>
  <c r="AC360" i="1"/>
  <c r="AE829" i="1"/>
  <c r="AF930" i="1"/>
  <c r="AC300" i="1"/>
  <c r="AG340" i="1"/>
  <c r="AC410" i="1"/>
  <c r="AG1011" i="1"/>
  <c r="AG310" i="1"/>
  <c r="AG320" i="1"/>
  <c r="AC330" i="1"/>
  <c r="AG400" i="1"/>
  <c r="AG300" i="1"/>
  <c r="AC340" i="1"/>
  <c r="AC370" i="1"/>
  <c r="AG390" i="1"/>
  <c r="AG410" i="1"/>
  <c r="AC420" i="1"/>
  <c r="AG430" i="1"/>
  <c r="AI830" i="1"/>
  <c r="AG931" i="1"/>
  <c r="AC350" i="1"/>
  <c r="AC390" i="1"/>
  <c r="AG330" i="1"/>
  <c r="AT355" i="1"/>
  <c r="AG360" i="1"/>
  <c r="AG370" i="1"/>
  <c r="AG380" i="1"/>
  <c r="AF955" i="1"/>
  <c r="AF1010" i="1"/>
  <c r="AT305" i="1"/>
  <c r="AE330" i="1"/>
  <c r="AE370" i="1"/>
  <c r="AE410" i="1"/>
  <c r="AE420" i="1"/>
  <c r="AE430" i="1"/>
  <c r="AD447" i="1"/>
  <c r="AN798" i="1"/>
  <c r="AE310" i="1"/>
  <c r="AE390" i="1"/>
  <c r="AE400" i="1"/>
  <c r="AE300" i="1"/>
  <c r="AE340" i="1"/>
  <c r="AE350" i="1"/>
  <c r="C385" i="1"/>
  <c r="BB402" i="1"/>
  <c r="BD412" i="1"/>
  <c r="D416" i="1"/>
  <c r="AD451" i="1"/>
  <c r="AF998" i="1"/>
  <c r="AE908" i="1"/>
  <c r="C305" i="1"/>
  <c r="AD320" i="1"/>
  <c r="C335" i="1"/>
  <c r="AT375" i="1"/>
  <c r="AD400" i="1"/>
  <c r="AD410" i="1"/>
  <c r="AC498" i="1"/>
  <c r="AP498" i="1"/>
  <c r="AJ784" i="1"/>
  <c r="AS785" i="1"/>
  <c r="AF789" i="1"/>
  <c r="AM801" i="1"/>
  <c r="AM808" i="1"/>
  <c r="AF962" i="1"/>
  <c r="AF1003" i="1"/>
  <c r="A1211" i="1"/>
  <c r="A1221" i="1" s="1"/>
  <c r="A1231" i="1" s="1"/>
  <c r="A1241" i="1" s="1"/>
  <c r="A1251" i="1" s="1"/>
  <c r="A1261" i="1" s="1"/>
  <c r="A1271" i="1" s="1"/>
  <c r="A1281" i="1" s="1"/>
  <c r="A1291" i="1" s="1"/>
  <c r="A1301" i="1" s="1"/>
  <c r="A1311" i="1" s="1"/>
  <c r="A1321" i="1" s="1"/>
  <c r="A1331" i="1" s="1"/>
  <c r="A1341" i="1" s="1"/>
  <c r="A1351" i="1" s="1"/>
  <c r="A1361" i="1" s="1"/>
  <c r="A1371" i="1" s="1"/>
  <c r="A1381" i="1" s="1"/>
  <c r="A1391" i="1" s="1"/>
  <c r="A1401" i="1" s="1"/>
  <c r="A1411" i="1" s="1"/>
  <c r="A1421" i="1" s="1"/>
  <c r="A1431" i="1" s="1"/>
  <c r="AC1493" i="1"/>
  <c r="C1493" i="1" s="1"/>
  <c r="AR1610" i="1"/>
  <c r="AM1631" i="1"/>
  <c r="B1631" i="1" s="1"/>
  <c r="AC2189" i="1"/>
  <c r="AC2157" i="1" s="1"/>
  <c r="B56" i="1" s="1"/>
  <c r="AM797" i="1"/>
  <c r="AH390" i="1"/>
  <c r="AH420" i="1"/>
  <c r="AV581" i="1"/>
  <c r="AM610" i="1"/>
  <c r="AO801" i="1"/>
  <c r="AE892" i="1"/>
  <c r="C10" i="1"/>
  <c r="AH300" i="1"/>
  <c r="AH310" i="1"/>
  <c r="AH370" i="1"/>
  <c r="AD300" i="1"/>
  <c r="AD310" i="1"/>
  <c r="AH330" i="1"/>
  <c r="AD370" i="1"/>
  <c r="AD380" i="1"/>
  <c r="AH380" i="1"/>
  <c r="AD390" i="1"/>
  <c r="C415" i="1"/>
  <c r="AF773" i="1"/>
  <c r="AF775" i="1"/>
  <c r="AF777" i="1"/>
  <c r="AF779" i="1"/>
  <c r="AF781" i="1"/>
  <c r="AF783" i="1"/>
  <c r="AJ785" i="1"/>
  <c r="AJ787" i="1"/>
  <c r="AN800" i="1"/>
  <c r="AE900" i="1"/>
  <c r="AG926" i="1"/>
  <c r="AF933" i="1"/>
  <c r="AF960" i="1"/>
  <c r="AF1000" i="1"/>
  <c r="AG1006" i="1"/>
  <c r="AF1013" i="1"/>
  <c r="AM1625" i="1"/>
  <c r="B1625" i="1" s="1"/>
  <c r="AF300" i="1"/>
  <c r="AI326" i="1"/>
  <c r="AN326" i="1" s="1"/>
  <c r="AF330" i="1"/>
  <c r="AF400" i="1"/>
  <c r="AD453" i="1"/>
  <c r="AD457" i="1"/>
  <c r="AT463" i="1"/>
  <c r="AL479" i="1"/>
  <c r="AM479" i="1" s="1"/>
  <c r="AJ771" i="1"/>
  <c r="AJ772" i="1"/>
  <c r="AE797" i="1"/>
  <c r="AO798" i="1"/>
  <c r="AE799" i="1"/>
  <c r="AC802" i="1"/>
  <c r="AE820" i="1"/>
  <c r="AE832" i="1"/>
  <c r="AE894" i="1"/>
  <c r="AE902" i="1"/>
  <c r="AD909" i="1"/>
  <c r="AF928" i="1"/>
  <c r="AF932" i="1"/>
  <c r="AG966" i="1"/>
  <c r="AG971" i="1"/>
  <c r="AF993" i="1"/>
  <c r="AF310" i="1"/>
  <c r="AF390" i="1"/>
  <c r="C425" i="1"/>
  <c r="AF430" i="1"/>
  <c r="AV490" i="1"/>
  <c r="AL513" i="1"/>
  <c r="AF537" i="1"/>
  <c r="AL542" i="1"/>
  <c r="AM542" i="1" s="1"/>
  <c r="AF631" i="1"/>
  <c r="AF664" i="1"/>
  <c r="AM664" i="1"/>
  <c r="AV669" i="1"/>
  <c r="AF702" i="1"/>
  <c r="AX702" i="1" s="1"/>
  <c r="AM702" i="1"/>
  <c r="AV707" i="1"/>
  <c r="AJ788" i="1"/>
  <c r="AO799" i="1"/>
  <c r="AK802" i="1"/>
  <c r="AE819" i="1"/>
  <c r="AE833" i="1"/>
  <c r="AE904" i="1"/>
  <c r="AF968" i="1"/>
  <c r="AF972" i="1"/>
  <c r="AC1483" i="1"/>
  <c r="C1483" i="1" s="1"/>
  <c r="AC1533" i="1"/>
  <c r="C1533" i="1" s="1"/>
  <c r="AM1607" i="1"/>
  <c r="B1607" i="1" s="1"/>
  <c r="BJ1616" i="1" s="1"/>
  <c r="AM1616" i="1"/>
  <c r="B1616" i="1" s="1"/>
  <c r="AF370" i="1"/>
  <c r="AT405" i="1"/>
  <c r="AU406" i="1"/>
  <c r="AF410" i="1"/>
  <c r="BB432" i="1"/>
  <c r="AD449" i="1"/>
  <c r="AL484" i="1"/>
  <c r="AM484" i="1" s="1"/>
  <c r="AV587" i="1"/>
  <c r="AV626" i="1"/>
  <c r="AV658" i="1"/>
  <c r="AV687" i="1"/>
  <c r="AV697" i="1"/>
  <c r="AJ783" i="1"/>
  <c r="AF788" i="1"/>
  <c r="AN801" i="1"/>
  <c r="AN805" i="1"/>
  <c r="AI828" i="1"/>
  <c r="AE898" i="1"/>
  <c r="AE906" i="1"/>
  <c r="AF958" i="1"/>
  <c r="AF963" i="1"/>
  <c r="AF970" i="1"/>
  <c r="AF973" i="1"/>
  <c r="AF1002" i="1"/>
  <c r="AF1008" i="1"/>
  <c r="AF1012" i="1"/>
  <c r="AR1613" i="1"/>
  <c r="BO1613" i="1" s="1"/>
  <c r="C1613" i="1" s="1"/>
  <c r="D2161" i="1"/>
  <c r="AM2159" i="1" s="1"/>
  <c r="AE2152" i="1" s="1"/>
  <c r="AC2193" i="1" s="1"/>
  <c r="BJ2274" i="1"/>
  <c r="AT325" i="1"/>
  <c r="C325" i="1"/>
  <c r="AX336" i="1"/>
  <c r="BB332" i="1"/>
  <c r="D336" i="1"/>
  <c r="AC257" i="1"/>
  <c r="B269" i="1" s="1"/>
  <c r="BD332" i="1"/>
  <c r="AO62" i="1"/>
  <c r="AD60" i="1" s="1"/>
  <c r="B63" i="1" s="1"/>
  <c r="AN152" i="1"/>
  <c r="AC833" i="1"/>
  <c r="AC830" i="1"/>
  <c r="AF905" i="1"/>
  <c r="AF899" i="1"/>
  <c r="AF907" i="1"/>
  <c r="AF939" i="1"/>
  <c r="AF940" i="1"/>
  <c r="AF938" i="1"/>
  <c r="AF979" i="1"/>
  <c r="AF980" i="1"/>
  <c r="AF978" i="1"/>
  <c r="AF1019" i="1"/>
  <c r="AF1020" i="1"/>
  <c r="AF1018" i="1"/>
  <c r="AE1382" i="1"/>
  <c r="AE1342" i="1"/>
  <c r="AE1262" i="1"/>
  <c r="AE1232" i="1"/>
  <c r="AE1282" i="1"/>
  <c r="AE1252" i="1"/>
  <c r="AE1212" i="1"/>
  <c r="AE1372" i="1"/>
  <c r="BI2242" i="1"/>
  <c r="BJ2242" i="1"/>
  <c r="BK2252" i="1"/>
  <c r="BJ2252" i="1"/>
  <c r="BI2266" i="1"/>
  <c r="BJ2266" i="1"/>
  <c r="BI2270" i="1"/>
  <c r="BJ2270" i="1"/>
  <c r="BI2277" i="1"/>
  <c r="BJ2277" i="1"/>
  <c r="AD193" i="1"/>
  <c r="AD186" i="1" s="1"/>
  <c r="AG850" i="1" s="1"/>
  <c r="C850" i="1" s="1"/>
  <c r="C17" i="1" s="1"/>
  <c r="B17" i="1" s="1"/>
  <c r="AT315" i="1"/>
  <c r="AU316" i="1"/>
  <c r="AU326" i="1"/>
  <c r="AU336" i="1"/>
  <c r="AI346" i="1"/>
  <c r="AN346" i="1" s="1"/>
  <c r="AI356" i="1"/>
  <c r="AN356" i="1" s="1"/>
  <c r="AI366" i="1"/>
  <c r="AI376" i="1"/>
  <c r="AN376" i="1" s="1"/>
  <c r="BB392" i="1"/>
  <c r="AT395" i="1"/>
  <c r="AU396" i="1"/>
  <c r="AI406" i="1"/>
  <c r="AN406" i="1" s="1"/>
  <c r="AI416" i="1"/>
  <c r="AN416" i="1" s="1"/>
  <c r="AF468" i="1"/>
  <c r="AM468" i="1"/>
  <c r="AD455" i="1"/>
  <c r="AF479" i="1"/>
  <c r="AM524" i="1"/>
  <c r="AV537" i="1"/>
  <c r="AM553" i="1"/>
  <c r="AV553" i="1"/>
  <c r="AF558" i="1"/>
  <c r="AV563" i="1"/>
  <c r="AV571" i="1"/>
  <c r="AV592" i="1"/>
  <c r="AF597" i="1"/>
  <c r="AF605" i="1"/>
  <c r="AV610" i="1"/>
  <c r="AV648" i="1"/>
  <c r="AV674" i="1"/>
  <c r="AF786" i="1"/>
  <c r="AD823" i="1"/>
  <c r="AD821" i="1"/>
  <c r="AD820" i="1"/>
  <c r="AC909" i="1"/>
  <c r="AC908" i="1"/>
  <c r="AC902" i="1"/>
  <c r="AC896" i="1"/>
  <c r="AC890" i="1"/>
  <c r="AF889" i="1"/>
  <c r="AC894" i="1"/>
  <c r="AC904" i="1"/>
  <c r="AG936" i="1"/>
  <c r="AF949" i="1"/>
  <c r="AF948" i="1"/>
  <c r="AG946" i="1"/>
  <c r="AG976" i="1"/>
  <c r="AF989" i="1"/>
  <c r="AF988" i="1"/>
  <c r="AG986" i="1"/>
  <c r="AG1016" i="1"/>
  <c r="AF1028" i="1"/>
  <c r="AF1027" i="1"/>
  <c r="AG1026" i="1"/>
  <c r="AC1196" i="1"/>
  <c r="AC1356" i="1" s="1"/>
  <c r="D1356" i="1" s="1"/>
  <c r="AV1357" i="1" s="1"/>
  <c r="AZ1357" i="1" s="1"/>
  <c r="AX1357" i="1" s="1"/>
  <c r="AE1202" i="1"/>
  <c r="BD1610" i="1"/>
  <c r="BJ1610" i="1"/>
  <c r="AC1880" i="1"/>
  <c r="E1881" i="1"/>
  <c r="B1964" i="1"/>
  <c r="B1961" i="1"/>
  <c r="BI2284" i="1"/>
  <c r="BJ2284" i="1"/>
  <c r="AL193" i="1"/>
  <c r="C201" i="1" s="1"/>
  <c r="AQ257" i="1"/>
  <c r="AS781" i="1" s="1"/>
  <c r="AO270" i="1"/>
  <c r="D271" i="1" s="1"/>
  <c r="AB271" i="1" s="1"/>
  <c r="AD271" i="1" s="1"/>
  <c r="AE271" i="1" s="1"/>
  <c r="AI306" i="1"/>
  <c r="AN306" i="1" s="1"/>
  <c r="AI426" i="1"/>
  <c r="AV484" i="1"/>
  <c r="AF490" i="1"/>
  <c r="AM490" i="1"/>
  <c r="AV503" i="1"/>
  <c r="AV508" i="1"/>
  <c r="AV529" i="1"/>
  <c r="AV542" i="1"/>
  <c r="AF547" i="1"/>
  <c r="AM547" i="1"/>
  <c r="AV576" i="1"/>
  <c r="AF581" i="1"/>
  <c r="AV615" i="1"/>
  <c r="AV631" i="1"/>
  <c r="AV637" i="1"/>
  <c r="AV653" i="1"/>
  <c r="AF658" i="1"/>
  <c r="AM658" i="1"/>
  <c r="AV664" i="1"/>
  <c r="AF669" i="1"/>
  <c r="AM669" i="1"/>
  <c r="AE822" i="1"/>
  <c r="AE818" i="1"/>
  <c r="AD818" i="1"/>
  <c r="AD822" i="1"/>
  <c r="AG832" i="1"/>
  <c r="AF891" i="1"/>
  <c r="AC900" i="1"/>
  <c r="AF944" i="1"/>
  <c r="AF943" i="1"/>
  <c r="AF942" i="1"/>
  <c r="AF950" i="1"/>
  <c r="AF984" i="1"/>
  <c r="AF983" i="1"/>
  <c r="AF982" i="1"/>
  <c r="AF990" i="1"/>
  <c r="AF1024" i="1"/>
  <c r="AF1023" i="1"/>
  <c r="AF1022" i="1"/>
  <c r="AF1029" i="1"/>
  <c r="AC1523" i="1"/>
  <c r="C1523" i="1" s="1"/>
  <c r="AC2215" i="1"/>
  <c r="CN2215" i="1"/>
  <c r="BI2267" i="1"/>
  <c r="BJ2267" i="1"/>
  <c r="BI2273" i="1"/>
  <c r="BJ2273" i="1"/>
  <c r="BI2291" i="1"/>
  <c r="BJ2291" i="1"/>
  <c r="AU306" i="1"/>
  <c r="AI316" i="1"/>
  <c r="AK316" i="1" s="1"/>
  <c r="AI336" i="1"/>
  <c r="AN336" i="1" s="1"/>
  <c r="AU346" i="1"/>
  <c r="AU356" i="1"/>
  <c r="AU366" i="1"/>
  <c r="AU416" i="1"/>
  <c r="AT435" i="1"/>
  <c r="AU436" i="1"/>
  <c r="AF473" i="1"/>
  <c r="AM473" i="1"/>
  <c r="AV479" i="1"/>
  <c r="AM495" i="1"/>
  <c r="AM513" i="1"/>
  <c r="AV513" i="1"/>
  <c r="AF524" i="1"/>
  <c r="AF553" i="1"/>
  <c r="AV558" i="1"/>
  <c r="AF563" i="1"/>
  <c r="AV597" i="1"/>
  <c r="AV605" i="1"/>
  <c r="AF610" i="1"/>
  <c r="AV621" i="1"/>
  <c r="AM648" i="1"/>
  <c r="AV679" i="1"/>
  <c r="AF712" i="1"/>
  <c r="AV717" i="1"/>
  <c r="AF770" i="1"/>
  <c r="AS772" i="1"/>
  <c r="AJ773" i="1"/>
  <c r="AJ775" i="1"/>
  <c r="AL775" i="1" s="1"/>
  <c r="AO775" i="1" s="1"/>
  <c r="AJ777" i="1"/>
  <c r="AJ779" i="1"/>
  <c r="AJ781" i="1"/>
  <c r="AF782" i="1"/>
  <c r="AF785" i="1"/>
  <c r="AJ789" i="1"/>
  <c r="AC803" i="1"/>
  <c r="AC800" i="1"/>
  <c r="AI802" i="1"/>
  <c r="AI804" i="1"/>
  <c r="AI799" i="1"/>
  <c r="AM802" i="1"/>
  <c r="AM798" i="1"/>
  <c r="AC797" i="1"/>
  <c r="AI800" i="1"/>
  <c r="AD819" i="1"/>
  <c r="AE823" i="1"/>
  <c r="AC892" i="1"/>
  <c r="AF897" i="1"/>
  <c r="AC906" i="1"/>
  <c r="AG941" i="1"/>
  <c r="AF954" i="1"/>
  <c r="AF952" i="1"/>
  <c r="AG951" i="1"/>
  <c r="AG981" i="1"/>
  <c r="AF994" i="1"/>
  <c r="AF992" i="1"/>
  <c r="AG991" i="1"/>
  <c r="AG1021" i="1"/>
  <c r="BG2241" i="1"/>
  <c r="BI2244" i="1"/>
  <c r="BJ2244" i="1"/>
  <c r="BK2253" i="1"/>
  <c r="BJ2253" i="1"/>
  <c r="AE1521" i="1"/>
  <c r="B1956" i="1"/>
  <c r="AF697" i="1"/>
  <c r="AM697" i="1"/>
  <c r="AV702" i="1"/>
  <c r="AF707" i="1"/>
  <c r="AM707" i="1"/>
  <c r="AV712" i="1"/>
  <c r="AF717" i="1"/>
  <c r="AM717" i="1"/>
  <c r="AF771" i="1"/>
  <c r="AF772" i="1"/>
  <c r="AJ774" i="1"/>
  <c r="AJ776" i="1"/>
  <c r="AJ778" i="1"/>
  <c r="AL778" i="1" s="1"/>
  <c r="AO778" i="1" s="1"/>
  <c r="AJ780" i="1"/>
  <c r="AF784" i="1"/>
  <c r="AF787" i="1"/>
  <c r="AD901" i="1"/>
  <c r="AF965" i="1"/>
  <c r="AF1005" i="1"/>
  <c r="AM1610" i="1"/>
  <c r="B1610" i="1" s="1"/>
  <c r="BJ1619" i="1" s="1"/>
  <c r="AF679" i="1"/>
  <c r="AM679" i="1"/>
  <c r="AJ770" i="1"/>
  <c r="AF774" i="1"/>
  <c r="AF776" i="1"/>
  <c r="AF778" i="1"/>
  <c r="AF780" i="1"/>
  <c r="AJ782" i="1"/>
  <c r="AL782" i="1" s="1"/>
  <c r="AO782" i="1" s="1"/>
  <c r="AJ786" i="1"/>
  <c r="AK797" i="1"/>
  <c r="AK799" i="1"/>
  <c r="AN804" i="1"/>
  <c r="AE890" i="1"/>
  <c r="AD893" i="1"/>
  <c r="AE896" i="1"/>
  <c r="AF935" i="1"/>
  <c r="AG956" i="1"/>
  <c r="AG961" i="1"/>
  <c r="AF975" i="1"/>
  <c r="AG996" i="1"/>
  <c r="AG1001" i="1"/>
  <c r="AF1015" i="1"/>
  <c r="AC1503" i="1"/>
  <c r="C1503" i="1" s="1"/>
  <c r="AM1619" i="1"/>
  <c r="B1619" i="1" s="1"/>
  <c r="AF1199" i="1"/>
  <c r="D2253" i="1"/>
  <c r="C2255" i="1"/>
  <c r="AN366" i="1"/>
  <c r="AK366" i="1"/>
  <c r="BJ310" i="1"/>
  <c r="BH320" i="1"/>
  <c r="D196" i="1"/>
  <c r="BJ300" i="1"/>
  <c r="AF319" i="1"/>
  <c r="AG319" i="1" s="1"/>
  <c r="AH319" i="1" s="1"/>
  <c r="AU376" i="1"/>
  <c r="BB382" i="1"/>
  <c r="D386" i="1"/>
  <c r="AU386" i="1"/>
  <c r="AI396" i="1"/>
  <c r="AN396" i="1" s="1"/>
  <c r="AF508" i="1"/>
  <c r="AF513" i="1"/>
  <c r="AV519" i="1"/>
  <c r="AU810" i="1"/>
  <c r="AN810" i="1"/>
  <c r="AD56" i="1"/>
  <c r="BD382" i="1"/>
  <c r="AI386" i="1"/>
  <c r="AN386" i="1" s="1"/>
  <c r="D396" i="1"/>
  <c r="BD392" i="1"/>
  <c r="AU426" i="1"/>
  <c r="AI436" i="1"/>
  <c r="AN436" i="1" s="1"/>
  <c r="AD445" i="1"/>
  <c r="AV468" i="1"/>
  <c r="AV473" i="1"/>
  <c r="AF484" i="1"/>
  <c r="AV495" i="1"/>
  <c r="AF519" i="1"/>
  <c r="AV524" i="1"/>
  <c r="AV547" i="1"/>
  <c r="AD919" i="1"/>
  <c r="AD1042" i="1"/>
  <c r="D436" i="1"/>
  <c r="BD432" i="1"/>
  <c r="AF503" i="1"/>
  <c r="AF529" i="1"/>
  <c r="AF542" i="1"/>
  <c r="AX406" i="1"/>
  <c r="AC463" i="1"/>
  <c r="AP463" i="1"/>
  <c r="AT532" i="1"/>
  <c r="AP566" i="1"/>
  <c r="AC566" i="1"/>
  <c r="AD687" i="1"/>
  <c r="AF687" i="1" s="1"/>
  <c r="AD637" i="1"/>
  <c r="AF637" i="1" s="1"/>
  <c r="AD626" i="1"/>
  <c r="AF626" i="1" s="1"/>
  <c r="AD621" i="1"/>
  <c r="AF621" i="1" s="1"/>
  <c r="AD615" i="1"/>
  <c r="AF615" i="1" s="1"/>
  <c r="AD674" i="1"/>
  <c r="AF674" i="1" s="1"/>
  <c r="AD648" i="1"/>
  <c r="AF648" i="1" s="1"/>
  <c r="AC532" i="1"/>
  <c r="AM558" i="1"/>
  <c r="AD587" i="1"/>
  <c r="AF587" i="1" s="1"/>
  <c r="AK800" i="1"/>
  <c r="AL794" i="1"/>
  <c r="AM794" i="1" s="1"/>
  <c r="AN794" i="1" s="1"/>
  <c r="AN803" i="1" s="1"/>
  <c r="AD592" i="1"/>
  <c r="AF592" i="1" s="1"/>
  <c r="AT773" i="1"/>
  <c r="AS773" i="1"/>
  <c r="AD576" i="1"/>
  <c r="AF576" i="1" s="1"/>
  <c r="AT643" i="1"/>
  <c r="AT692" i="1"/>
  <c r="AD806" i="1"/>
  <c r="AD802" i="1"/>
  <c r="AD801" i="1"/>
  <c r="AD800" i="1"/>
  <c r="AJ803" i="1"/>
  <c r="AJ799" i="1"/>
  <c r="AJ797" i="1"/>
  <c r="AJ808" i="1"/>
  <c r="AJ807" i="1"/>
  <c r="AD798" i="1"/>
  <c r="AJ798" i="1"/>
  <c r="AL799" i="1"/>
  <c r="AE801" i="1"/>
  <c r="AJ801" i="1"/>
  <c r="AF802" i="1"/>
  <c r="AL802" i="1"/>
  <c r="AF806" i="1"/>
  <c r="AD808" i="1"/>
  <c r="AC643" i="1"/>
  <c r="AC692" i="1"/>
  <c r="AE803" i="1"/>
  <c r="AE808" i="1"/>
  <c r="AK808" i="1"/>
  <c r="AK807" i="1"/>
  <c r="AK804" i="1"/>
  <c r="AK806" i="1"/>
  <c r="AK805" i="1"/>
  <c r="AO808" i="1"/>
  <c r="AO807" i="1"/>
  <c r="AO804" i="1"/>
  <c r="AO806" i="1"/>
  <c r="AO805" i="1"/>
  <c r="AD797" i="1"/>
  <c r="AI797" i="1"/>
  <c r="AO797" i="1"/>
  <c r="AE798" i="1"/>
  <c r="AK798" i="1"/>
  <c r="AC799" i="1"/>
  <c r="AM799" i="1"/>
  <c r="AE800" i="1"/>
  <c r="AJ800" i="1"/>
  <c r="AO800" i="1"/>
  <c r="AK801" i="1"/>
  <c r="AI803" i="1"/>
  <c r="AO803" i="1"/>
  <c r="AD804" i="1"/>
  <c r="AJ804" i="1"/>
  <c r="AP804" i="1"/>
  <c r="AI805" i="1"/>
  <c r="AI806" i="1"/>
  <c r="AD807" i="1"/>
  <c r="AF817" i="1"/>
  <c r="AG817" i="1" s="1"/>
  <c r="AT600" i="1"/>
  <c r="AT682" i="1"/>
  <c r="AF808" i="1"/>
  <c r="AF804" i="1"/>
  <c r="AF799" i="1"/>
  <c r="AF797" i="1"/>
  <c r="AF807" i="1"/>
  <c r="AF805" i="1"/>
  <c r="AL806" i="1"/>
  <c r="AL805" i="1"/>
  <c r="AL800" i="1"/>
  <c r="AL798" i="1"/>
  <c r="AP806" i="1"/>
  <c r="AP805" i="1"/>
  <c r="AP801" i="1"/>
  <c r="AP800" i="1"/>
  <c r="AP798" i="1"/>
  <c r="AP797" i="1"/>
  <c r="AF798" i="1"/>
  <c r="AD799" i="1"/>
  <c r="AF800" i="1"/>
  <c r="AJ802" i="1"/>
  <c r="AD803" i="1"/>
  <c r="AP803" i="1"/>
  <c r="AE804" i="1"/>
  <c r="AL804" i="1"/>
  <c r="AJ805" i="1"/>
  <c r="AJ806" i="1"/>
  <c r="AE807" i="1"/>
  <c r="AM807" i="1"/>
  <c r="AI808" i="1"/>
  <c r="AF823" i="1"/>
  <c r="AF822" i="1"/>
  <c r="AF820" i="1"/>
  <c r="AF819" i="1"/>
  <c r="AC600" i="1"/>
  <c r="AC682" i="1"/>
  <c r="AF794" i="1"/>
  <c r="AC807" i="1"/>
  <c r="AC805" i="1"/>
  <c r="AC798" i="1"/>
  <c r="AC806" i="1"/>
  <c r="AL797" i="1"/>
  <c r="AI798" i="1"/>
  <c r="AP799" i="1"/>
  <c r="AM800" i="1"/>
  <c r="AC801" i="1"/>
  <c r="AI801" i="1"/>
  <c r="AE802" i="1"/>
  <c r="AP802" i="1"/>
  <c r="AF803" i="1"/>
  <c r="AL803" i="1"/>
  <c r="AM804" i="1"/>
  <c r="AD805" i="1"/>
  <c r="AM805" i="1"/>
  <c r="AM806" i="1"/>
  <c r="AP807" i="1"/>
  <c r="AC808" i="1"/>
  <c r="AL808" i="1"/>
  <c r="AC823" i="1"/>
  <c r="AC822" i="1"/>
  <c r="AC821" i="1"/>
  <c r="AC820" i="1"/>
  <c r="AC819" i="1"/>
  <c r="AG823" i="1"/>
  <c r="AG822" i="1"/>
  <c r="AG821" i="1"/>
  <c r="AG820" i="1"/>
  <c r="AG819" i="1"/>
  <c r="AC818" i="1"/>
  <c r="AD833" i="1"/>
  <c r="AD831" i="1"/>
  <c r="AD829" i="1"/>
  <c r="AD832" i="1"/>
  <c r="AD830" i="1"/>
  <c r="AH833" i="1"/>
  <c r="AH831" i="1"/>
  <c r="AH829" i="1"/>
  <c r="AH832" i="1"/>
  <c r="AH830" i="1"/>
  <c r="AH828" i="1"/>
  <c r="AI831" i="1"/>
  <c r="AN807" i="1"/>
  <c r="AN808" i="1"/>
  <c r="AE828" i="1"/>
  <c r="AG829" i="1"/>
  <c r="AE830" i="1"/>
  <c r="AC831" i="1"/>
  <c r="AI832" i="1"/>
  <c r="AG833" i="1"/>
  <c r="AF906" i="1"/>
  <c r="AF902" i="1"/>
  <c r="AF898" i="1"/>
  <c r="AF894" i="1"/>
  <c r="AF890" i="1"/>
  <c r="AF908" i="1"/>
  <c r="AF904" i="1"/>
  <c r="AF900" i="1"/>
  <c r="AF896" i="1"/>
  <c r="AF892" i="1"/>
  <c r="AF893" i="1"/>
  <c r="AD895" i="1"/>
  <c r="AF901" i="1"/>
  <c r="AD903" i="1"/>
  <c r="AF909" i="1"/>
  <c r="C1094" i="1"/>
  <c r="AI1063" i="1"/>
  <c r="B1063" i="1" s="1"/>
  <c r="AC1241" i="1"/>
  <c r="AC1391" i="1"/>
  <c r="AN797" i="1"/>
  <c r="AN799" i="1"/>
  <c r="AF832" i="1"/>
  <c r="AF830" i="1"/>
  <c r="AF833" i="1"/>
  <c r="AF831" i="1"/>
  <c r="AF829" i="1"/>
  <c r="AF828" i="1"/>
  <c r="AI829" i="1"/>
  <c r="AG830" i="1"/>
  <c r="AC832" i="1"/>
  <c r="AD889" i="1"/>
  <c r="AF895" i="1"/>
  <c r="AD897" i="1"/>
  <c r="AF903" i="1"/>
  <c r="AC828" i="1"/>
  <c r="AG828" i="1"/>
  <c r="AC829" i="1"/>
  <c r="AD908" i="1"/>
  <c r="AD904" i="1"/>
  <c r="AD900" i="1"/>
  <c r="AD896" i="1"/>
  <c r="AD892" i="1"/>
  <c r="AD906" i="1"/>
  <c r="AD902" i="1"/>
  <c r="AD898" i="1"/>
  <c r="AD894" i="1"/>
  <c r="AD890" i="1"/>
  <c r="AD891" i="1"/>
  <c r="AD899" i="1"/>
  <c r="AD907" i="1"/>
  <c r="AC1436" i="1"/>
  <c r="D1436" i="1" s="1"/>
  <c r="AS1223" i="1"/>
  <c r="D1213" i="1"/>
  <c r="AC1351" i="1"/>
  <c r="AC1201" i="1"/>
  <c r="AC1271" i="1"/>
  <c r="AC1291" i="1"/>
  <c r="AC1311" i="1"/>
  <c r="AE889" i="1"/>
  <c r="AC891" i="1"/>
  <c r="AE893" i="1"/>
  <c r="AC895" i="1"/>
  <c r="AE897" i="1"/>
  <c r="AC899" i="1"/>
  <c r="AE901" i="1"/>
  <c r="AC903" i="1"/>
  <c r="AE905" i="1"/>
  <c r="AC907" i="1"/>
  <c r="AE909" i="1"/>
  <c r="AF927" i="1"/>
  <c r="AF937" i="1"/>
  <c r="AF947" i="1"/>
  <c r="AF957" i="1"/>
  <c r="AF967" i="1"/>
  <c r="AF977" i="1"/>
  <c r="AF987" i="1"/>
  <c r="AF997" i="1"/>
  <c r="AF1007" i="1"/>
  <c r="AF1017" i="1"/>
  <c r="AF1030" i="1"/>
  <c r="AE1422" i="1"/>
  <c r="AE1402" i="1"/>
  <c r="AE1362" i="1"/>
  <c r="AE1332" i="1"/>
  <c r="AE1392" i="1"/>
  <c r="AE1352" i="1"/>
  <c r="AE1322" i="1"/>
  <c r="AE1292" i="1"/>
  <c r="AE1222" i="1"/>
  <c r="AE1432" i="1"/>
  <c r="AC889" i="1"/>
  <c r="AE891" i="1"/>
  <c r="AC893" i="1"/>
  <c r="AE895" i="1"/>
  <c r="AC897" i="1"/>
  <c r="AE899" i="1"/>
  <c r="AC901" i="1"/>
  <c r="AE903" i="1"/>
  <c r="AC905" i="1"/>
  <c r="AE1242" i="1"/>
  <c r="AE1272" i="1"/>
  <c r="AE1302" i="1"/>
  <c r="AE1312" i="1"/>
  <c r="AC1341" i="1"/>
  <c r="AC1381" i="1"/>
  <c r="AE1412" i="1"/>
  <c r="CI1484" i="1"/>
  <c r="AF1511" i="1" s="1"/>
  <c r="AC1513" i="1"/>
  <c r="C1513" i="1" s="1"/>
  <c r="AR1637" i="1"/>
  <c r="BO1637" i="1" s="1"/>
  <c r="C1637" i="1" s="1"/>
  <c r="B1952" i="1"/>
  <c r="B1957" i="1"/>
  <c r="B1962" i="1"/>
  <c r="B1967" i="1"/>
  <c r="BI2250" i="1"/>
  <c r="BK2250" i="1"/>
  <c r="BJ2250" i="1"/>
  <c r="BI2259" i="1"/>
  <c r="BK2259" i="1"/>
  <c r="BJ2259" i="1"/>
  <c r="BI2264" i="1"/>
  <c r="BK2264" i="1"/>
  <c r="BJ2264" i="1"/>
  <c r="BI2276" i="1"/>
  <c r="BK2276" i="1"/>
  <c r="BJ2276" i="1"/>
  <c r="BK2280" i="1"/>
  <c r="BJ2280" i="1"/>
  <c r="BI2280" i="1"/>
  <c r="AE1501" i="1"/>
  <c r="AE1531" i="1"/>
  <c r="AR1625" i="1"/>
  <c r="BO1625" i="1" s="1"/>
  <c r="C1625" i="1" s="1"/>
  <c r="AR1628" i="1"/>
  <c r="BO1628" i="1" s="1"/>
  <c r="C1628" i="1" s="1"/>
  <c r="AR1640" i="1"/>
  <c r="BO1640" i="1" s="1"/>
  <c r="C1640" i="1" s="1"/>
  <c r="B1953" i="1"/>
  <c r="B1958" i="1"/>
  <c r="B1963" i="1"/>
  <c r="B1968" i="1"/>
  <c r="B1978" i="1"/>
  <c r="BI2281" i="1"/>
  <c r="BK2281" i="1"/>
  <c r="BJ2281" i="1"/>
  <c r="BK2285" i="1"/>
  <c r="BJ2285" i="1"/>
  <c r="BI2285" i="1"/>
  <c r="BI2290" i="1"/>
  <c r="BK2290" i="1"/>
  <c r="BJ2290" i="1"/>
  <c r="AE1511" i="1"/>
  <c r="AR1616" i="1"/>
  <c r="BO1616" i="1" s="1"/>
  <c r="C1616" i="1" s="1"/>
  <c r="B1951" i="1"/>
  <c r="B1969" i="1"/>
  <c r="BI2248" i="1"/>
  <c r="BK2248" i="1"/>
  <c r="BJ2248" i="1"/>
  <c r="BI2255" i="1"/>
  <c r="BK2255" i="1"/>
  <c r="BJ2255" i="1"/>
  <c r="BK2268" i="1"/>
  <c r="BJ2268" i="1"/>
  <c r="BI2268" i="1"/>
  <c r="BK2271" i="1"/>
  <c r="BJ2271" i="1"/>
  <c r="BI2271" i="1"/>
  <c r="BK2278" i="1"/>
  <c r="BJ2278" i="1"/>
  <c r="BI2278" i="1"/>
  <c r="BK2282" i="1"/>
  <c r="BJ2282" i="1"/>
  <c r="BI2282" i="1"/>
  <c r="AR1607" i="1"/>
  <c r="BO1607" i="1" s="1"/>
  <c r="C1607" i="1" s="1"/>
  <c r="AR1619" i="1"/>
  <c r="AR1622" i="1"/>
  <c r="BO1622" i="1" s="1"/>
  <c r="C1622" i="1" s="1"/>
  <c r="AR1631" i="1"/>
  <c r="BO1631" i="1" s="1"/>
  <c r="C1631" i="1" s="1"/>
  <c r="BI2247" i="1"/>
  <c r="BK2247" i="1"/>
  <c r="BJ2247" i="1"/>
  <c r="BK2249" i="1"/>
  <c r="BJ2249" i="1"/>
  <c r="BI2249" i="1"/>
  <c r="BK2258" i="1"/>
  <c r="BJ2258" i="1"/>
  <c r="BI2258" i="1"/>
  <c r="BI2260" i="1"/>
  <c r="BK2260" i="1"/>
  <c r="BJ2260" i="1"/>
  <c r="BK2262" i="1"/>
  <c r="BJ2262" i="1"/>
  <c r="BI2262" i="1"/>
  <c r="BK2275" i="1"/>
  <c r="BJ2275" i="1"/>
  <c r="BI2275" i="1"/>
  <c r="BI2279" i="1"/>
  <c r="BK2279" i="1"/>
  <c r="BJ2279" i="1"/>
  <c r="BI2283" i="1"/>
  <c r="BK2283" i="1"/>
  <c r="BJ2283" i="1"/>
  <c r="BK2286" i="1"/>
  <c r="BJ2286" i="1"/>
  <c r="BI2286" i="1"/>
  <c r="BI2289" i="1"/>
  <c r="BK2289" i="1"/>
  <c r="BJ2289" i="1"/>
  <c r="BK2293" i="1"/>
  <c r="BJ2293" i="1"/>
  <c r="BI2293" i="1"/>
  <c r="BK2242" i="1"/>
  <c r="BI2243" i="1"/>
  <c r="BK2244" i="1"/>
  <c r="BI2245" i="1"/>
  <c r="BI2246" i="1"/>
  <c r="BK2251" i="1"/>
  <c r="BI2252" i="1"/>
  <c r="BI2253" i="1"/>
  <c r="BK2254" i="1"/>
  <c r="BK2256" i="1"/>
  <c r="BK2257" i="1"/>
  <c r="BK2261" i="1"/>
  <c r="BI2263" i="1"/>
  <c r="BK2265" i="1"/>
  <c r="BK2266" i="1"/>
  <c r="BK2267" i="1"/>
  <c r="BI2269" i="1"/>
  <c r="BK2270" i="1"/>
  <c r="BI2272" i="1"/>
  <c r="BK2273" i="1"/>
  <c r="BK2274" i="1"/>
  <c r="BK2277" i="1"/>
  <c r="BK2284" i="1"/>
  <c r="BI2287" i="1"/>
  <c r="BI2288" i="1"/>
  <c r="BK2291" i="1"/>
  <c r="BI2292" i="1"/>
  <c r="BJ2243" i="1"/>
  <c r="BJ2245" i="1"/>
  <c r="BJ2246" i="1"/>
  <c r="BJ2263" i="1"/>
  <c r="BJ2269" i="1"/>
  <c r="BJ2272" i="1"/>
  <c r="BJ2287" i="1"/>
  <c r="BJ2288" i="1"/>
  <c r="BJ2292" i="1"/>
  <c r="BH2241" i="1"/>
  <c r="BG1103" i="1" s="1"/>
  <c r="BI2251" i="1"/>
  <c r="BI2254" i="1"/>
  <c r="BI2256" i="1"/>
  <c r="BI2257" i="1"/>
  <c r="BI2261" i="1"/>
  <c r="BI2265" i="1"/>
  <c r="AX581" i="3" l="1"/>
  <c r="AZ581" i="3" s="1"/>
  <c r="BD581" i="3" s="1"/>
  <c r="BB610" i="3"/>
  <c r="AX529" i="3"/>
  <c r="D271" i="3"/>
  <c r="AB271" i="3" s="1"/>
  <c r="AD271" i="3" s="1"/>
  <c r="AE271" i="3" s="1"/>
  <c r="AX717" i="3"/>
  <c r="AX702" i="3"/>
  <c r="AZ702" i="3" s="1"/>
  <c r="BD702" i="3" s="1"/>
  <c r="AI300" i="3"/>
  <c r="AK300" i="3" s="1"/>
  <c r="BB658" i="3"/>
  <c r="AX503" i="3"/>
  <c r="AZ503" i="3" s="1"/>
  <c r="BD503" i="3" s="1"/>
  <c r="BB712" i="3"/>
  <c r="AE2151" i="3"/>
  <c r="AC2171" i="3" s="1"/>
  <c r="AE2155" i="3"/>
  <c r="BO2193" i="3" s="1"/>
  <c r="AG891" i="3"/>
  <c r="AG907" i="3"/>
  <c r="AX553" i="3"/>
  <c r="AZ553" i="3" s="1"/>
  <c r="BD553" i="3" s="1"/>
  <c r="AU754" i="3"/>
  <c r="AV755" i="3" s="1"/>
  <c r="AL775" i="3"/>
  <c r="AO775" i="3" s="1"/>
  <c r="AZ717" i="3"/>
  <c r="BD717" i="3" s="1"/>
  <c r="BB679" i="3"/>
  <c r="AX468" i="3"/>
  <c r="AZ468" i="3" s="1"/>
  <c r="BD468" i="3" s="1"/>
  <c r="AI360" i="3"/>
  <c r="AK360" i="3" s="1"/>
  <c r="AI350" i="3"/>
  <c r="AK350" i="3" s="1"/>
  <c r="BB717" i="3"/>
  <c r="B264" i="3"/>
  <c r="AL777" i="3"/>
  <c r="AO777" i="3" s="1"/>
  <c r="AX669" i="3"/>
  <c r="AZ669" i="3" s="1"/>
  <c r="BD669" i="3" s="1"/>
  <c r="AH820" i="3"/>
  <c r="AK1035" i="3" s="1"/>
  <c r="AG895" i="3"/>
  <c r="AG803" i="3"/>
  <c r="AZ529" i="3"/>
  <c r="BD529" i="3" s="1"/>
  <c r="AN306" i="3"/>
  <c r="BB581" i="3"/>
  <c r="AU257" i="3"/>
  <c r="D258" i="3"/>
  <c r="AI390" i="3"/>
  <c r="AK390" i="3" s="1"/>
  <c r="BB547" i="3"/>
  <c r="AX473" i="3"/>
  <c r="AZ473" i="3" s="1"/>
  <c r="BD473" i="3" s="1"/>
  <c r="AG898" i="3"/>
  <c r="BB553" i="3"/>
  <c r="AX513" i="3"/>
  <c r="AZ513" i="3" s="1"/>
  <c r="BD513" i="3" s="1"/>
  <c r="AZ610" i="3"/>
  <c r="BD610" i="3" s="1"/>
  <c r="AX658" i="3"/>
  <c r="AZ658" i="3" s="1"/>
  <c r="BD658" i="3" s="1"/>
  <c r="AX479" i="3"/>
  <c r="AZ479" i="3" s="1"/>
  <c r="BD479" i="3" s="1"/>
  <c r="B258" i="3"/>
  <c r="AL782" i="3"/>
  <c r="AO782" i="3" s="1"/>
  <c r="AL776" i="3"/>
  <c r="AO776" i="3" s="1"/>
  <c r="AL781" i="1"/>
  <c r="AO781" i="1" s="1"/>
  <c r="AL773" i="1"/>
  <c r="AO773" i="1" s="1"/>
  <c r="AI430" i="1"/>
  <c r="BB503" i="2"/>
  <c r="AL788" i="2"/>
  <c r="AO788" i="2" s="1"/>
  <c r="AJ809" i="2"/>
  <c r="AL780" i="2"/>
  <c r="AO780" i="2" s="1"/>
  <c r="AZ669" i="2"/>
  <c r="BD669" i="2" s="1"/>
  <c r="AZ679" i="2"/>
  <c r="BD679" i="2" s="1"/>
  <c r="D271" i="2"/>
  <c r="AB271" i="2" s="1"/>
  <c r="AD271" i="2" s="1"/>
  <c r="AE271" i="2" s="1"/>
  <c r="BB2284" i="2" s="1"/>
  <c r="BB702" i="2"/>
  <c r="AZ707" i="2"/>
  <c r="BD707" i="2" s="1"/>
  <c r="BB697" i="2"/>
  <c r="AG894" i="2"/>
  <c r="AZ717" i="2"/>
  <c r="BD717" i="2" s="1"/>
  <c r="AX484" i="2"/>
  <c r="AZ484" i="2" s="1"/>
  <c r="BD484" i="2" s="1"/>
  <c r="AK426" i="2"/>
  <c r="AZ468" i="2"/>
  <c r="BD468" i="2" s="1"/>
  <c r="BB490" i="2"/>
  <c r="AL776" i="2"/>
  <c r="AO776" i="2" s="1"/>
  <c r="BB513" i="2"/>
  <c r="AX513" i="2"/>
  <c r="AZ513" i="2" s="1"/>
  <c r="BD513" i="2" s="1"/>
  <c r="AD1491" i="2"/>
  <c r="AF1511" i="2"/>
  <c r="AD1511" i="2" s="1"/>
  <c r="AX697" i="2"/>
  <c r="AZ697" i="2" s="1"/>
  <c r="BD697" i="2" s="1"/>
  <c r="AX658" i="2"/>
  <c r="AZ658" i="2" s="1"/>
  <c r="BD658" i="2" s="1"/>
  <c r="AZ610" i="2"/>
  <c r="BD610" i="2" s="1"/>
  <c r="AX503" i="2"/>
  <c r="AZ503" i="2" s="1"/>
  <c r="BD503" i="2" s="1"/>
  <c r="AN326" i="2"/>
  <c r="AF1531" i="2"/>
  <c r="AD1531" i="2" s="1"/>
  <c r="AG898" i="2"/>
  <c r="AX702" i="2"/>
  <c r="AZ702" i="2" s="1"/>
  <c r="BD702" i="2" s="1"/>
  <c r="AX524" i="2"/>
  <c r="AZ524" i="2" s="1"/>
  <c r="BD524" i="2" s="1"/>
  <c r="AZ553" i="2"/>
  <c r="BD553" i="2" s="1"/>
  <c r="AZ473" i="2"/>
  <c r="BD473" i="2" s="1"/>
  <c r="AK376" i="2"/>
  <c r="D376" i="2" s="1"/>
  <c r="AK356" i="2"/>
  <c r="AN259" i="2"/>
  <c r="AF1481" i="2"/>
  <c r="AD1481" i="2" s="1"/>
  <c r="AU1481" i="2" s="1"/>
  <c r="AT1481" i="2" s="1"/>
  <c r="AJ1481" i="2" s="1"/>
  <c r="D1481" i="2" s="1"/>
  <c r="AJ830" i="2"/>
  <c r="AL1035" i="2" s="1"/>
  <c r="AH822" i="2"/>
  <c r="AK1037" i="2" s="1"/>
  <c r="AH820" i="2"/>
  <c r="AK1035" i="2" s="1"/>
  <c r="AG798" i="2"/>
  <c r="AQ798" i="2" s="1"/>
  <c r="AO785" i="2"/>
  <c r="AZ558" i="2"/>
  <c r="BD558" i="2" s="1"/>
  <c r="AS781" i="2"/>
  <c r="AH823" i="2"/>
  <c r="AK1038" i="2" s="1"/>
  <c r="AD1521" i="2"/>
  <c r="AK809" i="2"/>
  <c r="AG808" i="2"/>
  <c r="AQ808" i="2" s="1"/>
  <c r="AG906" i="2"/>
  <c r="AD1501" i="2"/>
  <c r="AJ828" i="2"/>
  <c r="AH821" i="2"/>
  <c r="AK1036" i="2" s="1"/>
  <c r="AH819" i="2"/>
  <c r="AK1034" i="2" s="1"/>
  <c r="AO809" i="2"/>
  <c r="AJ832" i="2"/>
  <c r="AG799" i="2"/>
  <c r="AQ799" i="2" s="1"/>
  <c r="AG908" i="3"/>
  <c r="AG900" i="3"/>
  <c r="AG892" i="3"/>
  <c r="AG906" i="3"/>
  <c r="AG899" i="3"/>
  <c r="AG902" i="3"/>
  <c r="AG894" i="3"/>
  <c r="AF1039" i="3"/>
  <c r="AT1039" i="3" s="1"/>
  <c r="AG905" i="3"/>
  <c r="AG897" i="3"/>
  <c r="AG889" i="3"/>
  <c r="AG903" i="3"/>
  <c r="BO1616" i="3"/>
  <c r="C1616" i="3" s="1"/>
  <c r="AJ830" i="3"/>
  <c r="AJ828" i="3"/>
  <c r="AN809" i="3"/>
  <c r="AG808" i="3"/>
  <c r="AQ808" i="3" s="1"/>
  <c r="AG799" i="3"/>
  <c r="AG800" i="3"/>
  <c r="AF809" i="3"/>
  <c r="AG805" i="3"/>
  <c r="AQ805" i="3" s="1"/>
  <c r="AG798" i="3"/>
  <c r="AQ798" i="3" s="1"/>
  <c r="AL774" i="3"/>
  <c r="AO774" i="3" s="1"/>
  <c r="D306" i="3"/>
  <c r="BB302" i="3"/>
  <c r="AX306" i="3"/>
  <c r="BD302" i="3"/>
  <c r="BH302" i="3" s="1"/>
  <c r="AK440" i="3"/>
  <c r="BB2285" i="3"/>
  <c r="BB2280" i="3"/>
  <c r="BB2292" i="3"/>
  <c r="BB2245" i="3"/>
  <c r="BB2248" i="3"/>
  <c r="BB2277" i="3"/>
  <c r="BB2242" i="3"/>
  <c r="BB2288" i="3"/>
  <c r="BB2278" i="3"/>
  <c r="BB2287" i="3"/>
  <c r="BB2243" i="3"/>
  <c r="BB2244" i="3"/>
  <c r="BB2273" i="3"/>
  <c r="BB2266" i="3"/>
  <c r="BB2246" i="3"/>
  <c r="BB2291" i="3"/>
  <c r="BB2268" i="3"/>
  <c r="BB2263" i="3"/>
  <c r="BB2274" i="3"/>
  <c r="BB2289" i="3"/>
  <c r="BB2256" i="3"/>
  <c r="BB2290" i="3"/>
  <c r="BB2286" i="3"/>
  <c r="BB2262" i="3"/>
  <c r="BB2259" i="3"/>
  <c r="BB2283" i="3"/>
  <c r="BB2254" i="3"/>
  <c r="BO2215" i="3"/>
  <c r="G1798" i="3"/>
  <c r="AE159" i="3"/>
  <c r="AI159" i="3"/>
  <c r="AM159" i="3"/>
  <c r="AM156" i="3"/>
  <c r="AR159" i="3"/>
  <c r="AQ799" i="3"/>
  <c r="AH799" i="3"/>
  <c r="AX495" i="3"/>
  <c r="AZ495" i="3" s="1"/>
  <c r="BD495" i="3" s="1"/>
  <c r="BB495" i="3"/>
  <c r="AS159" i="3"/>
  <c r="AN159" i="3"/>
  <c r="AJ159" i="3"/>
  <c r="AF159" i="3"/>
  <c r="AO156" i="3"/>
  <c r="BB648" i="3"/>
  <c r="AX648" i="3"/>
  <c r="AZ648" i="3" s="1"/>
  <c r="BD648" i="3" s="1"/>
  <c r="AX631" i="3"/>
  <c r="AZ631" i="3" s="1"/>
  <c r="BD631" i="3" s="1"/>
  <c r="BB631" i="3"/>
  <c r="AQ803" i="3"/>
  <c r="AS803" i="3" s="1"/>
  <c r="BB653" i="3"/>
  <c r="AX653" i="3"/>
  <c r="AZ653" i="3" s="1"/>
  <c r="BD653" i="3" s="1"/>
  <c r="AC1878" i="3"/>
  <c r="E1879" i="3"/>
  <c r="AF1491" i="3"/>
  <c r="AF1481" i="3"/>
  <c r="AF1511" i="3"/>
  <c r="AG1039" i="3"/>
  <c r="AG890" i="3"/>
  <c r="AG904" i="3"/>
  <c r="AG896" i="3"/>
  <c r="AH818" i="3"/>
  <c r="AH822" i="3"/>
  <c r="AK1037" i="3" s="1"/>
  <c r="AM809" i="3"/>
  <c r="AG807" i="3"/>
  <c r="AV1247" i="3"/>
  <c r="AI1248" i="3"/>
  <c r="AJ1248" i="3" s="1"/>
  <c r="AK1248" i="3" s="1"/>
  <c r="AV1267" i="3"/>
  <c r="AI1268" i="3"/>
  <c r="AJ1268" i="3" s="1"/>
  <c r="AK1268" i="3" s="1"/>
  <c r="AI1308" i="3"/>
  <c r="AJ1308" i="3" s="1"/>
  <c r="AK1308" i="3" s="1"/>
  <c r="AV1307" i="3"/>
  <c r="AI1358" i="3"/>
  <c r="AJ1358" i="3" s="1"/>
  <c r="AK1358" i="3" s="1"/>
  <c r="AV1357" i="3"/>
  <c r="AI1438" i="3"/>
  <c r="AJ1438" i="3" s="1"/>
  <c r="AK1438" i="3" s="1"/>
  <c r="AV1437" i="3"/>
  <c r="AI1408" i="3"/>
  <c r="AJ1408" i="3" s="1"/>
  <c r="AK1408" i="3" s="1"/>
  <c r="AV1407" i="3"/>
  <c r="AP809" i="3"/>
  <c r="AG806" i="3"/>
  <c r="AI1226" i="3"/>
  <c r="AO1226" i="3" s="1"/>
  <c r="BD1227" i="3"/>
  <c r="D1227" i="3"/>
  <c r="AT1227" i="3"/>
  <c r="AC1227" i="3" s="1"/>
  <c r="AX558" i="3"/>
  <c r="AZ558" i="3" s="1"/>
  <c r="BD558" i="3" s="1"/>
  <c r="BB558" i="3"/>
  <c r="BB2247" i="3"/>
  <c r="BB2264" i="3"/>
  <c r="AD208" i="3" s="1"/>
  <c r="BB2267" i="3"/>
  <c r="BB2279" i="3"/>
  <c r="BB2260" i="3"/>
  <c r="BB2250" i="3"/>
  <c r="BB2276" i="3"/>
  <c r="BB2252" i="3"/>
  <c r="BB2269" i="3"/>
  <c r="BB2249" i="3"/>
  <c r="BB2271" i="3"/>
  <c r="BB2282" i="3"/>
  <c r="BB529" i="3"/>
  <c r="BB503" i="3"/>
  <c r="D346" i="3"/>
  <c r="BD342" i="3"/>
  <c r="AX346" i="3"/>
  <c r="BB342" i="3"/>
  <c r="AX524" i="3"/>
  <c r="AZ524" i="3" s="1"/>
  <c r="BD524" i="3" s="1"/>
  <c r="AX366" i="3"/>
  <c r="D366" i="3"/>
  <c r="BD362" i="3"/>
  <c r="BB362" i="3"/>
  <c r="AX326" i="3"/>
  <c r="D326" i="3"/>
  <c r="BD322" i="3"/>
  <c r="BB322" i="3"/>
  <c r="D316" i="3"/>
  <c r="BD312" i="3"/>
  <c r="AX316" i="3"/>
  <c r="BB312" i="3"/>
  <c r="AL828" i="3"/>
  <c r="AV828" i="3" s="1"/>
  <c r="AL1033" i="3"/>
  <c r="AL818" i="3"/>
  <c r="AT818" i="3" s="1"/>
  <c r="AG909" i="3"/>
  <c r="AG901" i="3"/>
  <c r="AG893" i="3"/>
  <c r="AL832" i="3"/>
  <c r="AV832" i="3" s="1"/>
  <c r="AL1037" i="3"/>
  <c r="AL822" i="3"/>
  <c r="AT822" i="3" s="1"/>
  <c r="AH819" i="3"/>
  <c r="AK1034" i="3" s="1"/>
  <c r="AH823" i="3"/>
  <c r="AK1038" i="3" s="1"/>
  <c r="AH800" i="3"/>
  <c r="AI809" i="3"/>
  <c r="BI808" i="3" s="1"/>
  <c r="AG804" i="3"/>
  <c r="AI1328" i="3"/>
  <c r="AJ1328" i="3" s="1"/>
  <c r="AK1328" i="3" s="1"/>
  <c r="AV1327" i="3"/>
  <c r="AV1287" i="3"/>
  <c r="AI1288" i="3"/>
  <c r="AJ1288" i="3" s="1"/>
  <c r="AK1288" i="3" s="1"/>
  <c r="AI1388" i="3"/>
  <c r="AJ1388" i="3" s="1"/>
  <c r="AK1388" i="3" s="1"/>
  <c r="AV1387" i="3"/>
  <c r="AV1377" i="3"/>
  <c r="AI1378" i="3"/>
  <c r="AJ1378" i="3" s="1"/>
  <c r="AK1378" i="3" s="1"/>
  <c r="D1223" i="3"/>
  <c r="AS1233" i="3"/>
  <c r="AL809" i="3"/>
  <c r="AI1218" i="3"/>
  <c r="AJ1218" i="3" s="1"/>
  <c r="AK1218" i="3" s="1"/>
  <c r="AV1217" i="3"/>
  <c r="AJ829" i="3"/>
  <c r="AO809" i="3"/>
  <c r="AT774" i="3"/>
  <c r="AS774" i="3"/>
  <c r="BH320" i="3"/>
  <c r="BJ310" i="3"/>
  <c r="AZ605" i="3"/>
  <c r="BD605" i="3" s="1"/>
  <c r="AZ547" i="3"/>
  <c r="BD547" i="3" s="1"/>
  <c r="BB2261" i="3"/>
  <c r="BB2251" i="3"/>
  <c r="BB2270" i="3"/>
  <c r="BB2281" i="3"/>
  <c r="BB2265" i="3"/>
  <c r="BB2257" i="3"/>
  <c r="BB2284" i="3"/>
  <c r="BB2253" i="3"/>
  <c r="BB2272" i="3"/>
  <c r="BB2258" i="3"/>
  <c r="BB2275" i="3"/>
  <c r="D426" i="3"/>
  <c r="BD422" i="3"/>
  <c r="AX426" i="3"/>
  <c r="BB422" i="3"/>
  <c r="BI302" i="3"/>
  <c r="BG302" i="3"/>
  <c r="BI2242" i="3"/>
  <c r="BI2241" i="3" s="1"/>
  <c r="BH1103" i="3" s="1"/>
  <c r="BI1102" i="3" s="1"/>
  <c r="BK2242" i="3"/>
  <c r="BK2241" i="3" s="1"/>
  <c r="BJ1103" i="3" s="1"/>
  <c r="AJ1102" i="3" s="1"/>
  <c r="BJ2242" i="3"/>
  <c r="BJ2241" i="3" s="1"/>
  <c r="BI1103" i="3" s="1"/>
  <c r="AJ1103" i="3" s="1"/>
  <c r="BH2241" i="3"/>
  <c r="BG1103" i="3" s="1"/>
  <c r="BO1610" i="3"/>
  <c r="C1610" i="3" s="1"/>
  <c r="AG801" i="3"/>
  <c r="AE809" i="3"/>
  <c r="AV1297" i="3"/>
  <c r="AI1298" i="3"/>
  <c r="AJ1298" i="3" s="1"/>
  <c r="AK1298" i="3" s="1"/>
  <c r="AI1338" i="3"/>
  <c r="AJ1338" i="3" s="1"/>
  <c r="AK1338" i="3" s="1"/>
  <c r="AV1337" i="3"/>
  <c r="AV1317" i="3"/>
  <c r="AI1318" i="3"/>
  <c r="AJ1318" i="3" s="1"/>
  <c r="AK1318" i="3" s="1"/>
  <c r="AI1398" i="3"/>
  <c r="AJ1398" i="3" s="1"/>
  <c r="AK1398" i="3" s="1"/>
  <c r="AV1397" i="3"/>
  <c r="AV1417" i="3"/>
  <c r="AI1418" i="3"/>
  <c r="AJ1418" i="3" s="1"/>
  <c r="AK1418" i="3" s="1"/>
  <c r="AD809" i="3"/>
  <c r="AJ831" i="3"/>
  <c r="AK809" i="3"/>
  <c r="AC809" i="3"/>
  <c r="AX542" i="3"/>
  <c r="AZ542" i="3" s="1"/>
  <c r="BD542" i="3" s="1"/>
  <c r="BB542" i="3"/>
  <c r="AX615" i="3"/>
  <c r="AZ615" i="3" s="1"/>
  <c r="BD615" i="3" s="1"/>
  <c r="BB615" i="3"/>
  <c r="AO790" i="3"/>
  <c r="BD2255" i="3"/>
  <c r="BB2255" i="3"/>
  <c r="AX356" i="3"/>
  <c r="BB352" i="3"/>
  <c r="D356" i="3"/>
  <c r="BD352" i="3"/>
  <c r="AL297" i="3"/>
  <c r="AN297" i="3" s="1"/>
  <c r="AG1491" i="3"/>
  <c r="AG1511" i="3"/>
  <c r="AG1521" i="3"/>
  <c r="AD1521" i="3" s="1"/>
  <c r="AG1501" i="3"/>
  <c r="AD1501" i="3" s="1"/>
  <c r="AG1481" i="3"/>
  <c r="AL1035" i="3"/>
  <c r="AT1035" i="3" s="1"/>
  <c r="AL830" i="3"/>
  <c r="AV830" i="3" s="1"/>
  <c r="AL820" i="3"/>
  <c r="AT820" i="3" s="1"/>
  <c r="AI1258" i="3"/>
  <c r="AJ1258" i="3" s="1"/>
  <c r="AK1258" i="3" s="1"/>
  <c r="AV1257" i="3"/>
  <c r="AH821" i="3"/>
  <c r="AK1036" i="3" s="1"/>
  <c r="AJ809" i="3"/>
  <c r="AG802" i="3"/>
  <c r="AV1207" i="3"/>
  <c r="AI1208" i="3"/>
  <c r="AJ1208" i="3" s="1"/>
  <c r="AK1208" i="3" s="1"/>
  <c r="AI1238" i="3"/>
  <c r="AJ1238" i="3" s="1"/>
  <c r="AK1238" i="3" s="1"/>
  <c r="AV1237" i="3"/>
  <c r="AI1278" i="3"/>
  <c r="AJ1278" i="3" s="1"/>
  <c r="AK1278" i="3" s="1"/>
  <c r="AV1277" i="3"/>
  <c r="AI1348" i="3"/>
  <c r="AJ1348" i="3" s="1"/>
  <c r="AK1348" i="3" s="1"/>
  <c r="AV1347" i="3"/>
  <c r="AI1428" i="3"/>
  <c r="AJ1428" i="3" s="1"/>
  <c r="AK1428" i="3" s="1"/>
  <c r="AV1427" i="3"/>
  <c r="AI1368" i="3"/>
  <c r="AJ1368" i="3" s="1"/>
  <c r="AK1368" i="3" s="1"/>
  <c r="AV1367" i="3"/>
  <c r="AG1531" i="3"/>
  <c r="AD1531" i="3" s="1"/>
  <c r="AJ833" i="3"/>
  <c r="AG797" i="3"/>
  <c r="AX621" i="3"/>
  <c r="AZ621" i="3" s="1"/>
  <c r="BD621" i="3" s="1"/>
  <c r="BB621" i="3"/>
  <c r="AZ753" i="3"/>
  <c r="AX753" i="3"/>
  <c r="BD748" i="3" s="1"/>
  <c r="D376" i="3"/>
  <c r="BD372" i="3"/>
  <c r="AX376" i="3"/>
  <c r="BB372" i="3"/>
  <c r="AL1037" i="2"/>
  <c r="AT1037" i="2" s="1"/>
  <c r="AL832" i="2"/>
  <c r="AV832" i="2" s="1"/>
  <c r="AL822" i="2"/>
  <c r="AT822" i="2" s="1"/>
  <c r="AX631" i="2"/>
  <c r="AZ631" i="2" s="1"/>
  <c r="BD631" i="2" s="1"/>
  <c r="BB631" i="2"/>
  <c r="BJ2242" i="2"/>
  <c r="BJ2241" i="2" s="1"/>
  <c r="BI1103" i="2" s="1"/>
  <c r="AJ1103" i="2" s="1"/>
  <c r="BK2242" i="2"/>
  <c r="BK2241" i="2" s="1"/>
  <c r="BJ1103" i="2" s="1"/>
  <c r="AJ1102" i="2" s="1"/>
  <c r="BI2242" i="2"/>
  <c r="BI2241" i="2" s="1"/>
  <c r="BH1103" i="2" s="1"/>
  <c r="BI1102" i="2" s="1"/>
  <c r="BH2241" i="2"/>
  <c r="BG1103" i="2" s="1"/>
  <c r="AI674" i="2"/>
  <c r="AM674" i="2" s="1"/>
  <c r="BB674" i="2" s="1"/>
  <c r="AI597" i="2"/>
  <c r="AM597" i="2" s="1"/>
  <c r="AI519" i="2"/>
  <c r="AM519" i="2" s="1"/>
  <c r="AI563" i="2"/>
  <c r="AM563" i="2" s="1"/>
  <c r="AG1039" i="2"/>
  <c r="AV1247" i="2"/>
  <c r="AI1248" i="2"/>
  <c r="AJ1248" i="2" s="1"/>
  <c r="AK1248" i="2" s="1"/>
  <c r="AV1307" i="2"/>
  <c r="AI1308" i="2"/>
  <c r="AJ1308" i="2" s="1"/>
  <c r="AK1308" i="2" s="1"/>
  <c r="AI1298" i="2"/>
  <c r="AJ1298" i="2" s="1"/>
  <c r="AK1298" i="2" s="1"/>
  <c r="AV1297" i="2"/>
  <c r="AI1438" i="2"/>
  <c r="AJ1438" i="2" s="1"/>
  <c r="AK1438" i="2" s="1"/>
  <c r="AV1437" i="2"/>
  <c r="AI1368" i="2"/>
  <c r="AJ1368" i="2" s="1"/>
  <c r="AK1368" i="2" s="1"/>
  <c r="AV1367" i="2"/>
  <c r="AG901" i="2"/>
  <c r="AN809" i="2"/>
  <c r="AM809" i="2"/>
  <c r="AG907" i="2"/>
  <c r="AP809" i="2"/>
  <c r="AX621" i="2"/>
  <c r="AZ621" i="2" s="1"/>
  <c r="BD621" i="2" s="1"/>
  <c r="BB621" i="2"/>
  <c r="AX542" i="2"/>
  <c r="AZ542" i="2" s="1"/>
  <c r="BD542" i="2" s="1"/>
  <c r="BB542" i="2"/>
  <c r="BB372" i="2"/>
  <c r="BH330" i="2"/>
  <c r="BH332" i="2" s="1"/>
  <c r="BJ320" i="2"/>
  <c r="BD2255" i="2"/>
  <c r="AE2155" i="2"/>
  <c r="AE2152" i="2"/>
  <c r="AC2193" i="2" s="1"/>
  <c r="AE2151" i="2"/>
  <c r="AC2171" i="2" s="1"/>
  <c r="AC1877" i="2"/>
  <c r="E1877" i="2" s="1"/>
  <c r="E1878" i="2"/>
  <c r="AU1491" i="2"/>
  <c r="AT1491" i="2" s="1"/>
  <c r="AJ1491" i="2" s="1"/>
  <c r="D1491" i="2" s="1"/>
  <c r="AI1258" i="2"/>
  <c r="AJ1258" i="2" s="1"/>
  <c r="AK1258" i="2" s="1"/>
  <c r="AV1257" i="2"/>
  <c r="AL1033" i="2"/>
  <c r="AL828" i="2"/>
  <c r="AV828" i="2" s="1"/>
  <c r="AV1277" i="2"/>
  <c r="AI1278" i="2"/>
  <c r="AJ1278" i="2" s="1"/>
  <c r="AK1278" i="2" s="1"/>
  <c r="AV1347" i="2"/>
  <c r="AI1348" i="2"/>
  <c r="AJ1348" i="2" s="1"/>
  <c r="AK1348" i="2" s="1"/>
  <c r="AI1318" i="2"/>
  <c r="AJ1318" i="2" s="1"/>
  <c r="AK1318" i="2" s="1"/>
  <c r="AV1317" i="2"/>
  <c r="AI1328" i="2"/>
  <c r="AJ1328" i="2" s="1"/>
  <c r="AK1328" i="2" s="1"/>
  <c r="AV1327" i="2"/>
  <c r="AV1237" i="2"/>
  <c r="AI1238" i="2"/>
  <c r="AJ1238" i="2" s="1"/>
  <c r="AK1238" i="2" s="1"/>
  <c r="AI1408" i="2"/>
  <c r="AJ1408" i="2" s="1"/>
  <c r="AK1408" i="2" s="1"/>
  <c r="AV1407" i="2"/>
  <c r="AG905" i="2"/>
  <c r="AG893" i="2"/>
  <c r="AH807" i="2"/>
  <c r="AS807" i="2"/>
  <c r="BD807" i="2" s="1"/>
  <c r="BF807" i="2" s="1"/>
  <c r="AQ807" i="2"/>
  <c r="AG800" i="2"/>
  <c r="AI809" i="2"/>
  <c r="BI808" i="2" s="1"/>
  <c r="AG895" i="2"/>
  <c r="AL809" i="2"/>
  <c r="AL786" i="2"/>
  <c r="AO786" i="2"/>
  <c r="AO784" i="2"/>
  <c r="AL784" i="2"/>
  <c r="AX674" i="2"/>
  <c r="AZ674" i="2" s="1"/>
  <c r="BD674" i="2" s="1"/>
  <c r="AR159" i="2"/>
  <c r="AM159" i="2"/>
  <c r="AI159" i="2"/>
  <c r="AE159" i="2"/>
  <c r="AM156" i="2"/>
  <c r="AX366" i="2"/>
  <c r="BB362" i="2"/>
  <c r="D366" i="2"/>
  <c r="BD362" i="2"/>
  <c r="D356" i="2"/>
  <c r="BD352" i="2"/>
  <c r="AX356" i="2"/>
  <c r="BB352" i="2"/>
  <c r="AX326" i="2"/>
  <c r="BB322" i="2"/>
  <c r="D326" i="2"/>
  <c r="BD322" i="2"/>
  <c r="AS1233" i="2"/>
  <c r="D1223" i="2"/>
  <c r="AV1207" i="2"/>
  <c r="AI1208" i="2"/>
  <c r="AJ1208" i="2" s="1"/>
  <c r="AK1208" i="2" s="1"/>
  <c r="AV1387" i="2"/>
  <c r="AI1388" i="2"/>
  <c r="AJ1388" i="2" s="1"/>
  <c r="AK1388" i="2" s="1"/>
  <c r="AV1427" i="2"/>
  <c r="AI1428" i="2"/>
  <c r="AJ1428" i="2" s="1"/>
  <c r="AK1428" i="2" s="1"/>
  <c r="AI1358" i="2"/>
  <c r="AJ1358" i="2" s="1"/>
  <c r="AK1358" i="2" s="1"/>
  <c r="AV1357" i="2"/>
  <c r="AV1267" i="2"/>
  <c r="AI1268" i="2"/>
  <c r="AJ1268" i="2" s="1"/>
  <c r="AK1268" i="2" s="1"/>
  <c r="AV1377" i="2"/>
  <c r="AI1378" i="2"/>
  <c r="AJ1378" i="2" s="1"/>
  <c r="AK1378" i="2" s="1"/>
  <c r="AV797" i="2"/>
  <c r="AF809" i="2"/>
  <c r="AG908" i="2"/>
  <c r="AG904" i="2"/>
  <c r="AG900" i="2"/>
  <c r="AG896" i="2"/>
  <c r="AG892" i="2"/>
  <c r="AJ831" i="2"/>
  <c r="AJ829" i="2"/>
  <c r="AC809" i="2"/>
  <c r="AG801" i="2"/>
  <c r="AE809" i="2"/>
  <c r="AF1039" i="2"/>
  <c r="AG899" i="2"/>
  <c r="AD809" i="2"/>
  <c r="AL781" i="2"/>
  <c r="AO781" i="2" s="1"/>
  <c r="BD748" i="2"/>
  <c r="BB754" i="2" s="1"/>
  <c r="BB756" i="2" s="1"/>
  <c r="B757" i="2" s="1"/>
  <c r="BG748" i="2"/>
  <c r="AC653" i="2"/>
  <c r="AF653" i="2" s="1"/>
  <c r="AC571" i="2"/>
  <c r="AF571" i="2" s="1"/>
  <c r="AC495" i="2"/>
  <c r="AF495" i="2" s="1"/>
  <c r="AS774" i="2"/>
  <c r="AT774" i="2"/>
  <c r="AX615" i="2"/>
  <c r="AZ615" i="2" s="1"/>
  <c r="BD615" i="2" s="1"/>
  <c r="BB615" i="2"/>
  <c r="D346" i="2"/>
  <c r="BD342" i="2"/>
  <c r="AX346" i="2"/>
  <c r="BB342" i="2"/>
  <c r="AK320" i="2"/>
  <c r="AL297" i="2" s="1"/>
  <c r="AN297" i="2" s="1"/>
  <c r="D426" i="2"/>
  <c r="BD422" i="2"/>
  <c r="AX426" i="2"/>
  <c r="BB422" i="2"/>
  <c r="D316" i="2"/>
  <c r="BD312" i="2"/>
  <c r="AX316" i="2"/>
  <c r="BB312" i="2"/>
  <c r="AI1288" i="2"/>
  <c r="AJ1288" i="2" s="1"/>
  <c r="AK1288" i="2" s="1"/>
  <c r="AV1287" i="2"/>
  <c r="AH818" i="2"/>
  <c r="AQ804" i="2"/>
  <c r="AS804" i="2" s="1"/>
  <c r="AI1218" i="2"/>
  <c r="AJ1218" i="2" s="1"/>
  <c r="AK1218" i="2" s="1"/>
  <c r="AV1217" i="2"/>
  <c r="AI1228" i="2"/>
  <c r="AJ1228" i="2" s="1"/>
  <c r="AK1228" i="2" s="1"/>
  <c r="AV1227" i="2"/>
  <c r="AI1398" i="2"/>
  <c r="AJ1398" i="2" s="1"/>
  <c r="AK1398" i="2" s="1"/>
  <c r="AV1397" i="2"/>
  <c r="AV1337" i="2"/>
  <c r="AI1338" i="2"/>
  <c r="AJ1338" i="2" s="1"/>
  <c r="AK1338" i="2" s="1"/>
  <c r="AV1417" i="2"/>
  <c r="AI1418" i="2"/>
  <c r="AJ1418" i="2" s="1"/>
  <c r="AK1418" i="2" s="1"/>
  <c r="AG897" i="2"/>
  <c r="AG889" i="2"/>
  <c r="AG805" i="2"/>
  <c r="AQ805" i="2" s="1"/>
  <c r="AJ833" i="2"/>
  <c r="AG806" i="2"/>
  <c r="AG802" i="2"/>
  <c r="AG903" i="2"/>
  <c r="AG891" i="2"/>
  <c r="AG803" i="2"/>
  <c r="AG797" i="2"/>
  <c r="BB648" i="2"/>
  <c r="AX648" i="2"/>
  <c r="AZ648" i="2" s="1"/>
  <c r="BD648" i="2" s="1"/>
  <c r="AS159" i="2"/>
  <c r="AN159" i="2"/>
  <c r="AJ159" i="2"/>
  <c r="AF159" i="2"/>
  <c r="AO156" i="2"/>
  <c r="AZ753" i="2"/>
  <c r="AX753" i="2"/>
  <c r="AX306" i="2"/>
  <c r="BD302" i="2"/>
  <c r="BB302" i="2"/>
  <c r="AK440" i="2"/>
  <c r="D306" i="2"/>
  <c r="AL783" i="1"/>
  <c r="AO783" i="1" s="1"/>
  <c r="AL789" i="1"/>
  <c r="AO789" i="1" s="1"/>
  <c r="AI360" i="1"/>
  <c r="AZ702" i="1"/>
  <c r="BD702" i="1" s="1"/>
  <c r="AN316" i="1"/>
  <c r="AG1521" i="1"/>
  <c r="AG1481" i="1"/>
  <c r="AL787" i="1"/>
  <c r="AO787" i="1" s="1"/>
  <c r="AX473" i="1"/>
  <c r="AZ473" i="1" s="1"/>
  <c r="BD473" i="1" s="1"/>
  <c r="AI320" i="1"/>
  <c r="AK320" i="1" s="1"/>
  <c r="BB702" i="1"/>
  <c r="AI400" i="1"/>
  <c r="AK400" i="1" s="1"/>
  <c r="AI340" i="1"/>
  <c r="AK340" i="1" s="1"/>
  <c r="AX664" i="1"/>
  <c r="AZ664" i="1" s="1"/>
  <c r="BD664" i="1" s="1"/>
  <c r="AL1196" i="1"/>
  <c r="AG1501" i="1"/>
  <c r="BB664" i="1"/>
  <c r="AL788" i="1"/>
  <c r="AO788" i="1" s="1"/>
  <c r="AI390" i="1"/>
  <c r="AK390" i="1" s="1"/>
  <c r="AI350" i="1"/>
  <c r="AK350" i="1" s="1"/>
  <c r="AC1326" i="1"/>
  <c r="D1326" i="1" s="1"/>
  <c r="AV1327" i="1" s="1"/>
  <c r="AK376" i="1"/>
  <c r="D376" i="1" s="1"/>
  <c r="AL771" i="1"/>
  <c r="AO771" i="1" s="1"/>
  <c r="BB669" i="1"/>
  <c r="AU754" i="1"/>
  <c r="AV755" i="1" s="1"/>
  <c r="AX752" i="1"/>
  <c r="AG1039" i="1"/>
  <c r="AL785" i="1"/>
  <c r="AO785" i="1" s="1"/>
  <c r="BB707" i="1"/>
  <c r="AG1491" i="1"/>
  <c r="AL777" i="1"/>
  <c r="AO777" i="1" s="1"/>
  <c r="BO1610" i="1"/>
  <c r="C1610" i="1" s="1"/>
  <c r="AI300" i="1"/>
  <c r="AK300" i="1" s="1"/>
  <c r="AX468" i="1"/>
  <c r="AZ468" i="1" s="1"/>
  <c r="BD468" i="1" s="1"/>
  <c r="AG1511" i="1"/>
  <c r="AG1531" i="1"/>
  <c r="AL784" i="1"/>
  <c r="AO784" i="1" s="1"/>
  <c r="AX610" i="1"/>
  <c r="AZ610" i="1" s="1"/>
  <c r="BD610" i="1" s="1"/>
  <c r="AI380" i="1"/>
  <c r="AK380" i="1" s="1"/>
  <c r="BB558" i="1"/>
  <c r="AK326" i="1"/>
  <c r="D326" i="1" s="1"/>
  <c r="AX553" i="1"/>
  <c r="AZ553" i="1" s="1"/>
  <c r="BD553" i="1" s="1"/>
  <c r="BB547" i="1"/>
  <c r="AE2155" i="1"/>
  <c r="BO2199" i="1" s="1"/>
  <c r="AC2199" i="1" s="1"/>
  <c r="AE2151" i="1"/>
  <c r="AC2171" i="1" s="1"/>
  <c r="AC1346" i="1"/>
  <c r="D1346" i="1" s="1"/>
  <c r="AI1348" i="1" s="1"/>
  <c r="AJ1348" i="1" s="1"/>
  <c r="AK1348" i="1" s="1"/>
  <c r="AC1366" i="1"/>
  <c r="D1366" i="1" s="1"/>
  <c r="AC1406" i="1"/>
  <c r="D1406" i="1" s="1"/>
  <c r="AV1407" i="1" s="1"/>
  <c r="AM270" i="1"/>
  <c r="B271" i="1" s="1"/>
  <c r="AL772" i="1"/>
  <c r="AO772" i="1" s="1"/>
  <c r="AG909" i="1"/>
  <c r="AC1316" i="1"/>
  <c r="D1316" i="1" s="1"/>
  <c r="AV1317" i="1" s="1"/>
  <c r="AC1386" i="1"/>
  <c r="D1386" i="1" s="1"/>
  <c r="AI1388" i="1" s="1"/>
  <c r="AJ1388" i="1" s="1"/>
  <c r="AK1388" i="1" s="1"/>
  <c r="AJ832" i="1"/>
  <c r="AL832" i="1" s="1"/>
  <c r="AV832" i="1" s="1"/>
  <c r="AG907" i="1"/>
  <c r="AC1296" i="1"/>
  <c r="D1296" i="1" s="1"/>
  <c r="AV1297" i="1" s="1"/>
  <c r="AC1416" i="1"/>
  <c r="D1416" i="1" s="1"/>
  <c r="AI1418" i="1" s="1"/>
  <c r="AJ1418" i="1" s="1"/>
  <c r="AK1418" i="1" s="1"/>
  <c r="AC1286" i="1"/>
  <c r="D1286" i="1" s="1"/>
  <c r="AV1287" i="1" s="1"/>
  <c r="AC1426" i="1"/>
  <c r="D1426" i="1" s="1"/>
  <c r="AI1428" i="1" s="1"/>
  <c r="AJ1428" i="1" s="1"/>
  <c r="AK1428" i="1" s="1"/>
  <c r="AC1206" i="1"/>
  <c r="D1206" i="1" s="1"/>
  <c r="AI1208" i="1" s="1"/>
  <c r="AJ1208" i="1" s="1"/>
  <c r="AK1208" i="1" s="1"/>
  <c r="BB610" i="1"/>
  <c r="AD459" i="1"/>
  <c r="B444" i="1" s="1"/>
  <c r="AK346" i="1"/>
  <c r="AN259" i="1"/>
  <c r="AL786" i="1"/>
  <c r="AO786" i="1" s="1"/>
  <c r="AI310" i="1"/>
  <c r="AK310" i="1" s="1"/>
  <c r="AI330" i="1"/>
  <c r="AK330" i="1" s="1"/>
  <c r="AI420" i="1"/>
  <c r="AK420" i="1" s="1"/>
  <c r="BB697" i="1"/>
  <c r="AL770" i="1"/>
  <c r="AO770" i="1" s="1"/>
  <c r="BB553" i="1"/>
  <c r="AI370" i="1"/>
  <c r="AK370" i="1" s="1"/>
  <c r="AI410" i="1"/>
  <c r="AK410" i="1" s="1"/>
  <c r="BO1619" i="1"/>
  <c r="C1619" i="1" s="1"/>
  <c r="AC1276" i="1"/>
  <c r="D1276" i="1" s="1"/>
  <c r="AC1236" i="1"/>
  <c r="D1236" i="1" s="1"/>
  <c r="AV1237" i="1" s="1"/>
  <c r="AC1216" i="1"/>
  <c r="D1216" i="1" s="1"/>
  <c r="AI1218" i="1" s="1"/>
  <c r="AJ1218" i="1" s="1"/>
  <c r="AK1218" i="1" s="1"/>
  <c r="AC1396" i="1"/>
  <c r="D1396" i="1" s="1"/>
  <c r="AI1398" i="1" s="1"/>
  <c r="AJ1398" i="1" s="1"/>
  <c r="AK1398" i="1" s="1"/>
  <c r="AC1306" i="1"/>
  <c r="D1306" i="1" s="1"/>
  <c r="AX707" i="1"/>
  <c r="AZ707" i="1" s="1"/>
  <c r="BD707" i="1" s="1"/>
  <c r="B264" i="1"/>
  <c r="B258" i="1"/>
  <c r="AU257" i="1"/>
  <c r="D258" i="1"/>
  <c r="BB468" i="1"/>
  <c r="AI1358" i="1"/>
  <c r="AJ1358" i="1" s="1"/>
  <c r="AK1358" i="1" s="1"/>
  <c r="AC1246" i="1"/>
  <c r="D1246" i="1" s="1"/>
  <c r="AI1248" i="1" s="1"/>
  <c r="AJ1248" i="1" s="1"/>
  <c r="AK1248" i="1" s="1"/>
  <c r="AC1226" i="1"/>
  <c r="D1226" i="1" s="1"/>
  <c r="AV1227" i="1" s="1"/>
  <c r="AC1266" i="1"/>
  <c r="D1266" i="1" s="1"/>
  <c r="AV1267" i="1" s="1"/>
  <c r="AC1256" i="1"/>
  <c r="D1256" i="1" s="1"/>
  <c r="AV1257" i="1" s="1"/>
  <c r="AC1336" i="1"/>
  <c r="D1336" i="1" s="1"/>
  <c r="AI1338" i="1" s="1"/>
  <c r="AJ1338" i="1" s="1"/>
  <c r="AK1338" i="1" s="1"/>
  <c r="AC1376" i="1"/>
  <c r="D1376" i="1" s="1"/>
  <c r="AV1377" i="1" s="1"/>
  <c r="AG898" i="1"/>
  <c r="AC1197" i="1"/>
  <c r="AG801" i="1"/>
  <c r="C258" i="1"/>
  <c r="AK356" i="1"/>
  <c r="D356" i="1" s="1"/>
  <c r="AM257" i="1"/>
  <c r="AL779" i="1"/>
  <c r="AO779" i="1" s="1"/>
  <c r="AG805" i="1"/>
  <c r="AQ805" i="1" s="1"/>
  <c r="AX669" i="1"/>
  <c r="AZ669" i="1" s="1"/>
  <c r="BD669" i="1" s="1"/>
  <c r="AX658" i="1"/>
  <c r="AZ658" i="1" s="1"/>
  <c r="BD658" i="1" s="1"/>
  <c r="AX547" i="1"/>
  <c r="AZ547" i="1" s="1"/>
  <c r="BD547" i="1" s="1"/>
  <c r="AL774" i="1"/>
  <c r="AO774" i="1" s="1"/>
  <c r="AX717" i="1"/>
  <c r="AZ717" i="1" s="1"/>
  <c r="BD717" i="1" s="1"/>
  <c r="AX490" i="1"/>
  <c r="AZ490" i="1" s="1"/>
  <c r="BD490" i="1" s="1"/>
  <c r="AX524" i="1"/>
  <c r="AZ524" i="1" s="1"/>
  <c r="BD524" i="1" s="1"/>
  <c r="AG890" i="1"/>
  <c r="AG906" i="1"/>
  <c r="AG904" i="1"/>
  <c r="AJ828" i="1"/>
  <c r="AL828" i="1" s="1"/>
  <c r="AV828" i="1" s="1"/>
  <c r="BB717" i="1"/>
  <c r="AX679" i="1"/>
  <c r="AZ679" i="1" s="1"/>
  <c r="BD679" i="1" s="1"/>
  <c r="AL780" i="1"/>
  <c r="AO780" i="1" s="1"/>
  <c r="AX697" i="1"/>
  <c r="AZ697" i="1" s="1"/>
  <c r="BD697" i="1" s="1"/>
  <c r="AG797" i="1"/>
  <c r="AH797" i="1" s="1"/>
  <c r="BB490" i="1"/>
  <c r="AL801" i="1"/>
  <c r="BB524" i="1"/>
  <c r="AG803" i="1"/>
  <c r="AQ803" i="1" s="1"/>
  <c r="AS803" i="1" s="1"/>
  <c r="AL776" i="1"/>
  <c r="AO776" i="1" s="1"/>
  <c r="BB679" i="1"/>
  <c r="AN426" i="1"/>
  <c r="AK426" i="1"/>
  <c r="E1880" i="1"/>
  <c r="AJ631" i="1" s="1"/>
  <c r="AM631" i="1" s="1"/>
  <c r="AC1879" i="1"/>
  <c r="AJ833" i="1"/>
  <c r="AL833" i="1" s="1"/>
  <c r="AV833" i="1" s="1"/>
  <c r="AG800" i="1"/>
  <c r="AH800" i="1" s="1"/>
  <c r="AK712" i="1"/>
  <c r="AM712" i="1" s="1"/>
  <c r="BB712" i="1" s="1"/>
  <c r="AK581" i="1"/>
  <c r="AM581" i="1" s="1"/>
  <c r="BB581" i="1" s="1"/>
  <c r="AK621" i="1"/>
  <c r="AM621" i="1" s="1"/>
  <c r="BB621" i="1" s="1"/>
  <c r="AK605" i="1"/>
  <c r="AM605" i="1" s="1"/>
  <c r="AK615" i="1"/>
  <c r="AM615" i="1" s="1"/>
  <c r="BB615" i="1" s="1"/>
  <c r="AK503" i="1"/>
  <c r="AM503" i="1" s="1"/>
  <c r="AX503" i="1" s="1"/>
  <c r="AZ503" i="1" s="1"/>
  <c r="BD503" i="1" s="1"/>
  <c r="BJ2241" i="1"/>
  <c r="BI1103" i="1" s="1"/>
  <c r="AJ1103" i="1" s="1"/>
  <c r="AG896" i="1"/>
  <c r="AJ829" i="1"/>
  <c r="AL829" i="1" s="1"/>
  <c r="AV829" i="1" s="1"/>
  <c r="AJ831" i="1"/>
  <c r="AH822" i="1"/>
  <c r="AK1037" i="1" s="1"/>
  <c r="AM809" i="1"/>
  <c r="AE809" i="1"/>
  <c r="AG806" i="1"/>
  <c r="AQ806" i="1" s="1"/>
  <c r="AS806" i="1" s="1"/>
  <c r="BD806" i="1" s="1"/>
  <c r="BF806" i="1" s="1"/>
  <c r="AG804" i="1"/>
  <c r="AQ804" i="1" s="1"/>
  <c r="AK809" i="1"/>
  <c r="AG802" i="1"/>
  <c r="BB658" i="1"/>
  <c r="BB473" i="1"/>
  <c r="BI2241" i="1"/>
  <c r="BH1103" i="1" s="1"/>
  <c r="BI1102" i="1" s="1"/>
  <c r="AJ830" i="1"/>
  <c r="AF818" i="1"/>
  <c r="AH818" i="1" s="1"/>
  <c r="AX558" i="1"/>
  <c r="AZ558" i="1" s="1"/>
  <c r="BD558" i="1" s="1"/>
  <c r="BB479" i="1"/>
  <c r="AX479" i="1"/>
  <c r="AZ479" i="1" s="1"/>
  <c r="BD479" i="1" s="1"/>
  <c r="AK306" i="1"/>
  <c r="BB2291" i="1"/>
  <c r="BB2266" i="1"/>
  <c r="BB2280" i="1"/>
  <c r="BB2247" i="1"/>
  <c r="BB2246" i="1"/>
  <c r="BB2257" i="1"/>
  <c r="BB2288" i="1"/>
  <c r="BB2254" i="1"/>
  <c r="BB2268" i="1"/>
  <c r="BB2245" i="1"/>
  <c r="BB2292" i="1"/>
  <c r="BB2283" i="1"/>
  <c r="BB2248" i="1"/>
  <c r="BB2274" i="1"/>
  <c r="BB2242" i="1"/>
  <c r="BB2263" i="1"/>
  <c r="BB2264" i="1"/>
  <c r="AD208" i="1" s="1"/>
  <c r="B34" i="1" s="1"/>
  <c r="C34" i="1" s="1"/>
  <c r="AS159" i="1"/>
  <c r="AN159" i="1"/>
  <c r="AJ159" i="1"/>
  <c r="AF159" i="1"/>
  <c r="AO156" i="1"/>
  <c r="AL1035" i="1"/>
  <c r="AX648" i="1"/>
  <c r="AZ648" i="1" s="1"/>
  <c r="BD648" i="1" s="1"/>
  <c r="BB648" i="1"/>
  <c r="AR159" i="1"/>
  <c r="AM159" i="1"/>
  <c r="AI159" i="1"/>
  <c r="AE159" i="1"/>
  <c r="AM156" i="1"/>
  <c r="AI1258" i="1"/>
  <c r="AJ1258" i="1" s="1"/>
  <c r="AK1258" i="1" s="1"/>
  <c r="AN1040" i="1"/>
  <c r="AN1039" i="1"/>
  <c r="AG799" i="1"/>
  <c r="AT774" i="1"/>
  <c r="AS774" i="1"/>
  <c r="AF1501" i="1"/>
  <c r="AD1501" i="1" s="1"/>
  <c r="AF1481" i="1"/>
  <c r="AD1481" i="1" s="1"/>
  <c r="AU1481" i="1" s="1"/>
  <c r="AT1481" i="1" s="1"/>
  <c r="AJ1481" i="1" s="1"/>
  <c r="D1481" i="1" s="1"/>
  <c r="AF1521" i="1"/>
  <c r="AD1521" i="1" s="1"/>
  <c r="AF1491" i="1"/>
  <c r="AG905" i="1"/>
  <c r="AG897" i="1"/>
  <c r="AG889" i="1"/>
  <c r="AF1039" i="1"/>
  <c r="AG903" i="1"/>
  <c r="AG895" i="1"/>
  <c r="AF1531" i="1"/>
  <c r="AI1368" i="1"/>
  <c r="AJ1368" i="1" s="1"/>
  <c r="AK1368" i="1" s="1"/>
  <c r="AV1367" i="1"/>
  <c r="AV1427" i="1"/>
  <c r="AG902" i="1"/>
  <c r="AG900" i="1"/>
  <c r="AH819" i="1"/>
  <c r="AK1034" i="1" s="1"/>
  <c r="AH823" i="1"/>
  <c r="AK1038" i="1" s="1"/>
  <c r="AG798" i="1"/>
  <c r="AQ798" i="1" s="1"/>
  <c r="AF821" i="1"/>
  <c r="AH821" i="1" s="1"/>
  <c r="AP809" i="1"/>
  <c r="AD809" i="1"/>
  <c r="AN802" i="1"/>
  <c r="AO794" i="1"/>
  <c r="AP794" i="1" s="1"/>
  <c r="AC653" i="1"/>
  <c r="AF653" i="1" s="1"/>
  <c r="AC571" i="1"/>
  <c r="AF571" i="1" s="1"/>
  <c r="AC495" i="1"/>
  <c r="AF495" i="1" s="1"/>
  <c r="BB542" i="1"/>
  <c r="AX542" i="1"/>
  <c r="AZ542" i="1" s="1"/>
  <c r="BD542" i="1" s="1"/>
  <c r="AZ469" i="1"/>
  <c r="AX316" i="1"/>
  <c r="BB312" i="1"/>
  <c r="D316" i="1"/>
  <c r="BD312" i="1"/>
  <c r="BB2250" i="1"/>
  <c r="BB2276" i="1"/>
  <c r="BB2289" i="1"/>
  <c r="BB2252" i="1"/>
  <c r="BB2269" i="1"/>
  <c r="BB2249" i="1"/>
  <c r="BB2271" i="1"/>
  <c r="BB2282" i="1"/>
  <c r="BB2244" i="1"/>
  <c r="BB2256" i="1"/>
  <c r="BB2267" i="1"/>
  <c r="BB2277" i="1"/>
  <c r="AI809" i="1"/>
  <c r="BI808" i="1" s="1"/>
  <c r="AK430" i="1"/>
  <c r="AI1328" i="1"/>
  <c r="AJ1328" i="1" s="1"/>
  <c r="AK1328" i="1" s="1"/>
  <c r="AV1437" i="1"/>
  <c r="AI1438" i="1"/>
  <c r="AJ1438" i="1" s="1"/>
  <c r="AK1438" i="1" s="1"/>
  <c r="AL1033" i="1"/>
  <c r="AH820" i="1"/>
  <c r="AK1035" i="1" s="1"/>
  <c r="AH801" i="1"/>
  <c r="AL809" i="1"/>
  <c r="AC809" i="1"/>
  <c r="AJ809" i="1"/>
  <c r="BB484" i="1"/>
  <c r="AX484" i="1"/>
  <c r="AZ484" i="1" s="1"/>
  <c r="BD484" i="1" s="1"/>
  <c r="AK360" i="1"/>
  <c r="AX513" i="1"/>
  <c r="AZ513" i="1" s="1"/>
  <c r="BD513" i="1" s="1"/>
  <c r="BB513" i="1"/>
  <c r="BB2259" i="1"/>
  <c r="BB2279" i="1"/>
  <c r="BB2290" i="1"/>
  <c r="BB2253" i="1"/>
  <c r="BB2272" i="1"/>
  <c r="BB2258" i="1"/>
  <c r="BB2275" i="1"/>
  <c r="BB2285" i="1"/>
  <c r="BB2251" i="1"/>
  <c r="BB2261" i="1"/>
  <c r="BB2270" i="1"/>
  <c r="BB2284" i="1"/>
  <c r="AX529" i="1"/>
  <c r="AZ529" i="1" s="1"/>
  <c r="BD529" i="1" s="1"/>
  <c r="BB529" i="1"/>
  <c r="BH330" i="1"/>
  <c r="BJ320" i="1"/>
  <c r="BK2241" i="1"/>
  <c r="BJ1103" i="1" s="1"/>
  <c r="AJ1102" i="1" s="1"/>
  <c r="AD1511" i="1"/>
  <c r="AG901" i="1"/>
  <c r="AG893" i="1"/>
  <c r="AG899" i="1"/>
  <c r="AG891" i="1"/>
  <c r="AI1278" i="1"/>
  <c r="AJ1278" i="1" s="1"/>
  <c r="AK1278" i="1" s="1"/>
  <c r="AV1277" i="1"/>
  <c r="AS1233" i="1"/>
  <c r="D1223" i="1"/>
  <c r="AV1307" i="1"/>
  <c r="AI1308" i="1"/>
  <c r="AJ1308" i="1" s="1"/>
  <c r="AK1308" i="1" s="1"/>
  <c r="AG894" i="1"/>
  <c r="AG892" i="1"/>
  <c r="AG908" i="1"/>
  <c r="AG808" i="1"/>
  <c r="AQ808" i="1" s="1"/>
  <c r="AG807" i="1"/>
  <c r="BD1357" i="1"/>
  <c r="AT1357" i="1"/>
  <c r="AC1357" i="1" s="1"/>
  <c r="AI1356" i="1"/>
  <c r="AO1356" i="1" s="1"/>
  <c r="D1357" i="1"/>
  <c r="AF809" i="1"/>
  <c r="AV797" i="1"/>
  <c r="AO809" i="1"/>
  <c r="AX326" i="1"/>
  <c r="AX346" i="1"/>
  <c r="BB342" i="1"/>
  <c r="D346" i="1"/>
  <c r="BD342" i="1"/>
  <c r="D366" i="1"/>
  <c r="BD362" i="1"/>
  <c r="AX366" i="1"/>
  <c r="BB362" i="1"/>
  <c r="BB2260" i="1"/>
  <c r="BB2281" i="1"/>
  <c r="BB2243" i="1"/>
  <c r="BB2255" i="1"/>
  <c r="BD2255" i="1"/>
  <c r="BB2287" i="1"/>
  <c r="BB2262" i="1"/>
  <c r="BB2278" i="1"/>
  <c r="BB2286" i="1"/>
  <c r="BB2265" i="1"/>
  <c r="BB2273" i="1"/>
  <c r="BB156" i="3" l="1"/>
  <c r="BO2183" i="3"/>
  <c r="AC2183" i="3" s="1"/>
  <c r="BO2171" i="3"/>
  <c r="AE2156" i="3" s="1"/>
  <c r="BO2210" i="3"/>
  <c r="AC2210" i="3" s="1"/>
  <c r="BO2199" i="3"/>
  <c r="AC2199" i="3" s="1"/>
  <c r="BO2198" i="3"/>
  <c r="AC2198" i="3" s="1"/>
  <c r="BO2188" i="3"/>
  <c r="AC2188" i="3" s="1"/>
  <c r="BO2195" i="3"/>
  <c r="AC2195" i="3" s="1"/>
  <c r="BO2187" i="3"/>
  <c r="AC2187" i="3" s="1"/>
  <c r="BO2196" i="3"/>
  <c r="AC2196" i="3" s="1"/>
  <c r="BO2214" i="3"/>
  <c r="AC2214" i="3" s="1"/>
  <c r="BO2172" i="3"/>
  <c r="AC2172" i="3" s="1"/>
  <c r="BG748" i="3"/>
  <c r="AT1037" i="3"/>
  <c r="AT159" i="3"/>
  <c r="BD372" i="1"/>
  <c r="BB2283" i="2"/>
  <c r="BB2267" i="2"/>
  <c r="BB2270" i="2"/>
  <c r="BB2254" i="2"/>
  <c r="BB2261" i="2"/>
  <c r="BB2253" i="2"/>
  <c r="BB2265" i="2"/>
  <c r="BB2268" i="2"/>
  <c r="BB2289" i="2"/>
  <c r="BB2262" i="2"/>
  <c r="BB2255" i="2"/>
  <c r="BB2271" i="2"/>
  <c r="BB2275" i="2"/>
  <c r="BB2256" i="2"/>
  <c r="BB2290" i="2"/>
  <c r="BB2278" i="2"/>
  <c r="BB2242" i="2"/>
  <c r="BB2276" i="2"/>
  <c r="BB2258" i="2"/>
  <c r="BB2292" i="2"/>
  <c r="BB2264" i="2"/>
  <c r="AD208" i="2" s="1"/>
  <c r="D1055" i="2" s="1"/>
  <c r="D1057" i="2" s="1"/>
  <c r="BB2251" i="2"/>
  <c r="BB2243" i="2"/>
  <c r="BB2282" i="2"/>
  <c r="AH799" i="2"/>
  <c r="BB2257" i="2"/>
  <c r="BB2244" i="2"/>
  <c r="BB2279" i="2"/>
  <c r="BB2286" i="2"/>
  <c r="BB2277" i="2"/>
  <c r="BB2269" i="2"/>
  <c r="BB2285" i="2"/>
  <c r="BB2263" i="2"/>
  <c r="BB2280" i="2"/>
  <c r="BB2291" i="2"/>
  <c r="BB2287" i="2"/>
  <c r="BB2281" i="2"/>
  <c r="BB2247" i="2"/>
  <c r="BB2288" i="2"/>
  <c r="BB2248" i="2"/>
  <c r="AT1035" i="2"/>
  <c r="BB2272" i="2"/>
  <c r="BB2259" i="2"/>
  <c r="AL820" i="2"/>
  <c r="AT820" i="2" s="1"/>
  <c r="BB2266" i="2"/>
  <c r="BB2252" i="2"/>
  <c r="BB2250" i="2"/>
  <c r="BB2274" i="2"/>
  <c r="BB2245" i="2"/>
  <c r="BB2249" i="2"/>
  <c r="BB2273" i="2"/>
  <c r="BB2260" i="2"/>
  <c r="BB2246" i="2"/>
  <c r="AL830" i="2"/>
  <c r="AV830" i="2" s="1"/>
  <c r="AX376" i="2"/>
  <c r="BD372" i="2"/>
  <c r="AX440" i="2"/>
  <c r="AD1561" i="2" s="1"/>
  <c r="AO790" i="2"/>
  <c r="AG911" i="3"/>
  <c r="AJ909" i="3"/>
  <c r="C1798" i="3" s="1"/>
  <c r="C1801" i="3" s="1"/>
  <c r="AJ827" i="3"/>
  <c r="AV827" i="3" s="1"/>
  <c r="AQ800" i="3"/>
  <c r="AS800" i="3" s="1"/>
  <c r="BD800" i="3" s="1"/>
  <c r="BF800" i="3" s="1"/>
  <c r="AX440" i="3"/>
  <c r="AD1579" i="3" s="1"/>
  <c r="BJ302" i="3"/>
  <c r="BJ305" i="3" s="1"/>
  <c r="AL1032" i="3"/>
  <c r="D1367" i="3"/>
  <c r="AT1367" i="3"/>
  <c r="AC1367" i="3" s="1"/>
  <c r="BD1367" i="3"/>
  <c r="AI1366" i="3"/>
  <c r="AO1366" i="3" s="1"/>
  <c r="AZ1367" i="3"/>
  <c r="AX1367" i="3" s="1"/>
  <c r="BD1347" i="3"/>
  <c r="AT1347" i="3"/>
  <c r="AC1347" i="3" s="1"/>
  <c r="D1347" i="3"/>
  <c r="AI1346" i="3"/>
  <c r="AO1346" i="3" s="1"/>
  <c r="AZ1347" i="3"/>
  <c r="AX1347" i="3" s="1"/>
  <c r="D1237" i="3"/>
  <c r="AT1237" i="3"/>
  <c r="AC1237" i="3" s="1"/>
  <c r="AI1236" i="3"/>
  <c r="AO1236" i="3" s="1"/>
  <c r="BD1237" i="3"/>
  <c r="AZ1237" i="3"/>
  <c r="AX1237" i="3" s="1"/>
  <c r="AQ802" i="3"/>
  <c r="AS802" i="3"/>
  <c r="AS790" i="3"/>
  <c r="AS787" i="3" s="1"/>
  <c r="AC792" i="3" s="1"/>
  <c r="B46" i="3" s="1"/>
  <c r="B1102" i="3"/>
  <c r="BI306" i="3"/>
  <c r="BI305" i="3"/>
  <c r="AS775" i="3"/>
  <c r="AT775" i="3"/>
  <c r="BD1377" i="3"/>
  <c r="D1377" i="3"/>
  <c r="AI1376" i="3"/>
  <c r="AO1376" i="3" s="1"/>
  <c r="AT1377" i="3"/>
  <c r="AC1377" i="3" s="1"/>
  <c r="AZ1377" i="3"/>
  <c r="AX1377" i="3" s="1"/>
  <c r="D1287" i="3"/>
  <c r="BD1287" i="3"/>
  <c r="AT1287" i="3"/>
  <c r="AC1287" i="3" s="1"/>
  <c r="AI1286" i="3"/>
  <c r="AO1286" i="3" s="1"/>
  <c r="AZ1287" i="3"/>
  <c r="AX1287" i="3" s="1"/>
  <c r="BK808" i="3"/>
  <c r="D1407" i="3"/>
  <c r="AT1407" i="3"/>
  <c r="AC1407" i="3" s="1"/>
  <c r="BD1407" i="3"/>
  <c r="AI1406" i="3"/>
  <c r="AO1406" i="3" s="1"/>
  <c r="AZ1407" i="3"/>
  <c r="AX1407" i="3" s="1"/>
  <c r="AI1356" i="3"/>
  <c r="AO1356" i="3" s="1"/>
  <c r="AT1357" i="3"/>
  <c r="AC1357" i="3" s="1"/>
  <c r="D1357" i="3"/>
  <c r="BD1357" i="3"/>
  <c r="AZ1357" i="3"/>
  <c r="AX1357" i="3" s="1"/>
  <c r="AH807" i="3"/>
  <c r="AQ807" i="3"/>
  <c r="AS807" i="3" s="1"/>
  <c r="BD807" i="3" s="1"/>
  <c r="BF807" i="3" s="1"/>
  <c r="AD1511" i="3"/>
  <c r="AC1877" i="3"/>
  <c r="E1877" i="3" s="1"/>
  <c r="E1878" i="3"/>
  <c r="AO159" i="3"/>
  <c r="AQ797" i="3"/>
  <c r="AH797" i="3"/>
  <c r="AG809" i="3"/>
  <c r="BD1417" i="3"/>
  <c r="D1417" i="3"/>
  <c r="AI1416" i="3"/>
  <c r="AO1416" i="3" s="1"/>
  <c r="AT1417" i="3"/>
  <c r="AC1417" i="3" s="1"/>
  <c r="AZ1417" i="3"/>
  <c r="AX1417" i="3" s="1"/>
  <c r="BD1317" i="3"/>
  <c r="D1317" i="3"/>
  <c r="AT1317" i="3"/>
  <c r="AC1317" i="3" s="1"/>
  <c r="AI1316" i="3"/>
  <c r="AO1316" i="3" s="1"/>
  <c r="AZ1317" i="3"/>
  <c r="AX1317" i="3" s="1"/>
  <c r="BD1297" i="3"/>
  <c r="BB1297" i="3"/>
  <c r="AT1297" i="3"/>
  <c r="AC1297" i="3" s="1"/>
  <c r="AI1296" i="3"/>
  <c r="AO1296" i="3" s="1"/>
  <c r="D1297" i="3"/>
  <c r="AZ1297" i="3"/>
  <c r="AX1297" i="3" s="1"/>
  <c r="BJ306" i="3"/>
  <c r="BJ303" i="3"/>
  <c r="AL1034" i="3"/>
  <c r="AT1034" i="3" s="1"/>
  <c r="AL819" i="3"/>
  <c r="AT819" i="3" s="1"/>
  <c r="AL829" i="3"/>
  <c r="AV829" i="3" s="1"/>
  <c r="AS1243" i="3"/>
  <c r="D1233" i="3"/>
  <c r="BD1387" i="3"/>
  <c r="AT1387" i="3"/>
  <c r="AC1387" i="3" s="1"/>
  <c r="D1387" i="3"/>
  <c r="AI1386" i="3"/>
  <c r="AO1386" i="3" s="1"/>
  <c r="AZ1387" i="3"/>
  <c r="AX1387" i="3" s="1"/>
  <c r="BD1327" i="3"/>
  <c r="AT1327" i="3"/>
  <c r="AC1327" i="3" s="1"/>
  <c r="AI1326" i="3"/>
  <c r="AO1326" i="3" s="1"/>
  <c r="D1327" i="3"/>
  <c r="AZ1327" i="3"/>
  <c r="AX1327" i="3" s="1"/>
  <c r="BG312" i="3"/>
  <c r="BI312" i="3"/>
  <c r="BG322" i="3"/>
  <c r="BB754" i="3"/>
  <c r="BB756" i="3" s="1"/>
  <c r="B757" i="3" s="1"/>
  <c r="AP1226" i="3"/>
  <c r="C1228" i="3" s="1"/>
  <c r="BD1267" i="3"/>
  <c r="AT1267" i="3"/>
  <c r="AC1267" i="3" s="1"/>
  <c r="D1267" i="3"/>
  <c r="AI1266" i="3"/>
  <c r="AO1266" i="3" s="1"/>
  <c r="AZ1267" i="3"/>
  <c r="AX1267" i="3" s="1"/>
  <c r="AD1481" i="3"/>
  <c r="AU1481" i="3" s="1"/>
  <c r="AT1481" i="3" s="1"/>
  <c r="AJ1481" i="3" s="1"/>
  <c r="D1481" i="3" s="1"/>
  <c r="AK159" i="3"/>
  <c r="AD1573" i="3"/>
  <c r="AL823" i="3"/>
  <c r="AT823" i="3" s="1"/>
  <c r="AL1038" i="3"/>
  <c r="AT1038" i="3" s="1"/>
  <c r="AL833" i="3"/>
  <c r="AV833" i="3" s="1"/>
  <c r="BD1427" i="3"/>
  <c r="AT1427" i="3"/>
  <c r="AC1427" i="3" s="1"/>
  <c r="D1427" i="3"/>
  <c r="AI1426" i="3"/>
  <c r="AO1426" i="3" s="1"/>
  <c r="AZ1427" i="3"/>
  <c r="AX1427" i="3" s="1"/>
  <c r="AI1276" i="3"/>
  <c r="AO1276" i="3" s="1"/>
  <c r="D1277" i="3"/>
  <c r="AT1277" i="3"/>
  <c r="AC1277" i="3" s="1"/>
  <c r="BD1277" i="3"/>
  <c r="AZ1277" i="3"/>
  <c r="AX1277" i="3" s="1"/>
  <c r="AN917" i="3"/>
  <c r="AZ919" i="3"/>
  <c r="AG914" i="3"/>
  <c r="BB913" i="3" s="1"/>
  <c r="AL1036" i="3"/>
  <c r="AT1036" i="3" s="1"/>
  <c r="AL831" i="3"/>
  <c r="AV831" i="3" s="1"/>
  <c r="AL821" i="3"/>
  <c r="AT821" i="3" s="1"/>
  <c r="AI1396" i="3"/>
  <c r="AO1396" i="3" s="1"/>
  <c r="AT1397" i="3"/>
  <c r="AC1397" i="3" s="1"/>
  <c r="D1397" i="3"/>
  <c r="BD1397" i="3"/>
  <c r="AZ1397" i="3"/>
  <c r="AX1397" i="3" s="1"/>
  <c r="AI1336" i="3"/>
  <c r="AO1336" i="3" s="1"/>
  <c r="BD1337" i="3"/>
  <c r="AT1337" i="3"/>
  <c r="AC1337" i="3" s="1"/>
  <c r="BB1337" i="3"/>
  <c r="D1337" i="3"/>
  <c r="AZ1337" i="3"/>
  <c r="AX1337" i="3" s="1"/>
  <c r="BG305" i="3"/>
  <c r="BG306" i="3"/>
  <c r="BH306" i="3"/>
  <c r="BH305" i="3"/>
  <c r="BH330" i="3"/>
  <c r="BJ320" i="3"/>
  <c r="BI322" i="3" s="1"/>
  <c r="BD1217" i="3"/>
  <c r="AT1217" i="3"/>
  <c r="AC1217" i="3" s="1"/>
  <c r="D1217" i="3"/>
  <c r="AI1216" i="3"/>
  <c r="AO1216" i="3" s="1"/>
  <c r="AZ1217" i="3"/>
  <c r="AX1217" i="3" s="1"/>
  <c r="BH322" i="3"/>
  <c r="D1055" i="3"/>
  <c r="D1057" i="3" s="1"/>
  <c r="B34" i="3"/>
  <c r="C34" i="3" s="1"/>
  <c r="AQ806" i="3"/>
  <c r="AS806" i="3" s="1"/>
  <c r="BD806" i="3" s="1"/>
  <c r="BF806" i="3" s="1"/>
  <c r="AH806" i="3"/>
  <c r="AI1436" i="3"/>
  <c r="AO1436" i="3" s="1"/>
  <c r="AT1437" i="3"/>
  <c r="AC1437" i="3" s="1"/>
  <c r="D1437" i="3"/>
  <c r="BD1437" i="3"/>
  <c r="AZ1437" i="3"/>
  <c r="AX1437" i="3" s="1"/>
  <c r="AI1306" i="3"/>
  <c r="AO1306" i="3" s="1"/>
  <c r="D1307" i="3"/>
  <c r="BD1307" i="3"/>
  <c r="AT1307" i="3"/>
  <c r="AC1307" i="3" s="1"/>
  <c r="AZ1307" i="3"/>
  <c r="AX1307" i="3" s="1"/>
  <c r="AD1491" i="3"/>
  <c r="AU1491" i="3" s="1"/>
  <c r="AT1491" i="3" s="1"/>
  <c r="AJ1491" i="3" s="1"/>
  <c r="D1491" i="3" s="1"/>
  <c r="AG159" i="3"/>
  <c r="AY1026" i="3"/>
  <c r="AE1062" i="3"/>
  <c r="AT1207" i="3"/>
  <c r="AC1207" i="3" s="1"/>
  <c r="AI1206" i="3"/>
  <c r="AO1206" i="3" s="1"/>
  <c r="BD1207" i="3"/>
  <c r="D1207" i="3"/>
  <c r="AZ1207" i="3"/>
  <c r="AX1207" i="3" s="1"/>
  <c r="BB1257" i="3"/>
  <c r="AT1257" i="3"/>
  <c r="AC1257" i="3" s="1"/>
  <c r="D1257" i="3"/>
  <c r="AI1256" i="3"/>
  <c r="AO1256" i="3" s="1"/>
  <c r="BD1257" i="3"/>
  <c r="AZ1257" i="3"/>
  <c r="AX1257" i="3" s="1"/>
  <c r="AN300" i="3"/>
  <c r="D298" i="3" s="1"/>
  <c r="AN330" i="3"/>
  <c r="D328" i="3" s="1"/>
  <c r="AN360" i="3"/>
  <c r="D358" i="3" s="1"/>
  <c r="AN400" i="3"/>
  <c r="D398" i="3" s="1"/>
  <c r="AN340" i="3"/>
  <c r="D338" i="3" s="1"/>
  <c r="AN410" i="3"/>
  <c r="D408" i="3" s="1"/>
  <c r="AN370" i="3"/>
  <c r="D368" i="3" s="1"/>
  <c r="AN310" i="3"/>
  <c r="D308" i="3" s="1"/>
  <c r="AN320" i="3"/>
  <c r="D318" i="3" s="1"/>
  <c r="AN420" i="3"/>
  <c r="D418" i="3" s="1"/>
  <c r="AN390" i="3"/>
  <c r="D388" i="3" s="1"/>
  <c r="AN350" i="3"/>
  <c r="D348" i="3" s="1"/>
  <c r="AN430" i="3"/>
  <c r="D428" i="3" s="1"/>
  <c r="AN380" i="3"/>
  <c r="D378" i="3" s="1"/>
  <c r="AH801" i="3"/>
  <c r="AQ801" i="3"/>
  <c r="AS801" i="3" s="1"/>
  <c r="BD801" i="3" s="1"/>
  <c r="BF801" i="3" s="1"/>
  <c r="BB440" i="3"/>
  <c r="BD440" i="3"/>
  <c r="AQ804" i="3"/>
  <c r="AS804" i="3" s="1"/>
  <c r="BJ312" i="3"/>
  <c r="BH312" i="3"/>
  <c r="AT1247" i="3"/>
  <c r="AC1247" i="3" s="1"/>
  <c r="AI1246" i="3"/>
  <c r="AO1246" i="3" s="1"/>
  <c r="BD1247" i="3"/>
  <c r="D1247" i="3"/>
  <c r="AZ1247" i="3"/>
  <c r="AX1247" i="3" s="1"/>
  <c r="AK1033" i="3"/>
  <c r="AT1033" i="3" s="1"/>
  <c r="AZ1042" i="3" s="1"/>
  <c r="AH817" i="3"/>
  <c r="AN1040" i="3"/>
  <c r="AN1039" i="3"/>
  <c r="AI674" i="3"/>
  <c r="AM674" i="3" s="1"/>
  <c r="AI597" i="3"/>
  <c r="AM597" i="3" s="1"/>
  <c r="AI519" i="3"/>
  <c r="AM519" i="3" s="1"/>
  <c r="AI563" i="3"/>
  <c r="AM563" i="3" s="1"/>
  <c r="AN420" i="2"/>
  <c r="D418" i="2" s="1"/>
  <c r="AN370" i="2"/>
  <c r="D368" i="2" s="1"/>
  <c r="AN330" i="2"/>
  <c r="D328" i="2" s="1"/>
  <c r="AN390" i="2"/>
  <c r="D388" i="2" s="1"/>
  <c r="AN380" i="2"/>
  <c r="D378" i="2" s="1"/>
  <c r="AN430" i="2"/>
  <c r="D428" i="2" s="1"/>
  <c r="AN410" i="2"/>
  <c r="D408" i="2" s="1"/>
  <c r="AN300" i="2"/>
  <c r="D298" i="2" s="1"/>
  <c r="AN310" i="2"/>
  <c r="D308" i="2" s="1"/>
  <c r="AN350" i="2"/>
  <c r="D348" i="2" s="1"/>
  <c r="AN360" i="2"/>
  <c r="D358" i="2" s="1"/>
  <c r="AN340" i="2"/>
  <c r="D338" i="2" s="1"/>
  <c r="AN400" i="2"/>
  <c r="D398" i="2" s="1"/>
  <c r="AN320" i="2"/>
  <c r="D318" i="2" s="1"/>
  <c r="AS790" i="2"/>
  <c r="AS787" i="2" s="1"/>
  <c r="AC792" i="2" s="1"/>
  <c r="B46" i="2" s="1"/>
  <c r="AI1336" i="2"/>
  <c r="AO1336" i="2" s="1"/>
  <c r="D1337" i="2"/>
  <c r="BD1337" i="2"/>
  <c r="AT1337" i="2"/>
  <c r="AC1337" i="2" s="1"/>
  <c r="BB1337" i="2"/>
  <c r="AZ1337" i="2"/>
  <c r="AX1337" i="2" s="1"/>
  <c r="BI302" i="2"/>
  <c r="BB440" i="2"/>
  <c r="BG302" i="2"/>
  <c r="AL1038" i="2"/>
  <c r="AT1038" i="2" s="1"/>
  <c r="AL833" i="2"/>
  <c r="AV833" i="2" s="1"/>
  <c r="AL823" i="2"/>
  <c r="AT823" i="2" s="1"/>
  <c r="BD1397" i="2"/>
  <c r="AT1397" i="2"/>
  <c r="AC1397" i="2" s="1"/>
  <c r="AI1396" i="2"/>
  <c r="AO1396" i="2" s="1"/>
  <c r="D1397" i="2"/>
  <c r="AZ1397" i="2"/>
  <c r="AX1397" i="2" s="1"/>
  <c r="BD1217" i="2"/>
  <c r="AT1217" i="2"/>
  <c r="AC1217" i="2" s="1"/>
  <c r="AI1216" i="2"/>
  <c r="AO1216" i="2" s="1"/>
  <c r="D1217" i="2"/>
  <c r="AZ1217" i="2"/>
  <c r="AX1217" i="2" s="1"/>
  <c r="AK1033" i="2"/>
  <c r="AH817" i="2"/>
  <c r="BD1287" i="2"/>
  <c r="AT1287" i="2"/>
  <c r="AC1287" i="2" s="1"/>
  <c r="AI1286" i="2"/>
  <c r="AO1286" i="2" s="1"/>
  <c r="D1287" i="2"/>
  <c r="AZ1287" i="2"/>
  <c r="AX1287" i="2" s="1"/>
  <c r="BJ312" i="2"/>
  <c r="BH312" i="2"/>
  <c r="AS775" i="2"/>
  <c r="AT775" i="2"/>
  <c r="AX495" i="2"/>
  <c r="AZ495" i="2" s="1"/>
  <c r="BD495" i="2" s="1"/>
  <c r="BB495" i="2"/>
  <c r="G1798" i="2"/>
  <c r="AT1039" i="2"/>
  <c r="AL1034" i="2"/>
  <c r="AT1034" i="2" s="1"/>
  <c r="AL829" i="2"/>
  <c r="AV829" i="2" s="1"/>
  <c r="AL819" i="2"/>
  <c r="AT819" i="2" s="1"/>
  <c r="D1267" i="2"/>
  <c r="BD1267" i="2"/>
  <c r="AI1266" i="2"/>
  <c r="AO1266" i="2" s="1"/>
  <c r="AT1267" i="2"/>
  <c r="AC1267" i="2" s="1"/>
  <c r="AZ1267" i="2"/>
  <c r="AX1267" i="2" s="1"/>
  <c r="BD1427" i="2"/>
  <c r="AT1427" i="2"/>
  <c r="AC1427" i="2" s="1"/>
  <c r="AI1426" i="2"/>
  <c r="AO1426" i="2" s="1"/>
  <c r="D1427" i="2"/>
  <c r="AZ1427" i="2"/>
  <c r="AX1427" i="2" s="1"/>
  <c r="BD1207" i="2"/>
  <c r="AT1207" i="2"/>
  <c r="AC1207" i="2" s="1"/>
  <c r="D1207" i="2"/>
  <c r="AI1206" i="2"/>
  <c r="AO1206" i="2" s="1"/>
  <c r="AZ1207" i="2"/>
  <c r="AX1207" i="2" s="1"/>
  <c r="BH322" i="2"/>
  <c r="BJ322" i="2"/>
  <c r="AO159" i="2"/>
  <c r="AQ800" i="2"/>
  <c r="AS800" i="2" s="1"/>
  <c r="AH800" i="2"/>
  <c r="BD1317" i="2"/>
  <c r="AT1317" i="2"/>
  <c r="AC1317" i="2" s="1"/>
  <c r="AI1316" i="2"/>
  <c r="AO1316" i="2" s="1"/>
  <c r="D1317" i="2"/>
  <c r="AZ1317" i="2"/>
  <c r="AX1317" i="2" s="1"/>
  <c r="AI1366" i="2"/>
  <c r="AO1366" i="2" s="1"/>
  <c r="D1367" i="2"/>
  <c r="BD1367" i="2"/>
  <c r="AT1367" i="2"/>
  <c r="AC1367" i="2" s="1"/>
  <c r="AZ1367" i="2"/>
  <c r="AX1367" i="2" s="1"/>
  <c r="AI1296" i="2"/>
  <c r="AO1296" i="2" s="1"/>
  <c r="D1297" i="2"/>
  <c r="AT1297" i="2"/>
  <c r="AC1297" i="2" s="1"/>
  <c r="BD1297" i="2"/>
  <c r="BB1297" i="2"/>
  <c r="AZ1297" i="2"/>
  <c r="AX1297" i="2" s="1"/>
  <c r="AX563" i="2"/>
  <c r="AZ563" i="2" s="1"/>
  <c r="BD563" i="2" s="1"/>
  <c r="BB563" i="2"/>
  <c r="AQ806" i="2"/>
  <c r="AS806" i="2" s="1"/>
  <c r="BD806" i="2" s="1"/>
  <c r="BF806" i="2" s="1"/>
  <c r="AH806" i="2"/>
  <c r="BJ302" i="2"/>
  <c r="BD440" i="2"/>
  <c r="BH302" i="2"/>
  <c r="D1417" i="2"/>
  <c r="BD1417" i="2"/>
  <c r="AT1417" i="2"/>
  <c r="AC1417" i="2" s="1"/>
  <c r="AI1416" i="2"/>
  <c r="AO1416" i="2" s="1"/>
  <c r="AZ1417" i="2"/>
  <c r="AX1417" i="2" s="1"/>
  <c r="AL1036" i="2"/>
  <c r="AT1036" i="2" s="1"/>
  <c r="AL831" i="2"/>
  <c r="AV831" i="2" s="1"/>
  <c r="AL821" i="2"/>
  <c r="AT821" i="2" s="1"/>
  <c r="BD1357" i="2"/>
  <c r="AT1357" i="2"/>
  <c r="AC1357" i="2" s="1"/>
  <c r="AI1356" i="2"/>
  <c r="AO1356" i="2" s="1"/>
  <c r="D1357" i="2"/>
  <c r="AZ1357" i="2"/>
  <c r="AX1357" i="2" s="1"/>
  <c r="BB156" i="2"/>
  <c r="AT159" i="2"/>
  <c r="D1237" i="2"/>
  <c r="AT1237" i="2"/>
  <c r="AC1237" i="2" s="1"/>
  <c r="AI1236" i="2"/>
  <c r="AO1236" i="2" s="1"/>
  <c r="BD1237" i="2"/>
  <c r="AZ1237" i="2"/>
  <c r="AX1237" i="2" s="1"/>
  <c r="BD1277" i="2"/>
  <c r="AT1277" i="2"/>
  <c r="AC1277" i="2" s="1"/>
  <c r="D1277" i="2"/>
  <c r="AI1276" i="2"/>
  <c r="AO1276" i="2" s="1"/>
  <c r="AZ1277" i="2"/>
  <c r="AX1277" i="2" s="1"/>
  <c r="AT1033" i="2"/>
  <c r="AZ1042" i="2" s="1"/>
  <c r="BH340" i="2"/>
  <c r="BH342" i="2" s="1"/>
  <c r="BJ330" i="2"/>
  <c r="BG332" i="2"/>
  <c r="BD1247" i="2"/>
  <c r="AT1247" i="2"/>
  <c r="AC1247" i="2" s="1"/>
  <c r="AI1246" i="2"/>
  <c r="AO1246" i="2" s="1"/>
  <c r="D1247" i="2"/>
  <c r="AZ1247" i="2"/>
  <c r="AX1247" i="2" s="1"/>
  <c r="AX519" i="2"/>
  <c r="AZ519" i="2" s="1"/>
  <c r="BD519" i="2" s="1"/>
  <c r="BB519" i="2"/>
  <c r="AP440" i="2"/>
  <c r="AG809" i="2"/>
  <c r="AQ797" i="2"/>
  <c r="AH797" i="2"/>
  <c r="AS802" i="2"/>
  <c r="AQ802" i="2"/>
  <c r="AJ909" i="2"/>
  <c r="C1798" i="2" s="1"/>
  <c r="C1801" i="2" s="1"/>
  <c r="AG911" i="2"/>
  <c r="AI1226" i="2"/>
  <c r="AO1226" i="2" s="1"/>
  <c r="D1227" i="2"/>
  <c r="BD1227" i="2"/>
  <c r="AT1227" i="2"/>
  <c r="AC1227" i="2" s="1"/>
  <c r="AZ1227" i="2"/>
  <c r="AX1227" i="2" s="1"/>
  <c r="BG312" i="2"/>
  <c r="BI312" i="2"/>
  <c r="BB653" i="2"/>
  <c r="AX653" i="2"/>
  <c r="AZ653" i="2" s="1"/>
  <c r="BD653" i="2" s="1"/>
  <c r="AQ801" i="2"/>
  <c r="AS801" i="2" s="1"/>
  <c r="BD801" i="2" s="1"/>
  <c r="BF801" i="2" s="1"/>
  <c r="AH801" i="2"/>
  <c r="D1377" i="2"/>
  <c r="BD1377" i="2"/>
  <c r="AT1377" i="2"/>
  <c r="AC1377" i="2" s="1"/>
  <c r="AI1376" i="2"/>
  <c r="AO1376" i="2" s="1"/>
  <c r="AZ1377" i="2"/>
  <c r="AX1377" i="2" s="1"/>
  <c r="BD1387" i="2"/>
  <c r="AT1387" i="2"/>
  <c r="AC1387" i="2" s="1"/>
  <c r="AI1386" i="2"/>
  <c r="AO1386" i="2" s="1"/>
  <c r="D1387" i="2"/>
  <c r="AZ1387" i="2"/>
  <c r="AX1387" i="2" s="1"/>
  <c r="AS1243" i="2"/>
  <c r="D1233" i="2"/>
  <c r="BI322" i="2"/>
  <c r="BG322" i="2"/>
  <c r="AG159" i="2"/>
  <c r="AI1406" i="2"/>
  <c r="AO1406" i="2" s="1"/>
  <c r="D1407" i="2"/>
  <c r="BD1407" i="2"/>
  <c r="AT1407" i="2"/>
  <c r="AC1407" i="2" s="1"/>
  <c r="AZ1407" i="2"/>
  <c r="AX1407" i="2" s="1"/>
  <c r="AI1326" i="2"/>
  <c r="AO1326" i="2" s="1"/>
  <c r="D1327" i="2"/>
  <c r="BD1327" i="2"/>
  <c r="AT1327" i="2"/>
  <c r="AC1327" i="2" s="1"/>
  <c r="AZ1327" i="2"/>
  <c r="AX1327" i="2" s="1"/>
  <c r="AJ827" i="2"/>
  <c r="BB1257" i="2"/>
  <c r="AT1257" i="2"/>
  <c r="AC1257" i="2" s="1"/>
  <c r="AI1256" i="2"/>
  <c r="AO1256" i="2" s="1"/>
  <c r="D1257" i="2"/>
  <c r="BD1257" i="2"/>
  <c r="AZ1257" i="2"/>
  <c r="AX1257" i="2" s="1"/>
  <c r="AH587" i="2"/>
  <c r="AM587" i="2" s="1"/>
  <c r="AH508" i="2"/>
  <c r="AM508" i="2" s="1"/>
  <c r="AH637" i="2"/>
  <c r="AM637" i="2" s="1"/>
  <c r="AH537" i="2"/>
  <c r="AM537" i="2" s="1"/>
  <c r="BO2215" i="2"/>
  <c r="BO2214" i="2"/>
  <c r="AC2214" i="2" s="1"/>
  <c r="BO2210" i="2"/>
  <c r="AC2210" i="2" s="1"/>
  <c r="BO2199" i="2"/>
  <c r="AC2199" i="2" s="1"/>
  <c r="BO2198" i="2"/>
  <c r="AC2198" i="2" s="1"/>
  <c r="BO2193" i="2"/>
  <c r="BO2188" i="2"/>
  <c r="AC2188" i="2" s="1"/>
  <c r="BO2187" i="2"/>
  <c r="AC2187" i="2" s="1"/>
  <c r="BO2196" i="2"/>
  <c r="AC2196" i="2" s="1"/>
  <c r="BO2195" i="2"/>
  <c r="AC2195" i="2" s="1"/>
  <c r="BO2183" i="2"/>
  <c r="AC2183" i="2" s="1"/>
  <c r="BO2171" i="2"/>
  <c r="AE2156" i="2" s="1"/>
  <c r="BO2172" i="2"/>
  <c r="AC2172" i="2" s="1"/>
  <c r="BD1437" i="2"/>
  <c r="AT1437" i="2"/>
  <c r="AC1437" i="2" s="1"/>
  <c r="AI1436" i="2"/>
  <c r="AO1436" i="2" s="1"/>
  <c r="D1437" i="2"/>
  <c r="AZ1437" i="2"/>
  <c r="AX1437" i="2" s="1"/>
  <c r="AN1039" i="2"/>
  <c r="AN1040" i="2"/>
  <c r="AX597" i="2"/>
  <c r="AZ597" i="2" s="1"/>
  <c r="BD597" i="2" s="1"/>
  <c r="BB597" i="2"/>
  <c r="B1102" i="2"/>
  <c r="AQ803" i="2"/>
  <c r="AS803" i="2" s="1"/>
  <c r="BH336" i="2"/>
  <c r="BH335" i="2"/>
  <c r="AK159" i="2"/>
  <c r="BO807" i="2"/>
  <c r="BK808" i="2"/>
  <c r="BD1347" i="2"/>
  <c r="AT1347" i="2"/>
  <c r="AC1347" i="2" s="1"/>
  <c r="AI1346" i="2"/>
  <c r="AO1346" i="2" s="1"/>
  <c r="D1347" i="2"/>
  <c r="AZ1347" i="2"/>
  <c r="AX1347" i="2" s="1"/>
  <c r="AL818" i="2"/>
  <c r="AT818" i="2" s="1"/>
  <c r="AG687" i="2"/>
  <c r="AM687" i="2" s="1"/>
  <c r="AG626" i="2"/>
  <c r="AM626" i="2" s="1"/>
  <c r="AG592" i="2"/>
  <c r="AM592" i="2" s="1"/>
  <c r="AG576" i="2"/>
  <c r="AM576" i="2" s="1"/>
  <c r="AG571" i="2"/>
  <c r="AM571" i="2" s="1"/>
  <c r="BB571" i="2" s="1"/>
  <c r="BD1307" i="2"/>
  <c r="AT1307" i="2"/>
  <c r="AC1307" i="2" s="1"/>
  <c r="D1307" i="2"/>
  <c r="AI1306" i="2"/>
  <c r="AO1306" i="2" s="1"/>
  <c r="AZ1307" i="2"/>
  <c r="AX1307" i="2" s="1"/>
  <c r="AU1501" i="2"/>
  <c r="AI1408" i="1"/>
  <c r="AJ1408" i="1" s="1"/>
  <c r="AK1408" i="1" s="1"/>
  <c r="AI1318" i="1"/>
  <c r="AJ1318" i="1" s="1"/>
  <c r="AK1318" i="1" s="1"/>
  <c r="AI1298" i="1"/>
  <c r="AJ1298" i="1" s="1"/>
  <c r="AK1298" i="1" s="1"/>
  <c r="AL1034" i="1"/>
  <c r="AT1034" i="1" s="1"/>
  <c r="AV1387" i="1"/>
  <c r="AX356" i="1"/>
  <c r="AQ801" i="1"/>
  <c r="AS801" i="1" s="1"/>
  <c r="BD801" i="1" s="1"/>
  <c r="BF801" i="1" s="1"/>
  <c r="AV1207" i="1"/>
  <c r="D1207" i="1" s="1"/>
  <c r="BB372" i="1"/>
  <c r="AV1397" i="1"/>
  <c r="AI1268" i="1"/>
  <c r="AJ1268" i="1" s="1"/>
  <c r="AK1268" i="1" s="1"/>
  <c r="AL1037" i="1"/>
  <c r="AT1037" i="1" s="1"/>
  <c r="AV1347" i="1"/>
  <c r="BD748" i="1"/>
  <c r="AX376" i="1"/>
  <c r="AQ797" i="1"/>
  <c r="AL1038" i="1"/>
  <c r="BB322" i="1"/>
  <c r="BB352" i="1"/>
  <c r="BG748" i="1"/>
  <c r="BB754" i="1" s="1"/>
  <c r="BB756" i="1" s="1"/>
  <c r="B757" i="1" s="1"/>
  <c r="AX753" i="1"/>
  <c r="AX621" i="1"/>
  <c r="AZ621" i="1" s="1"/>
  <c r="BD621" i="1" s="1"/>
  <c r="AV1217" i="1"/>
  <c r="BD1217" i="1" s="1"/>
  <c r="AI1378" i="1"/>
  <c r="AJ1378" i="1" s="1"/>
  <c r="AK1378" i="1" s="1"/>
  <c r="AI1288" i="1"/>
  <c r="AJ1288" i="1" s="1"/>
  <c r="AK1288" i="1" s="1"/>
  <c r="AI1228" i="1"/>
  <c r="AJ1228" i="1" s="1"/>
  <c r="AK1228" i="1" s="1"/>
  <c r="BD322" i="1"/>
  <c r="BJ322" i="1" s="1"/>
  <c r="AD1491" i="1"/>
  <c r="AU1491" i="1" s="1"/>
  <c r="AT1491" i="1" s="1"/>
  <c r="AJ1491" i="1" s="1"/>
  <c r="D1491" i="1" s="1"/>
  <c r="AQ802" i="1"/>
  <c r="AS802" i="1" s="1"/>
  <c r="AD1531" i="1"/>
  <c r="BO2196" i="1"/>
  <c r="AC2196" i="1" s="1"/>
  <c r="BO2215" i="1"/>
  <c r="BO2183" i="1"/>
  <c r="AC2183" i="1" s="1"/>
  <c r="BO2214" i="1"/>
  <c r="AC2214" i="1" s="1"/>
  <c r="BO2198" i="1"/>
  <c r="AC2198" i="1" s="1"/>
  <c r="BO2187" i="1"/>
  <c r="AC2187" i="1" s="1"/>
  <c r="BO2171" i="1"/>
  <c r="AE2156" i="1" s="1"/>
  <c r="BO2172" i="1"/>
  <c r="AC2172" i="1" s="1"/>
  <c r="BO2193" i="1"/>
  <c r="BO2210" i="1"/>
  <c r="AC2210" i="1" s="1"/>
  <c r="BO2188" i="1"/>
  <c r="AC2188" i="1" s="1"/>
  <c r="BO2195" i="1"/>
  <c r="AC2195" i="1" s="1"/>
  <c r="BD352" i="1"/>
  <c r="AV1417" i="1"/>
  <c r="AI1416" i="1" s="1"/>
  <c r="AO1416" i="1" s="1"/>
  <c r="AV1337" i="1"/>
  <c r="AI1336" i="1" s="1"/>
  <c r="AO1336" i="1" s="1"/>
  <c r="AG809" i="1"/>
  <c r="AI1238" i="1"/>
  <c r="AJ1238" i="1" s="1"/>
  <c r="AK1238" i="1" s="1"/>
  <c r="AV1247" i="1"/>
  <c r="BD1247" i="1" s="1"/>
  <c r="AL822" i="1"/>
  <c r="AT822" i="1" s="1"/>
  <c r="AL820" i="1"/>
  <c r="AT820" i="1" s="1"/>
  <c r="AO790" i="1"/>
  <c r="AS790" i="1" s="1"/>
  <c r="AS787" i="1" s="1"/>
  <c r="AC792" i="1" s="1"/>
  <c r="B46" i="1" s="1"/>
  <c r="AX615" i="1"/>
  <c r="AZ615" i="1" s="1"/>
  <c r="BD615" i="1" s="1"/>
  <c r="AN809" i="1"/>
  <c r="AL830" i="1"/>
  <c r="AV830" i="1" s="1"/>
  <c r="AS804" i="1"/>
  <c r="AJ827" i="1"/>
  <c r="AL1032" i="1" s="1"/>
  <c r="AH806" i="1"/>
  <c r="BB503" i="1"/>
  <c r="AL831" i="1"/>
  <c r="AV831" i="1" s="1"/>
  <c r="AK159" i="1"/>
  <c r="AL1036" i="1"/>
  <c r="AX712" i="1"/>
  <c r="AZ712" i="1" s="1"/>
  <c r="BD712" i="1" s="1"/>
  <c r="AG159" i="1"/>
  <c r="BB605" i="1"/>
  <c r="AX605" i="1"/>
  <c r="AZ605" i="1" s="1"/>
  <c r="BD605" i="1" s="1"/>
  <c r="AX426" i="1"/>
  <c r="BB422" i="1"/>
  <c r="BD422" i="1"/>
  <c r="D426" i="1"/>
  <c r="AQ800" i="1"/>
  <c r="AS800" i="1" s="1"/>
  <c r="BD800" i="1" s="1"/>
  <c r="BF800" i="1" s="1"/>
  <c r="AT1038" i="1"/>
  <c r="AX581" i="1"/>
  <c r="AZ581" i="1" s="1"/>
  <c r="BD581" i="1" s="1"/>
  <c r="AK440" i="1"/>
  <c r="D306" i="1"/>
  <c r="AX306" i="1"/>
  <c r="BD302" i="1"/>
  <c r="BB302" i="1"/>
  <c r="E1879" i="1"/>
  <c r="AC1878" i="1"/>
  <c r="B1102" i="1"/>
  <c r="AL297" i="1"/>
  <c r="AN297" i="1" s="1"/>
  <c r="AN320" i="1" s="1"/>
  <c r="D318" i="1" s="1"/>
  <c r="AL819" i="1"/>
  <c r="AT819" i="1" s="1"/>
  <c r="BB156" i="1"/>
  <c r="AT159" i="1"/>
  <c r="BB631" i="1"/>
  <c r="AX631" i="1"/>
  <c r="AZ631" i="1" s="1"/>
  <c r="BD631" i="1" s="1"/>
  <c r="D1055" i="1"/>
  <c r="D1057" i="1" s="1"/>
  <c r="AK1036" i="1"/>
  <c r="AL821" i="1"/>
  <c r="AT821" i="1" s="1"/>
  <c r="AG911" i="1"/>
  <c r="AJ909" i="1"/>
  <c r="C1798" i="1" s="1"/>
  <c r="C1801" i="1" s="1"/>
  <c r="AH799" i="1"/>
  <c r="AQ799" i="1"/>
  <c r="BG322" i="1"/>
  <c r="BI322" i="1"/>
  <c r="AH807" i="1"/>
  <c r="AQ807" i="1"/>
  <c r="AS807" i="1" s="1"/>
  <c r="BD807" i="1" s="1"/>
  <c r="BF807" i="1" s="1"/>
  <c r="BD1397" i="1"/>
  <c r="AT1397" i="1"/>
  <c r="AC1397" i="1" s="1"/>
  <c r="AI1396" i="1"/>
  <c r="AO1396" i="1" s="1"/>
  <c r="D1397" i="1"/>
  <c r="AZ1397" i="1"/>
  <c r="AX1397" i="1" s="1"/>
  <c r="AI1276" i="1"/>
  <c r="AO1276" i="1" s="1"/>
  <c r="BD1277" i="1"/>
  <c r="AT1277" i="1"/>
  <c r="AC1277" i="1" s="1"/>
  <c r="D1277" i="1"/>
  <c r="AZ1277" i="1"/>
  <c r="AX1277" i="1" s="1"/>
  <c r="BD1267" i="1"/>
  <c r="AT1267" i="1"/>
  <c r="AC1267" i="1" s="1"/>
  <c r="D1267" i="1"/>
  <c r="AI1266" i="1"/>
  <c r="AO1266" i="1" s="1"/>
  <c r="AZ1267" i="1"/>
  <c r="AX1267" i="1" s="1"/>
  <c r="BD1327" i="1"/>
  <c r="AT1327" i="1"/>
  <c r="AC1327" i="1" s="1"/>
  <c r="AI1326" i="1"/>
  <c r="AO1326" i="1" s="1"/>
  <c r="D1327" i="1"/>
  <c r="AZ1327" i="1"/>
  <c r="AX1327" i="1" s="1"/>
  <c r="BB1297" i="1"/>
  <c r="AT1297" i="1"/>
  <c r="AC1297" i="1" s="1"/>
  <c r="AI1296" i="1"/>
  <c r="AO1296" i="1" s="1"/>
  <c r="BD1297" i="1"/>
  <c r="D1297" i="1"/>
  <c r="AZ1297" i="1"/>
  <c r="AX1297" i="1" s="1"/>
  <c r="AX653" i="1"/>
  <c r="AZ653" i="1" s="1"/>
  <c r="BD653" i="1" s="1"/>
  <c r="BB653" i="1"/>
  <c r="BD1287" i="1"/>
  <c r="AT1287" i="1"/>
  <c r="AC1287" i="1" s="1"/>
  <c r="D1287" i="1"/>
  <c r="AI1286" i="1"/>
  <c r="AO1286" i="1" s="1"/>
  <c r="AZ1287" i="1"/>
  <c r="AX1287" i="1" s="1"/>
  <c r="AL823" i="1"/>
  <c r="AT823" i="1" s="1"/>
  <c r="AT1035" i="1"/>
  <c r="D1307" i="1"/>
  <c r="AT1307" i="1"/>
  <c r="AC1307" i="1" s="1"/>
  <c r="BD1307" i="1"/>
  <c r="AZ1307" i="1"/>
  <c r="AX1307" i="1" s="1"/>
  <c r="AI1306" i="1"/>
  <c r="AO1306" i="1" s="1"/>
  <c r="D1233" i="1"/>
  <c r="AS1243" i="1"/>
  <c r="BH312" i="1"/>
  <c r="BJ312" i="1"/>
  <c r="AI1426" i="1"/>
  <c r="AO1426" i="1" s="1"/>
  <c r="D1427" i="1"/>
  <c r="BD1427" i="1"/>
  <c r="AT1427" i="1"/>
  <c r="AC1427" i="1" s="1"/>
  <c r="AZ1427" i="1"/>
  <c r="AX1427" i="1" s="1"/>
  <c r="BD1237" i="1"/>
  <c r="AT1237" i="1"/>
  <c r="AC1237" i="1" s="1"/>
  <c r="D1237" i="1"/>
  <c r="AZ1237" i="1"/>
  <c r="AX1237" i="1" s="1"/>
  <c r="AI1236" i="1"/>
  <c r="AO1236" i="1" s="1"/>
  <c r="D1437" i="1"/>
  <c r="BD1437" i="1"/>
  <c r="AT1437" i="1"/>
  <c r="AC1437" i="1" s="1"/>
  <c r="AI1436" i="1"/>
  <c r="AO1436" i="1" s="1"/>
  <c r="AZ1437" i="1"/>
  <c r="AX1437" i="1" s="1"/>
  <c r="BO807" i="1"/>
  <c r="BK808" i="1"/>
  <c r="BI312" i="1"/>
  <c r="BG312" i="1"/>
  <c r="AI1366" i="1"/>
  <c r="AO1366" i="1" s="1"/>
  <c r="D1367" i="1"/>
  <c r="AT1367" i="1"/>
  <c r="AC1367" i="1" s="1"/>
  <c r="BD1367" i="1"/>
  <c r="AZ1367" i="1"/>
  <c r="AX1367" i="1" s="1"/>
  <c r="AM1042" i="1"/>
  <c r="B1040" i="1"/>
  <c r="AI1226" i="1"/>
  <c r="AO1226" i="1" s="1"/>
  <c r="D1227" i="1"/>
  <c r="AT1227" i="1"/>
  <c r="AC1227" i="1" s="1"/>
  <c r="BD1227" i="1"/>
  <c r="AZ1227" i="1"/>
  <c r="AX1227" i="1" s="1"/>
  <c r="AO159" i="1"/>
  <c r="BD1387" i="1"/>
  <c r="AT1387" i="1"/>
  <c r="AC1387" i="1" s="1"/>
  <c r="D1387" i="1"/>
  <c r="AZ1387" i="1"/>
  <c r="AX1387" i="1" s="1"/>
  <c r="AI1386" i="1"/>
  <c r="AO1386" i="1" s="1"/>
  <c r="AP1356" i="1"/>
  <c r="C1358" i="1" s="1"/>
  <c r="AK1033" i="1"/>
  <c r="AT1033" i="1" s="1"/>
  <c r="AZ1042" i="1" s="1"/>
  <c r="AH817" i="1"/>
  <c r="BH340" i="1"/>
  <c r="BG342" i="1" s="1"/>
  <c r="BJ330" i="1"/>
  <c r="BH332" i="1"/>
  <c r="BG332" i="1"/>
  <c r="D1377" i="1"/>
  <c r="AI1376" i="1"/>
  <c r="AO1376" i="1" s="1"/>
  <c r="BD1377" i="1"/>
  <c r="AT1377" i="1"/>
  <c r="AC1377" i="1" s="1"/>
  <c r="AZ1377" i="1"/>
  <c r="AX1377" i="1" s="1"/>
  <c r="AL818" i="1"/>
  <c r="AT818" i="1" s="1"/>
  <c r="AI1406" i="1"/>
  <c r="AO1406" i="1" s="1"/>
  <c r="D1407" i="1"/>
  <c r="BD1407" i="1"/>
  <c r="AT1407" i="1"/>
  <c r="AC1407" i="1" s="1"/>
  <c r="AZ1407" i="1"/>
  <c r="AX1407" i="1" s="1"/>
  <c r="AT1337" i="1"/>
  <c r="AC1337" i="1" s="1"/>
  <c r="BB495" i="1"/>
  <c r="AX495" i="1"/>
  <c r="AZ495" i="1" s="1"/>
  <c r="BD495" i="1" s="1"/>
  <c r="BD1347" i="1"/>
  <c r="AT1347" i="1"/>
  <c r="AC1347" i="1" s="1"/>
  <c r="D1347" i="1"/>
  <c r="AZ1347" i="1"/>
  <c r="AX1347" i="1" s="1"/>
  <c r="AI1346" i="1"/>
  <c r="AO1346" i="1" s="1"/>
  <c r="BD1317" i="1"/>
  <c r="AT1317" i="1"/>
  <c r="AC1317" i="1" s="1"/>
  <c r="AI1316" i="1"/>
  <c r="AO1316" i="1" s="1"/>
  <c r="D1317" i="1"/>
  <c r="AZ1317" i="1"/>
  <c r="AX1317" i="1" s="1"/>
  <c r="G1798" i="1"/>
  <c r="AT1039" i="1"/>
  <c r="AT775" i="1"/>
  <c r="AS775" i="1"/>
  <c r="D1257" i="1"/>
  <c r="BB1257" i="1"/>
  <c r="AT1257" i="1"/>
  <c r="AC1257" i="1" s="1"/>
  <c r="AZ1257" i="1"/>
  <c r="AX1257" i="1" s="1"/>
  <c r="AI1256" i="1"/>
  <c r="AO1256" i="1" s="1"/>
  <c r="BD1257" i="1"/>
  <c r="BJ322" i="3" l="1"/>
  <c r="BJ323" i="3" s="1"/>
  <c r="AN430" i="1"/>
  <c r="D428" i="1" s="1"/>
  <c r="AH809" i="1"/>
  <c r="BF808" i="1" s="1"/>
  <c r="AD1561" i="3"/>
  <c r="C1561" i="3" s="1"/>
  <c r="AD1567" i="3"/>
  <c r="AI1569" i="3" s="1"/>
  <c r="C1569" i="3" s="1"/>
  <c r="AD1579" i="2"/>
  <c r="B34" i="2"/>
  <c r="C34" i="2" s="1"/>
  <c r="AD1573" i="2"/>
  <c r="AI1574" i="2" s="1"/>
  <c r="AD1567" i="2"/>
  <c r="C1567" i="2" s="1"/>
  <c r="AD1555" i="2"/>
  <c r="AI1556" i="2" s="1"/>
  <c r="BI795" i="3"/>
  <c r="BJ795" i="3" s="1"/>
  <c r="AV159" i="3"/>
  <c r="BB159" i="3" s="1"/>
  <c r="AP440" i="3"/>
  <c r="AD1555" i="3"/>
  <c r="C1555" i="3" s="1"/>
  <c r="BI326" i="3"/>
  <c r="BI325" i="3"/>
  <c r="AP1296" i="3"/>
  <c r="C1298" i="3" s="1"/>
  <c r="AQ809" i="3"/>
  <c r="AP1406" i="3"/>
  <c r="C1408" i="3" s="1"/>
  <c r="BB597" i="3"/>
  <c r="AX597" i="3"/>
  <c r="AZ597" i="3" s="1"/>
  <c r="BD597" i="3" s="1"/>
  <c r="AR817" i="3"/>
  <c r="AC836" i="3" s="1"/>
  <c r="B52" i="3" s="1"/>
  <c r="AK1032" i="3"/>
  <c r="BJ316" i="3"/>
  <c r="BJ315" i="3"/>
  <c r="BJ313" i="3"/>
  <c r="AP1256" i="3"/>
  <c r="C1258" i="3" s="1"/>
  <c r="BJ326" i="3"/>
  <c r="BJ325" i="3"/>
  <c r="BI316" i="3"/>
  <c r="BI315" i="3"/>
  <c r="AH587" i="3"/>
  <c r="AM587" i="3" s="1"/>
  <c r="AH508" i="3"/>
  <c r="AM508" i="3" s="1"/>
  <c r="AH537" i="3"/>
  <c r="AM537" i="3" s="1"/>
  <c r="AH637" i="3"/>
  <c r="AM637" i="3" s="1"/>
  <c r="BB674" i="3"/>
  <c r="AX674" i="3"/>
  <c r="AZ674" i="3" s="1"/>
  <c r="BD674" i="3" s="1"/>
  <c r="AP1246" i="3"/>
  <c r="C1248" i="3" s="1"/>
  <c r="B439" i="3"/>
  <c r="AP1306" i="3"/>
  <c r="C1308" i="3" s="1"/>
  <c r="BH326" i="3"/>
  <c r="BH325" i="3"/>
  <c r="AP1336" i="3"/>
  <c r="C1338" i="3" s="1"/>
  <c r="AP1426" i="3"/>
  <c r="C1428" i="3" s="1"/>
  <c r="C1579" i="3"/>
  <c r="AI1581" i="3"/>
  <c r="C1581" i="3" s="1"/>
  <c r="AI1580" i="3"/>
  <c r="AP1266" i="3"/>
  <c r="C1268" i="3" s="1"/>
  <c r="BG316" i="3"/>
  <c r="BG315" i="3"/>
  <c r="AP1326" i="3"/>
  <c r="C1328" i="3" s="1"/>
  <c r="AP1386" i="3"/>
  <c r="C1388" i="3" s="1"/>
  <c r="AP1316" i="3"/>
  <c r="C1318" i="3" s="1"/>
  <c r="AG687" i="3"/>
  <c r="AM687" i="3" s="1"/>
  <c r="AG626" i="3"/>
  <c r="AM626" i="3" s="1"/>
  <c r="AG592" i="3"/>
  <c r="AM592" i="3" s="1"/>
  <c r="AG576" i="3"/>
  <c r="AM576" i="3" s="1"/>
  <c r="AG571" i="3"/>
  <c r="AM571" i="3" s="1"/>
  <c r="AP1286" i="3"/>
  <c r="C1288" i="3" s="1"/>
  <c r="AN1032" i="3"/>
  <c r="BB563" i="3"/>
  <c r="AX563" i="3"/>
  <c r="AZ563" i="3" s="1"/>
  <c r="BD563" i="3" s="1"/>
  <c r="BD1201" i="3"/>
  <c r="BD1200" i="3"/>
  <c r="BF1200" i="3" s="1"/>
  <c r="AP1436" i="3"/>
  <c r="C1438" i="3" s="1"/>
  <c r="AP1216" i="3"/>
  <c r="C1218" i="3"/>
  <c r="AP1396" i="3"/>
  <c r="C1398" i="3" s="1"/>
  <c r="B917" i="3"/>
  <c r="AM919" i="3"/>
  <c r="AD920" i="3" s="1"/>
  <c r="AI1568" i="3"/>
  <c r="C1567" i="3"/>
  <c r="D1243" i="3"/>
  <c r="AS1253" i="3"/>
  <c r="AP1356" i="3"/>
  <c r="C1358" i="3" s="1"/>
  <c r="BG814" i="3"/>
  <c r="AT776" i="3"/>
  <c r="AS776" i="3"/>
  <c r="AP1236" i="3"/>
  <c r="C1238" i="3" s="1"/>
  <c r="AP1346" i="3"/>
  <c r="C1348" i="3" s="1"/>
  <c r="AU1501" i="3"/>
  <c r="AT1501" i="3" s="1"/>
  <c r="AJ1501" i="3" s="1"/>
  <c r="D1501" i="3" s="1"/>
  <c r="BB519" i="3"/>
  <c r="AX519" i="3"/>
  <c r="AZ519" i="3" s="1"/>
  <c r="BD519" i="3" s="1"/>
  <c r="B1040" i="3"/>
  <c r="AM1042" i="3"/>
  <c r="AD1043" i="3" s="1"/>
  <c r="B60" i="3" s="1"/>
  <c r="BH316" i="3"/>
  <c r="BH315" i="3"/>
  <c r="AP1206" i="3"/>
  <c r="C1208" i="3" s="1"/>
  <c r="BH332" i="3"/>
  <c r="BH340" i="3"/>
  <c r="BJ330" i="3"/>
  <c r="BG332" i="3"/>
  <c r="AP1276" i="3"/>
  <c r="C1278" i="3" s="1"/>
  <c r="AI1574" i="3"/>
  <c r="AI1575" i="3"/>
  <c r="C1575" i="3" s="1"/>
  <c r="C1573" i="3"/>
  <c r="BG326" i="3"/>
  <c r="BG325" i="3"/>
  <c r="AP1416" i="3"/>
  <c r="C1418" i="3" s="1"/>
  <c r="AH809" i="3"/>
  <c r="BF808" i="3" s="1"/>
  <c r="AP1376" i="3"/>
  <c r="C1378" i="3" s="1"/>
  <c r="AP1366" i="3"/>
  <c r="C1368" i="3" s="1"/>
  <c r="BH346" i="2"/>
  <c r="BH345" i="2"/>
  <c r="AT1501" i="2"/>
  <c r="AJ1501" i="2" s="1"/>
  <c r="D1501" i="2" s="1"/>
  <c r="AU1511" i="2"/>
  <c r="AX576" i="2"/>
  <c r="AZ576" i="2" s="1"/>
  <c r="BD576" i="2" s="1"/>
  <c r="BB576" i="2"/>
  <c r="AX592" i="2"/>
  <c r="AZ592" i="2" s="1"/>
  <c r="BD592" i="2" s="1"/>
  <c r="BB592" i="2"/>
  <c r="AX637" i="2"/>
  <c r="AZ637" i="2" s="1"/>
  <c r="BD637" i="2" s="1"/>
  <c r="BB637" i="2"/>
  <c r="AV159" i="2"/>
  <c r="BB159" i="2" s="1"/>
  <c r="D1243" i="2"/>
  <c r="AS1253" i="2"/>
  <c r="AN917" i="2"/>
  <c r="AZ919" i="2"/>
  <c r="AG914" i="2"/>
  <c r="BB913" i="2" s="1"/>
  <c r="AH809" i="2"/>
  <c r="BF808" i="2" s="1"/>
  <c r="C1573" i="2"/>
  <c r="AI1575" i="2"/>
  <c r="C1575" i="2" s="1"/>
  <c r="AI1568" i="2"/>
  <c r="BG336" i="2"/>
  <c r="BG335" i="2"/>
  <c r="AX571" i="2"/>
  <c r="AZ571" i="2" s="1"/>
  <c r="BD571" i="2" s="1"/>
  <c r="AP1416" i="2"/>
  <c r="C1418" i="2" s="1"/>
  <c r="BH306" i="2"/>
  <c r="BH305" i="2"/>
  <c r="BD1200" i="2"/>
  <c r="BF1200" i="2" s="1"/>
  <c r="BD1201" i="2"/>
  <c r="AP1266" i="2"/>
  <c r="C1268" i="2" s="1"/>
  <c r="AK1032" i="2"/>
  <c r="AR817" i="2"/>
  <c r="AP1216" i="2"/>
  <c r="C1218" i="2" s="1"/>
  <c r="B439" i="2"/>
  <c r="BB626" i="2"/>
  <c r="AX626" i="2"/>
  <c r="AZ626" i="2" s="1"/>
  <c r="BD626" i="2" s="1"/>
  <c r="BG814" i="2"/>
  <c r="BS810" i="2"/>
  <c r="AM1042" i="2"/>
  <c r="AD1043" i="2" s="1"/>
  <c r="B60" i="2" s="1"/>
  <c r="B1040" i="2"/>
  <c r="AP1436" i="2"/>
  <c r="C1438" i="2" s="1"/>
  <c r="BB508" i="2"/>
  <c r="AX508" i="2"/>
  <c r="AZ508" i="2" s="1"/>
  <c r="BD508" i="2" s="1"/>
  <c r="AL1032" i="2"/>
  <c r="AN1032" i="2" s="1"/>
  <c r="AV827" i="2"/>
  <c r="BG326" i="2"/>
  <c r="BG325" i="2"/>
  <c r="BI316" i="2"/>
  <c r="BI315" i="2"/>
  <c r="AQ809" i="2"/>
  <c r="C1555" i="2"/>
  <c r="AP1246" i="2"/>
  <c r="C1248" i="2" s="1"/>
  <c r="BI332" i="2"/>
  <c r="BJ332" i="2"/>
  <c r="AP1276" i="2"/>
  <c r="C1278" i="2" s="1"/>
  <c r="C1298" i="2"/>
  <c r="AP1296" i="2"/>
  <c r="AP1206" i="2"/>
  <c r="C1208" i="2" s="1"/>
  <c r="BH316" i="2"/>
  <c r="BH315" i="2"/>
  <c r="AP1286" i="2"/>
  <c r="C1288" i="2" s="1"/>
  <c r="AP1396" i="2"/>
  <c r="C1398" i="2" s="1"/>
  <c r="BI306" i="2"/>
  <c r="BI305" i="2"/>
  <c r="AP1306" i="2"/>
  <c r="C1308" i="2" s="1"/>
  <c r="AX687" i="2"/>
  <c r="AZ687" i="2" s="1"/>
  <c r="BD687" i="2" s="1"/>
  <c r="BB687" i="2"/>
  <c r="AP1346" i="2"/>
  <c r="C1348" i="2" s="1"/>
  <c r="AX587" i="2"/>
  <c r="AZ587" i="2" s="1"/>
  <c r="BD587" i="2" s="1"/>
  <c r="BB587" i="2"/>
  <c r="AP1256" i="2"/>
  <c r="C1258" i="2" s="1"/>
  <c r="AP1326" i="2"/>
  <c r="C1328" i="2" s="1"/>
  <c r="BI326" i="2"/>
  <c r="BI325" i="2"/>
  <c r="BG316" i="2"/>
  <c r="BG315" i="2"/>
  <c r="AI1562" i="2"/>
  <c r="AI1563" i="2"/>
  <c r="C1563" i="2" s="1"/>
  <c r="C1561" i="2"/>
  <c r="BH350" i="2"/>
  <c r="BJ340" i="2"/>
  <c r="AP1356" i="2"/>
  <c r="C1358" i="2" s="1"/>
  <c r="BJ306" i="2"/>
  <c r="BJ305" i="2"/>
  <c r="BJ303" i="2"/>
  <c r="AP1366" i="2"/>
  <c r="C1368" i="2" s="1"/>
  <c r="BD800" i="2"/>
  <c r="BF800" i="2" s="1"/>
  <c r="BI795" i="2"/>
  <c r="BJ795" i="2" s="1"/>
  <c r="BJ326" i="2"/>
  <c r="BJ325" i="2"/>
  <c r="BJ323" i="2"/>
  <c r="AE1062" i="2"/>
  <c r="AY1026" i="2"/>
  <c r="BG342" i="2"/>
  <c r="BJ313" i="2"/>
  <c r="BJ316" i="2"/>
  <c r="BJ315" i="2"/>
  <c r="AX537" i="2"/>
  <c r="AZ537" i="2" s="1"/>
  <c r="BD537" i="2" s="1"/>
  <c r="BB537" i="2"/>
  <c r="AP1406" i="2"/>
  <c r="C1408" i="2" s="1"/>
  <c r="AP1386" i="2"/>
  <c r="C1388" i="2" s="1"/>
  <c r="AP1376" i="2"/>
  <c r="C1378" i="2" s="1"/>
  <c r="AP1226" i="2"/>
  <c r="C1228" i="2" s="1"/>
  <c r="AI1581" i="2"/>
  <c r="C1581" i="2" s="1"/>
  <c r="AI1580" i="2"/>
  <c r="C1579" i="2"/>
  <c r="AP1236" i="2"/>
  <c r="C1238" i="2" s="1"/>
  <c r="C1318" i="2"/>
  <c r="AP1316" i="2"/>
  <c r="BH326" i="2"/>
  <c r="BH325" i="2"/>
  <c r="C1428" i="2"/>
  <c r="AP1426" i="2"/>
  <c r="AS776" i="2"/>
  <c r="AT776" i="2"/>
  <c r="BG305" i="2"/>
  <c r="BG306" i="2"/>
  <c r="AP1336" i="2"/>
  <c r="C1338" i="2" s="1"/>
  <c r="AT1207" i="1"/>
  <c r="AC1207" i="1" s="1"/>
  <c r="AZ1207" i="1"/>
  <c r="AX1207" i="1" s="1"/>
  <c r="AI1206" i="1"/>
  <c r="AO1206" i="1" s="1"/>
  <c r="AP1206" i="1" s="1"/>
  <c r="C1208" i="1" s="1"/>
  <c r="AZ1247" i="1"/>
  <c r="AX1247" i="1" s="1"/>
  <c r="AT1417" i="1"/>
  <c r="AC1417" i="1" s="1"/>
  <c r="AT1217" i="1"/>
  <c r="AC1217" i="1" s="1"/>
  <c r="BH322" i="1"/>
  <c r="BH326" i="1" s="1"/>
  <c r="BD1207" i="1"/>
  <c r="D1217" i="1"/>
  <c r="AI1216" i="1"/>
  <c r="AO1216" i="1" s="1"/>
  <c r="AI1246" i="1"/>
  <c r="AO1246" i="1" s="1"/>
  <c r="AP1246" i="1" s="1"/>
  <c r="C1248" i="1" s="1"/>
  <c r="AV827" i="1"/>
  <c r="D1247" i="1"/>
  <c r="BD1417" i="1"/>
  <c r="AZ1217" i="1"/>
  <c r="AX1217" i="1" s="1"/>
  <c r="AQ809" i="1"/>
  <c r="BO806" i="1" s="1"/>
  <c r="BK810" i="1" s="1"/>
  <c r="AZ1417" i="1"/>
  <c r="AX1417" i="1" s="1"/>
  <c r="BB1337" i="1"/>
  <c r="AZ1337" i="1"/>
  <c r="AX1337" i="1" s="1"/>
  <c r="D1337" i="1"/>
  <c r="AT1247" i="1"/>
  <c r="AC1247" i="1" s="1"/>
  <c r="D1417" i="1"/>
  <c r="BD1337" i="1"/>
  <c r="AT1036" i="1"/>
  <c r="AV159" i="1"/>
  <c r="BB159" i="1" s="1"/>
  <c r="AX440" i="1"/>
  <c r="AD1567" i="1" s="1"/>
  <c r="AN380" i="1"/>
  <c r="D378" i="1" s="1"/>
  <c r="AN300" i="1"/>
  <c r="D298" i="1" s="1"/>
  <c r="AN350" i="1"/>
  <c r="D348" i="1" s="1"/>
  <c r="AN310" i="1"/>
  <c r="D308" i="1" s="1"/>
  <c r="AN340" i="1"/>
  <c r="D338" i="1" s="1"/>
  <c r="AN370" i="1"/>
  <c r="D368" i="1" s="1"/>
  <c r="AU1501" i="1"/>
  <c r="AT1501" i="1" s="1"/>
  <c r="AJ1501" i="1" s="1"/>
  <c r="D1501" i="1" s="1"/>
  <c r="AD1555" i="1"/>
  <c r="AI1557" i="1" s="1"/>
  <c r="C1557" i="1" s="1"/>
  <c r="AP440" i="1"/>
  <c r="AC1877" i="1"/>
  <c r="E1877" i="1" s="1"/>
  <c r="E1878" i="1"/>
  <c r="AI597" i="1"/>
  <c r="AM597" i="1" s="1"/>
  <c r="AI674" i="1"/>
  <c r="AM674" i="1" s="1"/>
  <c r="AI563" i="1"/>
  <c r="AM563" i="1" s="1"/>
  <c r="AI519" i="1"/>
  <c r="AM519" i="1" s="1"/>
  <c r="AN360" i="1"/>
  <c r="D358" i="1" s="1"/>
  <c r="AN400" i="1"/>
  <c r="D398" i="1" s="1"/>
  <c r="AN410" i="1"/>
  <c r="D408" i="1" s="1"/>
  <c r="AN390" i="1"/>
  <c r="D388" i="1" s="1"/>
  <c r="BB440" i="1"/>
  <c r="BG302" i="1"/>
  <c r="BI302" i="1"/>
  <c r="AN330" i="1"/>
  <c r="D328" i="1" s="1"/>
  <c r="AN420" i="1"/>
  <c r="D418" i="1" s="1"/>
  <c r="BH302" i="1"/>
  <c r="BJ302" i="1"/>
  <c r="BD440" i="1"/>
  <c r="AP1256" i="1"/>
  <c r="C1258" i="1" s="1"/>
  <c r="AY1026" i="1"/>
  <c r="AE1062" i="1"/>
  <c r="AP1316" i="1"/>
  <c r="C1318" i="1" s="1"/>
  <c r="AP1336" i="1"/>
  <c r="C1338" i="1" s="1"/>
  <c r="BH350" i="1"/>
  <c r="BJ340" i="1"/>
  <c r="AP1226" i="1"/>
  <c r="C1228" i="1" s="1"/>
  <c r="BG316" i="1"/>
  <c r="BG315" i="1"/>
  <c r="AP1436" i="1"/>
  <c r="C1438" i="1" s="1"/>
  <c r="AP1426" i="1"/>
  <c r="C1428" i="1" s="1"/>
  <c r="AP1296" i="1"/>
  <c r="C1298" i="1" s="1"/>
  <c r="AP1396" i="1"/>
  <c r="C1398" i="1" s="1"/>
  <c r="BI795" i="1"/>
  <c r="BJ795" i="1" s="1"/>
  <c r="AI1556" i="1"/>
  <c r="C1555" i="1"/>
  <c r="BG336" i="1"/>
  <c r="BG335" i="1"/>
  <c r="BH325" i="1"/>
  <c r="BG346" i="1"/>
  <c r="BG345" i="1"/>
  <c r="BI316" i="1"/>
  <c r="BI315" i="1"/>
  <c r="AP1236" i="1"/>
  <c r="C1238" i="1" s="1"/>
  <c r="BJ316" i="1"/>
  <c r="BJ315" i="1"/>
  <c r="BJ313" i="1"/>
  <c r="D1243" i="1"/>
  <c r="AS1253" i="1"/>
  <c r="AP1326" i="1"/>
  <c r="C1328" i="1" s="1"/>
  <c r="AP1266" i="1"/>
  <c r="C1268" i="1" s="1"/>
  <c r="AP1276" i="1"/>
  <c r="C1278" i="1" s="1"/>
  <c r="BH342" i="1"/>
  <c r="AP1416" i="1"/>
  <c r="C1418" i="1" s="1"/>
  <c r="AP1216" i="1"/>
  <c r="C1218" i="1" s="1"/>
  <c r="AP1406" i="1"/>
  <c r="C1408" i="1" s="1"/>
  <c r="BH336" i="1"/>
  <c r="BH335" i="1"/>
  <c r="AK1032" i="1"/>
  <c r="AN1032" i="1" s="1"/>
  <c r="AR817" i="1"/>
  <c r="BJ323" i="1"/>
  <c r="BJ326" i="1"/>
  <c r="BJ325" i="1"/>
  <c r="AP1386" i="1"/>
  <c r="C1388" i="1" s="1"/>
  <c r="AD1043" i="1"/>
  <c r="B60" i="1" s="1"/>
  <c r="BS810" i="1"/>
  <c r="BG814" i="1"/>
  <c r="BH316" i="1"/>
  <c r="BH315" i="1"/>
  <c r="BI326" i="1"/>
  <c r="BI325" i="1"/>
  <c r="AZ919" i="1"/>
  <c r="AN917" i="1"/>
  <c r="AG914" i="1"/>
  <c r="BB913" i="1" s="1"/>
  <c r="AT776" i="1"/>
  <c r="AS776" i="1"/>
  <c r="AP1346" i="1"/>
  <c r="C1348" i="1" s="1"/>
  <c r="AP1376" i="1"/>
  <c r="C1378" i="1" s="1"/>
  <c r="BJ332" i="1"/>
  <c r="BI332" i="1"/>
  <c r="AP1366" i="1"/>
  <c r="C1368" i="1" s="1"/>
  <c r="AP1306" i="1"/>
  <c r="C1308" i="1" s="1"/>
  <c r="AP1286" i="1"/>
  <c r="C1288" i="1" s="1"/>
  <c r="BG326" i="1"/>
  <c r="BG325" i="1"/>
  <c r="AI1562" i="3" l="1"/>
  <c r="AI1563" i="3"/>
  <c r="C1563" i="3" s="1"/>
  <c r="BD1201" i="1"/>
  <c r="AD1561" i="1"/>
  <c r="AI1562" i="1" s="1"/>
  <c r="AI1569" i="2"/>
  <c r="C1569" i="2" s="1"/>
  <c r="AI1557" i="2"/>
  <c r="C1557" i="2" s="1"/>
  <c r="AC836" i="2"/>
  <c r="B52" i="2" s="1"/>
  <c r="AI1556" i="3"/>
  <c r="AO1557" i="3" s="1"/>
  <c r="D1557" i="3" s="1"/>
  <c r="AI1557" i="3"/>
  <c r="C1557" i="3" s="1"/>
  <c r="B59" i="3"/>
  <c r="AG65" i="3"/>
  <c r="C1574" i="3"/>
  <c r="AO1575" i="3"/>
  <c r="D1575" i="3" s="1"/>
  <c r="BH336" i="3"/>
  <c r="BH335" i="3"/>
  <c r="AT777" i="3"/>
  <c r="AS777" i="3"/>
  <c r="D1408" i="3"/>
  <c r="D1368" i="3"/>
  <c r="D1338" i="3"/>
  <c r="D1418" i="3"/>
  <c r="D1378" i="3"/>
  <c r="D1288" i="3"/>
  <c r="D1438" i="3"/>
  <c r="D1428" i="3"/>
  <c r="D1398" i="3"/>
  <c r="D1388" i="3"/>
  <c r="D1358" i="3"/>
  <c r="D1348" i="3"/>
  <c r="D1328" i="3"/>
  <c r="D1308" i="3"/>
  <c r="D1278" i="3"/>
  <c r="D1298" i="3"/>
  <c r="D1268" i="3"/>
  <c r="D1238" i="3"/>
  <c r="D1318" i="3"/>
  <c r="D1248" i="3"/>
  <c r="D1208" i="3"/>
  <c r="D1258" i="3"/>
  <c r="D1228" i="3"/>
  <c r="D1218" i="3"/>
  <c r="BB576" i="3"/>
  <c r="AX576" i="3"/>
  <c r="AZ576" i="3" s="1"/>
  <c r="BD576" i="3" s="1"/>
  <c r="BB537" i="3"/>
  <c r="AX537" i="3"/>
  <c r="AZ537" i="3" s="1"/>
  <c r="BD537" i="3" s="1"/>
  <c r="BI806" i="3"/>
  <c r="BK806" i="3" s="1"/>
  <c r="BD814" i="3" s="1"/>
  <c r="BD810" i="3"/>
  <c r="BI807" i="3"/>
  <c r="BK807" i="3" s="1"/>
  <c r="BF814" i="3" s="1"/>
  <c r="BO806" i="3"/>
  <c r="BH350" i="3"/>
  <c r="BJ340" i="3"/>
  <c r="BH342" i="3"/>
  <c r="BG342" i="3"/>
  <c r="BG336" i="3"/>
  <c r="BG335" i="3"/>
  <c r="AU1511" i="3"/>
  <c r="AO1569" i="3"/>
  <c r="D1569" i="3" s="1"/>
  <c r="C1568" i="3"/>
  <c r="AZ1200" i="3"/>
  <c r="AC1200" i="3" s="1"/>
  <c r="C1199" i="3" s="1"/>
  <c r="AO1199" i="3"/>
  <c r="AX592" i="3"/>
  <c r="AZ592" i="3" s="1"/>
  <c r="BD592" i="3" s="1"/>
  <c r="BB592" i="3"/>
  <c r="BB508" i="3"/>
  <c r="AX508" i="3"/>
  <c r="AZ508" i="3" s="1"/>
  <c r="BD508" i="3" s="1"/>
  <c r="BJ332" i="3"/>
  <c r="BI332" i="3"/>
  <c r="D1253" i="3"/>
  <c r="AS1263" i="3"/>
  <c r="AX626" i="3"/>
  <c r="AZ626" i="3" s="1"/>
  <c r="BD626" i="3" s="1"/>
  <c r="BB626" i="3"/>
  <c r="AO1563" i="3"/>
  <c r="D1563" i="3" s="1"/>
  <c r="C1562" i="3"/>
  <c r="BG463" i="3"/>
  <c r="C439" i="3"/>
  <c r="AX587" i="3"/>
  <c r="AZ587" i="3" s="1"/>
  <c r="BD587" i="3" s="1"/>
  <c r="BB587" i="3"/>
  <c r="BB571" i="3"/>
  <c r="AX571" i="3"/>
  <c r="AZ571" i="3" s="1"/>
  <c r="BD571" i="3" s="1"/>
  <c r="AX687" i="3"/>
  <c r="AZ687" i="3" s="1"/>
  <c r="BD687" i="3" s="1"/>
  <c r="BB687" i="3"/>
  <c r="AO1581" i="3"/>
  <c r="D1581" i="3" s="1"/>
  <c r="C1580" i="3"/>
  <c r="AX637" i="3"/>
  <c r="AZ637" i="3" s="1"/>
  <c r="BD637" i="3" s="1"/>
  <c r="BB637" i="3"/>
  <c r="C1580" i="2"/>
  <c r="AO1581" i="2"/>
  <c r="D1581" i="2" s="1"/>
  <c r="BH360" i="2"/>
  <c r="BJ350" i="2"/>
  <c r="BH352" i="2"/>
  <c r="BG352" i="2"/>
  <c r="BI336" i="2"/>
  <c r="BI335" i="2"/>
  <c r="BG463" i="2"/>
  <c r="C439" i="2"/>
  <c r="D1418" i="2"/>
  <c r="D1378" i="2"/>
  <c r="D1338" i="2"/>
  <c r="D1408" i="2"/>
  <c r="D1368" i="2"/>
  <c r="D1298" i="2"/>
  <c r="D1268" i="2"/>
  <c r="D1238" i="2"/>
  <c r="D1438" i="2"/>
  <c r="D1398" i="2"/>
  <c r="D1358" i="2"/>
  <c r="D1328" i="2"/>
  <c r="D1258" i="2"/>
  <c r="D1228" i="2"/>
  <c r="D1428" i="2"/>
  <c r="D1388" i="2"/>
  <c r="D1348" i="2"/>
  <c r="D1288" i="2"/>
  <c r="D1208" i="2"/>
  <c r="D1318" i="2"/>
  <c r="D1278" i="2"/>
  <c r="D1308" i="2"/>
  <c r="D1248" i="2"/>
  <c r="D1218" i="2"/>
  <c r="AT1511" i="2"/>
  <c r="AJ1511" i="2" s="1"/>
  <c r="D1511" i="2" s="1"/>
  <c r="AU1521" i="2"/>
  <c r="AO1575" i="2"/>
  <c r="D1575" i="2" s="1"/>
  <c r="C1574" i="2"/>
  <c r="BI806" i="2"/>
  <c r="BK806" i="2" s="1"/>
  <c r="BD814" i="2" s="1"/>
  <c r="BD810" i="2"/>
  <c r="BO806" i="2"/>
  <c r="BK810" i="2" s="1"/>
  <c r="BI807" i="2"/>
  <c r="BK807" i="2" s="1"/>
  <c r="BF814" i="2" s="1"/>
  <c r="C1568" i="2"/>
  <c r="AO1569" i="2"/>
  <c r="D1569" i="2" s="1"/>
  <c r="B917" i="2"/>
  <c r="AM919" i="2"/>
  <c r="AD920" i="2" s="1"/>
  <c r="B59" i="2" s="1"/>
  <c r="AS777" i="2"/>
  <c r="AT777" i="2"/>
  <c r="BG346" i="2"/>
  <c r="BG345" i="2"/>
  <c r="BJ342" i="2"/>
  <c r="BI342" i="2"/>
  <c r="AO1563" i="2"/>
  <c r="D1563" i="2" s="1"/>
  <c r="C1562" i="2"/>
  <c r="BJ333" i="2"/>
  <c r="BJ336" i="2"/>
  <c r="BJ335" i="2"/>
  <c r="C1556" i="2"/>
  <c r="AO1557" i="2"/>
  <c r="D1557" i="2" s="1"/>
  <c r="AO1199" i="2"/>
  <c r="AZ1200" i="2"/>
  <c r="AC1200" i="2" s="1"/>
  <c r="C1199" i="2" s="1"/>
  <c r="D1253" i="2"/>
  <c r="AS1263" i="2"/>
  <c r="BD1200" i="1"/>
  <c r="BF1200" i="1" s="1"/>
  <c r="AD1573" i="1"/>
  <c r="C1573" i="1" s="1"/>
  <c r="BD810" i="1"/>
  <c r="AC812" i="1" s="1"/>
  <c r="C1567" i="1"/>
  <c r="AI1569" i="1"/>
  <c r="C1569" i="1" s="1"/>
  <c r="AI1568" i="1"/>
  <c r="AO1569" i="1" s="1"/>
  <c r="D1569" i="1" s="1"/>
  <c r="AD1579" i="1"/>
  <c r="AC836" i="1"/>
  <c r="B52" i="1" s="1"/>
  <c r="BI807" i="1"/>
  <c r="BK807" i="1" s="1"/>
  <c r="BF814" i="1" s="1"/>
  <c r="BI806" i="1"/>
  <c r="BK806" i="1" s="1"/>
  <c r="BD814" i="1" s="1"/>
  <c r="AI1574" i="1"/>
  <c r="C1574" i="1" s="1"/>
  <c r="AU1511" i="1"/>
  <c r="AU1521" i="1" s="1"/>
  <c r="AI1575" i="1"/>
  <c r="C1575" i="1" s="1"/>
  <c r="B439" i="1"/>
  <c r="BG463" i="1" s="1"/>
  <c r="AI1563" i="1"/>
  <c r="C1563" i="1" s="1"/>
  <c r="BH306" i="1"/>
  <c r="BH305" i="1"/>
  <c r="BI306" i="1"/>
  <c r="BI305" i="1"/>
  <c r="BB563" i="1"/>
  <c r="AX563" i="1"/>
  <c r="AZ563" i="1" s="1"/>
  <c r="BD563" i="1" s="1"/>
  <c r="AG687" i="1"/>
  <c r="AM687" i="1" s="1"/>
  <c r="AG592" i="1"/>
  <c r="AM592" i="1" s="1"/>
  <c r="AG571" i="1"/>
  <c r="AM571" i="1" s="1"/>
  <c r="AG626" i="1"/>
  <c r="AM626" i="1" s="1"/>
  <c r="AG576" i="1"/>
  <c r="AM576" i="1" s="1"/>
  <c r="BJ303" i="1"/>
  <c r="BJ306" i="1"/>
  <c r="BJ305" i="1"/>
  <c r="AX519" i="1"/>
  <c r="AZ519" i="1" s="1"/>
  <c r="BD519" i="1" s="1"/>
  <c r="BB519" i="1"/>
  <c r="AH587" i="1"/>
  <c r="AM587" i="1" s="1"/>
  <c r="AH537" i="1"/>
  <c r="AM537" i="1" s="1"/>
  <c r="AH637" i="1"/>
  <c r="AM637" i="1" s="1"/>
  <c r="AH508" i="1"/>
  <c r="AM508" i="1" s="1"/>
  <c r="C1561" i="1"/>
  <c r="BG305" i="1"/>
  <c r="BG306" i="1"/>
  <c r="BB674" i="1"/>
  <c r="AX674" i="1"/>
  <c r="AZ674" i="1" s="1"/>
  <c r="BD674" i="1" s="1"/>
  <c r="AX597" i="1"/>
  <c r="AZ597" i="1" s="1"/>
  <c r="BD597" i="1" s="1"/>
  <c r="BB597" i="1"/>
  <c r="AO1575" i="1"/>
  <c r="D1575" i="1" s="1"/>
  <c r="BJ336" i="1"/>
  <c r="BJ335" i="1"/>
  <c r="BJ333" i="1"/>
  <c r="B917" i="1"/>
  <c r="AM919" i="1"/>
  <c r="AD920" i="1" s="1"/>
  <c r="B59" i="1" s="1"/>
  <c r="BH346" i="1"/>
  <c r="BH345" i="1"/>
  <c r="AO1557" i="1"/>
  <c r="D1557" i="1" s="1"/>
  <c r="C1556" i="1"/>
  <c r="D1253" i="1"/>
  <c r="AS1263" i="1"/>
  <c r="BI342" i="1"/>
  <c r="BJ342" i="1"/>
  <c r="AO1563" i="1"/>
  <c r="D1563" i="1" s="1"/>
  <c r="C1562" i="1"/>
  <c r="D1438" i="1"/>
  <c r="D1428" i="1"/>
  <c r="D1378" i="1"/>
  <c r="D1338" i="1"/>
  <c r="D1308" i="1"/>
  <c r="D1418" i="1"/>
  <c r="D1408" i="1"/>
  <c r="D1368" i="1"/>
  <c r="D1298" i="1"/>
  <c r="D1388" i="1"/>
  <c r="D1348" i="1"/>
  <c r="D1288" i="1"/>
  <c r="D1218" i="1"/>
  <c r="D1398" i="1"/>
  <c r="D1328" i="1"/>
  <c r="D1268" i="1"/>
  <c r="D1238" i="1"/>
  <c r="D1358" i="1"/>
  <c r="D1318" i="1"/>
  <c r="D1258" i="1"/>
  <c r="D1228" i="1"/>
  <c r="D1208" i="1"/>
  <c r="D1278" i="1"/>
  <c r="D1248" i="1"/>
  <c r="BH360" i="1"/>
  <c r="BJ350" i="1"/>
  <c r="BH352" i="1"/>
  <c r="BG352" i="1"/>
  <c r="BI336" i="1"/>
  <c r="BI335" i="1"/>
  <c r="AT777" i="1"/>
  <c r="AS777" i="1"/>
  <c r="AZ1200" i="1"/>
  <c r="AC1200" i="1" s="1"/>
  <c r="C1199" i="1" s="1"/>
  <c r="AO1199" i="1"/>
  <c r="AH812" i="1" l="1"/>
  <c r="C1556" i="3"/>
  <c r="BK810" i="3"/>
  <c r="BO807" i="3"/>
  <c r="BS810" i="3"/>
  <c r="AT1511" i="3"/>
  <c r="AJ1511" i="3" s="1"/>
  <c r="D1511" i="3" s="1"/>
  <c r="AU1521" i="3"/>
  <c r="BH346" i="3"/>
  <c r="BH345" i="3"/>
  <c r="AT778" i="3"/>
  <c r="AS778" i="3"/>
  <c r="BI335" i="3"/>
  <c r="BI336" i="3"/>
  <c r="BJ342" i="3"/>
  <c r="BI342" i="3"/>
  <c r="AH812" i="3"/>
  <c r="AC812" i="3"/>
  <c r="BG498" i="3"/>
  <c r="BG532" i="3" s="1"/>
  <c r="BG566" i="3" s="1"/>
  <c r="BG600" i="3" s="1"/>
  <c r="BG643" i="3" s="1"/>
  <c r="BG682" i="3" s="1"/>
  <c r="BG692" i="3" s="1"/>
  <c r="BG468" i="3"/>
  <c r="BH468" i="3"/>
  <c r="BJ333" i="3"/>
  <c r="BJ336" i="3"/>
  <c r="BJ335" i="3"/>
  <c r="BH360" i="3"/>
  <c r="BJ350" i="3"/>
  <c r="BG352" i="3"/>
  <c r="BH352" i="3"/>
  <c r="D1263" i="3"/>
  <c r="AS1273" i="3"/>
  <c r="BG346" i="3"/>
  <c r="BG345" i="3"/>
  <c r="BI346" i="2"/>
  <c r="BI345" i="2"/>
  <c r="BJ343" i="2"/>
  <c r="BJ346" i="2"/>
  <c r="BJ345" i="2"/>
  <c r="AS778" i="2"/>
  <c r="AT778" i="2"/>
  <c r="BH370" i="2"/>
  <c r="BJ360" i="2"/>
  <c r="BH362" i="2"/>
  <c r="BG362" i="2"/>
  <c r="AS1273" i="2"/>
  <c r="D1263" i="2"/>
  <c r="BG498" i="2"/>
  <c r="BG532" i="2" s="1"/>
  <c r="BG566" i="2" s="1"/>
  <c r="BG600" i="2" s="1"/>
  <c r="BG643" i="2" s="1"/>
  <c r="BG682" i="2" s="1"/>
  <c r="BG692" i="2" s="1"/>
  <c r="BH468" i="2"/>
  <c r="BG468" i="2"/>
  <c r="BG356" i="2"/>
  <c r="BG355" i="2"/>
  <c r="AH812" i="2"/>
  <c r="AC812" i="2"/>
  <c r="AT1521" i="2"/>
  <c r="AJ1521" i="2" s="1"/>
  <c r="D1521" i="2" s="1"/>
  <c r="AU1531" i="2"/>
  <c r="AT1531" i="2" s="1"/>
  <c r="AJ1531" i="2" s="1"/>
  <c r="D1531" i="2" s="1"/>
  <c r="BH356" i="2"/>
  <c r="BH355" i="2"/>
  <c r="BI352" i="2"/>
  <c r="BJ352" i="2"/>
  <c r="C1568" i="1"/>
  <c r="C1579" i="1"/>
  <c r="AI1580" i="1"/>
  <c r="AI1581" i="1"/>
  <c r="C1581" i="1" s="1"/>
  <c r="AT1511" i="1"/>
  <c r="AJ1511" i="1" s="1"/>
  <c r="D1511" i="1" s="1"/>
  <c r="C439" i="1"/>
  <c r="AT1521" i="1"/>
  <c r="AJ1521" i="1" s="1"/>
  <c r="D1521" i="1" s="1"/>
  <c r="AU1531" i="1"/>
  <c r="AT1531" i="1" s="1"/>
  <c r="AJ1531" i="1" s="1"/>
  <c r="D1531" i="1" s="1"/>
  <c r="AX537" i="1"/>
  <c r="AZ537" i="1" s="1"/>
  <c r="BD537" i="1" s="1"/>
  <c r="BB537" i="1"/>
  <c r="BB626" i="1"/>
  <c r="AX626" i="1"/>
  <c r="AZ626" i="1" s="1"/>
  <c r="BD626" i="1" s="1"/>
  <c r="BB687" i="1"/>
  <c r="AX687" i="1"/>
  <c r="AZ687" i="1" s="1"/>
  <c r="BD687" i="1" s="1"/>
  <c r="AC811" i="1"/>
  <c r="B49" i="1" s="1"/>
  <c r="AX587" i="1"/>
  <c r="AZ587" i="1" s="1"/>
  <c r="BD587" i="1" s="1"/>
  <c r="BB587" i="1"/>
  <c r="AX571" i="1"/>
  <c r="AZ571" i="1" s="1"/>
  <c r="BD571" i="1" s="1"/>
  <c r="BB571" i="1"/>
  <c r="AX637" i="1"/>
  <c r="AZ637" i="1" s="1"/>
  <c r="BD637" i="1" s="1"/>
  <c r="BB637" i="1"/>
  <c r="BB576" i="1"/>
  <c r="AX576" i="1"/>
  <c r="AZ576" i="1" s="1"/>
  <c r="BD576" i="1" s="1"/>
  <c r="BB508" i="1"/>
  <c r="AX508" i="1"/>
  <c r="AZ508" i="1" s="1"/>
  <c r="BD508" i="1" s="1"/>
  <c r="AX592" i="1"/>
  <c r="AZ592" i="1" s="1"/>
  <c r="BD592" i="1" s="1"/>
  <c r="BB592" i="1"/>
  <c r="BG356" i="1"/>
  <c r="BG355" i="1"/>
  <c r="AT778" i="1"/>
  <c r="AS778" i="1"/>
  <c r="BH356" i="1"/>
  <c r="BH355" i="1"/>
  <c r="BJ352" i="1"/>
  <c r="BI352" i="1"/>
  <c r="BJ346" i="1"/>
  <c r="BJ345" i="1"/>
  <c r="BJ343" i="1"/>
  <c r="D1263" i="1"/>
  <c r="AS1273" i="1"/>
  <c r="BH370" i="1"/>
  <c r="BJ360" i="1"/>
  <c r="BH362" i="1"/>
  <c r="BG362" i="1"/>
  <c r="BI346" i="1"/>
  <c r="BI345" i="1"/>
  <c r="BG498" i="1"/>
  <c r="BG532" i="1" s="1"/>
  <c r="BG566" i="1" s="1"/>
  <c r="BG600" i="1" s="1"/>
  <c r="BG643" i="1" s="1"/>
  <c r="BG682" i="1" s="1"/>
  <c r="BG692" i="1" s="1"/>
  <c r="BG468" i="1"/>
  <c r="BH468" i="1"/>
  <c r="AC811" i="2" l="1"/>
  <c r="B49" i="2" s="1"/>
  <c r="AC811" i="3"/>
  <c r="B49" i="3" s="1"/>
  <c r="BH356" i="3"/>
  <c r="BH355" i="3"/>
  <c r="BJ468" i="3"/>
  <c r="E468" i="3" s="1"/>
  <c r="BH473" i="3"/>
  <c r="AT1521" i="3"/>
  <c r="AJ1521" i="3" s="1"/>
  <c r="D1521" i="3" s="1"/>
  <c r="AU1531" i="3"/>
  <c r="AT1531" i="3" s="1"/>
  <c r="AJ1531" i="3" s="1"/>
  <c r="D1531" i="3" s="1"/>
  <c r="AT779" i="3"/>
  <c r="AS779" i="3"/>
  <c r="AS1283" i="3"/>
  <c r="D1273" i="3"/>
  <c r="BG356" i="3"/>
  <c r="BG355" i="3"/>
  <c r="BI352" i="3"/>
  <c r="BJ352" i="3"/>
  <c r="BI346" i="3"/>
  <c r="BI345" i="3"/>
  <c r="BI468" i="3"/>
  <c r="E467" i="3" s="1"/>
  <c r="BG473" i="3"/>
  <c r="BH370" i="3"/>
  <c r="BJ360" i="3"/>
  <c r="BH362" i="3"/>
  <c r="BG362" i="3"/>
  <c r="BJ346" i="3"/>
  <c r="BJ345" i="3"/>
  <c r="BJ343" i="3"/>
  <c r="BI468" i="2"/>
  <c r="E467" i="2" s="1"/>
  <c r="BG473" i="2"/>
  <c r="D1273" i="2"/>
  <c r="AS1283" i="2"/>
  <c r="BH380" i="2"/>
  <c r="BJ370" i="2"/>
  <c r="BG372" i="2"/>
  <c r="BH372" i="2"/>
  <c r="BI356" i="2"/>
  <c r="BI355" i="2"/>
  <c r="BJ468" i="2"/>
  <c r="E468" i="2" s="1"/>
  <c r="BH473" i="2"/>
  <c r="BG366" i="2"/>
  <c r="BG365" i="2"/>
  <c r="BJ356" i="2"/>
  <c r="BJ355" i="2"/>
  <c r="BJ353" i="2"/>
  <c r="BJ362" i="2"/>
  <c r="BI362" i="2"/>
  <c r="BH366" i="2"/>
  <c r="BH365" i="2"/>
  <c r="AS779" i="2"/>
  <c r="AT779" i="2"/>
  <c r="C1580" i="1"/>
  <c r="AO1581" i="1"/>
  <c r="D1581" i="1" s="1"/>
  <c r="BI468" i="1"/>
  <c r="E467" i="1" s="1"/>
  <c r="BG473" i="1"/>
  <c r="BG366" i="1"/>
  <c r="BG365" i="1"/>
  <c r="BH365" i="1"/>
  <c r="BH366" i="1"/>
  <c r="BI362" i="1"/>
  <c r="BJ362" i="1"/>
  <c r="BI355" i="1"/>
  <c r="BI356" i="1"/>
  <c r="BJ468" i="1"/>
  <c r="E468" i="1" s="1"/>
  <c r="BH473" i="1"/>
  <c r="BJ370" i="1"/>
  <c r="BH380" i="1"/>
  <c r="BH372" i="1"/>
  <c r="BG372" i="1"/>
  <c r="BJ355" i="1"/>
  <c r="BJ353" i="1"/>
  <c r="BJ356" i="1"/>
  <c r="AT779" i="1"/>
  <c r="AS779" i="1"/>
  <c r="D1273" i="1"/>
  <c r="AS1283" i="1"/>
  <c r="AS1293" i="3" l="1"/>
  <c r="D1283" i="3"/>
  <c r="BJ362" i="3"/>
  <c r="BI362" i="3"/>
  <c r="BJ356" i="3"/>
  <c r="BJ355" i="3"/>
  <c r="BJ353" i="3"/>
  <c r="BJ473" i="3"/>
  <c r="E473" i="3" s="1"/>
  <c r="BH479" i="3"/>
  <c r="BG366" i="3"/>
  <c r="BG365" i="3"/>
  <c r="BH366" i="3"/>
  <c r="BH365" i="3"/>
  <c r="BH380" i="3"/>
  <c r="BJ370" i="3"/>
  <c r="BH372" i="3"/>
  <c r="BG372" i="3"/>
  <c r="BI356" i="3"/>
  <c r="BI355" i="3"/>
  <c r="BI473" i="3"/>
  <c r="E472" i="3" s="1"/>
  <c r="BG479" i="3"/>
  <c r="BJ372" i="2"/>
  <c r="BI372" i="2"/>
  <c r="BI473" i="2"/>
  <c r="E472" i="2" s="1"/>
  <c r="BG479" i="2"/>
  <c r="BI366" i="2"/>
  <c r="BI365" i="2"/>
  <c r="BH390" i="2"/>
  <c r="BJ380" i="2"/>
  <c r="BH382" i="2"/>
  <c r="BG382" i="2"/>
  <c r="BJ366" i="2"/>
  <c r="BJ365" i="2"/>
  <c r="BJ363" i="2"/>
  <c r="BJ473" i="2"/>
  <c r="E473" i="2" s="1"/>
  <c r="BH479" i="2"/>
  <c r="BH376" i="2"/>
  <c r="BH375" i="2"/>
  <c r="D1283" i="2"/>
  <c r="AS1293" i="2"/>
  <c r="BG376" i="2"/>
  <c r="BG375" i="2"/>
  <c r="BH375" i="1"/>
  <c r="BH376" i="1"/>
  <c r="BJ366" i="1"/>
  <c r="BJ365" i="1"/>
  <c r="BJ363" i="1"/>
  <c r="BH390" i="1"/>
  <c r="BJ380" i="1"/>
  <c r="BH382" i="1"/>
  <c r="BG382" i="1"/>
  <c r="BI365" i="1"/>
  <c r="BI366" i="1"/>
  <c r="BJ372" i="1"/>
  <c r="BI372" i="1"/>
  <c r="BI473" i="1"/>
  <c r="E472" i="1" s="1"/>
  <c r="BG479" i="1"/>
  <c r="D1283" i="1"/>
  <c r="AS1293" i="1"/>
  <c r="BG375" i="1"/>
  <c r="BG376" i="1"/>
  <c r="BJ473" i="1"/>
  <c r="E473" i="1" s="1"/>
  <c r="BH479" i="1"/>
  <c r="BG376" i="3" l="1"/>
  <c r="BG375" i="3"/>
  <c r="BJ363" i="3"/>
  <c r="BJ366" i="3"/>
  <c r="BJ365" i="3"/>
  <c r="BH376" i="3"/>
  <c r="BH375" i="3"/>
  <c r="BJ479" i="3"/>
  <c r="E479" i="3" s="1"/>
  <c r="BH484" i="3"/>
  <c r="BI372" i="3"/>
  <c r="BJ372" i="3"/>
  <c r="D1293" i="3"/>
  <c r="AS1303" i="3"/>
  <c r="BI479" i="3"/>
  <c r="E478" i="3" s="1"/>
  <c r="BG484" i="3"/>
  <c r="BH390" i="3"/>
  <c r="BJ380" i="3"/>
  <c r="BG382" i="3"/>
  <c r="BH382" i="3"/>
  <c r="BI366" i="3"/>
  <c r="BI365" i="3"/>
  <c r="BJ382" i="2"/>
  <c r="BI382" i="2"/>
  <c r="BJ479" i="2"/>
  <c r="E479" i="2" s="1"/>
  <c r="BH484" i="2"/>
  <c r="BH400" i="2"/>
  <c r="BJ390" i="2"/>
  <c r="BG392" i="2"/>
  <c r="BH392" i="2"/>
  <c r="AS1303" i="2"/>
  <c r="D1293" i="2"/>
  <c r="BG386" i="2"/>
  <c r="BG385" i="2"/>
  <c r="BI376" i="2"/>
  <c r="BI375" i="2"/>
  <c r="BI479" i="2"/>
  <c r="E478" i="2" s="1"/>
  <c r="BG484" i="2"/>
  <c r="BH386" i="2"/>
  <c r="BH385" i="2"/>
  <c r="BJ373" i="2"/>
  <c r="BJ376" i="2"/>
  <c r="BJ375" i="2"/>
  <c r="BH400" i="1"/>
  <c r="BJ390" i="1"/>
  <c r="BG392" i="1"/>
  <c r="BH392" i="1"/>
  <c r="BJ382" i="1"/>
  <c r="BI382" i="1"/>
  <c r="D1293" i="1"/>
  <c r="AS1303" i="1"/>
  <c r="BI376" i="1"/>
  <c r="BI375" i="1"/>
  <c r="BG386" i="1"/>
  <c r="BG385" i="1"/>
  <c r="BI479" i="1"/>
  <c r="E478" i="1" s="1"/>
  <c r="BG484" i="1"/>
  <c r="BJ479" i="1"/>
  <c r="E479" i="1" s="1"/>
  <c r="BH484" i="1"/>
  <c r="BJ376" i="1"/>
  <c r="BJ375" i="1"/>
  <c r="BJ373" i="1"/>
  <c r="BH386" i="1"/>
  <c r="BH385" i="1"/>
  <c r="BJ373" i="3" l="1"/>
  <c r="BJ376" i="3"/>
  <c r="BJ375" i="3"/>
  <c r="BH400" i="3"/>
  <c r="BJ390" i="3"/>
  <c r="BG392" i="3"/>
  <c r="BH392" i="3"/>
  <c r="AS1313" i="3"/>
  <c r="D1303" i="3"/>
  <c r="BI375" i="3"/>
  <c r="BI376" i="3"/>
  <c r="BG386" i="3"/>
  <c r="BG385" i="3"/>
  <c r="BI382" i="3"/>
  <c r="BJ382" i="3"/>
  <c r="BH386" i="3"/>
  <c r="BH385" i="3"/>
  <c r="BI484" i="3"/>
  <c r="E483" i="3" s="1"/>
  <c r="BG490" i="3"/>
  <c r="BJ484" i="3"/>
  <c r="E484" i="3" s="1"/>
  <c r="BH490" i="3"/>
  <c r="BJ484" i="2"/>
  <c r="E484" i="2" s="1"/>
  <c r="BH490" i="2"/>
  <c r="BI392" i="2"/>
  <c r="BJ392" i="2"/>
  <c r="BG396" i="2"/>
  <c r="BG395" i="2"/>
  <c r="BI484" i="2"/>
  <c r="E483" i="2" s="1"/>
  <c r="BG490" i="2"/>
  <c r="D1303" i="2"/>
  <c r="AS1313" i="2"/>
  <c r="BH402" i="2"/>
  <c r="BG402" i="2"/>
  <c r="BH410" i="2"/>
  <c r="BJ400" i="2"/>
  <c r="BI386" i="2"/>
  <c r="BI385" i="2"/>
  <c r="BH396" i="2"/>
  <c r="BH395" i="2"/>
  <c r="BJ383" i="2"/>
  <c r="BJ386" i="2"/>
  <c r="BJ385" i="2"/>
  <c r="BH396" i="1"/>
  <c r="BH395" i="1"/>
  <c r="BJ383" i="1"/>
  <c r="BJ386" i="1"/>
  <c r="BJ385" i="1"/>
  <c r="BG396" i="1"/>
  <c r="BG395" i="1"/>
  <c r="BI386" i="1"/>
  <c r="BI385" i="1"/>
  <c r="BI484" i="1"/>
  <c r="E483" i="1" s="1"/>
  <c r="BG490" i="1"/>
  <c r="AS1313" i="1"/>
  <c r="D1303" i="1"/>
  <c r="BI392" i="1"/>
  <c r="BJ392" i="1"/>
  <c r="BJ484" i="1"/>
  <c r="E484" i="1" s="1"/>
  <c r="BH490" i="1"/>
  <c r="BH410" i="1"/>
  <c r="BJ400" i="1"/>
  <c r="BH402" i="1"/>
  <c r="BG402" i="1"/>
  <c r="BJ490" i="3" l="1"/>
  <c r="E490" i="3" s="1"/>
  <c r="BH495" i="3"/>
  <c r="BI386" i="3"/>
  <c r="BI385" i="3"/>
  <c r="AS1323" i="3"/>
  <c r="D1313" i="3"/>
  <c r="BH410" i="3"/>
  <c r="BJ400" i="3"/>
  <c r="BG402" i="3"/>
  <c r="BH402" i="3"/>
  <c r="BH396" i="3"/>
  <c r="BH395" i="3"/>
  <c r="BI490" i="3"/>
  <c r="E489" i="3" s="1"/>
  <c r="BG495" i="3"/>
  <c r="BG395" i="3"/>
  <c r="BG396" i="3"/>
  <c r="BJ386" i="3"/>
  <c r="BJ385" i="3"/>
  <c r="BJ383" i="3"/>
  <c r="BI392" i="3"/>
  <c r="BJ392" i="3"/>
  <c r="D1313" i="2"/>
  <c r="AS1323" i="2"/>
  <c r="BI396" i="2"/>
  <c r="BI395" i="2"/>
  <c r="BG412" i="2"/>
  <c r="BH420" i="2"/>
  <c r="BJ410" i="2"/>
  <c r="BH412" i="2"/>
  <c r="BJ490" i="2"/>
  <c r="E490" i="2" s="1"/>
  <c r="BH495" i="2"/>
  <c r="BH406" i="2"/>
  <c r="BH405" i="2"/>
  <c r="BJ396" i="2"/>
  <c r="BJ395" i="2"/>
  <c r="BJ393" i="2"/>
  <c r="BI402" i="2"/>
  <c r="BJ402" i="2"/>
  <c r="BG406" i="2"/>
  <c r="BG405" i="2"/>
  <c r="BI490" i="2"/>
  <c r="E489" i="2" s="1"/>
  <c r="BG495" i="2"/>
  <c r="BG406" i="1"/>
  <c r="BG405" i="1"/>
  <c r="BI395" i="1"/>
  <c r="BI396" i="1"/>
  <c r="BJ393" i="1"/>
  <c r="BJ395" i="1"/>
  <c r="BJ396" i="1"/>
  <c r="BH405" i="1"/>
  <c r="BH406" i="1"/>
  <c r="BJ490" i="1"/>
  <c r="E490" i="1" s="1"/>
  <c r="BH495" i="1"/>
  <c r="BG412" i="1"/>
  <c r="BJ410" i="1"/>
  <c r="BH420" i="1"/>
  <c r="BH412" i="1"/>
  <c r="BI490" i="1"/>
  <c r="E489" i="1" s="1"/>
  <c r="BG495" i="1"/>
  <c r="BI402" i="1"/>
  <c r="BJ402" i="1"/>
  <c r="D1313" i="1"/>
  <c r="AS1323" i="1"/>
  <c r="BI402" i="3" l="1"/>
  <c r="BJ402" i="3"/>
  <c r="BI396" i="3"/>
  <c r="BI395" i="3"/>
  <c r="BJ396" i="3"/>
  <c r="BJ395" i="3"/>
  <c r="BJ393" i="3"/>
  <c r="BH420" i="3"/>
  <c r="BJ410" i="3"/>
  <c r="BH412" i="3"/>
  <c r="BG412" i="3"/>
  <c r="BI495" i="3"/>
  <c r="E494" i="3" s="1"/>
  <c r="BG503" i="3"/>
  <c r="BH406" i="3"/>
  <c r="BH405" i="3"/>
  <c r="BG406" i="3"/>
  <c r="BG405" i="3"/>
  <c r="D1323" i="3"/>
  <c r="AS1333" i="3"/>
  <c r="BJ495" i="3"/>
  <c r="E495" i="3" s="1"/>
  <c r="BH503" i="3"/>
  <c r="BI406" i="2"/>
  <c r="BI405" i="2"/>
  <c r="BG416" i="2"/>
  <c r="BG415" i="2"/>
  <c r="BJ495" i="2"/>
  <c r="E495" i="2" s="1"/>
  <c r="BH503" i="2"/>
  <c r="BJ412" i="2"/>
  <c r="BI412" i="2"/>
  <c r="AS1333" i="2"/>
  <c r="D1323" i="2"/>
  <c r="BH416" i="2"/>
  <c r="BH415" i="2"/>
  <c r="BI495" i="2"/>
  <c r="E494" i="2" s="1"/>
  <c r="BG503" i="2"/>
  <c r="BJ406" i="2"/>
  <c r="BJ405" i="2"/>
  <c r="BJ403" i="2"/>
  <c r="BH430" i="2"/>
  <c r="BJ420" i="2"/>
  <c r="BH422" i="2"/>
  <c r="BG422" i="2"/>
  <c r="BJ406" i="1"/>
  <c r="BJ405" i="1"/>
  <c r="BJ403" i="1"/>
  <c r="BH416" i="1"/>
  <c r="BH415" i="1"/>
  <c r="BJ495" i="1"/>
  <c r="E495" i="1" s="1"/>
  <c r="BH503" i="1"/>
  <c r="BG416" i="1"/>
  <c r="BG415" i="1"/>
  <c r="BI405" i="1"/>
  <c r="BI406" i="1"/>
  <c r="BJ420" i="1"/>
  <c r="BH430" i="1"/>
  <c r="BG422" i="1"/>
  <c r="BH422" i="1"/>
  <c r="D1323" i="1"/>
  <c r="AS1333" i="1"/>
  <c r="BI495" i="1"/>
  <c r="E494" i="1" s="1"/>
  <c r="BG503" i="1"/>
  <c r="BI412" i="1"/>
  <c r="BJ412" i="1"/>
  <c r="BJ503" i="3" l="1"/>
  <c r="E503" i="3" s="1"/>
  <c r="BH508" i="3"/>
  <c r="AS1343" i="3"/>
  <c r="D1333" i="3"/>
  <c r="BI503" i="3"/>
  <c r="E502" i="3" s="1"/>
  <c r="BG508" i="3"/>
  <c r="BJ412" i="3"/>
  <c r="BI412" i="3"/>
  <c r="BH430" i="3"/>
  <c r="BJ420" i="3"/>
  <c r="BG422" i="3"/>
  <c r="BH422" i="3"/>
  <c r="BG416" i="3"/>
  <c r="BG415" i="3"/>
  <c r="BJ406" i="3"/>
  <c r="BJ403" i="3"/>
  <c r="BJ405" i="3"/>
  <c r="BH416" i="3"/>
  <c r="BH415" i="3"/>
  <c r="BI406" i="3"/>
  <c r="BI405" i="3"/>
  <c r="BG426" i="2"/>
  <c r="BG425" i="2"/>
  <c r="AS1343" i="2"/>
  <c r="D1333" i="2"/>
  <c r="BJ503" i="2"/>
  <c r="E503" i="2" s="1"/>
  <c r="BH508" i="2"/>
  <c r="BI422" i="2"/>
  <c r="BJ422" i="2"/>
  <c r="BI416" i="2"/>
  <c r="BI415" i="2"/>
  <c r="BI503" i="2"/>
  <c r="E502" i="2" s="1"/>
  <c r="BG508" i="2"/>
  <c r="BH426" i="2"/>
  <c r="BH425" i="2"/>
  <c r="BJ430" i="2"/>
  <c r="BG432" i="2"/>
  <c r="BH432" i="2"/>
  <c r="BH439" i="2" s="1"/>
  <c r="BJ413" i="2"/>
  <c r="BJ416" i="2"/>
  <c r="BJ415" i="2"/>
  <c r="BJ416" i="1"/>
  <c r="BJ415" i="1"/>
  <c r="BJ413" i="1"/>
  <c r="BG426" i="1"/>
  <c r="BG425" i="1"/>
  <c r="BJ503" i="1"/>
  <c r="E503" i="1" s="1"/>
  <c r="BH508" i="1"/>
  <c r="BJ430" i="1"/>
  <c r="BG432" i="1"/>
  <c r="BG439" i="1" s="1"/>
  <c r="BH432" i="1"/>
  <c r="BH439" i="1" s="1"/>
  <c r="AS1343" i="1"/>
  <c r="D1333" i="1"/>
  <c r="BI416" i="1"/>
  <c r="BI415" i="1"/>
  <c r="BI503" i="1"/>
  <c r="E502" i="1" s="1"/>
  <c r="BG508" i="1"/>
  <c r="BI422" i="1"/>
  <c r="BJ422" i="1"/>
  <c r="BH426" i="1"/>
  <c r="BH425" i="1"/>
  <c r="BJ422" i="3" l="1"/>
  <c r="BI422" i="3"/>
  <c r="BJ413" i="3"/>
  <c r="BJ416" i="3"/>
  <c r="BJ415" i="3"/>
  <c r="D1343" i="3"/>
  <c r="AS1353" i="3"/>
  <c r="BG426" i="3"/>
  <c r="BG425" i="3"/>
  <c r="BI416" i="3"/>
  <c r="BI415" i="3"/>
  <c r="BJ430" i="3"/>
  <c r="BG432" i="3"/>
  <c r="BG439" i="3" s="1"/>
  <c r="BH432" i="3"/>
  <c r="BI508" i="3"/>
  <c r="E507" i="3" s="1"/>
  <c r="BG513" i="3"/>
  <c r="BJ508" i="3"/>
  <c r="E508" i="3" s="1"/>
  <c r="BH513" i="3"/>
  <c r="BH425" i="3"/>
  <c r="BH426" i="3"/>
  <c r="BH439" i="3"/>
  <c r="BG436" i="2"/>
  <c r="BG441" i="2" s="1"/>
  <c r="BG435" i="2"/>
  <c r="BG440" i="2" s="1"/>
  <c r="BJ508" i="2"/>
  <c r="E508" i="2" s="1"/>
  <c r="BH513" i="2"/>
  <c r="BG439" i="2"/>
  <c r="BI508" i="2"/>
  <c r="E507" i="2" s="1"/>
  <c r="BG513" i="2"/>
  <c r="BJ423" i="2"/>
  <c r="BJ426" i="2"/>
  <c r="BJ425" i="2"/>
  <c r="BI432" i="2"/>
  <c r="BJ432" i="2"/>
  <c r="BH436" i="2"/>
  <c r="BH441" i="2" s="1"/>
  <c r="BH435" i="2"/>
  <c r="BH440" i="2" s="1"/>
  <c r="BI426" i="2"/>
  <c r="BI425" i="2"/>
  <c r="BI439" i="2"/>
  <c r="D1343" i="2"/>
  <c r="AS1353" i="2"/>
  <c r="BI426" i="1"/>
  <c r="BI425" i="1"/>
  <c r="BG436" i="1"/>
  <c r="BG441" i="1" s="1"/>
  <c r="BG435" i="1"/>
  <c r="BG440" i="1" s="1"/>
  <c r="BI508" i="1"/>
  <c r="E507" i="1" s="1"/>
  <c r="BG513" i="1"/>
  <c r="BI432" i="1"/>
  <c r="BJ432" i="1"/>
  <c r="D1343" i="1"/>
  <c r="AS1353" i="1"/>
  <c r="BJ508" i="1"/>
  <c r="E508" i="1" s="1"/>
  <c r="BH513" i="1"/>
  <c r="BJ423" i="1"/>
  <c r="BJ426" i="1"/>
  <c r="BJ425" i="1"/>
  <c r="BH436" i="1"/>
  <c r="BH441" i="1" s="1"/>
  <c r="BH435" i="1"/>
  <c r="BH440" i="1" s="1"/>
  <c r="BJ432" i="3" l="1"/>
  <c r="BI432" i="3"/>
  <c r="BI439" i="3" s="1"/>
  <c r="BI426" i="3"/>
  <c r="BI425" i="3"/>
  <c r="BJ426" i="3"/>
  <c r="BJ425" i="3"/>
  <c r="BJ423" i="3"/>
  <c r="BI513" i="3"/>
  <c r="E512" i="3" s="1"/>
  <c r="BG519" i="3"/>
  <c r="BJ513" i="3"/>
  <c r="E513" i="3" s="1"/>
  <c r="BH519" i="3"/>
  <c r="BH436" i="3"/>
  <c r="BH441" i="3" s="1"/>
  <c r="BH435" i="3"/>
  <c r="BH440" i="3" s="1"/>
  <c r="D1353" i="3"/>
  <c r="AS1363" i="3"/>
  <c r="BG435" i="3"/>
  <c r="BG440" i="3" s="1"/>
  <c r="BG436" i="3"/>
  <c r="BG441" i="3" s="1"/>
  <c r="BJ436" i="2"/>
  <c r="BJ441" i="2" s="1"/>
  <c r="BJ435" i="2"/>
  <c r="BJ433" i="2"/>
  <c r="BI436" i="2"/>
  <c r="BI441" i="2" s="1"/>
  <c r="BI435" i="2"/>
  <c r="BI440" i="2" s="1"/>
  <c r="BJ513" i="2"/>
  <c r="E513" i="2" s="1"/>
  <c r="BH519" i="2"/>
  <c r="D1353" i="2"/>
  <c r="AS1363" i="2"/>
  <c r="BJ439" i="2"/>
  <c r="BI513" i="2"/>
  <c r="E512" i="2" s="1"/>
  <c r="BG519" i="2"/>
  <c r="BJ440" i="2"/>
  <c r="BJ513" i="1"/>
  <c r="E513" i="1" s="1"/>
  <c r="BH519" i="1"/>
  <c r="BJ433" i="1"/>
  <c r="BJ436" i="1"/>
  <c r="BJ441" i="1" s="1"/>
  <c r="BJ435" i="1"/>
  <c r="BJ440" i="1" s="1"/>
  <c r="BI436" i="1"/>
  <c r="BI441" i="1" s="1"/>
  <c r="BI435" i="1"/>
  <c r="BI440" i="1" s="1"/>
  <c r="BI439" i="1"/>
  <c r="D1353" i="1"/>
  <c r="AS1363" i="1"/>
  <c r="BI513" i="1"/>
  <c r="E512" i="1" s="1"/>
  <c r="BG519" i="1"/>
  <c r="BJ439" i="1"/>
  <c r="BJ519" i="3" l="1"/>
  <c r="E519" i="3" s="1"/>
  <c r="BH524" i="3"/>
  <c r="BI519" i="3"/>
  <c r="E518" i="3" s="1"/>
  <c r="BG524" i="3"/>
  <c r="BI436" i="3"/>
  <c r="BI441" i="3" s="1"/>
  <c r="BI435" i="3"/>
  <c r="BI440" i="3" s="1"/>
  <c r="BJ436" i="3"/>
  <c r="BJ441" i="3" s="1"/>
  <c r="BJ435" i="3"/>
  <c r="BJ440" i="3" s="1"/>
  <c r="BJ433" i="3"/>
  <c r="BJ439" i="3"/>
  <c r="AS1373" i="3"/>
  <c r="D1363" i="3"/>
  <c r="BI519" i="2"/>
  <c r="E518" i="2" s="1"/>
  <c r="BG524" i="2"/>
  <c r="AS1373" i="2"/>
  <c r="D1363" i="2"/>
  <c r="BJ519" i="2"/>
  <c r="E519" i="2" s="1"/>
  <c r="BH524" i="2"/>
  <c r="BI519" i="1"/>
  <c r="E518" i="1" s="1"/>
  <c r="BG524" i="1"/>
  <c r="AS1373" i="1"/>
  <c r="D1363" i="1"/>
  <c r="BJ519" i="1"/>
  <c r="E519" i="1" s="1"/>
  <c r="BH524" i="1"/>
  <c r="D1373" i="3" l="1"/>
  <c r="AS1383" i="3"/>
  <c r="BJ524" i="3"/>
  <c r="E524" i="3" s="1"/>
  <c r="BH529" i="3"/>
  <c r="BI524" i="3"/>
  <c r="E523" i="3" s="1"/>
  <c r="BG529" i="3"/>
  <c r="AS1383" i="2"/>
  <c r="D1373" i="2"/>
  <c r="BJ524" i="2"/>
  <c r="E524" i="2" s="1"/>
  <c r="BH529" i="2"/>
  <c r="BI524" i="2"/>
  <c r="E523" i="2" s="1"/>
  <c r="BG529" i="2"/>
  <c r="AS1383" i="1"/>
  <c r="D1373" i="1"/>
  <c r="BJ524" i="1"/>
  <c r="E524" i="1" s="1"/>
  <c r="BH529" i="1"/>
  <c r="BI524" i="1"/>
  <c r="E523" i="1" s="1"/>
  <c r="BG529" i="1"/>
  <c r="BI529" i="3" l="1"/>
  <c r="E528" i="3" s="1"/>
  <c r="BG537" i="3"/>
  <c r="D1383" i="3"/>
  <c r="AS1393" i="3"/>
  <c r="BJ529" i="3"/>
  <c r="E529" i="3" s="1"/>
  <c r="BH537" i="3"/>
  <c r="BI529" i="2"/>
  <c r="E528" i="2" s="1"/>
  <c r="BG537" i="2"/>
  <c r="D1383" i="2"/>
  <c r="AS1393" i="2"/>
  <c r="BJ529" i="2"/>
  <c r="E529" i="2" s="1"/>
  <c r="BH537" i="2"/>
  <c r="BJ529" i="1"/>
  <c r="E529" i="1" s="1"/>
  <c r="BH537" i="1"/>
  <c r="BI529" i="1"/>
  <c r="E528" i="1" s="1"/>
  <c r="BG537" i="1"/>
  <c r="D1383" i="1"/>
  <c r="AS1393" i="1"/>
  <c r="D1393" i="3" l="1"/>
  <c r="AS1403" i="3"/>
  <c r="BJ537" i="3"/>
  <c r="E537" i="3" s="1"/>
  <c r="BH542" i="3"/>
  <c r="BI537" i="3"/>
  <c r="E536" i="3" s="1"/>
  <c r="BG542" i="3"/>
  <c r="BI537" i="2"/>
  <c r="E536" i="2" s="1"/>
  <c r="BG542" i="2"/>
  <c r="D1393" i="2"/>
  <c r="AS1403" i="2"/>
  <c r="BJ537" i="2"/>
  <c r="E537" i="2" s="1"/>
  <c r="BH542" i="2"/>
  <c r="BI537" i="1"/>
  <c r="E536" i="1" s="1"/>
  <c r="BG542" i="1"/>
  <c r="D1393" i="1"/>
  <c r="AS1403" i="1"/>
  <c r="BJ537" i="1"/>
  <c r="E537" i="1" s="1"/>
  <c r="BH542" i="1"/>
  <c r="BJ542" i="3" l="1"/>
  <c r="E542" i="3" s="1"/>
  <c r="BH547" i="3"/>
  <c r="AS1413" i="3"/>
  <c r="D1403" i="3"/>
  <c r="BI542" i="3"/>
  <c r="E541" i="3" s="1"/>
  <c r="BG547" i="3"/>
  <c r="BJ542" i="2"/>
  <c r="E542" i="2" s="1"/>
  <c r="BH547" i="2"/>
  <c r="AS1413" i="2"/>
  <c r="D1403" i="2"/>
  <c r="BI542" i="2"/>
  <c r="E541" i="2" s="1"/>
  <c r="BG547" i="2"/>
  <c r="D1403" i="1"/>
  <c r="AS1413" i="1"/>
  <c r="BJ542" i="1"/>
  <c r="E542" i="1" s="1"/>
  <c r="BH547" i="1"/>
  <c r="BI542" i="1"/>
  <c r="E541" i="1" s="1"/>
  <c r="BG547" i="1"/>
  <c r="D1413" i="3" l="1"/>
  <c r="AS1423" i="3"/>
  <c r="BI547" i="3"/>
  <c r="E546" i="3" s="1"/>
  <c r="BG553" i="3"/>
  <c r="BJ547" i="3"/>
  <c r="E547" i="3" s="1"/>
  <c r="BH553" i="3"/>
  <c r="BJ547" i="2"/>
  <c r="E547" i="2" s="1"/>
  <c r="BH553" i="2"/>
  <c r="BI547" i="2"/>
  <c r="E546" i="2" s="1"/>
  <c r="BG553" i="2"/>
  <c r="AS1423" i="2"/>
  <c r="D1413" i="2"/>
  <c r="BJ547" i="1"/>
  <c r="E547" i="1" s="1"/>
  <c r="BH553" i="1"/>
  <c r="BI547" i="1"/>
  <c r="E546" i="1" s="1"/>
  <c r="BG553" i="1"/>
  <c r="D1413" i="1"/>
  <c r="AS1423" i="1"/>
  <c r="BI553" i="3" l="1"/>
  <c r="E552" i="3" s="1"/>
  <c r="BG558" i="3"/>
  <c r="BJ553" i="3"/>
  <c r="E553" i="3" s="1"/>
  <c r="BH558" i="3"/>
  <c r="D1423" i="3"/>
  <c r="AS1433" i="3"/>
  <c r="D1433" i="3" s="1"/>
  <c r="BJ553" i="2"/>
  <c r="E553" i="2" s="1"/>
  <c r="BH558" i="2"/>
  <c r="BI553" i="2"/>
  <c r="E552" i="2" s="1"/>
  <c r="BG558" i="2"/>
  <c r="D1423" i="2"/>
  <c r="AS1433" i="2"/>
  <c r="D1433" i="2" s="1"/>
  <c r="BI553" i="1"/>
  <c r="E552" i="1" s="1"/>
  <c r="BG558" i="1"/>
  <c r="AS1433" i="1"/>
  <c r="D1433" i="1" s="1"/>
  <c r="D1423" i="1"/>
  <c r="BJ553" i="1"/>
  <c r="E553" i="1" s="1"/>
  <c r="BH558" i="1"/>
  <c r="BJ558" i="3" l="1"/>
  <c r="E558" i="3" s="1"/>
  <c r="BH563" i="3"/>
  <c r="BI558" i="3"/>
  <c r="E557" i="3" s="1"/>
  <c r="BG563" i="3"/>
  <c r="BJ558" i="2"/>
  <c r="E558" i="2" s="1"/>
  <c r="BH563" i="2"/>
  <c r="BI558" i="2"/>
  <c r="E557" i="2" s="1"/>
  <c r="BG563" i="2"/>
  <c r="BJ558" i="1"/>
  <c r="E558" i="1" s="1"/>
  <c r="BH563" i="1"/>
  <c r="BI558" i="1"/>
  <c r="E557" i="1" s="1"/>
  <c r="BG563" i="1"/>
  <c r="BI563" i="3" l="1"/>
  <c r="E562" i="3" s="1"/>
  <c r="BG571" i="3"/>
  <c r="BJ563" i="3"/>
  <c r="E563" i="3" s="1"/>
  <c r="BH571" i="3"/>
  <c r="BI563" i="2"/>
  <c r="E562" i="2" s="1"/>
  <c r="BG571" i="2"/>
  <c r="BJ563" i="2"/>
  <c r="E563" i="2" s="1"/>
  <c r="BH571" i="2"/>
  <c r="BI563" i="1"/>
  <c r="E562" i="1" s="1"/>
  <c r="BG571" i="1"/>
  <c r="BJ563" i="1"/>
  <c r="E563" i="1" s="1"/>
  <c r="BH571" i="1"/>
  <c r="BJ571" i="3" l="1"/>
  <c r="E571" i="3" s="1"/>
  <c r="BH576" i="3"/>
  <c r="BI571" i="3"/>
  <c r="E570" i="3" s="1"/>
  <c r="BG576" i="3"/>
  <c r="BJ571" i="2"/>
  <c r="E571" i="2" s="1"/>
  <c r="BH576" i="2"/>
  <c r="BI571" i="2"/>
  <c r="E570" i="2" s="1"/>
  <c r="BG576" i="2"/>
  <c r="BI571" i="1"/>
  <c r="E570" i="1" s="1"/>
  <c r="BG576" i="1"/>
  <c r="BJ571" i="1"/>
  <c r="E571" i="1" s="1"/>
  <c r="BH576" i="1"/>
  <c r="BI576" i="3" l="1"/>
  <c r="E575" i="3" s="1"/>
  <c r="BG581" i="3"/>
  <c r="BJ576" i="3"/>
  <c r="E576" i="3" s="1"/>
  <c r="BH581" i="3"/>
  <c r="BI576" i="2"/>
  <c r="E575" i="2" s="1"/>
  <c r="BG581" i="2"/>
  <c r="BJ576" i="2"/>
  <c r="E576" i="2" s="1"/>
  <c r="BH581" i="2"/>
  <c r="BJ576" i="1"/>
  <c r="E576" i="1" s="1"/>
  <c r="BH581" i="1"/>
  <c r="BI576" i="1"/>
  <c r="E575" i="1" s="1"/>
  <c r="BG581" i="1"/>
  <c r="BJ581" i="3" l="1"/>
  <c r="E581" i="3" s="1"/>
  <c r="BH587" i="3"/>
  <c r="BI581" i="3"/>
  <c r="E580" i="3" s="1"/>
  <c r="BG587" i="3"/>
  <c r="BJ581" i="2"/>
  <c r="E581" i="2" s="1"/>
  <c r="BH587" i="2"/>
  <c r="BI581" i="2"/>
  <c r="E580" i="2" s="1"/>
  <c r="BG587" i="2"/>
  <c r="BI581" i="1"/>
  <c r="E580" i="1" s="1"/>
  <c r="BG587" i="1"/>
  <c r="BJ581" i="1"/>
  <c r="E581" i="1" s="1"/>
  <c r="BH587" i="1"/>
  <c r="BI587" i="3" l="1"/>
  <c r="E586" i="3" s="1"/>
  <c r="BG592" i="3"/>
  <c r="BJ587" i="3"/>
  <c r="E587" i="3" s="1"/>
  <c r="BH592" i="3"/>
  <c r="BJ587" i="2"/>
  <c r="E587" i="2" s="1"/>
  <c r="BH592" i="2"/>
  <c r="BI587" i="2"/>
  <c r="E586" i="2" s="1"/>
  <c r="BG592" i="2"/>
  <c r="BJ587" i="1"/>
  <c r="E587" i="1" s="1"/>
  <c r="BH592" i="1"/>
  <c r="BI587" i="1"/>
  <c r="E586" i="1" s="1"/>
  <c r="BG592" i="1"/>
  <c r="BJ592" i="3" l="1"/>
  <c r="E592" i="3" s="1"/>
  <c r="BH597" i="3"/>
  <c r="BI592" i="3"/>
  <c r="E591" i="3" s="1"/>
  <c r="BG597" i="3"/>
  <c r="BI592" i="2"/>
  <c r="E591" i="2" s="1"/>
  <c r="BG597" i="2"/>
  <c r="BJ592" i="2"/>
  <c r="E592" i="2" s="1"/>
  <c r="BH597" i="2"/>
  <c r="BI592" i="1"/>
  <c r="E591" i="1" s="1"/>
  <c r="BG597" i="1"/>
  <c r="BJ592" i="1"/>
  <c r="E592" i="1" s="1"/>
  <c r="BH597" i="1"/>
  <c r="BI597" i="3" l="1"/>
  <c r="E596" i="3" s="1"/>
  <c r="BG605" i="3"/>
  <c r="BJ597" i="3"/>
  <c r="E597" i="3" s="1"/>
  <c r="BH605" i="3"/>
  <c r="BJ597" i="2"/>
  <c r="E597" i="2" s="1"/>
  <c r="BH605" i="2"/>
  <c r="BI597" i="2"/>
  <c r="E596" i="2" s="1"/>
  <c r="BG605" i="2"/>
  <c r="BJ597" i="1"/>
  <c r="E597" i="1" s="1"/>
  <c r="BH605" i="1"/>
  <c r="BI597" i="1"/>
  <c r="E596" i="1" s="1"/>
  <c r="BG605" i="1"/>
  <c r="BJ605" i="3" l="1"/>
  <c r="E605" i="3" s="1"/>
  <c r="BH610" i="3"/>
  <c r="BI605" i="3"/>
  <c r="E604" i="3" s="1"/>
  <c r="BG610" i="3"/>
  <c r="BJ605" i="2"/>
  <c r="E605" i="2" s="1"/>
  <c r="BH610" i="2"/>
  <c r="BI605" i="2"/>
  <c r="E604" i="2" s="1"/>
  <c r="BG610" i="2"/>
  <c r="BI605" i="1"/>
  <c r="E604" i="1" s="1"/>
  <c r="BG610" i="1"/>
  <c r="BJ605" i="1"/>
  <c r="E605" i="1" s="1"/>
  <c r="BH610" i="1"/>
  <c r="BI610" i="3" l="1"/>
  <c r="E609" i="3" s="1"/>
  <c r="BG615" i="3"/>
  <c r="BJ610" i="3"/>
  <c r="E610" i="3" s="1"/>
  <c r="BH615" i="3"/>
  <c r="BI610" i="2"/>
  <c r="E609" i="2" s="1"/>
  <c r="BG615" i="2"/>
  <c r="BJ610" i="2"/>
  <c r="E610" i="2" s="1"/>
  <c r="BH615" i="2"/>
  <c r="BJ610" i="1"/>
  <c r="E610" i="1" s="1"/>
  <c r="BH615" i="1"/>
  <c r="BI610" i="1"/>
  <c r="E609" i="1" s="1"/>
  <c r="BG615" i="1"/>
  <c r="BJ615" i="3" l="1"/>
  <c r="E615" i="3" s="1"/>
  <c r="BH621" i="3"/>
  <c r="BI615" i="3"/>
  <c r="E614" i="3" s="1"/>
  <c r="BG621" i="3"/>
  <c r="BI615" i="2"/>
  <c r="E614" i="2" s="1"/>
  <c r="BG621" i="2"/>
  <c r="BJ615" i="2"/>
  <c r="E615" i="2" s="1"/>
  <c r="BH621" i="2"/>
  <c r="BI615" i="1"/>
  <c r="E614" i="1" s="1"/>
  <c r="BG621" i="1"/>
  <c r="BJ615" i="1"/>
  <c r="E615" i="1" s="1"/>
  <c r="BH621" i="1"/>
  <c r="BI621" i="3" l="1"/>
  <c r="E620" i="3" s="1"/>
  <c r="BG626" i="3"/>
  <c r="BJ621" i="3"/>
  <c r="E621" i="3" s="1"/>
  <c r="BH626" i="3"/>
  <c r="BI621" i="2"/>
  <c r="E620" i="2" s="1"/>
  <c r="BG626" i="2"/>
  <c r="BJ621" i="2"/>
  <c r="E621" i="2" s="1"/>
  <c r="BH626" i="2"/>
  <c r="BJ621" i="1"/>
  <c r="E621" i="1" s="1"/>
  <c r="BH626" i="1"/>
  <c r="BI621" i="1"/>
  <c r="E620" i="1" s="1"/>
  <c r="BG626" i="1"/>
  <c r="BI626" i="3" l="1"/>
  <c r="E625" i="3" s="1"/>
  <c r="BG631" i="3"/>
  <c r="BJ626" i="3"/>
  <c r="E626" i="3" s="1"/>
  <c r="BH631" i="3"/>
  <c r="BI626" i="2"/>
  <c r="E625" i="2" s="1"/>
  <c r="BG631" i="2"/>
  <c r="BJ626" i="2"/>
  <c r="E626" i="2" s="1"/>
  <c r="BH631" i="2"/>
  <c r="BI626" i="1"/>
  <c r="E625" i="1" s="1"/>
  <c r="BG631" i="1"/>
  <c r="BJ626" i="1"/>
  <c r="E626" i="1" s="1"/>
  <c r="BH631" i="1"/>
  <c r="BI631" i="3" l="1"/>
  <c r="E630" i="3" s="1"/>
  <c r="BG637" i="3"/>
  <c r="BJ631" i="3"/>
  <c r="E631" i="3" s="1"/>
  <c r="BH637" i="3"/>
  <c r="BI631" i="2"/>
  <c r="E630" i="2" s="1"/>
  <c r="BG637" i="2"/>
  <c r="BJ631" i="2"/>
  <c r="E631" i="2" s="1"/>
  <c r="BH637" i="2"/>
  <c r="BJ631" i="1"/>
  <c r="E631" i="1" s="1"/>
  <c r="BH637" i="1"/>
  <c r="BI631" i="1"/>
  <c r="E630" i="1" s="1"/>
  <c r="BG637" i="1"/>
  <c r="BJ637" i="3" l="1"/>
  <c r="E637" i="3" s="1"/>
  <c r="BH648" i="3"/>
  <c r="BI637" i="3"/>
  <c r="E636" i="3" s="1"/>
  <c r="BG648" i="3"/>
  <c r="BJ637" i="2"/>
  <c r="E637" i="2" s="1"/>
  <c r="BH648" i="2"/>
  <c r="BI637" i="2"/>
  <c r="E636" i="2" s="1"/>
  <c r="BG648" i="2"/>
  <c r="BI637" i="1"/>
  <c r="E636" i="1" s="1"/>
  <c r="BG648" i="1"/>
  <c r="BJ637" i="1"/>
  <c r="E637" i="1" s="1"/>
  <c r="BH648" i="1"/>
  <c r="BJ648" i="3" l="1"/>
  <c r="E648" i="3" s="1"/>
  <c r="BH653" i="3"/>
  <c r="BI648" i="3"/>
  <c r="E647" i="3" s="1"/>
  <c r="BG653" i="3"/>
  <c r="BI648" i="2"/>
  <c r="E647" i="2" s="1"/>
  <c r="BG653" i="2"/>
  <c r="BJ648" i="2"/>
  <c r="E648" i="2" s="1"/>
  <c r="BH653" i="2"/>
  <c r="BJ648" i="1"/>
  <c r="E648" i="1" s="1"/>
  <c r="BH653" i="1"/>
  <c r="BI648" i="1"/>
  <c r="E647" i="1" s="1"/>
  <c r="BG653" i="1"/>
  <c r="BI653" i="3" l="1"/>
  <c r="E652" i="3" s="1"/>
  <c r="BG658" i="3"/>
  <c r="BJ653" i="3"/>
  <c r="E653" i="3" s="1"/>
  <c r="BH658" i="3"/>
  <c r="BI653" i="2"/>
  <c r="E652" i="2" s="1"/>
  <c r="BG658" i="2"/>
  <c r="BJ653" i="2"/>
  <c r="E653" i="2" s="1"/>
  <c r="BH658" i="2"/>
  <c r="BJ653" i="1"/>
  <c r="E653" i="1" s="1"/>
  <c r="BH658" i="1"/>
  <c r="BI653" i="1"/>
  <c r="E652" i="1" s="1"/>
  <c r="BG658" i="1"/>
  <c r="BI658" i="3" l="1"/>
  <c r="E657" i="3" s="1"/>
  <c r="BG664" i="3"/>
  <c r="BJ658" i="3"/>
  <c r="E658" i="3" s="1"/>
  <c r="BH664" i="3"/>
  <c r="BI658" i="2"/>
  <c r="E657" i="2" s="1"/>
  <c r="BG664" i="2"/>
  <c r="BJ658" i="2"/>
  <c r="E658" i="2" s="1"/>
  <c r="BH664" i="2"/>
  <c r="BI658" i="1"/>
  <c r="E657" i="1" s="1"/>
  <c r="BG664" i="1"/>
  <c r="BJ658" i="1"/>
  <c r="E658" i="1" s="1"/>
  <c r="BH664" i="1"/>
  <c r="BI664" i="3" l="1"/>
  <c r="E663" i="3" s="1"/>
  <c r="BG669" i="3"/>
  <c r="BJ664" i="3"/>
  <c r="E664" i="3" s="1"/>
  <c r="BH669" i="3"/>
  <c r="BJ664" i="2"/>
  <c r="E664" i="2" s="1"/>
  <c r="BH669" i="2"/>
  <c r="BI664" i="2"/>
  <c r="E663" i="2" s="1"/>
  <c r="BG669" i="2"/>
  <c r="BJ664" i="1"/>
  <c r="E664" i="1" s="1"/>
  <c r="BH669" i="1"/>
  <c r="BI664" i="1"/>
  <c r="E663" i="1" s="1"/>
  <c r="BG669" i="1"/>
  <c r="BJ669" i="3" l="1"/>
  <c r="E669" i="3" s="1"/>
  <c r="BH674" i="3"/>
  <c r="BI669" i="3"/>
  <c r="E668" i="3" s="1"/>
  <c r="BG674" i="3"/>
  <c r="BI669" i="2"/>
  <c r="E668" i="2" s="1"/>
  <c r="BG674" i="2"/>
  <c r="BJ669" i="2"/>
  <c r="E669" i="2" s="1"/>
  <c r="BH674" i="2"/>
  <c r="BJ669" i="1"/>
  <c r="E669" i="1" s="1"/>
  <c r="BH674" i="1"/>
  <c r="BI669" i="1"/>
  <c r="E668" i="1" s="1"/>
  <c r="BG674" i="1"/>
  <c r="BI674" i="3" l="1"/>
  <c r="E673" i="3" s="1"/>
  <c r="BG679" i="3"/>
  <c r="BJ674" i="3"/>
  <c r="E674" i="3" s="1"/>
  <c r="BH679" i="3"/>
  <c r="BI674" i="2"/>
  <c r="E673" i="2" s="1"/>
  <c r="BG679" i="2"/>
  <c r="BJ674" i="2"/>
  <c r="E674" i="2" s="1"/>
  <c r="BH679" i="2"/>
  <c r="BI674" i="1"/>
  <c r="E673" i="1" s="1"/>
  <c r="BG679" i="1"/>
  <c r="BJ674" i="1"/>
  <c r="E674" i="1" s="1"/>
  <c r="BH679" i="1"/>
  <c r="BJ679" i="3" l="1"/>
  <c r="E679" i="3" s="1"/>
  <c r="BH687" i="3"/>
  <c r="BI679" i="3"/>
  <c r="E678" i="3" s="1"/>
  <c r="BG687" i="3"/>
  <c r="BJ679" i="2"/>
  <c r="E679" i="2" s="1"/>
  <c r="BH687" i="2"/>
  <c r="BI679" i="2"/>
  <c r="E678" i="2" s="1"/>
  <c r="BG687" i="2"/>
  <c r="BJ679" i="1"/>
  <c r="E679" i="1" s="1"/>
  <c r="BH687" i="1"/>
  <c r="BI679" i="1"/>
  <c r="E678" i="1" s="1"/>
  <c r="BG687" i="1"/>
  <c r="BI687" i="3" l="1"/>
  <c r="E686" i="3" s="1"/>
  <c r="BG697" i="3"/>
  <c r="BJ687" i="3"/>
  <c r="E687" i="3" s="1"/>
  <c r="BH697" i="3"/>
  <c r="BI687" i="2"/>
  <c r="E686" i="2" s="1"/>
  <c r="BG697" i="2"/>
  <c r="BJ687" i="2"/>
  <c r="E687" i="2" s="1"/>
  <c r="BH697" i="2"/>
  <c r="BI687" i="1"/>
  <c r="E686" i="1" s="1"/>
  <c r="BG697" i="1"/>
  <c r="BJ687" i="1"/>
  <c r="E687" i="1" s="1"/>
  <c r="BH697" i="1"/>
  <c r="BJ697" i="3" l="1"/>
  <c r="E697" i="3" s="1"/>
  <c r="BH702" i="3"/>
  <c r="BI697" i="3"/>
  <c r="E696" i="3" s="1"/>
  <c r="BG702" i="3"/>
  <c r="BJ697" i="2"/>
  <c r="E697" i="2" s="1"/>
  <c r="BH702" i="2"/>
  <c r="BI697" i="2"/>
  <c r="E696" i="2" s="1"/>
  <c r="BG702" i="2"/>
  <c r="BJ697" i="1"/>
  <c r="E697" i="1" s="1"/>
  <c r="BH702" i="1"/>
  <c r="BI697" i="1"/>
  <c r="E696" i="1" s="1"/>
  <c r="BG702" i="1"/>
  <c r="BI702" i="3" l="1"/>
  <c r="E701" i="3" s="1"/>
  <c r="BG707" i="3"/>
  <c r="BJ702" i="3"/>
  <c r="E702" i="3" s="1"/>
  <c r="BH707" i="3"/>
  <c r="BJ702" i="2"/>
  <c r="E702" i="2" s="1"/>
  <c r="BH707" i="2"/>
  <c r="BI702" i="2"/>
  <c r="E701" i="2" s="1"/>
  <c r="BG707" i="2"/>
  <c r="BI702" i="1"/>
  <c r="E701" i="1" s="1"/>
  <c r="BG707" i="1"/>
  <c r="BJ702" i="1"/>
  <c r="E702" i="1" s="1"/>
  <c r="BH707" i="1"/>
  <c r="BJ707" i="3" l="1"/>
  <c r="E707" i="3" s="1"/>
  <c r="BH712" i="3"/>
  <c r="BI707" i="3"/>
  <c r="E706" i="3" s="1"/>
  <c r="BG712" i="3"/>
  <c r="BI707" i="2"/>
  <c r="E706" i="2" s="1"/>
  <c r="BG712" i="2"/>
  <c r="BJ707" i="2"/>
  <c r="E707" i="2" s="1"/>
  <c r="BH712" i="2"/>
  <c r="BJ707" i="1"/>
  <c r="E707" i="1" s="1"/>
  <c r="BH712" i="1"/>
  <c r="BI707" i="1"/>
  <c r="E706" i="1" s="1"/>
  <c r="BG712" i="1"/>
  <c r="BI712" i="3" l="1"/>
  <c r="E711" i="3" s="1"/>
  <c r="BG717" i="3"/>
  <c r="BI717" i="3" s="1"/>
  <c r="BJ712" i="3"/>
  <c r="E712" i="3" s="1"/>
  <c r="BH717" i="3"/>
  <c r="BJ717" i="3" s="1"/>
  <c r="E717" i="3" s="1"/>
  <c r="B2" i="3" s="1"/>
  <c r="BJ712" i="2"/>
  <c r="E712" i="2" s="1"/>
  <c r="BH717" i="2"/>
  <c r="BJ717" i="2" s="1"/>
  <c r="E717" i="2" s="1"/>
  <c r="B2" i="2" s="1"/>
  <c r="BI712" i="2"/>
  <c r="E711" i="2" s="1"/>
  <c r="BG717" i="2"/>
  <c r="BI717" i="2" s="1"/>
  <c r="E716" i="2" s="1"/>
  <c r="B1" i="2" s="1"/>
  <c r="BI712" i="1"/>
  <c r="E711" i="1" s="1"/>
  <c r="BG717" i="1"/>
  <c r="BI717" i="1" s="1"/>
  <c r="E716" i="1" s="1"/>
  <c r="B1" i="1" s="1"/>
  <c r="AU749" i="1" s="1"/>
  <c r="BJ712" i="1"/>
  <c r="E712" i="1" s="1"/>
  <c r="BH717" i="1"/>
  <c r="BJ717" i="1" s="1"/>
  <c r="E717" i="1" s="1"/>
  <c r="B2" i="1" s="1"/>
  <c r="AU750" i="1" s="1"/>
  <c r="E716" i="3" l="1"/>
  <c r="B1" i="3" s="1"/>
  <c r="AU750" i="3"/>
  <c r="BG2" i="3"/>
  <c r="AU749" i="2"/>
  <c r="AD1" i="2"/>
  <c r="AG1" i="2"/>
  <c r="AC1" i="2"/>
  <c r="AF1" i="2"/>
  <c r="BG1" i="2"/>
  <c r="D1" i="2" s="1"/>
  <c r="AE1" i="2"/>
  <c r="AU750" i="2"/>
  <c r="BG2" i="2"/>
  <c r="BG2" i="1"/>
  <c r="AF1" i="1"/>
  <c r="BG1" i="1"/>
  <c r="D1" i="1" s="1"/>
  <c r="AE1" i="1"/>
  <c r="AD1" i="1"/>
  <c r="AG1" i="1"/>
  <c r="AC1" i="1"/>
  <c r="AU749" i="3" l="1"/>
  <c r="AG1" i="3"/>
  <c r="AD1" i="3"/>
  <c r="BG1" i="3"/>
  <c r="D1" i="3" s="1"/>
  <c r="AC1" i="3"/>
  <c r="AE1" i="3"/>
  <c r="AF1" i="3"/>
  <c r="C1084" i="3"/>
  <c r="D2227" i="3"/>
  <c r="C1089" i="3" s="1"/>
  <c r="D2225" i="3"/>
  <c r="D2221" i="3"/>
  <c r="C1067" i="3" s="1"/>
  <c r="D2226" i="3"/>
  <c r="C1086" i="3" s="1"/>
  <c r="D2222" i="3"/>
  <c r="C1069" i="3" s="1"/>
  <c r="D2228" i="3"/>
  <c r="C1092" i="3" s="1"/>
  <c r="D2224" i="3"/>
  <c r="C1081" i="3" s="1"/>
  <c r="D2223" i="3"/>
  <c r="C1077" i="3" s="1"/>
  <c r="AI1063" i="3"/>
  <c r="B1063" i="3" s="1"/>
  <c r="AC1063" i="3"/>
  <c r="BN2277" i="3" s="1"/>
  <c r="BN2264" i="3" l="1"/>
  <c r="BN2257" i="3"/>
  <c r="BN2263" i="3"/>
  <c r="BN2250" i="3"/>
  <c r="BN2290" i="3"/>
  <c r="AD1092" i="3"/>
  <c r="BN2265" i="3"/>
  <c r="BN2291" i="3"/>
  <c r="BN2284" i="3"/>
  <c r="BN2248" i="3"/>
  <c r="BN2274" i="3"/>
  <c r="BN2242" i="3"/>
  <c r="AG1092" i="3"/>
  <c r="BN2266" i="3"/>
  <c r="BN2272" i="3"/>
  <c r="BN2253" i="3"/>
  <c r="BN2267" i="3"/>
  <c r="AF1092" i="3"/>
  <c r="AE1092" i="3"/>
  <c r="BN2251" i="3"/>
  <c r="BN2261" i="3"/>
  <c r="BN2258" i="3"/>
  <c r="BN2286" i="3"/>
  <c r="BN2255" i="3"/>
  <c r="BN2268" i="3"/>
  <c r="BN2269" i="3"/>
  <c r="BN2271" i="3"/>
  <c r="BN2289" i="3"/>
  <c r="BN2287" i="3"/>
  <c r="BN2262" i="3"/>
  <c r="BN2247" i="3"/>
  <c r="BN2288" i="3"/>
  <c r="BN2246" i="3"/>
  <c r="D2229" i="3" s="1"/>
  <c r="C1095" i="3" s="1"/>
  <c r="BN2275" i="3"/>
  <c r="BN2260" i="3"/>
  <c r="BN2285" i="3"/>
  <c r="BN227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author>
  </authors>
  <commentList>
    <comment ref="F1" authorId="0" shapeId="0" xr:uid="{A4810BEF-243B-410E-9DEA-F4C0689C1993}">
      <text>
        <r>
          <rPr>
            <b/>
            <sz val="9"/>
            <color indexed="81"/>
            <rFont val="Tahoma"/>
            <family val="2"/>
          </rPr>
          <t xml:space="preserve">
</t>
        </r>
        <r>
          <rPr>
            <b/>
            <sz val="14"/>
            <color indexed="81"/>
            <rFont val="Tahoma"/>
            <family val="2"/>
          </rPr>
          <t xml:space="preserve">
</t>
        </r>
        <r>
          <rPr>
            <b/>
            <sz val="14"/>
            <color indexed="22"/>
            <rFont val="Tahoma"/>
            <family val="2"/>
          </rPr>
          <t>DISPLAY PAGES
All information 
gets entered below</t>
        </r>
        <r>
          <rPr>
            <sz val="14"/>
            <color indexed="81"/>
            <rFont val="Tahoma"/>
            <family val="2"/>
          </rPr>
          <t xml:space="preserve">
</t>
        </r>
        <r>
          <rPr>
            <b/>
            <sz val="14"/>
            <color indexed="22"/>
            <rFont val="Tahoma"/>
            <family val="2"/>
          </rPr>
          <t>DISPLAY PAGES
All information gets entered below
This soft text does not print</t>
        </r>
        <r>
          <rPr>
            <sz val="14"/>
            <color indexed="81"/>
            <rFont val="Tahoma"/>
            <family val="2"/>
          </rPr>
          <t xml:space="preserve">
</t>
        </r>
      </text>
    </comment>
    <comment ref="B14" authorId="0" shapeId="0" xr:uid="{42BECBBE-8410-4B89-B9A0-8F6407D47202}">
      <text>
        <r>
          <rPr>
            <sz val="12"/>
            <color indexed="9"/>
            <rFont val="Tahoma"/>
            <family val="2"/>
          </rPr>
          <t>Complete Item #64 and this automatically fills in with that text.</t>
        </r>
      </text>
    </comment>
    <comment ref="D271" authorId="0" shapeId="0" xr:uid="{E073D5EF-DB38-44E6-8086-5319370FDAFE}">
      <text>
        <r>
          <rPr>
            <sz val="9"/>
            <color indexed="81"/>
            <rFont val="Tahoma"/>
            <family val="2"/>
          </rPr>
          <t>If for life, leave formula "=TODAY()".</t>
        </r>
      </text>
    </comment>
    <comment ref="B289" authorId="0" shapeId="0" xr:uid="{018E340A-EE55-4F43-9004-05063A3E0094}">
      <text>
        <r>
          <rPr>
            <sz val="10"/>
            <color indexed="16"/>
            <rFont val="Tahoma"/>
            <family val="2"/>
          </rPr>
          <t>Before you spill too much here, scan the questions below. Especially in section C. There you receive ample opportunity to demonstrate your overlooked innocence.</t>
        </r>
      </text>
    </comment>
    <comment ref="B640" authorId="0" shapeId="0" xr:uid="{7A22C7E3-613B-4AC4-A260-BAE6B54860AD}">
      <text>
        <r>
          <rPr>
            <sz val="9"/>
            <color indexed="81"/>
            <rFont val="Tahoma"/>
            <family val="2"/>
          </rPr>
          <t xml:space="preserve">
</t>
        </r>
        <r>
          <rPr>
            <b/>
            <sz val="18"/>
            <color indexed="51"/>
            <rFont val="Tahoma"/>
            <family val="2"/>
          </rPr>
          <t xml:space="preserve">No Evidence Required
</t>
        </r>
      </text>
    </comment>
    <comment ref="B689" authorId="0" shapeId="0" xr:uid="{2974A460-0578-4DB6-AA1F-8BF1936B6886}">
      <text>
        <r>
          <rPr>
            <sz val="9"/>
            <color indexed="81"/>
            <rFont val="Tahoma"/>
            <family val="2"/>
          </rPr>
          <t xml:space="preserve">
</t>
        </r>
        <r>
          <rPr>
            <b/>
            <sz val="16"/>
            <color indexed="51"/>
            <rFont val="Tahoma"/>
            <family val="2"/>
          </rPr>
          <t>No Evidence Required</t>
        </r>
        <r>
          <rPr>
            <sz val="9"/>
            <color indexed="81"/>
            <rFont val="Tahoma"/>
            <family val="2"/>
          </rPr>
          <t xml:space="preserve">
</t>
        </r>
      </text>
    </comment>
    <comment ref="C1065" authorId="0" shapeId="0" xr:uid="{57CD68E2-D090-425C-A363-0B8F47B973D7}">
      <text>
        <r>
          <rPr>
            <b/>
            <sz val="9"/>
            <color indexed="81"/>
            <rFont val="Tahoma"/>
            <charset val="1"/>
          </rPr>
          <t xml:space="preserve">change as needed. </t>
        </r>
        <r>
          <rPr>
            <sz val="9"/>
            <color indexed="81"/>
            <rFont val="Tahoma"/>
            <charset val="1"/>
          </rPr>
          <t>Select how many years incarcerated from the dropdown menu.</t>
        </r>
      </text>
    </comment>
    <comment ref="D1065" authorId="0" shapeId="0" xr:uid="{85BDA528-BE98-4AD8-BB43-FB2AB4EF0815}">
      <text>
        <r>
          <rPr>
            <b/>
            <sz val="9"/>
            <color indexed="81"/>
            <rFont val="Tahoma"/>
            <family val="2"/>
          </rPr>
          <t xml:space="preserve">Change as needed. </t>
        </r>
        <r>
          <rPr>
            <sz val="9"/>
            <color indexed="81"/>
            <rFont val="Tahoma"/>
            <family val="2"/>
          </rPr>
          <t>Select a state to see its compensation statute, if it has one, and how it could affect you.</t>
        </r>
      </text>
    </comment>
    <comment ref="B1608" authorId="0" shapeId="0" xr:uid="{4244A66B-C439-401B-9CE9-1179D122E231}">
      <text>
        <r>
          <rPr>
            <sz val="9"/>
            <color indexed="81"/>
            <rFont val="Tahoma"/>
            <family val="2"/>
          </rPr>
          <t xml:space="preserve">Hoffman, Morris B. (2007). The Myth of Factual Innocence. </t>
        </r>
        <r>
          <rPr>
            <i/>
            <sz val="9"/>
            <color indexed="81"/>
            <rFont val="Tahoma"/>
            <family val="2"/>
          </rPr>
          <t>82 Chi.-Kent L. Rev.</t>
        </r>
        <r>
          <rPr>
            <sz val="9"/>
            <color indexed="81"/>
            <rFont val="Tahoma"/>
            <family val="2"/>
          </rPr>
          <t xml:space="preserve"> 663. 
| judicial official | def. "actual innocence" | method: qualitative</t>
        </r>
      </text>
    </comment>
    <comment ref="B1611" authorId="0" shapeId="0" xr:uid="{8673FF8A-9E34-4EFF-940C-89402CDC2EE9}">
      <text>
        <r>
          <rPr>
            <sz val="9"/>
            <color indexed="81"/>
            <rFont val="Tahoma"/>
            <family val="2"/>
          </rPr>
          <t xml:space="preserve">Cassell, Paul G. (2018). Overstating America’s Wrongful Conviction Rate? Reassessing the Conventional Wisdom About the Prevalence of Wrongful Convictions. </t>
        </r>
        <r>
          <rPr>
            <i/>
            <sz val="9"/>
            <color indexed="81"/>
            <rFont val="Tahoma"/>
            <family val="2"/>
          </rPr>
          <t>Arizona Law Review, 60</t>
        </r>
        <r>
          <rPr>
            <sz val="9"/>
            <color indexed="81"/>
            <rFont val="Tahoma"/>
            <family val="2"/>
          </rPr>
          <t>:815.
| judicial official | def. "actual innocence" | method: qualitative</t>
        </r>
      </text>
    </comment>
    <comment ref="B1614" authorId="0" shapeId="0" xr:uid="{9AE45C15-0C6D-4B0F-BA06-24C37C333B48}">
      <text>
        <r>
          <rPr>
            <i/>
            <sz val="9"/>
            <color indexed="81"/>
            <rFont val="Tahoma"/>
            <family val="2"/>
          </rPr>
          <t>Kansas v. Marsh</t>
        </r>
        <r>
          <rPr>
            <sz val="9"/>
            <color indexed="81"/>
            <rFont val="Tahoma"/>
            <family val="2"/>
          </rPr>
          <t xml:space="preserve"> (2006). U.S. Supreme Court Justice Antonin Scalia, </t>
        </r>
        <r>
          <rPr>
            <sz val="9"/>
            <color indexed="55"/>
            <rFont val="Tahoma"/>
            <family val="2"/>
          </rPr>
          <t>quoting Joshua Marquis in U.S. Supreme Court opinion:</t>
        </r>
        <r>
          <rPr>
            <sz val="9"/>
            <color indexed="81"/>
            <rFont val="Tahoma"/>
            <family val="2"/>
          </rPr>
          <t xml:space="preserve"> Marquis, Joshua. (2005). The Myth of Innocence, </t>
        </r>
        <r>
          <rPr>
            <i/>
            <sz val="9"/>
            <color indexed="81"/>
            <rFont val="Tahoma"/>
            <family val="2"/>
          </rPr>
          <t>95 J. Crim. L. &amp; Criminolog</t>
        </r>
        <r>
          <rPr>
            <sz val="9"/>
            <color indexed="81"/>
            <rFont val="Tahoma"/>
            <family val="2"/>
          </rPr>
          <t>y 501.
| judicial official | def. "actual innocence" | method: quote opinion piece</t>
        </r>
      </text>
    </comment>
    <comment ref="B1617" authorId="0" shapeId="0" xr:uid="{7E8C07FF-A939-4E4D-8A20-29DDE25DBD6E}">
      <text>
        <r>
          <rPr>
            <sz val="9"/>
            <color indexed="81"/>
            <rFont val="Tahoma"/>
            <family val="2"/>
          </rPr>
          <t xml:space="preserve">Zalman, Marvin (2012). Qualitatively Estimating the Incidence of Wrongful Convictions. </t>
        </r>
        <r>
          <rPr>
            <i/>
            <sz val="9"/>
            <color indexed="81"/>
            <rFont val="Tahoma"/>
            <family val="2"/>
          </rPr>
          <t>Criminal Law Bulletin, 48</t>
        </r>
        <r>
          <rPr>
            <sz val="9"/>
            <color indexed="81"/>
            <rFont val="Tahoma"/>
            <family val="2"/>
          </rPr>
          <t>:2, 219-279. 
| nonjudicial academic | def. "actual innocence" | method: qualitative</t>
        </r>
      </text>
    </comment>
    <comment ref="B1620" authorId="0" shapeId="0" xr:uid="{42B0D149-F6B2-40E9-A604-7DE9BA38EFFE}">
      <text>
        <r>
          <rPr>
            <sz val="9"/>
            <color indexed="81"/>
            <rFont val="Tahoma"/>
            <family val="2"/>
          </rPr>
          <t xml:space="preserve">Ramsey, Robert H. and Frank, James (2007). Wrongful Conviction: Perceptions of Criminal Justice Professionals Regarding the Frequency of Wrongful Conviction and the Extent of System Errors. </t>
        </r>
        <r>
          <rPr>
            <i/>
            <sz val="9"/>
            <color indexed="81"/>
            <rFont val="Tahoma"/>
            <family val="2"/>
          </rPr>
          <t>Crime &amp; Delinq, 53</t>
        </r>
        <r>
          <rPr>
            <sz val="9"/>
            <color indexed="81"/>
            <rFont val="Tahoma"/>
            <family val="2"/>
          </rPr>
          <t>:3, 436-470.
| nonjudicial academic | def. "actual innocence" | method: self-reporting</t>
        </r>
      </text>
    </comment>
    <comment ref="B1623" authorId="0" shapeId="0" xr:uid="{A098263F-B960-4CC8-9995-A61A6E163B2A}">
      <text>
        <r>
          <rPr>
            <sz val="9"/>
            <color indexed="81"/>
            <rFont val="Tahoma"/>
            <family val="2"/>
          </rPr>
          <t xml:space="preserve">Gross, Samuel R. (2008). “Frequency and Predictors of False Conviction: Why We Know So Little, and New Data on Capital Cases.” B. O’Brien, co-author. J. </t>
        </r>
        <r>
          <rPr>
            <i/>
            <sz val="9"/>
            <color indexed="81"/>
            <rFont val="Tahoma"/>
            <family val="2"/>
          </rPr>
          <t>Empirical Legal Stud. 5</t>
        </r>
        <r>
          <rPr>
            <sz val="9"/>
            <color indexed="81"/>
            <rFont val="Tahoma"/>
            <family val="2"/>
          </rPr>
          <t>, no. 4: 927-6.
| nonjudicial academic | def. legal exoneration | method: matched samples</t>
        </r>
      </text>
    </comment>
    <comment ref="B1626" authorId="0" shapeId="0" xr:uid="{16D48EF3-4354-44AC-8E58-C713A076F538}">
      <text>
        <r>
          <rPr>
            <sz val="9"/>
            <color indexed="81"/>
            <rFont val="Tahoma"/>
            <family val="2"/>
          </rPr>
          <t xml:space="preserve">Risinger, D. Michael (2007). Innocents Convicted: An Empirical Justified Factual Wrongful Conviction Rate, </t>
        </r>
        <r>
          <rPr>
            <i/>
            <sz val="9"/>
            <color indexed="81"/>
            <rFont val="Tahoma"/>
            <family val="2"/>
          </rPr>
          <t>J. Crim. L. &amp; Criminology 97</t>
        </r>
        <r>
          <rPr>
            <sz val="9"/>
            <color indexed="81"/>
            <rFont val="Tahoma"/>
            <family val="2"/>
          </rPr>
          <t>:761.
| nonjudicial academic | def. legal exoneration | method: matched samples</t>
        </r>
      </text>
    </comment>
    <comment ref="B1629" authorId="0" shapeId="0" xr:uid="{7D9979CD-821A-4B1F-B657-526B8F316670}">
      <text>
        <r>
          <rPr>
            <sz val="9"/>
            <color indexed="81"/>
            <rFont val="Tahoma"/>
            <family val="2"/>
          </rPr>
          <t xml:space="preserve">Samuel R. Gross, Barbara O’Brien, Chen Hu, and Edward H. Kennedy (2014). Rate of False Conviction of Criminal Defendants Who are Sentenced to Death. </t>
        </r>
        <r>
          <rPr>
            <i/>
            <sz val="9"/>
            <color indexed="81"/>
            <rFont val="Tahoma"/>
            <family val="2"/>
          </rPr>
          <t>Proceedings of the National Academy of Science, 111</t>
        </r>
        <r>
          <rPr>
            <sz val="9"/>
            <color indexed="81"/>
            <rFont val="Tahoma"/>
            <family val="2"/>
          </rPr>
          <t>:2, 7230-7235.
| nonjudicial academic | def. legal exoneration | method: matched samples</t>
        </r>
      </text>
    </comment>
    <comment ref="B1632" authorId="0" shapeId="0" xr:uid="{85F5888A-8261-4DB0-ABCB-E3ED4C67985F}">
      <text>
        <r>
          <rPr>
            <sz val="9"/>
            <color indexed="81"/>
            <rFont val="Tahoma"/>
            <family val="2"/>
          </rPr>
          <t>John Roman, Kelly Walsh, Pamela Lachman, and Jennifer Yahner (2012). Post-Conviction DNA Testing and Wrongful Conviction. Urban Institute.
| nonjudicial academic | def. "actual innocence" | method: matched samples</t>
        </r>
      </text>
    </comment>
    <comment ref="B1635" authorId="0" shapeId="0" xr:uid="{6F8B5C26-C190-49A9-BD23-5BF50B8E8193}">
      <text>
        <r>
          <rPr>
            <sz val="9"/>
            <color indexed="81"/>
            <rFont val="Tahoma"/>
            <family val="2"/>
          </rPr>
          <t xml:space="preserve">Loeffler, C.E., Hyatt, J. &amp; Ridgeway, G. (2019). Measuring Self-Reported Wrongful Convictions Among Prisoners. </t>
        </r>
        <r>
          <rPr>
            <i/>
            <sz val="9"/>
            <color indexed="81"/>
            <rFont val="Tahoma"/>
            <family val="2"/>
          </rPr>
          <t>J Quant Criminol 35</t>
        </r>
        <r>
          <rPr>
            <sz val="9"/>
            <color indexed="81"/>
            <rFont val="Tahoma"/>
            <family val="2"/>
          </rPr>
          <t>, 259–286.
| nonjudicial academic | def. "actual innocence" | method: self-reporting</t>
        </r>
      </text>
    </comment>
    <comment ref="B1638" authorId="0" shapeId="0" xr:uid="{EF4FC085-437C-4DB0-B1C2-3DECFFE3C624}">
      <text>
        <r>
          <rPr>
            <sz val="9"/>
            <color indexed="81"/>
            <rFont val="Tahoma"/>
            <family val="2"/>
          </rPr>
          <t>Walsh, K., Hussemann, J., Flynn, A., Yahner, J., Golian, L. (2017). Estimating the Prevalence of Wrongful Conviction. Office of Justice Programs’ National Criminal Justice Reference Service.
| nonjudicial official | def. "actual innocence" | method: matched samples</t>
        </r>
      </text>
    </comment>
    <comment ref="B1641" authorId="0" shapeId="0" xr:uid="{BB8ECB19-9F49-45E3-8F8A-7B8DCF46BB21}">
      <text>
        <r>
          <rPr>
            <sz val="9"/>
            <color indexed="81"/>
            <rFont val="Tahoma"/>
            <family val="2"/>
          </rPr>
          <t xml:space="preserve">Poveda, T.G. (2001). Estimating Wrongful Convictions. </t>
        </r>
        <r>
          <rPr>
            <i/>
            <sz val="9"/>
            <color indexed="81"/>
            <rFont val="Tahoma"/>
            <family val="2"/>
          </rPr>
          <t>Justice Quarterly, 18</t>
        </r>
        <r>
          <rPr>
            <sz val="9"/>
            <color indexed="81"/>
            <rFont val="Tahoma"/>
            <family val="2"/>
          </rPr>
          <t>:3, 689-708.
| nonjudicial academic | def. "actual innocence" | method: self-reporting</t>
        </r>
      </text>
    </comment>
    <comment ref="AB2255" authorId="0" shapeId="0" xr:uid="{47702E37-EF06-421F-A99D-D21F4CDF66EE}">
      <text>
        <r>
          <rPr>
            <sz val="9"/>
            <color indexed="81"/>
            <rFont val="Tahoma"/>
            <family val="2"/>
          </rPr>
          <t>735 ILCS 5/2-702 (petition for certificate of innocence)
705 ILCS 505/8 (compensation)</t>
        </r>
      </text>
    </comment>
    <comment ref="AB2284" authorId="0" shapeId="0" xr:uid="{4624AE07-FF11-483B-B09B-068B669A10BA}">
      <text>
        <r>
          <rPr>
            <sz val="9"/>
            <color indexed="81"/>
            <rFont val="Tahoma"/>
            <family val="2"/>
          </rPr>
          <t>Tenn. Code Ann. §40-27-109 (exoneration)
Tenn. Code Ann. § 9-8-108 (compensation)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author>
  </authors>
  <commentList>
    <comment ref="F1" authorId="0" shapeId="0" xr:uid="{6F95570F-5F14-44EB-AFF7-BD69061067AD}">
      <text>
        <r>
          <rPr>
            <b/>
            <sz val="9"/>
            <color indexed="81"/>
            <rFont val="Tahoma"/>
            <family val="2"/>
          </rPr>
          <t xml:space="preserve">
</t>
        </r>
        <r>
          <rPr>
            <b/>
            <sz val="14"/>
            <color indexed="81"/>
            <rFont val="Tahoma"/>
            <family val="2"/>
          </rPr>
          <t xml:space="preserve">
</t>
        </r>
        <r>
          <rPr>
            <b/>
            <sz val="14"/>
            <color indexed="22"/>
            <rFont val="Tahoma"/>
            <family val="2"/>
          </rPr>
          <t>DISPLAY PAGES
All information 
gets entered below</t>
        </r>
        <r>
          <rPr>
            <sz val="14"/>
            <color indexed="81"/>
            <rFont val="Tahoma"/>
            <family val="2"/>
          </rPr>
          <t xml:space="preserve">
</t>
        </r>
        <r>
          <rPr>
            <b/>
            <sz val="14"/>
            <color indexed="22"/>
            <rFont val="Tahoma"/>
            <family val="2"/>
          </rPr>
          <t>DISPLAY PAGES
All information gets entered below
This soft text does not print</t>
        </r>
        <r>
          <rPr>
            <sz val="14"/>
            <color indexed="81"/>
            <rFont val="Tahoma"/>
            <family val="2"/>
          </rPr>
          <t xml:space="preserve">
</t>
        </r>
      </text>
    </comment>
    <comment ref="B14" authorId="0" shapeId="0" xr:uid="{841DA300-75A1-4E3C-88D7-EA10B2196FB1}">
      <text>
        <r>
          <rPr>
            <sz val="12"/>
            <color indexed="9"/>
            <rFont val="Tahoma"/>
            <family val="2"/>
          </rPr>
          <t>Complete Item #64 and this automatically fills in with that text.</t>
        </r>
      </text>
    </comment>
    <comment ref="D271" authorId="0" shapeId="0" xr:uid="{3C8DE697-8401-47C4-9FD8-24E60198981F}">
      <text>
        <r>
          <rPr>
            <sz val="9"/>
            <color indexed="81"/>
            <rFont val="Tahoma"/>
            <family val="2"/>
          </rPr>
          <t>If for life, leave formula "=TODAY()".</t>
        </r>
      </text>
    </comment>
    <comment ref="B289" authorId="0" shapeId="0" xr:uid="{CED7D497-9B63-4A67-8189-CD79140D12AB}">
      <text>
        <r>
          <rPr>
            <sz val="10"/>
            <color indexed="16"/>
            <rFont val="Tahoma"/>
            <family val="2"/>
          </rPr>
          <t>Before you spill too much here, scan the questions below. Especially in section C. There you receive ample opportunity to demonstrate your overlooked innocence.</t>
        </r>
      </text>
    </comment>
    <comment ref="B640" authorId="0" shapeId="0" xr:uid="{D567F3B1-3CE6-4D4A-98DB-73DD76A62A12}">
      <text>
        <r>
          <rPr>
            <sz val="9"/>
            <color indexed="81"/>
            <rFont val="Tahoma"/>
            <family val="2"/>
          </rPr>
          <t xml:space="preserve">
</t>
        </r>
        <r>
          <rPr>
            <b/>
            <sz val="18"/>
            <color indexed="51"/>
            <rFont val="Tahoma"/>
            <family val="2"/>
          </rPr>
          <t xml:space="preserve">No Evidence Required
</t>
        </r>
      </text>
    </comment>
    <comment ref="B689" authorId="0" shapeId="0" xr:uid="{F01046EE-0655-4D25-B9B6-D94A5D2C303B}">
      <text>
        <r>
          <rPr>
            <sz val="9"/>
            <color indexed="81"/>
            <rFont val="Tahoma"/>
            <family val="2"/>
          </rPr>
          <t xml:space="preserve">
</t>
        </r>
        <r>
          <rPr>
            <b/>
            <sz val="16"/>
            <color indexed="51"/>
            <rFont val="Tahoma"/>
            <family val="2"/>
          </rPr>
          <t>No Evidence Required</t>
        </r>
        <r>
          <rPr>
            <sz val="9"/>
            <color indexed="81"/>
            <rFont val="Tahoma"/>
            <family val="2"/>
          </rPr>
          <t xml:space="preserve">
</t>
        </r>
      </text>
    </comment>
    <comment ref="B1608" authorId="0" shapeId="0" xr:uid="{973C99A2-CC99-494B-A721-D41D9B709739}">
      <text>
        <r>
          <rPr>
            <sz val="9"/>
            <color indexed="81"/>
            <rFont val="Tahoma"/>
            <family val="2"/>
          </rPr>
          <t xml:space="preserve">Hoffman, Morris B. (2007). The Myth of Factual Innocence. </t>
        </r>
        <r>
          <rPr>
            <i/>
            <sz val="9"/>
            <color indexed="81"/>
            <rFont val="Tahoma"/>
            <family val="2"/>
          </rPr>
          <t>82 Chi.-Kent L. Rev.</t>
        </r>
        <r>
          <rPr>
            <sz val="9"/>
            <color indexed="81"/>
            <rFont val="Tahoma"/>
            <family val="2"/>
          </rPr>
          <t xml:space="preserve"> 663. 
| judicial official | def. "actual innocence" | method: qualitative</t>
        </r>
      </text>
    </comment>
    <comment ref="B1611" authorId="0" shapeId="0" xr:uid="{930FF39B-CA6F-4A32-B608-E91192AE8E11}">
      <text>
        <r>
          <rPr>
            <sz val="9"/>
            <color indexed="81"/>
            <rFont val="Tahoma"/>
            <family val="2"/>
          </rPr>
          <t xml:space="preserve">Cassell, Paul G. (2018). Overstating America’s Wrongful Conviction Rate? Reassessing the Conventional Wisdom About the Prevalence of Wrongful Convictions. </t>
        </r>
        <r>
          <rPr>
            <i/>
            <sz val="9"/>
            <color indexed="81"/>
            <rFont val="Tahoma"/>
            <family val="2"/>
          </rPr>
          <t>Arizona Law Review, 60</t>
        </r>
        <r>
          <rPr>
            <sz val="9"/>
            <color indexed="81"/>
            <rFont val="Tahoma"/>
            <family val="2"/>
          </rPr>
          <t>:815.
| judicial official | def. "actual innocence" | method: qualitative</t>
        </r>
      </text>
    </comment>
    <comment ref="B1614" authorId="0" shapeId="0" xr:uid="{6E10E0C0-0365-4AEB-BD09-D17645DF0FB1}">
      <text>
        <r>
          <rPr>
            <i/>
            <sz val="9"/>
            <color indexed="81"/>
            <rFont val="Tahoma"/>
            <family val="2"/>
          </rPr>
          <t>Kansas v. Marsh</t>
        </r>
        <r>
          <rPr>
            <sz val="9"/>
            <color indexed="81"/>
            <rFont val="Tahoma"/>
            <family val="2"/>
          </rPr>
          <t xml:space="preserve"> (2006). U.S. Supreme Court Justice Antonin Scalia, </t>
        </r>
        <r>
          <rPr>
            <sz val="9"/>
            <color indexed="55"/>
            <rFont val="Tahoma"/>
            <family val="2"/>
          </rPr>
          <t>quoting Joshua Marquis in U.S. Supreme Court opinion:</t>
        </r>
        <r>
          <rPr>
            <sz val="9"/>
            <color indexed="81"/>
            <rFont val="Tahoma"/>
            <family val="2"/>
          </rPr>
          <t xml:space="preserve"> Marquis, Joshua. (2005). The Myth of Innocence, </t>
        </r>
        <r>
          <rPr>
            <i/>
            <sz val="9"/>
            <color indexed="81"/>
            <rFont val="Tahoma"/>
            <family val="2"/>
          </rPr>
          <t>95 J. Crim. L. &amp; Criminolog</t>
        </r>
        <r>
          <rPr>
            <sz val="9"/>
            <color indexed="81"/>
            <rFont val="Tahoma"/>
            <family val="2"/>
          </rPr>
          <t>y 501.
| judicial official | def. "actual innocence" | method: quote opinion piece</t>
        </r>
      </text>
    </comment>
    <comment ref="B1617" authorId="0" shapeId="0" xr:uid="{6309ADAC-5876-45AC-B7FC-CD2E214CFFBC}">
      <text>
        <r>
          <rPr>
            <sz val="9"/>
            <color indexed="81"/>
            <rFont val="Tahoma"/>
            <family val="2"/>
          </rPr>
          <t xml:space="preserve">Zalman, Marvin (2012). Qualitatively Estimating the Incidence of Wrongful Convictions. </t>
        </r>
        <r>
          <rPr>
            <i/>
            <sz val="9"/>
            <color indexed="81"/>
            <rFont val="Tahoma"/>
            <family val="2"/>
          </rPr>
          <t>Criminal Law Bulletin, 48</t>
        </r>
        <r>
          <rPr>
            <sz val="9"/>
            <color indexed="81"/>
            <rFont val="Tahoma"/>
            <family val="2"/>
          </rPr>
          <t>:2, 219-279. 
| nonjudicial academic | def. "actual innocence" | method: qualitative</t>
        </r>
      </text>
    </comment>
    <comment ref="B1620" authorId="0" shapeId="0" xr:uid="{364A1DAF-8323-4669-8B6D-99C432C3B692}">
      <text>
        <r>
          <rPr>
            <sz val="9"/>
            <color indexed="81"/>
            <rFont val="Tahoma"/>
            <family val="2"/>
          </rPr>
          <t xml:space="preserve">Ramsey, Robert H. and Frank, James (2007). Wrongful Conviction: Perceptions of Criminal Justice Professionals Regarding the Frequency of Wrongful Conviction and the Extent of System Errors. </t>
        </r>
        <r>
          <rPr>
            <i/>
            <sz val="9"/>
            <color indexed="81"/>
            <rFont val="Tahoma"/>
            <family val="2"/>
          </rPr>
          <t>Crime &amp; Delinq, 53</t>
        </r>
        <r>
          <rPr>
            <sz val="9"/>
            <color indexed="81"/>
            <rFont val="Tahoma"/>
            <family val="2"/>
          </rPr>
          <t>:3, 436-470.
| nonjudicial academic | def. "actual innocence" | method: self-reporting</t>
        </r>
      </text>
    </comment>
    <comment ref="B1623" authorId="0" shapeId="0" xr:uid="{FFF0A107-5FA3-4B3D-A55E-1C3420FD918D}">
      <text>
        <r>
          <rPr>
            <sz val="9"/>
            <color indexed="81"/>
            <rFont val="Tahoma"/>
            <family val="2"/>
          </rPr>
          <t xml:space="preserve">Gross, Samuel R. (2008). “Frequency and Predictors of False Conviction: Why We Know So Little, and New Data on Capital Cases.” B. O’Brien, co-author. J. </t>
        </r>
        <r>
          <rPr>
            <i/>
            <sz val="9"/>
            <color indexed="81"/>
            <rFont val="Tahoma"/>
            <family val="2"/>
          </rPr>
          <t>Empirical Legal Stud. 5</t>
        </r>
        <r>
          <rPr>
            <sz val="9"/>
            <color indexed="81"/>
            <rFont val="Tahoma"/>
            <family val="2"/>
          </rPr>
          <t>, no. 4: 927-6.
| nonjudicial academic | def. legal exoneration | method: matched samples</t>
        </r>
      </text>
    </comment>
    <comment ref="B1626" authorId="0" shapeId="0" xr:uid="{660D5176-E974-429C-8255-DBE217C749B5}">
      <text>
        <r>
          <rPr>
            <sz val="9"/>
            <color indexed="81"/>
            <rFont val="Tahoma"/>
            <family val="2"/>
          </rPr>
          <t xml:space="preserve">Risinger, D. Michael (2007). Innocents Convicted: An Empirical Justified Factual Wrongful Conviction Rate, </t>
        </r>
        <r>
          <rPr>
            <i/>
            <sz val="9"/>
            <color indexed="81"/>
            <rFont val="Tahoma"/>
            <family val="2"/>
          </rPr>
          <t>J. Crim. L. &amp; Criminology 97</t>
        </r>
        <r>
          <rPr>
            <sz val="9"/>
            <color indexed="81"/>
            <rFont val="Tahoma"/>
            <family val="2"/>
          </rPr>
          <t>:761.
| nonjudicial academic | def. legal exoneration | method: matched samples</t>
        </r>
      </text>
    </comment>
    <comment ref="B1629" authorId="0" shapeId="0" xr:uid="{709F3188-B5BB-421B-8351-66BB6D6B3E40}">
      <text>
        <r>
          <rPr>
            <sz val="9"/>
            <color indexed="81"/>
            <rFont val="Tahoma"/>
            <family val="2"/>
          </rPr>
          <t xml:space="preserve">Samuel R. Gross, Barbara O’Brien, Chen Hu, and Edward H. Kennedy (2014). Rate of False Conviction of Criminal Defendants Who are Sentenced to Death. </t>
        </r>
        <r>
          <rPr>
            <i/>
            <sz val="9"/>
            <color indexed="81"/>
            <rFont val="Tahoma"/>
            <family val="2"/>
          </rPr>
          <t>Proceedings of the National Academy of Science, 111</t>
        </r>
        <r>
          <rPr>
            <sz val="9"/>
            <color indexed="81"/>
            <rFont val="Tahoma"/>
            <family val="2"/>
          </rPr>
          <t>:2, 7230-7235.
| nonjudicial academic | def. legal exoneration | method: matched samples</t>
        </r>
      </text>
    </comment>
    <comment ref="B1632" authorId="0" shapeId="0" xr:uid="{BE016713-8E72-4D7A-91F9-FB19E6737F7B}">
      <text>
        <r>
          <rPr>
            <sz val="9"/>
            <color indexed="81"/>
            <rFont val="Tahoma"/>
            <family val="2"/>
          </rPr>
          <t>John Roman, Kelly Walsh, Pamela Lachman, and Jennifer Yahner (2012). Post-Conviction DNA Testing and Wrongful Conviction. Urban Institute.
| nonjudicial academic | def. "actual innocence" | method: matched samples</t>
        </r>
      </text>
    </comment>
    <comment ref="B1635" authorId="0" shapeId="0" xr:uid="{CD1F2597-06E8-4059-8274-76536BA9472B}">
      <text>
        <r>
          <rPr>
            <sz val="9"/>
            <color indexed="81"/>
            <rFont val="Tahoma"/>
            <family val="2"/>
          </rPr>
          <t xml:space="preserve">Loeffler, C.E., Hyatt, J. &amp; Ridgeway, G. (2019). Measuring Self-Reported Wrongful Convictions Among Prisoners. </t>
        </r>
        <r>
          <rPr>
            <i/>
            <sz val="9"/>
            <color indexed="81"/>
            <rFont val="Tahoma"/>
            <family val="2"/>
          </rPr>
          <t>J Quant Criminol 35</t>
        </r>
        <r>
          <rPr>
            <sz val="9"/>
            <color indexed="81"/>
            <rFont val="Tahoma"/>
            <family val="2"/>
          </rPr>
          <t>, 259–286.
| nonjudicial academic | def. "actual innocence" | method: self-reporting</t>
        </r>
      </text>
    </comment>
    <comment ref="B1638" authorId="0" shapeId="0" xr:uid="{260D31A2-3846-4E2F-9E98-CDF7F52273E9}">
      <text>
        <r>
          <rPr>
            <sz val="9"/>
            <color indexed="81"/>
            <rFont val="Tahoma"/>
            <family val="2"/>
          </rPr>
          <t>Walsh, K., Hussemann, J., Flynn, A., Yahner, J., Golian, L. (2017). Estimating the Prevalence of Wrongful Conviction. Office of Justice Programs’ National Criminal Justice Reference Service.
| nonjudicial official | def. "actual innocence" | method: matched samples</t>
        </r>
      </text>
    </comment>
    <comment ref="B1641" authorId="0" shapeId="0" xr:uid="{F2DD60A0-3BA1-4890-81B1-93C6310A78BC}">
      <text>
        <r>
          <rPr>
            <sz val="9"/>
            <color indexed="81"/>
            <rFont val="Tahoma"/>
            <family val="2"/>
          </rPr>
          <t xml:space="preserve">Poveda, T.G. (2001). Estimating Wrongful Convictions. </t>
        </r>
        <r>
          <rPr>
            <i/>
            <sz val="9"/>
            <color indexed="81"/>
            <rFont val="Tahoma"/>
            <family val="2"/>
          </rPr>
          <t>Justice Quarterly, 18</t>
        </r>
        <r>
          <rPr>
            <sz val="9"/>
            <color indexed="81"/>
            <rFont val="Tahoma"/>
            <family val="2"/>
          </rPr>
          <t>:3, 689-708.
| nonjudicial academic | def. "actual innocence" | method: self-reporting</t>
        </r>
      </text>
    </comment>
    <comment ref="AB2255" authorId="0" shapeId="0" xr:uid="{08DCC597-FF52-46BD-96C9-5066B750454A}">
      <text>
        <r>
          <rPr>
            <sz val="9"/>
            <color indexed="81"/>
            <rFont val="Tahoma"/>
            <family val="2"/>
          </rPr>
          <t>735 ILCS 5/2-702 (petition for certificate of innocence)
705 ILCS 505/8 (compensation)</t>
        </r>
      </text>
    </comment>
    <comment ref="AB2284" authorId="0" shapeId="0" xr:uid="{B1F8C290-5720-48AA-951C-A4754866DBB6}">
      <text>
        <r>
          <rPr>
            <sz val="9"/>
            <color indexed="81"/>
            <rFont val="Tahoma"/>
            <family val="2"/>
          </rPr>
          <t>Tenn. Code Ann. §40-27-109 (exoneration)
Tenn. Code Ann. § 9-8-108 (compensation)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author>
  </authors>
  <commentList>
    <comment ref="F1" authorId="0" shapeId="0" xr:uid="{421DAB16-8283-4086-AF0F-BDA4ABDCE5E0}">
      <text>
        <r>
          <rPr>
            <b/>
            <sz val="9"/>
            <color indexed="81"/>
            <rFont val="Tahoma"/>
            <family val="2"/>
          </rPr>
          <t xml:space="preserve">
</t>
        </r>
        <r>
          <rPr>
            <b/>
            <sz val="14"/>
            <color indexed="81"/>
            <rFont val="Tahoma"/>
            <family val="2"/>
          </rPr>
          <t xml:space="preserve">
</t>
        </r>
        <r>
          <rPr>
            <b/>
            <sz val="14"/>
            <color indexed="22"/>
            <rFont val="Tahoma"/>
            <family val="2"/>
          </rPr>
          <t>DISPLAY PAGES
All information 
gets entered below</t>
        </r>
        <r>
          <rPr>
            <sz val="14"/>
            <color indexed="81"/>
            <rFont val="Tahoma"/>
            <family val="2"/>
          </rPr>
          <t xml:space="preserve">
</t>
        </r>
        <r>
          <rPr>
            <b/>
            <sz val="14"/>
            <color indexed="22"/>
            <rFont val="Tahoma"/>
            <family val="2"/>
          </rPr>
          <t>DISPLAY PAGES
All information gets entered below
This soft text does not print</t>
        </r>
        <r>
          <rPr>
            <sz val="14"/>
            <color indexed="81"/>
            <rFont val="Tahoma"/>
            <family val="2"/>
          </rPr>
          <t xml:space="preserve">
</t>
        </r>
      </text>
    </comment>
    <comment ref="B14" authorId="0" shapeId="0" xr:uid="{E6627788-EF8A-402E-9C2D-BDF6B8163FC5}">
      <text>
        <r>
          <rPr>
            <sz val="12"/>
            <color indexed="9"/>
            <rFont val="Tahoma"/>
            <family val="2"/>
          </rPr>
          <t>Complete Item #64 and this automatically fills in with that text.</t>
        </r>
      </text>
    </comment>
    <comment ref="D271" authorId="0" shapeId="0" xr:uid="{11C033C5-2F33-47B1-9773-1C2B736684E4}">
      <text>
        <r>
          <rPr>
            <sz val="9"/>
            <color indexed="81"/>
            <rFont val="Tahoma"/>
            <family val="2"/>
          </rPr>
          <t>If for life, leave formula "=TODAY()".</t>
        </r>
      </text>
    </comment>
    <comment ref="B289" authorId="0" shapeId="0" xr:uid="{F3A16609-BAB7-4061-805F-EDB6288FBA3D}">
      <text>
        <r>
          <rPr>
            <sz val="10"/>
            <color indexed="16"/>
            <rFont val="Tahoma"/>
            <family val="2"/>
          </rPr>
          <t>Before you spill too much here, scan the questions below. Especially in section C. There you receive ample opportunity to demonstrate your overlooked innocence.</t>
        </r>
      </text>
    </comment>
    <comment ref="B640" authorId="0" shapeId="0" xr:uid="{FE3AB048-F19A-4BBE-82EF-4CEE0974B197}">
      <text>
        <r>
          <rPr>
            <sz val="9"/>
            <color indexed="81"/>
            <rFont val="Tahoma"/>
            <family val="2"/>
          </rPr>
          <t xml:space="preserve">
</t>
        </r>
        <r>
          <rPr>
            <b/>
            <sz val="18"/>
            <color indexed="51"/>
            <rFont val="Tahoma"/>
            <family val="2"/>
          </rPr>
          <t xml:space="preserve">No Evidence Required
</t>
        </r>
      </text>
    </comment>
    <comment ref="B689" authorId="0" shapeId="0" xr:uid="{24A82081-3C34-435A-9FB6-45DBC95DC1AA}">
      <text>
        <r>
          <rPr>
            <sz val="9"/>
            <color indexed="81"/>
            <rFont val="Tahoma"/>
            <family val="2"/>
          </rPr>
          <t xml:space="preserve">
</t>
        </r>
        <r>
          <rPr>
            <b/>
            <sz val="16"/>
            <color indexed="51"/>
            <rFont val="Tahoma"/>
            <family val="2"/>
          </rPr>
          <t>No Evidence Required</t>
        </r>
        <r>
          <rPr>
            <sz val="9"/>
            <color indexed="81"/>
            <rFont val="Tahoma"/>
            <family val="2"/>
          </rPr>
          <t xml:space="preserve">
</t>
        </r>
      </text>
    </comment>
    <comment ref="B1608" authorId="0" shapeId="0" xr:uid="{316B1866-96DE-4C8D-9BC4-B8C022620A72}">
      <text>
        <r>
          <rPr>
            <sz val="9"/>
            <color indexed="81"/>
            <rFont val="Tahoma"/>
            <family val="2"/>
          </rPr>
          <t xml:space="preserve">Hoffman, Morris B. (2007). The Myth of Factual Innocence. </t>
        </r>
        <r>
          <rPr>
            <i/>
            <sz val="9"/>
            <color indexed="81"/>
            <rFont val="Tahoma"/>
            <family val="2"/>
          </rPr>
          <t>82 Chi.-Kent L. Rev.</t>
        </r>
        <r>
          <rPr>
            <sz val="9"/>
            <color indexed="81"/>
            <rFont val="Tahoma"/>
            <family val="2"/>
          </rPr>
          <t xml:space="preserve"> 663. 
| judicial official | def. "actual innocence" | method: qualitative</t>
        </r>
      </text>
    </comment>
    <comment ref="B1611" authorId="0" shapeId="0" xr:uid="{E274A897-BE37-46DD-B3FB-BA62E70E43B5}">
      <text>
        <r>
          <rPr>
            <sz val="9"/>
            <color indexed="81"/>
            <rFont val="Tahoma"/>
            <family val="2"/>
          </rPr>
          <t xml:space="preserve">Cassell, Paul G. (2018). Overstating America’s Wrongful Conviction Rate? Reassessing the Conventional Wisdom About the Prevalence of Wrongful Convictions. </t>
        </r>
        <r>
          <rPr>
            <i/>
            <sz val="9"/>
            <color indexed="81"/>
            <rFont val="Tahoma"/>
            <family val="2"/>
          </rPr>
          <t>Arizona Law Review, 60</t>
        </r>
        <r>
          <rPr>
            <sz val="9"/>
            <color indexed="81"/>
            <rFont val="Tahoma"/>
            <family val="2"/>
          </rPr>
          <t>:815.
| judicial official | def. "actual innocence" | method: qualitative</t>
        </r>
      </text>
    </comment>
    <comment ref="B1614" authorId="0" shapeId="0" xr:uid="{FBD079C1-916E-4494-96C2-39B2295348F5}">
      <text>
        <r>
          <rPr>
            <i/>
            <sz val="9"/>
            <color indexed="81"/>
            <rFont val="Tahoma"/>
            <family val="2"/>
          </rPr>
          <t>Kansas v. Marsh</t>
        </r>
        <r>
          <rPr>
            <sz val="9"/>
            <color indexed="81"/>
            <rFont val="Tahoma"/>
            <family val="2"/>
          </rPr>
          <t xml:space="preserve"> (2006). U.S. Supreme Court Justice Antonin Scalia, </t>
        </r>
        <r>
          <rPr>
            <sz val="9"/>
            <color indexed="55"/>
            <rFont val="Tahoma"/>
            <family val="2"/>
          </rPr>
          <t>quoting Joshua Marquis in U.S. Supreme Court opinion:</t>
        </r>
        <r>
          <rPr>
            <sz val="9"/>
            <color indexed="81"/>
            <rFont val="Tahoma"/>
            <family val="2"/>
          </rPr>
          <t xml:space="preserve"> Marquis, Joshua. (2005). The Myth of Innocence, </t>
        </r>
        <r>
          <rPr>
            <i/>
            <sz val="9"/>
            <color indexed="81"/>
            <rFont val="Tahoma"/>
            <family val="2"/>
          </rPr>
          <t>95 J. Crim. L. &amp; Criminolog</t>
        </r>
        <r>
          <rPr>
            <sz val="9"/>
            <color indexed="81"/>
            <rFont val="Tahoma"/>
            <family val="2"/>
          </rPr>
          <t>y 501.
| judicial official | def. "actual innocence" | method: quote opinion piece</t>
        </r>
      </text>
    </comment>
    <comment ref="B1617" authorId="0" shapeId="0" xr:uid="{86EB3FC8-478F-421F-A056-43687A341406}">
      <text>
        <r>
          <rPr>
            <sz val="9"/>
            <color indexed="81"/>
            <rFont val="Tahoma"/>
            <family val="2"/>
          </rPr>
          <t xml:space="preserve">Zalman, Marvin (2012). Qualitatively Estimating the Incidence of Wrongful Convictions. </t>
        </r>
        <r>
          <rPr>
            <i/>
            <sz val="9"/>
            <color indexed="81"/>
            <rFont val="Tahoma"/>
            <family val="2"/>
          </rPr>
          <t>Criminal Law Bulletin, 48</t>
        </r>
        <r>
          <rPr>
            <sz val="9"/>
            <color indexed="81"/>
            <rFont val="Tahoma"/>
            <family val="2"/>
          </rPr>
          <t>:2, 219-279. 
| nonjudicial academic | def. "actual innocence" | method: qualitative</t>
        </r>
      </text>
    </comment>
    <comment ref="B1620" authorId="0" shapeId="0" xr:uid="{35BFB1A4-9A13-4CF5-96D1-91A0E4B46EB8}">
      <text>
        <r>
          <rPr>
            <sz val="9"/>
            <color indexed="81"/>
            <rFont val="Tahoma"/>
            <family val="2"/>
          </rPr>
          <t xml:space="preserve">Ramsey, Robert H. and Frank, James (2007). Wrongful Conviction: Perceptions of Criminal Justice Professionals Regarding the Frequency of Wrongful Conviction and the Extent of System Errors. </t>
        </r>
        <r>
          <rPr>
            <i/>
            <sz val="9"/>
            <color indexed="81"/>
            <rFont val="Tahoma"/>
            <family val="2"/>
          </rPr>
          <t>Crime &amp; Delinq, 53</t>
        </r>
        <r>
          <rPr>
            <sz val="9"/>
            <color indexed="81"/>
            <rFont val="Tahoma"/>
            <family val="2"/>
          </rPr>
          <t>:3, 436-470.
| nonjudicial academic | def. "actual innocence" | method: self-reporting</t>
        </r>
      </text>
    </comment>
    <comment ref="B1623" authorId="0" shapeId="0" xr:uid="{33E4B131-1D60-43E6-9EDC-4C1895D2F209}">
      <text>
        <r>
          <rPr>
            <sz val="9"/>
            <color indexed="81"/>
            <rFont val="Tahoma"/>
            <family val="2"/>
          </rPr>
          <t xml:space="preserve">Gross, Samuel R. (2008). “Frequency and Predictors of False Conviction: Why We Know So Little, and New Data on Capital Cases.” B. O’Brien, co-author. J. </t>
        </r>
        <r>
          <rPr>
            <i/>
            <sz val="9"/>
            <color indexed="81"/>
            <rFont val="Tahoma"/>
            <family val="2"/>
          </rPr>
          <t>Empirical Legal Stud. 5</t>
        </r>
        <r>
          <rPr>
            <sz val="9"/>
            <color indexed="81"/>
            <rFont val="Tahoma"/>
            <family val="2"/>
          </rPr>
          <t>, no. 4: 927-6.
| nonjudicial academic | def. legal exoneration | method: matched samples</t>
        </r>
      </text>
    </comment>
    <comment ref="B1626" authorId="0" shapeId="0" xr:uid="{76B8696D-75AF-47D3-BF28-08AA034B0F60}">
      <text>
        <r>
          <rPr>
            <sz val="9"/>
            <color indexed="81"/>
            <rFont val="Tahoma"/>
            <family val="2"/>
          </rPr>
          <t xml:space="preserve">Risinger, D. Michael (2007). Innocents Convicted: An Empirical Justified Factual Wrongful Conviction Rate, </t>
        </r>
        <r>
          <rPr>
            <i/>
            <sz val="9"/>
            <color indexed="81"/>
            <rFont val="Tahoma"/>
            <family val="2"/>
          </rPr>
          <t>J. Crim. L. &amp; Criminology 97</t>
        </r>
        <r>
          <rPr>
            <sz val="9"/>
            <color indexed="81"/>
            <rFont val="Tahoma"/>
            <family val="2"/>
          </rPr>
          <t>:761.
| nonjudicial academic | def. legal exoneration | method: matched samples</t>
        </r>
      </text>
    </comment>
    <comment ref="B1629" authorId="0" shapeId="0" xr:uid="{D4CB8FFB-554A-4607-93B8-3476849D764D}">
      <text>
        <r>
          <rPr>
            <sz val="9"/>
            <color indexed="81"/>
            <rFont val="Tahoma"/>
            <family val="2"/>
          </rPr>
          <t xml:space="preserve">Samuel R. Gross, Barbara O’Brien, Chen Hu, and Edward H. Kennedy (2014). Rate of False Conviction of Criminal Defendants Who are Sentenced to Death. </t>
        </r>
        <r>
          <rPr>
            <i/>
            <sz val="9"/>
            <color indexed="81"/>
            <rFont val="Tahoma"/>
            <family val="2"/>
          </rPr>
          <t>Proceedings of the National Academy of Science, 111</t>
        </r>
        <r>
          <rPr>
            <sz val="9"/>
            <color indexed="81"/>
            <rFont val="Tahoma"/>
            <family val="2"/>
          </rPr>
          <t>:2, 7230-7235.
| nonjudicial academic | def. legal exoneration | method: matched samples</t>
        </r>
      </text>
    </comment>
    <comment ref="B1632" authorId="0" shapeId="0" xr:uid="{40ABE0E4-64D7-422A-82DA-7A58F381B4FE}">
      <text>
        <r>
          <rPr>
            <sz val="9"/>
            <color indexed="81"/>
            <rFont val="Tahoma"/>
            <family val="2"/>
          </rPr>
          <t>John Roman, Kelly Walsh, Pamela Lachman, and Jennifer Yahner (2012). Post-Conviction DNA Testing and Wrongful Conviction. Urban Institute.
| nonjudicial academic | def. "actual innocence" | method: matched samples</t>
        </r>
      </text>
    </comment>
    <comment ref="B1635" authorId="0" shapeId="0" xr:uid="{44DF9C1C-7DDF-46A9-AB8E-0BD08D0FF05C}">
      <text>
        <r>
          <rPr>
            <sz val="9"/>
            <color indexed="81"/>
            <rFont val="Tahoma"/>
            <family val="2"/>
          </rPr>
          <t xml:space="preserve">Loeffler, C.E., Hyatt, J. &amp; Ridgeway, G. (2019). Measuring Self-Reported Wrongful Convictions Among Prisoners. </t>
        </r>
        <r>
          <rPr>
            <i/>
            <sz val="9"/>
            <color indexed="81"/>
            <rFont val="Tahoma"/>
            <family val="2"/>
          </rPr>
          <t>J Quant Criminol 35</t>
        </r>
        <r>
          <rPr>
            <sz val="9"/>
            <color indexed="81"/>
            <rFont val="Tahoma"/>
            <family val="2"/>
          </rPr>
          <t>, 259–286.
| nonjudicial academic | def. "actual innocence" | method: self-reporting</t>
        </r>
      </text>
    </comment>
    <comment ref="B1638" authorId="0" shapeId="0" xr:uid="{95E452E8-4628-4D93-AB88-6EF598360A9E}">
      <text>
        <r>
          <rPr>
            <sz val="9"/>
            <color indexed="81"/>
            <rFont val="Tahoma"/>
            <family val="2"/>
          </rPr>
          <t>Walsh, K., Hussemann, J., Flynn, A., Yahner, J., Golian, L. (2017). Estimating the Prevalence of Wrongful Conviction. Office of Justice Programs’ National Criminal Justice Reference Service.
| nonjudicial official | def. "actual innocence" | method: matched samples</t>
        </r>
      </text>
    </comment>
    <comment ref="B1641" authorId="0" shapeId="0" xr:uid="{9FA1F424-C302-4242-8706-93ADF34842C9}">
      <text>
        <r>
          <rPr>
            <sz val="9"/>
            <color indexed="81"/>
            <rFont val="Tahoma"/>
            <family val="2"/>
          </rPr>
          <t xml:space="preserve">Poveda, T.G. (2001). Estimating Wrongful Convictions. </t>
        </r>
        <r>
          <rPr>
            <i/>
            <sz val="9"/>
            <color indexed="81"/>
            <rFont val="Tahoma"/>
            <family val="2"/>
          </rPr>
          <t>Justice Quarterly, 18</t>
        </r>
        <r>
          <rPr>
            <sz val="9"/>
            <color indexed="81"/>
            <rFont val="Tahoma"/>
            <family val="2"/>
          </rPr>
          <t>:3, 689-708.
| nonjudicial academic | def. "actual innocence" | method: self-reporting</t>
        </r>
      </text>
    </comment>
    <comment ref="AB2255" authorId="0" shapeId="0" xr:uid="{6162BF66-0A2B-40F4-9328-E18CA63799BC}">
      <text>
        <r>
          <rPr>
            <sz val="9"/>
            <color indexed="81"/>
            <rFont val="Tahoma"/>
            <family val="2"/>
          </rPr>
          <t>735 ILCS 5/2-702 (petition for certificate of innocence)
705 ILCS 505/8 (compensation)</t>
        </r>
      </text>
    </comment>
    <comment ref="AB2284" authorId="0" shapeId="0" xr:uid="{D7B9CCD5-358E-41DC-8018-25EFE688BA54}">
      <text>
        <r>
          <rPr>
            <sz val="9"/>
            <color indexed="81"/>
            <rFont val="Tahoma"/>
            <family val="2"/>
          </rPr>
          <t>Tenn. Code Ann. §40-27-109 (exoneration)
Tenn. Code Ann. § 9-8-108 (compensation)</t>
        </r>
      </text>
    </comment>
  </commentList>
</comments>
</file>

<file path=xl/sharedStrings.xml><?xml version="1.0" encoding="utf-8"?>
<sst xmlns="http://schemas.openxmlformats.org/spreadsheetml/2006/main" count="9877" uniqueCount="1551">
  <si>
    <t xml:space="preserve">RAW SCORE </t>
  </si>
  <si>
    <t xml:space="preserve">weak </t>
  </si>
  <si>
    <t xml:space="preserve">poor </t>
  </si>
  <si>
    <t xml:space="preserve">fair </t>
  </si>
  <si>
    <t xml:space="preserve">good </t>
  </si>
  <si>
    <t xml:space="preserve">strong </t>
  </si>
  <si>
    <t>claim</t>
  </si>
  <si>
    <t>A1360</t>
  </si>
  <si>
    <t xml:space="preserve">ADJUSTED SCORE </t>
  </si>
  <si>
    <t>PLACE IMAGE OF CLAIMANT HERE</t>
  </si>
  <si>
    <r>
      <rPr>
        <b/>
        <sz val="28"/>
        <color theme="2"/>
        <rFont val="Tahoma"/>
        <family val="2"/>
      </rPr>
      <t>I</t>
    </r>
    <r>
      <rPr>
        <b/>
        <sz val="28"/>
        <color rgb="FF7030A0"/>
        <rFont val="Tahoma"/>
        <family val="2"/>
      </rPr>
      <t>nnocence Claim</t>
    </r>
  </si>
  <si>
    <t>not yet exonerated</t>
  </si>
  <si>
    <t xml:space="preserve">Claimant's full name: </t>
  </si>
  <si>
    <t xml:space="preserve">Contact info: </t>
  </si>
  <si>
    <t xml:space="preserve">Proxy's full name: </t>
  </si>
  <si>
    <t xml:space="preserve">Proxy contact info: </t>
  </si>
  <si>
    <t>SYNOPSIS</t>
  </si>
  <si>
    <t>Enter text below in section F, then SYNOPSIS will automatically display here.</t>
  </si>
  <si>
    <t>FLIPSIDE</t>
  </si>
  <si>
    <t>Enter text below in section F, then FLIPSIDE will automatically display here.</t>
  </si>
  <si>
    <t>SUMMARY</t>
  </si>
  <si>
    <t>Enter text below in section F, then SUMMARY will automatically display here.</t>
  </si>
  <si>
    <t>You can help change a life for the better</t>
  </si>
  <si>
    <t xml:space="preserve">Collateral consequences   </t>
  </si>
  <si>
    <t>Seeking</t>
  </si>
  <si>
    <t>Seeking exoneration, financial support for legal costs, removal of all collateral consequences, compensation, apology</t>
  </si>
  <si>
    <t xml:space="preserve">Impacting other's lives   </t>
  </si>
  <si>
    <t>Notifying</t>
  </si>
  <si>
    <t>Challenging and aspiring</t>
  </si>
  <si>
    <t>Welcoming</t>
  </si>
  <si>
    <t>Suffering discrimination</t>
  </si>
  <si>
    <t>Most states allow employers to check criminal backgrounds stretching far into the past. These records provide no distinction between "reliable evidence-based convictions" and "non-exonerated wrongful convictions"--permitting illicit discrimination.</t>
  </si>
  <si>
    <t>Improving</t>
  </si>
  <si>
    <t xml:space="preserve">Removing threats for improving health   </t>
  </si>
  <si>
    <t xml:space="preserve">You need those you trust to be trustworthy. Right? You need them to make informed decisions about you, so they don’t waste your precious time. Likewise, </t>
  </si>
  <si>
    <t>Take away</t>
  </si>
  <si>
    <t>claimant</t>
  </si>
  <si>
    <t xml:space="preserve"> needs those they trust, like you, to be trustworthy. They need those like you to be better informed in their decisions regarding them. Acknowledging the widespread problem of wrongful convictions is a start. Using this estimate of innocence can help you make better decisions.</t>
  </si>
  <si>
    <r>
      <rPr>
        <b/>
        <sz val="18"/>
        <color theme="1"/>
        <rFont val="Tahoma"/>
        <family val="2"/>
      </rPr>
      <t>C</t>
    </r>
    <r>
      <rPr>
        <sz val="18"/>
        <color theme="1"/>
        <rFont val="Tahoma"/>
        <family val="2"/>
      </rPr>
      <t>ompetitive legitimacy</t>
    </r>
  </si>
  <si>
    <t>Legal process: IP &amp; CIU</t>
  </si>
  <si>
    <t>Need-response: EIF</t>
  </si>
  <si>
    <t>Claims data</t>
  </si>
  <si>
    <t>No transparent compiling or posting of claims data</t>
  </si>
  <si>
    <t>Compiles comparable data and made public (without ID)</t>
  </si>
  <si>
    <t>Claims process</t>
  </si>
  <si>
    <t>Relies on opaque legal process with many conflicts of interest</t>
  </si>
  <si>
    <t>Available to public scrutiny to determine for themselves</t>
  </si>
  <si>
    <t>Claimant trauma</t>
  </si>
  <si>
    <t>Risks retraumatizing claimant with adversarial approach</t>
  </si>
  <si>
    <t>Allays risks of retraumatizing with conciliatory approach</t>
  </si>
  <si>
    <t>Claims outcome</t>
  </si>
  <si>
    <t>Adversarial win-lose outcome</t>
  </si>
  <si>
    <t>Conciliatory win-win outcome</t>
  </si>
  <si>
    <t>Claims result</t>
  </si>
  <si>
    <t>Rejects most claims for review largely from lack of resources</t>
  </si>
  <si>
    <t>Posts all claims for public scrutiny and public investment</t>
  </si>
  <si>
    <t>Timeliness</t>
  </si>
  <si>
    <t>Slow, opaque process led by embattled lawyers</t>
  </si>
  <si>
    <t>Instantly available for all to see once posted online</t>
  </si>
  <si>
    <t>Notification to prospect employers, to housing, to debt collectors</t>
  </si>
  <si>
    <t>Standard</t>
  </si>
  <si>
    <t>Accountable to subjectively interpreted law</t>
  </si>
  <si>
    <t>Accountable to objective reality of resolved needs</t>
  </si>
  <si>
    <t>Abolition of PIC, replaced with community-based policing and restorative justice at community level</t>
  </si>
  <si>
    <t>Welcome media interviews, activist support, policy consulting</t>
  </si>
  <si>
    <t>Impact</t>
  </si>
  <si>
    <t>Risks discouraging claimants from ever seeking exoneration again</t>
  </si>
  <si>
    <t>Empowers claimants to go directly to the people with case</t>
  </si>
  <si>
    <r>
      <t>C</t>
    </r>
    <r>
      <rPr>
        <sz val="18"/>
        <color theme="1"/>
        <rFont val="Tahoma"/>
        <family val="2"/>
      </rPr>
      <t>ontents</t>
    </r>
  </si>
  <si>
    <t>A</t>
  </si>
  <si>
    <t>Provide basic information about the case.</t>
  </si>
  <si>
    <t>B</t>
  </si>
  <si>
    <t>Provide independently accessible documents that help support claims of innocence.</t>
  </si>
  <si>
    <t>C.1</t>
  </si>
  <si>
    <t>These 6 items are common among exonerated cases.</t>
  </si>
  <si>
    <t>C.2</t>
  </si>
  <si>
    <t>These 6 items increase likelihood of a wrongful conviction.</t>
  </si>
  <si>
    <t>C.3</t>
  </si>
  <si>
    <t>These 6 items link flawed law enforcement investigations to wrongful convictions.</t>
  </si>
  <si>
    <t>C.4</t>
  </si>
  <si>
    <t>These six items mix with other items to increase likelihood of a wrongful conviction.</t>
  </si>
  <si>
    <t>C.5</t>
  </si>
  <si>
    <t>These 7 items contrast claimant with those of actual guilt.</t>
  </si>
  <si>
    <t>C.6</t>
  </si>
  <si>
    <t>These 7 items independently recognize claimant’s actual innocence.</t>
  </si>
  <si>
    <t>C.7</t>
  </si>
  <si>
    <t>Space to add contributing factors not already covered.</t>
  </si>
  <si>
    <t>C.8</t>
  </si>
  <si>
    <t>Another look at the adversarial judicial process and its tendency toward wrongful convictions.</t>
  </si>
  <si>
    <t>D.</t>
  </si>
  <si>
    <t>Names of those asked for professional legal help.</t>
  </si>
  <si>
    <t>E.</t>
  </si>
  <si>
    <t>Background checks privilege discrimination with these specific items.</t>
  </si>
  <si>
    <t>F.</t>
  </si>
  <si>
    <t xml:space="preserve">In your own words, what happened? </t>
  </si>
  <si>
    <t>G.</t>
  </si>
  <si>
    <t>H.</t>
  </si>
  <si>
    <t xml:space="preserve">Compensation for exonerees, if your state has such a statue. </t>
  </si>
  <si>
    <t>J.</t>
  </si>
  <si>
    <t>L.</t>
  </si>
  <si>
    <t xml:space="preserve">Concluding remarks, terms of service, etc. </t>
  </si>
  <si>
    <t>A.</t>
  </si>
  <si>
    <t>Case information</t>
  </si>
  <si>
    <t xml:space="preserve">Complete as many as you can. You can always come back later with hard-to-find info. </t>
  </si>
  <si>
    <t>Claimant name</t>
  </si>
  <si>
    <t>Steph</t>
  </si>
  <si>
    <t>Turner</t>
  </si>
  <si>
    <t>LAST NAME</t>
  </si>
  <si>
    <t>Claimant email addresss</t>
  </si>
  <si>
    <t>phone # where can be reached</t>
  </si>
  <si>
    <t>valuerelating@gmail.com</t>
  </si>
  <si>
    <t>date of birth (year-month-day):</t>
  </si>
  <si>
    <t>gender (from list)</t>
  </si>
  <si>
    <r>
      <t xml:space="preserve">SCOTUS: </t>
    </r>
    <r>
      <rPr>
        <i/>
        <sz val="11"/>
        <color theme="1"/>
        <rFont val="Times New Roman"/>
        <family val="1"/>
      </rPr>
      <t>Lawrence v Texas</t>
    </r>
  </si>
  <si>
    <t>other (explain in box)</t>
  </si>
  <si>
    <t>x</t>
  </si>
  <si>
    <t>race (from list)</t>
  </si>
  <si>
    <t>primary language (from list)</t>
  </si>
  <si>
    <t>primarily white</t>
  </si>
  <si>
    <t>English</t>
  </si>
  <si>
    <t>anything to add to these answers?</t>
  </si>
  <si>
    <t>Privately transgender (born male, gender nonconforming)</t>
  </si>
  <si>
    <t>Proxy name</t>
  </si>
  <si>
    <t>Alisha</t>
  </si>
  <si>
    <t>Proxy email addresss</t>
  </si>
  <si>
    <t>relation to claimant (pick from list)</t>
  </si>
  <si>
    <t>how long knowing claimant</t>
  </si>
  <si>
    <t>trusted family member</t>
  </si>
  <si>
    <t>since before conviction</t>
  </si>
  <si>
    <t>Indictment (official accusation)</t>
  </si>
  <si>
    <t>initial charge(s)</t>
  </si>
  <si>
    <t>alleged involvement level</t>
  </si>
  <si>
    <t>actual involvement</t>
  </si>
  <si>
    <t>sexual assault of minor</t>
  </si>
  <si>
    <t>aiding &amp; abetting</t>
  </si>
  <si>
    <t>alleged crime never occured</t>
  </si>
  <si>
    <t>Plea</t>
  </si>
  <si>
    <t>Did you plead guilty? (If yes, explain why below)</t>
  </si>
  <si>
    <t>no, I pled not guilty</t>
  </si>
  <si>
    <t>never open to any plea deal</t>
  </si>
  <si>
    <t>How long insisting you're completely innocent?</t>
  </si>
  <si>
    <t>always</t>
  </si>
  <si>
    <t>conviction based upon</t>
  </si>
  <si>
    <t>admission of guilt to initial charge</t>
  </si>
  <si>
    <t>Offense date</t>
  </si>
  <si>
    <t>Arrest date</t>
  </si>
  <si>
    <t>Indictment date</t>
  </si>
  <si>
    <t>plea bargain</t>
  </si>
  <si>
    <t>bench trial</t>
  </si>
  <si>
    <t>jury trial</t>
  </si>
  <si>
    <t>Conviction</t>
  </si>
  <si>
    <t>jury retrial after mistrial</t>
  </si>
  <si>
    <t>What is the conviction based upon?</t>
  </si>
  <si>
    <t>Prelim date</t>
  </si>
  <si>
    <t>Verdict date</t>
  </si>
  <si>
    <t>Jury selection date</t>
  </si>
  <si>
    <t>Jurisdiction of conviction</t>
  </si>
  <si>
    <t>State (or fed):</t>
  </si>
  <si>
    <t>County:</t>
  </si>
  <si>
    <t>City</t>
  </si>
  <si>
    <t>Michigan</t>
  </si>
  <si>
    <t>Kent County</t>
  </si>
  <si>
    <t>Grand Rapids</t>
  </si>
  <si>
    <t>District Court</t>
  </si>
  <si>
    <t>not guilty</t>
  </si>
  <si>
    <t>guilty plea coerced</t>
  </si>
  <si>
    <t>Case docket #</t>
  </si>
  <si>
    <t>Preliminary prosescutor</t>
  </si>
  <si>
    <t>Preliminary judge</t>
  </si>
  <si>
    <t>no contest</t>
  </si>
  <si>
    <t>misunderstood rights</t>
  </si>
  <si>
    <t>Alford plea</t>
  </si>
  <si>
    <t>misunderstood terms</t>
  </si>
  <si>
    <t>Circuit Court</t>
  </si>
  <si>
    <t>Trial prosescutor</t>
  </si>
  <si>
    <t>Trial judge</t>
  </si>
  <si>
    <t>guilty to a lesser charge</t>
  </si>
  <si>
    <t>changed mind</t>
  </si>
  <si>
    <t>guilty of initial charge</t>
  </si>
  <si>
    <t>other (explain in box below0</t>
  </si>
  <si>
    <t>Defense counsel</t>
  </si>
  <si>
    <t>Tonya Krause</t>
  </si>
  <si>
    <t>Satisfaction level</t>
  </si>
  <si>
    <t>mostly satisfied with representation</t>
  </si>
  <si>
    <t>would hire again with reservation</t>
  </si>
  <si>
    <t>yes</t>
  </si>
  <si>
    <t>partner</t>
  </si>
  <si>
    <t>yes, but charges dropped before conviction</t>
  </si>
  <si>
    <t>no</t>
  </si>
  <si>
    <t>not sure</t>
  </si>
  <si>
    <t>family</t>
  </si>
  <si>
    <t>How many codefendants?</t>
  </si>
  <si>
    <t>close friend</t>
  </si>
  <si>
    <t>principal</t>
  </si>
  <si>
    <t>same trial, same jury</t>
  </si>
  <si>
    <t>casual friend</t>
  </si>
  <si>
    <t>Janet Turner</t>
  </si>
  <si>
    <t>same trial, different juries</t>
  </si>
  <si>
    <t>guilty</t>
  </si>
  <si>
    <t>acquaintance</t>
  </si>
  <si>
    <t>guilty as charged</t>
  </si>
  <si>
    <t>assessory after the fact</t>
  </si>
  <si>
    <t>separate trial</t>
  </si>
  <si>
    <t>stranger</t>
  </si>
  <si>
    <t>mistrial</t>
  </si>
  <si>
    <t>took plea deal</t>
  </si>
  <si>
    <t>guilty of lesser crime</t>
  </si>
  <si>
    <t>If more than six codefendants, add in box below. Add any helpful context.</t>
  </si>
  <si>
    <t>Same trial, separate juries. Codefendent my transgender sibling, whom I'm convinced is also actually innocent since she previously described herself being asexual. Hence, no crime. She is now deceased.</t>
  </si>
  <si>
    <t>Opening arguments:</t>
  </si>
  <si>
    <t>Closing arguments:</t>
  </si>
  <si>
    <t>Sentencing date:</t>
  </si>
  <si>
    <t xml:space="preserve">Start date of sentence: </t>
  </si>
  <si>
    <t>If multiple sentences:</t>
  </si>
  <si>
    <t>concurrent</t>
  </si>
  <si>
    <t>Jury deliberations start:</t>
  </si>
  <si>
    <t>consecutive</t>
  </si>
  <si>
    <t>Jury deliberations end:</t>
  </si>
  <si>
    <t>Date appeal filed:</t>
  </si>
  <si>
    <t>Appeal decision date:</t>
  </si>
  <si>
    <t xml:space="preserve">Appeal decision: </t>
  </si>
  <si>
    <t>affirmed convictions in part, and threw out part</t>
  </si>
  <si>
    <t>Appeal status (e.g., Habeas Corpus)</t>
  </si>
  <si>
    <t xml:space="preserve">Current custody status (still in prison?): </t>
  </si>
  <si>
    <t>out but must register</t>
  </si>
  <si>
    <t>Z725</t>
  </si>
  <si>
    <t>charged again</t>
  </si>
  <si>
    <t>no new charges</t>
  </si>
  <si>
    <t>INCARCERATION</t>
  </si>
  <si>
    <t>Started prison sentence</t>
  </si>
  <si>
    <t>Sentence severity</t>
  </si>
  <si>
    <t>lengthy "trial penalty" sentence</t>
  </si>
  <si>
    <t>How many parole denials for maintaining innocence?</t>
  </si>
  <si>
    <t>Sex offender registry:</t>
  </si>
  <si>
    <t>on registry for life</t>
  </si>
  <si>
    <t>If exonerated, expect to seek compensation?</t>
  </si>
  <si>
    <t>Conviction Integrity Unit?</t>
  </si>
  <si>
    <t>Any CIU?</t>
  </si>
  <si>
    <t>Heard from the CIU near you?</t>
  </si>
  <si>
    <t>Any favorable news from the CIU?</t>
  </si>
  <si>
    <t>not yet</t>
  </si>
  <si>
    <t>Asked an Innocence Project for help or something like it?</t>
  </si>
  <si>
    <t xml:space="preserve">Affirmed my case merited review, </t>
  </si>
  <si>
    <t>sentenced to probation</t>
  </si>
  <si>
    <t>sentence suspended</t>
  </si>
  <si>
    <t>1st request: only helping those on death row; 2nd request near end of my sentence: only helping those with life sentences; 3rd request in 2014 after getting out of prison but stuck on sex offender registry and homeless: prioritizing help for those still in prison</t>
  </si>
  <si>
    <t>Criminal history</t>
  </si>
  <si>
    <t>Criminal history contributors</t>
  </si>
  <si>
    <t>no prior criminal history or since</t>
  </si>
  <si>
    <t>Any prior or subsequent convictions challenged? If so, explain in box below.</t>
  </si>
  <si>
    <t>Anything unique to your wrongful situation we didn't think to ask?</t>
  </si>
  <si>
    <t>My 3 young daughters never accused me since I never touched them inappropriately. An Olan Mills professional portrait of them was taken in the search warrant as "child pornagraphy".</t>
  </si>
  <si>
    <t xml:space="preserve">What is the worst feature of the case against you (if any) that has at least some merit? How would you account for it, without sounding like you're making excuses?
</t>
  </si>
  <si>
    <t xml:space="preserve">Codefendant had a long rap sheet, but no history of sexual vioence. Seems to have overcome previous criminality and shame by accepting being transgender. At the time I struggled with codependency and by appearances prone to appease codefendant's requests than stand up for myself. At the time, I was in bankruptcy. </t>
  </si>
  <si>
    <t>B.</t>
  </si>
  <si>
    <t>Documentation for verification</t>
  </si>
  <si>
    <t xml:space="preserve">These 14 items improve claim with any documentation to verify claim elements. </t>
  </si>
  <si>
    <t>in estimated</t>
  </si>
  <si>
    <t>Trial transcripts</t>
  </si>
  <si>
    <t>If relevant, can claimant provide a copy of trial transcripts? If yes, select how from list below.</t>
  </si>
  <si>
    <t>low</t>
  </si>
  <si>
    <t>high</t>
  </si>
  <si>
    <t>RI clients</t>
  </si>
  <si>
    <t>AI clients</t>
  </si>
  <si>
    <t>By URL below, searchable text  (best)</t>
  </si>
  <si>
    <t>bid</t>
  </si>
  <si>
    <t>portion</t>
  </si>
  <si>
    <t>https://www.valuerelating.com/documentation</t>
  </si>
  <si>
    <t xml:space="preserve">This link provides a list of links, with trial transcripts seperated by each day. </t>
  </si>
  <si>
    <t>Readiness score</t>
  </si>
  <si>
    <t>link works, all item(s) found</t>
  </si>
  <si>
    <t xml:space="preserve"> hours</t>
  </si>
  <si>
    <t>Discovery documents</t>
  </si>
  <si>
    <t>If relevant, a copy of discovery documents?</t>
  </si>
  <si>
    <t xml:space="preserve">Other trial related documents </t>
  </si>
  <si>
    <t>If relevant, other trial related documents, like a motion for new trial.</t>
  </si>
  <si>
    <t>By URL below, image only  (good)</t>
  </si>
  <si>
    <t>Police interrogation</t>
  </si>
  <si>
    <t>If any transcript of any interrogation(s), how accessible?</t>
  </si>
  <si>
    <t>Any new trial motion</t>
  </si>
  <si>
    <t>https://docs.wixstatic.com/ugd/5d10a8_61a75e8b8358462e898a7a4a41cb9a6b.pdf</t>
  </si>
  <si>
    <t>Presentence Investigation Report</t>
  </si>
  <si>
    <t>https://docs.wixstatic.com/ugd/5d10a8_2918f23037b74ed3bd95e1c8aeec4a77.pdf</t>
  </si>
  <si>
    <t>Appellate brief</t>
  </si>
  <si>
    <t>https://docs.wixstatic.com/ugd/5d10a8_c49cc7d8aaa94618945310b43b136760.pdf</t>
  </si>
  <si>
    <t>Appellate opinion</t>
  </si>
  <si>
    <t>https://docs.wixstatic.com/ugd/5d10a8_167f3b812ae54126b666ed99d2dac3e8.pdf</t>
  </si>
  <si>
    <t>Post-appellate remedies sought</t>
  </si>
  <si>
    <t>Innocence Project communication</t>
  </si>
  <si>
    <t>Professional supporters</t>
  </si>
  <si>
    <t xml:space="preserve">Exchange with journalists, their media coverage, communication with activists, etc. </t>
  </si>
  <si>
    <t>Conviction Review Unit interest</t>
  </si>
  <si>
    <t xml:space="preserve">Also known as a conviction integrity unit or confiction integrity review, </t>
  </si>
  <si>
    <t>Other documentation</t>
  </si>
  <si>
    <t>Other supportive material (e.g., alibi affidavit)</t>
  </si>
  <si>
    <t xml:space="preserve">Provide any additional information to help best review your particiular case. </t>
  </si>
  <si>
    <t>Wibbitz URL</t>
  </si>
  <si>
    <t>Prep to-do list</t>
  </si>
  <si>
    <t>You can improve your baseline score by checking off these to-do list items.</t>
  </si>
  <si>
    <t>Contact us if you need any help with this process. Let's see what we can do.</t>
  </si>
  <si>
    <t>not started</t>
  </si>
  <si>
    <t>count page numbers in all identified documents</t>
  </si>
  <si>
    <t>Great! You've just made it easier for independent verifiers to help boost your score.</t>
  </si>
  <si>
    <t>done</t>
  </si>
  <si>
    <t>make sure all URLs work, documents accessible</t>
  </si>
  <si>
    <t>unfinished</t>
  </si>
  <si>
    <t>make sure accessible documents support claims</t>
  </si>
  <si>
    <t>Do you need any support for accessing any documents, or scanning them, or getting them online?</t>
  </si>
  <si>
    <t xml:space="preserve">If so, let's talk. </t>
  </si>
  <si>
    <t>Common factors in wrongful convictions</t>
  </si>
  <si>
    <r>
      <t xml:space="preserve">The </t>
    </r>
    <r>
      <rPr>
        <b/>
        <sz val="12"/>
        <rFont val="Times New Roman"/>
        <family val="1"/>
      </rPr>
      <t>Innocence Project</t>
    </r>
    <r>
      <rPr>
        <sz val="12"/>
        <rFont val="Times New Roman"/>
        <family val="1"/>
      </rPr>
      <t xml:space="preserve"> has identified these six factors as common in wrongful convictions.</t>
    </r>
  </si>
  <si>
    <t>Eyewitness Misidentification</t>
  </si>
  <si>
    <t>Do you claim you were misidentified during a criminal investigation? Do you claim eyewitnesses made critical mistakes that resulted in your wrongful conviction? If yes, describe below.</t>
  </si>
  <si>
    <t>accumulation</t>
  </si>
  <si>
    <t>Claimed</t>
  </si>
  <si>
    <t>Verifiable</t>
  </si>
  <si>
    <t>Independent Verification</t>
  </si>
  <si>
    <t>raw</t>
  </si>
  <si>
    <t>adj</t>
  </si>
  <si>
    <t>raw%</t>
  </si>
  <si>
    <t>adj%</t>
  </si>
  <si>
    <t>RAW</t>
  </si>
  <si>
    <t>ADJ</t>
  </si>
  <si>
    <t>no, not a factor</t>
  </si>
  <si>
    <t>False Confessions or Admissions</t>
  </si>
  <si>
    <t>Do you claim you were coerced into admitting guilt for something you now insist you did not do? Were you subjected to the Reid Technique? Were you given the option to take a plea deal to avoid the risk of a much harsher sentence? If yes to any of these, describe below.</t>
  </si>
  <si>
    <t>raw-accum</t>
  </si>
  <si>
    <t>adj-accum</t>
  </si>
  <si>
    <t>Government Misconduct</t>
  </si>
  <si>
    <t>Do you claim law enforcement or judicial officials or any other government employee’s committed fraud or neglect, or any other misconduct that led to your wrongful conviction? For example, was there any indication of a Brady violation? If yes, describe below.</t>
  </si>
  <si>
    <t xml:space="preserve">Prosecution presented a semen sample taken from a “green” or “aqua” blanket, but neither defendant owned a green blanket, suggesting malfeasance. No DNA testing has yet been conducted on this sample. Green blanket never presented at trial.
Per standard at the time, investigators relied on leading questions to coerce complainant to give the kind of prurient account investigators anticipated (confirmation bias).
Found professional Olan Mills portrait of my 3 young daughters to use as proof of child pornography to rationalize unsubstantiated search warrant.
</t>
  </si>
  <si>
    <t>yes, a significant factor</t>
  </si>
  <si>
    <t>Verifiable by the URL I provided</t>
  </si>
  <si>
    <t>Unvalidated or Improper Forensic Science</t>
  </si>
  <si>
    <t xml:space="preserve">Do you claim your wrongful convictions was based, at least in part, on questionable forensic evidence? For example, was the conviction based upon contaminated evidence? Or did a state lab expert provide damaging testimony at trial without presenting the scientific reliability of the findings? If yes to any of these, describe below. </t>
  </si>
  <si>
    <t>Claimed to find semen on green blanket but semen sample never tested to establish a match, nor was any green blanket presented at trial. Significant since neither codefendant nor I owned a green blanket.</t>
  </si>
  <si>
    <t>Jail Informant</t>
  </si>
  <si>
    <t>Do you claim your wrongful conviction resulted, at least in part, to a jail snitch or other informant with an apparent conflict of interest? Do you know if such an informant was given any incentives to testify against you? If yes to any of these, describe below.</t>
  </si>
  <si>
    <t>Inadequate Defense</t>
  </si>
  <si>
    <t>Do you claim your defense attorney failed to provide an adequate defense to the charges? For example, did your court appointed lawyer invest only a minimal amount of time and energy to help you mount a defense? If yes to any of these, describe below.</t>
  </si>
  <si>
    <t>only a remote factor</t>
  </si>
  <si>
    <t>fully verified &amp; established</t>
  </si>
  <si>
    <t>Evidentiary factors</t>
  </si>
  <si>
    <t>These six items increase a likelihood of wrongful conviction</t>
  </si>
  <si>
    <t>Evidence yet to be DNA tested</t>
  </si>
  <si>
    <t>Does claimant know of potentially exculpatory evidence has yet to be DNA tested?</t>
  </si>
  <si>
    <t>Semen sample found on a green or aqua blanket. If this is actually the sky-blue blanket with aqua trim from bedroom, semen could be from a wet dream of Steph and not the sterile semen from principal as prosecutor claimed.</t>
  </si>
  <si>
    <t>Verifiable by information provided upon request</t>
  </si>
  <si>
    <t>Non-DNA evidence yet to be considered</t>
  </si>
  <si>
    <t>Does claimant assert non-biological evidence was overlooked? Or new evidence surfaced?</t>
  </si>
  <si>
    <t>Transphobia in religiously conservative community at the height of the child sex abuse panic of the 80s and early 90s. Role of coached testimony of children. Disparate impact from law allowing convictions without corroborating evidence.</t>
  </si>
  <si>
    <t>Should be verifiable but not sure how</t>
  </si>
  <si>
    <t>Exculpatory evidence exists</t>
  </si>
  <si>
    <t>Does claimant assert exculpatory evidence exists? If so, does claimant assert a Brady violation?</t>
  </si>
  <si>
    <t>Rape kit report made same day indicates reported assault highly unlikely; complainant given pop to drink prior to examining her mouth for alleged presence of semen.</t>
  </si>
  <si>
    <t>Conviction not corroborated by evidence</t>
  </si>
  <si>
    <t xml:space="preserve">Does claimant assert conviction not corroborated by any empirical evidence? </t>
  </si>
  <si>
    <t>According to 1993 law: “No corroborating evidence of an accusation is necessary for a conviction of criminal sexual conduct.”</t>
  </si>
  <si>
    <t>Verifiable by inaccessible documentation</t>
  </si>
  <si>
    <t>Conviction based on irrational theory of guilt</t>
  </si>
  <si>
    <t>Does claimant assert the conviction’s theory of guilt makes little if any sense?</t>
  </si>
  <si>
    <t>Child’s testimony asserts defendants staged Polaroid shot of her stabbing complainant in chest with butter knife and jelly smeared on claimant’s shirt, and if she told police that codefendants would use it to claim she was the perpetrator. No jelly found on shirt. No Polaroid camera found or existed at premise. No picture ever existed. But this testimony formed basis to convict claimant of first degree aiding and abetting criminal sexual conduct.</t>
  </si>
  <si>
    <t>No actual crime</t>
  </si>
  <si>
    <t xml:space="preserve">Does claimant assert no crime actually happened? </t>
  </si>
  <si>
    <t>Accuser appears to have confabulated the allegations; all the available physical &amp; medical evidence collected within hours of the allegations supports defendants’ claim no crime actually occurred. For example, the rape kit showed no rape trauma, no broken hymen.</t>
  </si>
  <si>
    <t>Investigative factors</t>
  </si>
  <si>
    <r>
      <t xml:space="preserve">These six items cite common police investigations problems, including two by </t>
    </r>
    <r>
      <rPr>
        <b/>
        <sz val="12"/>
        <rFont val="Times New Roman"/>
        <family val="1"/>
      </rPr>
      <t>Judges for Justice</t>
    </r>
    <r>
      <rPr>
        <sz val="12"/>
        <rFont val="Times New Roman"/>
        <family val="1"/>
      </rPr>
      <t>.</t>
    </r>
  </si>
  <si>
    <r>
      <t xml:space="preserve">Law enforcement </t>
    </r>
    <r>
      <rPr>
        <b/>
        <sz val="12"/>
        <color rgb="FF0070C0"/>
        <rFont val="Arial"/>
        <family val="2"/>
      </rPr>
      <t>tunnel vision</t>
    </r>
  </si>
  <si>
    <r>
      <t xml:space="preserve">Does claimant cite </t>
    </r>
    <r>
      <rPr>
        <i/>
        <sz val="10"/>
        <color theme="1"/>
        <rFont val="Times New Roman"/>
        <family val="1"/>
      </rPr>
      <t>confirmation bias</t>
    </r>
    <r>
      <rPr>
        <sz val="10"/>
        <color theme="1"/>
        <rFont val="Times New Roman"/>
        <family val="1"/>
      </rPr>
      <t xml:space="preserve"> distorting the criminal investigation, leading investigators to ignore actual alternatives?</t>
    </r>
  </si>
  <si>
    <t>Once the child complainant made her prurient accusations, investigators relied on leading questions to confirm their biases, encouraging complainant to embellish her testimony. The lack of corroborating evidence suggests investigators became locked into believing the alleged crime had occurred, implicating their own transphobic prejudices, and could not correct their errant beliefs by realigning them with the exculpatory facts.</t>
  </si>
  <si>
    <r>
      <t xml:space="preserve">Law enforcement </t>
    </r>
    <r>
      <rPr>
        <b/>
        <sz val="12"/>
        <color rgb="FF0070C0"/>
        <rFont val="Arial"/>
        <family val="2"/>
      </rPr>
      <t>noble cause corruption</t>
    </r>
  </si>
  <si>
    <t xml:space="preserve">Does claimant note any occasion where law enforcement bends the rules to obtain what they view as just ends? </t>
  </si>
  <si>
    <t xml:space="preserve">Search warrant to find child pornography used Olan Mills portrait of my children as proof of possessing child pornography. Altered child complaint testimony suggests being coached. Appellate Panel, traditionally deferring to trial jury as tryer of fact, assumed that role in reinterpreting trial transcript to finding “fact” of aiding and abetting CSC2. </t>
  </si>
  <si>
    <t>yes, a moderate factor</t>
  </si>
  <si>
    <t>Complainant retraction</t>
  </si>
  <si>
    <t>Has complainant expressed doubt or retraction of the initiating accusation? Does complainant realize misidentifying perpetrator(s)? Does complainant now support wrongly accused while worried actual perpetrator remains free?</t>
  </si>
  <si>
    <t>Confession from actual perpetrator</t>
  </si>
  <si>
    <t>Has another person confessed to the crime?</t>
  </si>
  <si>
    <t>Another person implicated in the crime</t>
  </si>
  <si>
    <t>Was another suspect under investigation but not charged? Another person confessed to the crime, and stated claimant was not involved? Evidence exists pointing to another likely culprit?</t>
  </si>
  <si>
    <t>Conviction based upon outmoded law/beliefs</t>
  </si>
  <si>
    <t>Does claimant assert conviction was based on law no longer in effect?</t>
  </si>
  <si>
    <t xml:space="preserve">“No corroboration of an accusation is necessary for a conviction of criminal sexual conduct.” A conviction can be based solely on the statement of the victim. 
Investigators using suggestive leading questions that induce children to provide answers confirming the investigators’ biases.
Belief that LGBT people are sexual predators trying to recruit children into their “deviant lifestyle.”
Children never lie about being sexually victimized.
</t>
  </si>
  <si>
    <t>Complicating factors</t>
  </si>
  <si>
    <t>These six items tend to compound other factors, increasing likelihood of a wrongful conviction.</t>
  </si>
  <si>
    <t>Presenting conflict of interest</t>
  </si>
  <si>
    <t>Does claimant cite any government official presenting a conflict of interest, such as a prosecutor needing to win the case for reelection?</t>
  </si>
  <si>
    <t>Presiding judge was up for reelection, which appears to have skewed the proceedings.</t>
  </si>
  <si>
    <t>I know of no way to verify this claim</t>
  </si>
  <si>
    <t>Perjured testimony or false accusation</t>
  </si>
  <si>
    <t>Does claimant assert the supposed victim or accomplices made errant claims under oath, whether or not they knew them to be false?</t>
  </si>
  <si>
    <t>Testimony from complainant appears to be parroting transphobic ideas about transgender people, and her testimony was coached according to documents received in Discovery.</t>
  </si>
  <si>
    <t>Moral panic</t>
  </si>
  <si>
    <t>Was accusation made in context of a moral panic, such as the child sex abuse hysteria of the 80s and 90s?</t>
  </si>
  <si>
    <t>Accusation occurred at height of child sex abuse hysteria, following same pattern of asking child leading questions to confirm investigators’ biases, lacking any corroborating evidence.</t>
  </si>
  <si>
    <t>Disparate impact</t>
  </si>
  <si>
    <t>Is claimant a member of a population that has been disproportionately targeted by law enforcement, such as dark skinned minorities, immigrants, religious minorities, the mentally ill or LGBTQ persons?</t>
  </si>
  <si>
    <t>Outed as transgender in a religiously conservative transphobic community, where many believed all LGBTQ people are sex predators victimizing children.</t>
  </si>
  <si>
    <t>Law enforcement prejudice</t>
  </si>
  <si>
    <t>Does claimant report any specific prior prejudicial hostile contact from any law enforcement official? Or hostile bias from law enforcement against claimant’s group identity?</t>
  </si>
  <si>
    <t>Transphobic encounters with police in past. Arresting officers expressed transphobic beliefs when taking claimant to hospital for HIV test, suggesting their prejudices mirrored widespread transphobic beliefs distorting the investigation.</t>
  </si>
  <si>
    <t>Trial by media</t>
  </si>
  <si>
    <t>Does claimant assert press coverage influenced the judicial process or outcome?</t>
  </si>
  <si>
    <t>The arrest of two “crossdressing brothers” reinforcing this conservative religious community’s prejudices kept the case in the news, and ostensibly skewed the judicial process. Media at the time continued sensational coverage of sex abuse trials that presumed guilt of accused.</t>
  </si>
  <si>
    <t>Claimant’s demonstratable innocence</t>
  </si>
  <si>
    <t>These seven items contrast claimant’s behavior against those with actual guilt.</t>
  </si>
  <si>
    <t>Pled not guilty</t>
  </si>
  <si>
    <t>Did claimant plead not guilty? Did claimant challenge some or all the charges at trial? Was claimant informed of the trial penalty risk if found guilty and sentenced?</t>
  </si>
  <si>
    <t>Claimant pled not guilty to all charges and has never considered any plea options.</t>
  </si>
  <si>
    <t>After being confronted with the state’s evidence, did claimant take an Alford plea?</t>
  </si>
  <si>
    <t>[Alford pleas are not available in Michigan.]</t>
  </si>
  <si>
    <t>Duration of innocence claim</t>
  </si>
  <si>
    <t>Has claimant always maintained innocence? Or persisted in claiming innocence after promptly claiming a coerced confession?</t>
  </si>
  <si>
    <t>Claimant has always maintained innocence, even when denied parole for not demonstrating remorse.</t>
  </si>
  <si>
    <t>Respect for crime victim(s)</t>
  </si>
  <si>
    <t>Does claimant present sympathy or empathy for victims of crime? Does claimant insist someone else committed the crime or no crime actually occurred?</t>
  </si>
  <si>
    <t>Claimant insists no crime actually occurred, and views the investigation as a kind of sexual exploitation of the complainant for the prurient interests (even if only subconsciously) of the investigators. Note: both defendants identified as asexual transgender people.</t>
  </si>
  <si>
    <t>Positive institutional record</t>
  </si>
  <si>
    <t>If imprisoned, does claimant assert they were a model prisoner?</t>
  </si>
  <si>
    <t>Received positive work records, was selected in 2000 to open a new prison. Selected as "model peer leader" for Kairos ministry program. Served in lay-leader positions without complaint. Only major misconduct ticket was destruction of state property after using branch from tree to make a dream catcher.</t>
  </si>
  <si>
    <t>No criminal history</t>
  </si>
  <si>
    <t>Was the instant offense the only criminal charge to the claimant?</t>
  </si>
  <si>
    <t>No felony or misdemeanor arrests or convictions prior or afterwards.</t>
  </si>
  <si>
    <t>Verifiable by information requiring paid access</t>
  </si>
  <si>
    <t>Parole denial from maintaining innocence</t>
  </si>
  <si>
    <t>Was claimant denied parole because of a “lack of remorse” in parole hearing while insisting innocence?</t>
  </si>
  <si>
    <t>Was eligible for parole in August 2001 &amp; 2003, but was denied parole for lack of contrition, and so claimant served the maximum of the sentence and was discharged in September 2005.</t>
  </si>
  <si>
    <t>Claimant’s innocence recognized by others</t>
  </si>
  <si>
    <t>These seven items provide independent recognition of claimant’s actual innocence.</t>
  </si>
  <si>
    <t>Any relief on appeal</t>
  </si>
  <si>
    <t>Did the appellate panel provide any relief from the conviction or sentence?</t>
  </si>
  <si>
    <t>Removed 1st degree CSC aiding and abetting but replaced with 2nd degree aiding and abetting by interpreting trial transcript (as trier of fact?). Declined to address CSC2 charge. Remanded resentencing to trial court. A year later, resentenced by trial court, replacing 15 o 30-year sentence with 8 to 15-year sentence (with good time the max was 12 years, providing an outdate in Sept 2005). Refusing anything short of exoneration, I hired a lawyer with the help of my mother to pursue any remaining state level remedies prior to seeking relief at the federal level. The lawyer sat on my trial transcripts for over a year without action, disillusioning me further with the legal process.</t>
  </si>
  <si>
    <t>Supporters</t>
  </si>
  <si>
    <t>Can claimant provide a list of supporters who believe in claimant’s innocence?</t>
  </si>
  <si>
    <t>Presentence Investigation (PSI) includes many support letters, and more can be produced upon request.</t>
  </si>
  <si>
    <t>Affidavits</t>
  </si>
  <si>
    <t>Can claimant provide any affidavits attesting to the facts in the case, such as an alibi?</t>
  </si>
  <si>
    <t>Judge support</t>
  </si>
  <si>
    <t>Has any judge come out in support of claimant’s innocence?</t>
  </si>
  <si>
    <t>Prosecutor support</t>
  </si>
  <si>
    <t>Has any prosecutor come out in support of claimant’s innocence?</t>
  </si>
  <si>
    <t>Defense counsel support</t>
  </si>
  <si>
    <t>Does defense counsel continue to support claimant’s claim to innocence?</t>
  </si>
  <si>
    <t xml:space="preserve">Court appointed lawyer did her best to mount a compelling defense, by emphasizing the lack of corroborating evidence. She continues to express belief in the innocence of claimant, getting hersel to represent claimant at resentencing hearing 1999-02-02.
Court appointed appellate lawyer demonstrated faith in claimant’s innocence, finding more than 60 pages worth of material for the appellate brief, requiring permission (which was granted) to submit a brief in excess of 60 pages.
</t>
  </si>
  <si>
    <t>Influential support</t>
  </si>
  <si>
    <t>Has any political or cultural leader come out in support of claimant’s innocence?</t>
  </si>
  <si>
    <t>Other</t>
  </si>
  <si>
    <t>This item provides space to account for anything not asked above.</t>
  </si>
  <si>
    <t>Any other relevant items</t>
  </si>
  <si>
    <t>Were any charges dropped prior to being indicted? Were any charges dropped, or added, after indictment, and when? Did changes reveal their weak case?</t>
  </si>
  <si>
    <t xml:space="preserve">Complainant had been molested by older female cousin two years prior, but rape shield law prevented jury from knowing this fact.
Codefendant died in prison of cancer on 10-9-2001.
</t>
  </si>
  <si>
    <t>Process</t>
  </si>
  <si>
    <t>These five process items may improve our estimation of a likely wrongful conviction.</t>
  </si>
  <si>
    <t>Indictment changed</t>
  </si>
  <si>
    <t>Was there a plea offer that was turned down?</t>
  </si>
  <si>
    <t>Plea deal turned down</t>
  </si>
  <si>
    <t>Asserted right to trial</t>
  </si>
  <si>
    <t>Did claimant contest the indictment in full and challenge all charges at trial?</t>
  </si>
  <si>
    <t>Discovery with exculpatory evidence</t>
  </si>
  <si>
    <t>Could any documentation provided by the prosecution be viewed as exculpatory?</t>
  </si>
  <si>
    <t>Exculpatory evidence not provided in discovery</t>
  </si>
  <si>
    <r>
      <t xml:space="preserve">Claimant aware of exculpatory evidence not revealed in discovery (i.e., possible </t>
    </r>
    <r>
      <rPr>
        <i/>
        <sz val="10"/>
        <color theme="1"/>
        <rFont val="Times New Roman"/>
        <family val="1"/>
      </rPr>
      <t>Brady</t>
    </r>
    <r>
      <rPr>
        <sz val="10"/>
        <color theme="1"/>
        <rFont val="Times New Roman"/>
        <family val="1"/>
      </rPr>
      <t xml:space="preserve"> violation)?</t>
    </r>
  </si>
  <si>
    <t>Requests and responses for exoneration help</t>
  </si>
  <si>
    <t>Provide names (and email addresses if available) for attempts to get legal assistance.</t>
  </si>
  <si>
    <t>Attorney(s)</t>
  </si>
  <si>
    <t>In 2005 my mother and hired an attorney, who sat on the transcripts without doing any work and I had to file a complaint with the lawyers ethics board to get my trial transcripts back</t>
  </si>
  <si>
    <t>Innocence Project(s)</t>
  </si>
  <si>
    <t>Applied for help 3 times. First time while still incarcerated, but their limited resources were prioritized for those still on death row while I had an outdate. Second time when late in my sentence, but passed over again as they prioritized their resources for those with life sentences. Last time I was interviewed in 2014 after being out, but they decided to focus their resources on those still incarcerated.</t>
  </si>
  <si>
    <t>Other sources of legal assistance</t>
  </si>
  <si>
    <t>What specifically do you seek from this process? Rate each item's level of importance to you right now. This may help prioritize our resources to work toward what you need most.</t>
  </si>
  <si>
    <t>exoneration</t>
  </si>
  <si>
    <t>important but can wait for it</t>
  </si>
  <si>
    <t>financial support for legal costs</t>
  </si>
  <si>
    <t>low priority right now</t>
  </si>
  <si>
    <t>expunged record</t>
  </si>
  <si>
    <t>removal of all collateral consequences</t>
  </si>
  <si>
    <t>increasingly consuming my focus</t>
  </si>
  <si>
    <t>compensation</t>
  </si>
  <si>
    <t>apology</t>
  </si>
  <si>
    <t xml:space="preserve">OTHER: </t>
  </si>
  <si>
    <t>Background checks that privilege discrimination with these specific items.</t>
  </si>
  <si>
    <t>Click maps to go to websites listing collateral consequences by each state, and restoring lost rights.</t>
  </si>
  <si>
    <t>Collateral consequences impacting claimant</t>
  </si>
  <si>
    <r>
      <t xml:space="preserve">Mark on left </t>
    </r>
    <r>
      <rPr>
        <i/>
        <sz val="12"/>
        <color theme="1"/>
        <rFont val="Times New Roman"/>
        <family val="1"/>
      </rPr>
      <t>how</t>
    </r>
    <r>
      <rPr>
        <sz val="12"/>
        <color theme="1"/>
        <rFont val="Times New Roman"/>
        <family val="1"/>
      </rPr>
      <t xml:space="preserve"> each applies. If applies, mark on right </t>
    </r>
    <r>
      <rPr>
        <i/>
        <sz val="12"/>
        <color theme="1"/>
        <rFont val="Times New Roman"/>
        <family val="1"/>
      </rPr>
      <t>when</t>
    </r>
    <r>
      <rPr>
        <sz val="12"/>
        <color theme="1"/>
        <rFont val="Times New Roman"/>
        <family val="1"/>
      </rPr>
      <t xml:space="preserve"> it applies.</t>
    </r>
  </si>
  <si>
    <t xml:space="preserve">Collateral consequences create second-class citizens, often without measurable outcomes to test if meeting their intended purpose. Consequently, they can have the opposite effect, like enabling recidivism--even among the wrongly convicted. </t>
  </si>
  <si>
    <t>permanent</t>
  </si>
  <si>
    <t>Conviction posted online</t>
  </si>
  <si>
    <t>during and since incarceration</t>
  </si>
  <si>
    <t>increasingly limited from living life in full</t>
  </si>
  <si>
    <t>Custody reimbursement</t>
  </si>
  <si>
    <t>cut off from opportunities to live independently</t>
  </si>
  <si>
    <t>Education discrimination</t>
  </si>
  <si>
    <t>signficantly limited from living responsibly</t>
  </si>
  <si>
    <t>Employment discrimination</t>
  </si>
  <si>
    <t>since incarceration</t>
  </si>
  <si>
    <t>severely hindered from normal functioning</t>
  </si>
  <si>
    <t>Exempt from public assistance</t>
  </si>
  <si>
    <t>dangerously cut off from society</t>
  </si>
  <si>
    <t>Exempt from student financial aid</t>
  </si>
  <si>
    <t>Health care discrimination</t>
  </si>
  <si>
    <t>Housing discrimination</t>
  </si>
  <si>
    <t>Loss of government benefits</t>
  </si>
  <si>
    <t xml:space="preserve">Loss of gun rights </t>
  </si>
  <si>
    <t>temporary</t>
  </si>
  <si>
    <t>Loss of parental rights</t>
  </si>
  <si>
    <t>Loss of vote</t>
  </si>
  <si>
    <t>during incarceration</t>
  </si>
  <si>
    <t>GO</t>
  </si>
  <si>
    <t>Loss or denial of professional licence</t>
  </si>
  <si>
    <t>Prevented from seeing family</t>
  </si>
  <si>
    <t xml:space="preserve">The fact of not being rearrested should say something loud and clear. </t>
  </si>
  <si>
    <t>Prevented from visiting prisoners</t>
  </si>
  <si>
    <t>not applicable</t>
  </si>
  <si>
    <t>Restitution to alleged victims</t>
  </si>
  <si>
    <t xml:space="preserve"> reports enduring so many of these consequences to the point of being </t>
  </si>
  <si>
    <t>Restricted movement</t>
  </si>
  <si>
    <t>Sex offender registry</t>
  </si>
  <si>
    <t>Workplace discrimination</t>
  </si>
  <si>
    <t xml:space="preserve"> You can help change this.</t>
  </si>
  <si>
    <t>Other (details in box below)</t>
  </si>
  <si>
    <t>Add here any consequence of the conviction not listed above.</t>
  </si>
  <si>
    <t>Collateral consequence impacting others in claimant's life</t>
  </si>
  <si>
    <r>
      <t xml:space="preserve">Mark on left </t>
    </r>
    <r>
      <rPr>
        <i/>
        <sz val="12"/>
        <color theme="1"/>
        <rFont val="Times New Roman"/>
        <family val="1"/>
      </rPr>
      <t xml:space="preserve">how </t>
    </r>
    <r>
      <rPr>
        <sz val="12"/>
        <color theme="1"/>
        <rFont val="Times New Roman"/>
        <family val="1"/>
      </rPr>
      <t xml:space="preserve">or </t>
    </r>
    <r>
      <rPr>
        <i/>
        <sz val="12"/>
        <color theme="1"/>
        <rFont val="Times New Roman"/>
        <family val="1"/>
      </rPr>
      <t>if</t>
    </r>
    <r>
      <rPr>
        <sz val="12"/>
        <color theme="1"/>
        <rFont val="Times New Roman"/>
        <family val="1"/>
      </rPr>
      <t xml:space="preserve"> each applies. If applies, mark on right </t>
    </r>
    <r>
      <rPr>
        <i/>
        <sz val="12"/>
        <color theme="1"/>
        <rFont val="Times New Roman"/>
        <family val="1"/>
      </rPr>
      <t>to whom</t>
    </r>
    <r>
      <rPr>
        <sz val="12"/>
        <color theme="1"/>
        <rFont val="Times New Roman"/>
        <family val="1"/>
      </rPr>
      <t xml:space="preserve"> it applies.</t>
    </r>
  </si>
  <si>
    <t>anxiety</t>
  </si>
  <si>
    <t xml:space="preserve">negatively impacting a few lives </t>
  </si>
  <si>
    <t>costs to contact while in prison</t>
  </si>
  <si>
    <t>depression</t>
  </si>
  <si>
    <t>lasting</t>
  </si>
  <si>
    <t>divorce</t>
  </si>
  <si>
    <t>impacting close friends &amp; family</t>
  </si>
  <si>
    <t>housing instability</t>
  </si>
  <si>
    <t>impacting only family members</t>
  </si>
  <si>
    <t xml:space="preserve">devastating many lives </t>
  </si>
  <si>
    <t>loss of companionship</t>
  </si>
  <si>
    <t>impacting (then) partner &amp; kids</t>
  </si>
  <si>
    <t xml:space="preserve">family members </t>
  </si>
  <si>
    <t xml:space="preserve">have suffered from </t>
  </si>
  <si>
    <t>loss of father figure during upbringing</t>
  </si>
  <si>
    <t xml:space="preserve">family &amp; friends </t>
  </si>
  <si>
    <t xml:space="preserve">long suffered from </t>
  </si>
  <si>
    <t>loss of stable income</t>
  </si>
  <si>
    <t xml:space="preserve">family, friends and many others </t>
  </si>
  <si>
    <t xml:space="preserve">continue to suffer from </t>
  </si>
  <si>
    <t>loss of emotional support</t>
  </si>
  <si>
    <t>poverty</t>
  </si>
  <si>
    <t>impacting everyone I know</t>
  </si>
  <si>
    <t>stigma</t>
  </si>
  <si>
    <t>targeted by bullying</t>
  </si>
  <si>
    <t>Feel free to add any impacts on others overlooked in the list above.</t>
  </si>
  <si>
    <t xml:space="preserve">Collateral consequences also impact others in </t>
  </si>
  <si>
    <t xml:space="preserve">'s life. </t>
  </si>
  <si>
    <t xml:space="preserve"> shares how </t>
  </si>
  <si>
    <t>You can help improve their lives too!</t>
  </si>
  <si>
    <t>Current neglected needs due to these collateral consequences</t>
  </si>
  <si>
    <t xml:space="preserve">Now let's look at specific impacts by the wrongful conviction's collateral consequences. </t>
  </si>
  <si>
    <t>Challenging</t>
  </si>
  <si>
    <t>Rate each item by how much the wrongful conviction appears to impact it in your current life.</t>
  </si>
  <si>
    <t xml:space="preserve">Despite challenging </t>
  </si>
  <si>
    <t xml:space="preserve">needs, </t>
  </si>
  <si>
    <t>economic</t>
  </si>
  <si>
    <t>significantly challenged</t>
  </si>
  <si>
    <t xml:space="preserve"> needs, </t>
  </si>
  <si>
    <t>physical health</t>
  </si>
  <si>
    <t>only slightly challenged</t>
  </si>
  <si>
    <t>mental health</t>
  </si>
  <si>
    <t>moderately challenged</t>
  </si>
  <si>
    <t>relationships</t>
  </si>
  <si>
    <t>will-to-live</t>
  </si>
  <si>
    <t>not challenged at all</t>
  </si>
  <si>
    <t>OTHER:</t>
  </si>
  <si>
    <t>Aspiring</t>
  </si>
  <si>
    <t>Rate each item by importance in your life right now, so we can best serve your needs.</t>
  </si>
  <si>
    <t xml:space="preserve"> aspires toward </t>
  </si>
  <si>
    <t xml:space="preserve">life improvements. </t>
  </si>
  <si>
    <t>income independence</t>
  </si>
  <si>
    <t>I struggle to make it happen but unsuccessfully</t>
  </si>
  <si>
    <t xml:space="preserve">, </t>
  </si>
  <si>
    <t>maintaining healthy lifestyle</t>
  </si>
  <si>
    <t>I feel I've reached it but not maintained it</t>
  </si>
  <si>
    <t>overcoming depression &amp; anxiety</t>
  </si>
  <si>
    <t>I maintain it without help like this</t>
  </si>
  <si>
    <t>restoring familiy ties</t>
  </si>
  <si>
    <t>helping others similarly situated</t>
  </si>
  <si>
    <t>I don't seek it nor think about it much</t>
  </si>
  <si>
    <t>Any other wrongful conviction challenges or aspiration you'd like to add?</t>
  </si>
  <si>
    <t xml:space="preserve">Removing illicit discrimination </t>
  </si>
  <si>
    <t xml:space="preserve">will go a long way toward improving </t>
  </si>
  <si>
    <t>Claimant narrative</t>
  </si>
  <si>
    <t xml:space="preserve">Here is where the claimant puts in their own words what they claim happened, providing helpful context for the wrongful conviction. This appears in what others see first, so give it your best.  </t>
  </si>
  <si>
    <t>This section wraps up the form. The remainder is for helping you, the claimant (and proxy), to find the support you need to overcome this injustice. Keep going, you're almost there!</t>
  </si>
  <si>
    <t>Claim Synopsis</t>
  </si>
  <si>
    <t>In two sentences or less, grap the readers attention with a tearjerking synopsis of the innocence claim. This text appears in the executive summary at the top.</t>
  </si>
  <si>
    <t>Asexual person comes out as transgender in early 90s, gets falsely accused as being a “sexual predator” homophobic stereotype. Convicted without evidence. Must register as sex offender for life. Forced into poverty and homelessness.</t>
  </si>
  <si>
    <t>Claim highlights</t>
  </si>
  <si>
    <t>List eyegrabbing hightlights of claim, with as few words as possible. Replace each example with something from your own case.</t>
  </si>
  <si>
    <t>Highlight 1</t>
  </si>
  <si>
    <t xml:space="preserve"> will display here</t>
  </si>
  <si>
    <t>Highlight 2</t>
  </si>
  <si>
    <t>Consistently maintained innocence, took no plea deals</t>
  </si>
  <si>
    <t>Highlight 3</t>
  </si>
  <si>
    <t>Transphobic investigation and prosecution</t>
  </si>
  <si>
    <t>Highlight 4</t>
  </si>
  <si>
    <t>Convicted without corroborating evidence</t>
  </si>
  <si>
    <t>Highlight 5</t>
  </si>
  <si>
    <t>Climate of sex abuse hysteria</t>
  </si>
  <si>
    <t>Highlight 6</t>
  </si>
  <si>
    <t>Media sensationalized coverage</t>
  </si>
  <si>
    <t>Highlight 7</t>
  </si>
  <si>
    <t>Exculpatory evidence overlooked with untested DNA</t>
  </si>
  <si>
    <t>Highlight 8</t>
  </si>
  <si>
    <t>Asexual transperson must register for life as "sex offender"</t>
  </si>
  <si>
    <t>Highlight 9</t>
  </si>
  <si>
    <t>Highlight 10</t>
  </si>
  <si>
    <t>Flipside</t>
  </si>
  <si>
    <t>For a balanced view, acknowledge what could be seen as the worst in the case. Nullify criticism by getting it out of the way. End on a positive note, like how you overcame the worst.</t>
  </si>
  <si>
    <t>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t>
  </si>
  <si>
    <t>Claim Summary</t>
  </si>
  <si>
    <t>Summarize the innocence claim--with an eye for short attention spans. Add some context to the synopsis above. Provoke the reader's curiosity and interest to discover more.</t>
  </si>
  <si>
    <r>
      <rPr>
        <b/>
        <sz val="12"/>
        <color theme="1"/>
        <rFont val="Times New Roman"/>
        <family val="1"/>
      </rPr>
      <t>FORMAT</t>
    </r>
    <r>
      <rPr>
        <sz val="12"/>
        <color theme="1"/>
        <rFont val="Times New Roman"/>
        <family val="1"/>
      </rPr>
      <t>:</t>
    </r>
  </si>
  <si>
    <t>On [INCIDENT DATE], [CLAIMANT] [HOW INCIDENT OCCURRED]. [CONTEXT].</t>
  </si>
  <si>
    <t xml:space="preserve">Do your best to describe the facts without vilifying anyone. Let the reader decide. </t>
  </si>
  <si>
    <r>
      <t xml:space="preserve">Close with a </t>
    </r>
    <r>
      <rPr>
        <b/>
        <i/>
        <sz val="11"/>
        <color theme="1"/>
        <rFont val="Times New Roman"/>
        <family val="1"/>
      </rPr>
      <t>call-to-action</t>
    </r>
    <r>
      <rPr>
        <sz val="11"/>
        <color theme="1"/>
        <rFont val="Times New Roman"/>
        <family val="1"/>
      </rPr>
      <t xml:space="preserve"> [CTA], what you are asking the engaged reader to do.</t>
    </r>
  </si>
  <si>
    <t>Look through the example to get some ideas.</t>
  </si>
  <si>
    <t xml:space="preserve">At the height of the sex abuse hysteria in the early-90s, claimant came out as transgender in a mostly religiously conservative community. Claimant came out to sibling, who came out as trans years earlier. A neighborhood child drew curious, peeping into claimant's window to ogle at what she called the "man with lipstick." When caught not being home on time, the child leveled bizarre claims of sex abuse unbecoming from a child. 
Child testimonies back then were often coached. Trans people were easily vilified. Since no corroborating evidence was necessary back then to convict for sexual misconduct, both transwomen were wrongly convicted and sentenced to long terms in men’s prisons, where claimant’s codefendant and sibling died. 
After serving a full 12-year sentence, claimant was discharged and finished undergraduate and graduate degrees. But is required to register as a sex offender for life, destroying economic and other opportunities. </t>
  </si>
  <si>
    <t>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
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
A neighborhood child drew curious, peeping into Janet’s window to gawk at what she called the "man with lipstick." When caught not being home on time, the child leveled bizarre claims of sex abuse unbecoming from a child. Exposed to porn?
The child then dragged Steph into her transphobic-indoctrinated accusations. The child claimed Steph posed with her as if she, the young child, was stabbing Steph in the chest with a jelly stained butter knife. She claimed this was to scare her from talking to police, that we would say she was the aggressor. Unbelievable? Not if you already believe trans people are subhuman.
Child testimonies back then were often coached. Trans people were easily vilified. Since no corroborating evidence was necessary back then to convict for sexual misconduct, both transwomen were wrongly convicted and sentenced to long terms in men’s prisons, where Steph’s codefendant transgender sibling died in 2001.
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t>
  </si>
  <si>
    <t>Dynamic relating</t>
  </si>
  <si>
    <r>
      <rPr>
        <b/>
        <sz val="11"/>
        <color theme="1"/>
        <rFont val="Times New Roman"/>
        <family val="1"/>
      </rPr>
      <t>Your needs</t>
    </r>
    <r>
      <rPr>
        <sz val="11"/>
        <color theme="1"/>
        <rFont val="Times New Roman"/>
        <family val="1"/>
      </rPr>
      <t xml:space="preserve"> cannot conform easily to expectations simply because you have been convicted. Wrongful or otherwise, a conviction forces you to make adjustments others readily ignore. Let others know the adjustments you've had to make, their impact on you and your loved ones, and where you see yourself in the future.</t>
    </r>
  </si>
  <si>
    <t xml:space="preserve">You have needs. No one has authority over your needs. No one. Not even the criminal justice system. </t>
  </si>
  <si>
    <t>Anxious at all?</t>
  </si>
  <si>
    <t>Rate each item to your level of experience. Your responses let us know the level of your current need. If taken later we can compare the scores to help see if we are helping or not.</t>
  </si>
  <si>
    <t>Pick best answer from pulldown menu.</t>
  </si>
  <si>
    <t>Numbness or tingling</t>
  </si>
  <si>
    <t>Feeling hot</t>
  </si>
  <si>
    <t>Wobbliness in legs</t>
  </si>
  <si>
    <t>Unable to relax</t>
  </si>
  <si>
    <t>Fear of worst happening</t>
  </si>
  <si>
    <t>Dizzy or lightheaded</t>
  </si>
  <si>
    <t>Heart pounding / racing</t>
  </si>
  <si>
    <t>Unsteady</t>
  </si>
  <si>
    <t>Terrified or afraid</t>
  </si>
  <si>
    <t>Nervous</t>
  </si>
  <si>
    <t>Feeling of choking</t>
  </si>
  <si>
    <t>Hands trembling</t>
  </si>
  <si>
    <t>Shaky / unsteady</t>
  </si>
  <si>
    <t>Fear of losing control</t>
  </si>
  <si>
    <t>Difficulty in breathing</t>
  </si>
  <si>
    <t>Fear of dying</t>
  </si>
  <si>
    <t>Scared</t>
  </si>
  <si>
    <t>Indigestion</t>
  </si>
  <si>
    <t>Faint / lightheaded</t>
  </si>
  <si>
    <t>Face flushed</t>
  </si>
  <si>
    <t>Hot / cold sweats</t>
  </si>
  <si>
    <t>Not at all</t>
  </si>
  <si>
    <t>low anxiety</t>
  </si>
  <si>
    <t>Mildly, but it didn’t bother me much</t>
  </si>
  <si>
    <t xml:space="preserve">By </t>
  </si>
  <si>
    <t>moderate anxiety</t>
  </si>
  <si>
    <t>Moderately – it wasn’t pleasant at times</t>
  </si>
  <si>
    <t xml:space="preserve">improve current anxiety level, now estimated at </t>
  </si>
  <si>
    <t xml:space="preserve">level, as measured bt the Beck Anxierty Inventory screening tool. </t>
  </si>
  <si>
    <t>high anxiety</t>
  </si>
  <si>
    <t>Severely – it bothered me a lot</t>
  </si>
  <si>
    <t xml:space="preserve">You understandably experience </t>
  </si>
  <si>
    <t xml:space="preserve">, considering the many challenges you face from such a conviction. </t>
  </si>
  <si>
    <t>You can rule out a purely biological source for such anxiety.</t>
  </si>
  <si>
    <r>
      <rPr>
        <b/>
        <sz val="10"/>
        <color theme="1"/>
        <rFont val="Arial"/>
        <family val="2"/>
      </rPr>
      <t>Value Relating</t>
    </r>
    <r>
      <rPr>
        <sz val="10"/>
        <color theme="1"/>
        <rFont val="Arial"/>
        <family val="2"/>
      </rPr>
      <t xml:space="preserve"> sees anxiety as a natural response to handling the overwhelmingly painful challenges of a wrongful conviction, or any criminal conviction of a dubious nature. If the full weight of the state crashed down upon you like a pile of bricks, each or most a trusted lie, wouldn't you be anxious? Together, we can turn this around.</t>
    </r>
  </si>
  <si>
    <t xml:space="preserve"> understandably experiences </t>
  </si>
  <si>
    <t xml:space="preserve"> from the wrongful conviction. </t>
  </si>
  <si>
    <t>Once hired, much of that should clear up. If not, Value Relating can help.</t>
  </si>
  <si>
    <t>Depressed at all?</t>
  </si>
  <si>
    <t>sadness</t>
  </si>
  <si>
    <t xml:space="preserve">I do not feel sad. </t>
  </si>
  <si>
    <t xml:space="preserve">I feel sad </t>
  </si>
  <si>
    <t xml:space="preserve">I am sad all the time and I can't snap out of it. </t>
  </si>
  <si>
    <t xml:space="preserve">I am so sad and unhappy that I can't stand it. </t>
  </si>
  <si>
    <t>hope</t>
  </si>
  <si>
    <t xml:space="preserve">I am not particularly discouraged about the future. </t>
  </si>
  <si>
    <t xml:space="preserve">I feel discouraged about the future. </t>
  </si>
  <si>
    <t xml:space="preserve">I feel I have nothing to look forward to. </t>
  </si>
  <si>
    <t xml:space="preserve">I feel the future is hopeless and that things cannot improve. </t>
  </si>
  <si>
    <t>failures</t>
  </si>
  <si>
    <t xml:space="preserve">I do not feel like a failure. </t>
  </si>
  <si>
    <t xml:space="preserve">I feel I have failed more than the average person. </t>
  </si>
  <si>
    <t xml:space="preserve">As I look back on my life, all I can see is a lot of failures. </t>
  </si>
  <si>
    <t xml:space="preserve">I feel I am a complete failure as a person. </t>
  </si>
  <si>
    <t>satisfaction</t>
  </si>
  <si>
    <t xml:space="preserve">I get as much satisfaction out of things as I used to. </t>
  </si>
  <si>
    <t xml:space="preserve">I don't enjoy things the way I used to. </t>
  </si>
  <si>
    <t xml:space="preserve">I don't get real satisfaction out of anything anymore. </t>
  </si>
  <si>
    <t xml:space="preserve">I am dissatisfied or bored with everything. </t>
  </si>
  <si>
    <t>guilt</t>
  </si>
  <si>
    <t xml:space="preserve">I don't feel particularly guilty </t>
  </si>
  <si>
    <t xml:space="preserve">I feel guilty a good part of the time. </t>
  </si>
  <si>
    <t xml:space="preserve">I feel quite guilty most of the time. </t>
  </si>
  <si>
    <t xml:space="preserve">I feel guilty all of the time. </t>
  </si>
  <si>
    <t>punished</t>
  </si>
  <si>
    <t xml:space="preserve">I don't feel I am being punished. </t>
  </si>
  <si>
    <t xml:space="preserve">I feel I may be punished. </t>
  </si>
  <si>
    <t xml:space="preserve">I expect to be punished. </t>
  </si>
  <si>
    <t xml:space="preserve">I feel I am being punished. </t>
  </si>
  <si>
    <t>self-loath</t>
  </si>
  <si>
    <t xml:space="preserve">I don't feel disappointed in myself. </t>
  </si>
  <si>
    <t xml:space="preserve">I am disappointed in myself. </t>
  </si>
  <si>
    <t xml:space="preserve">I am disgusted with myself. </t>
  </si>
  <si>
    <t xml:space="preserve">I hate myself. </t>
  </si>
  <si>
    <t>faults</t>
  </si>
  <si>
    <t xml:space="preserve">I don't feel I am any worse than anybody else. </t>
  </si>
  <si>
    <t xml:space="preserve">I am critical of myself for my weaknesses or mistakes. </t>
  </si>
  <si>
    <t xml:space="preserve">I blame myself all the time for my faults. </t>
  </si>
  <si>
    <t xml:space="preserve">I blame myself for everything bad that happens. </t>
  </si>
  <si>
    <t>suicidal thoughts</t>
  </si>
  <si>
    <t xml:space="preserve">I don't have any thoughts of killing myself. </t>
  </si>
  <si>
    <t xml:space="preserve">I have thoughts of killing myself, but I would not carry them out. </t>
  </si>
  <si>
    <t xml:space="preserve">I would like to kill myself. </t>
  </si>
  <si>
    <t xml:space="preserve">I would kill myself if I had the chance. </t>
  </si>
  <si>
    <t>crying</t>
  </si>
  <si>
    <t xml:space="preserve">I don't cry any more than usual. </t>
  </si>
  <si>
    <t xml:space="preserve">I cry more now than I used to. </t>
  </si>
  <si>
    <t xml:space="preserve">I cry all the time now. </t>
  </si>
  <si>
    <t xml:space="preserve">I used to be able to cry, but now I can't cry even though I want to. </t>
  </si>
  <si>
    <t>irritability</t>
  </si>
  <si>
    <t xml:space="preserve">I am no more irritated by things than I ever was. </t>
  </si>
  <si>
    <t xml:space="preserve">I am slightly more irritated now than usual. </t>
  </si>
  <si>
    <t xml:space="preserve">I am quite annoyed or irritated a good deal of the time. </t>
  </si>
  <si>
    <t xml:space="preserve">I feel irritated all the time. </t>
  </si>
  <si>
    <t>socializing</t>
  </si>
  <si>
    <t xml:space="preserve">I have not lost interest in other people. </t>
  </si>
  <si>
    <t xml:space="preserve">I am less interested in other people than I used to be. </t>
  </si>
  <si>
    <t xml:space="preserve">I have lost most of my interest in other people. </t>
  </si>
  <si>
    <t xml:space="preserve">I have lost all of my interest in other people. </t>
  </si>
  <si>
    <t>decisiveness</t>
  </si>
  <si>
    <t xml:space="preserve">I make decisions about as well as I ever could. </t>
  </si>
  <si>
    <t xml:space="preserve">I put off making decisions more than I used to. </t>
  </si>
  <si>
    <t xml:space="preserve">I have greater difficulty in making decisions more than I used to. </t>
  </si>
  <si>
    <t xml:space="preserve">I can't make decisions at all anymore. </t>
  </si>
  <si>
    <t>self-image</t>
  </si>
  <si>
    <t xml:space="preserve">I don't feel that I look any worse than I used to. </t>
  </si>
  <si>
    <t xml:space="preserve">I am worried that I am looking old or unattractive. </t>
  </si>
  <si>
    <t>I feel there are permanent changes in my appearance that make me look unattractive.</t>
  </si>
  <si>
    <t xml:space="preserve">I believe that I look ugly. </t>
  </si>
  <si>
    <t>effort</t>
  </si>
  <si>
    <t xml:space="preserve">I can work about as well as before. </t>
  </si>
  <si>
    <t xml:space="preserve">It takes an extra effort to get started at doing something. </t>
  </si>
  <si>
    <t xml:space="preserve">I have to push myself very hard to do anything. </t>
  </si>
  <si>
    <t xml:space="preserve">I can't do any work at all. </t>
  </si>
  <si>
    <t>sleep</t>
  </si>
  <si>
    <t xml:space="preserve">I can sleep as well as usual. </t>
  </si>
  <si>
    <t xml:space="preserve">I don't sleep as well as I used to. </t>
  </si>
  <si>
    <t xml:space="preserve">I wake up 1-2 hours earlier than usual and find it hard to get back to sleep. </t>
  </si>
  <si>
    <t xml:space="preserve">I wake up several hours earlier than I used to and cannot get back to sleep. </t>
  </si>
  <si>
    <t>tiredness</t>
  </si>
  <si>
    <t xml:space="preserve">I don't get more tired than usual. </t>
  </si>
  <si>
    <t xml:space="preserve">I get tired more easily than I used to. </t>
  </si>
  <si>
    <t xml:space="preserve">I get tired from doing almost anything. </t>
  </si>
  <si>
    <t xml:space="preserve">I am too tired to do anything. </t>
  </si>
  <si>
    <t>appetite</t>
  </si>
  <si>
    <t xml:space="preserve">My appetite is no worse than usual. </t>
  </si>
  <si>
    <t xml:space="preserve">My appetite is not as good as it used to be. </t>
  </si>
  <si>
    <t xml:space="preserve">My appetite is much worse now. </t>
  </si>
  <si>
    <t xml:space="preserve">I have no appetite at all anymore. </t>
  </si>
  <si>
    <t>weight loss</t>
  </si>
  <si>
    <t xml:space="preserve">I haven't lost much weight, if any, lately. </t>
  </si>
  <si>
    <t xml:space="preserve">I have lost more than five pounds. </t>
  </si>
  <si>
    <t xml:space="preserve">I have lost more than ten pounds. </t>
  </si>
  <si>
    <t xml:space="preserve">I have lost more than fifteen pounds. </t>
  </si>
  <si>
    <t>worries</t>
  </si>
  <si>
    <t xml:space="preserve">I am no more worried about my health than usual. </t>
  </si>
  <si>
    <t xml:space="preserve">I am worried about physical problems like aches, pains, upset stomach, or constipation. </t>
  </si>
  <si>
    <t xml:space="preserve">I am very worried about physical problems and it's hard to think of much else. </t>
  </si>
  <si>
    <t xml:space="preserve">I am so worried about my physical problems that I cannot think of anything else. </t>
  </si>
  <si>
    <t>sexual interest</t>
  </si>
  <si>
    <t xml:space="preserve">improve current depression level, now estimated at a </t>
  </si>
  <si>
    <t xml:space="preserve">level, as measured by the Beck Depression Inventory screening tool. </t>
  </si>
  <si>
    <t xml:space="preserve">I have not noticed any recent change in my interest in sex. </t>
  </si>
  <si>
    <t xml:space="preserve">I am less interested in sex than I used to be. </t>
  </si>
  <si>
    <t xml:space="preserve">I have almost no interest in sex. </t>
  </si>
  <si>
    <t xml:space="preserve">I have lost interest in sex completely. </t>
  </si>
  <si>
    <t xml:space="preserve">Levels of Depression </t>
  </si>
  <si>
    <t>Total Score</t>
  </si>
  <si>
    <t>normal ups and downs</t>
  </si>
  <si>
    <t>mild mood disturbance</t>
  </si>
  <si>
    <t>borderline clinical depression</t>
  </si>
  <si>
    <t>moderate depression</t>
  </si>
  <si>
    <t>severe depression</t>
  </si>
  <si>
    <t>extreme depression</t>
  </si>
  <si>
    <t>You can rule out a purely biological source for such depression.</t>
  </si>
  <si>
    <r>
      <rPr>
        <b/>
        <sz val="11"/>
        <color theme="1"/>
        <rFont val="Tahoma"/>
        <family val="2"/>
      </rPr>
      <t>Value Relating</t>
    </r>
    <r>
      <rPr>
        <sz val="11"/>
        <color theme="1"/>
        <rFont val="Tahoma"/>
        <family val="2"/>
      </rPr>
      <t xml:space="preserve"> sees most depression as </t>
    </r>
    <r>
      <rPr>
        <b/>
        <i/>
        <sz val="11"/>
        <color theme="1"/>
        <rFont val="Tahoma"/>
        <family val="2"/>
      </rPr>
      <t>redirection,</t>
    </r>
    <r>
      <rPr>
        <sz val="11"/>
        <color theme="1"/>
        <rFont val="Tahoma"/>
        <family val="2"/>
      </rPr>
      <t xml:space="preserve"> as the body shifting energy away from too much effort for others, to pull greater effort toward neglected aspects of oneself. You naturally will be depressed, according to this view, when you are coerced by the law to give up being true to yourself, to your actual innocence, to your personal integrity. Together, we can turn this around.</t>
    </r>
  </si>
  <si>
    <t>Relating</t>
  </si>
  <si>
    <t>Resigned options (avoiding pain)</t>
  </si>
  <si>
    <t>anticipated results</t>
  </si>
  <si>
    <t>Adversarial options (relieving pain)</t>
  </si>
  <si>
    <t>Conciliatory options (resolving pain)</t>
  </si>
  <si>
    <t xml:space="preserve">Estimated compensation under state law: </t>
  </si>
  <si>
    <t>If filed within 3 years</t>
  </si>
  <si>
    <t>limits on attorney feels</t>
  </si>
  <si>
    <t>see other benefits under law</t>
  </si>
  <si>
    <t>Compensation</t>
  </si>
  <si>
    <t>Federal or your state</t>
  </si>
  <si>
    <t>'s compensation statue, along with some challenges to receive such a claim.</t>
  </si>
  <si>
    <t>Statute</t>
  </si>
  <si>
    <t>Eligibility</t>
  </si>
  <si>
    <t xml:space="preserve">Standard </t>
  </si>
  <si>
    <t>of proof</t>
  </si>
  <si>
    <t xml:space="preserve">Determined </t>
  </si>
  <si>
    <t>by who</t>
  </si>
  <si>
    <t>Timely filing</t>
  </si>
  <si>
    <t xml:space="preserve">Maximum </t>
  </si>
  <si>
    <t>award</t>
  </si>
  <si>
    <t xml:space="preserve">Per year </t>
  </si>
  <si>
    <t>incarcerated</t>
  </si>
  <si>
    <t xml:space="preserve">Future civil </t>
  </si>
  <si>
    <t>litigation</t>
  </si>
  <si>
    <t>Your eligible</t>
  </si>
  <si>
    <t>amount</t>
  </si>
  <si>
    <t xml:space="preserve">How much earned last year? Even without compensation for exoneration, </t>
  </si>
  <si>
    <t xml:space="preserve">you can potentially earn around </t>
  </si>
  <si>
    <t xml:space="preserve">% more than your current income. </t>
  </si>
  <si>
    <t>By removing employment discrimination from this wrongful conviction, you could earn up to $</t>
  </si>
  <si>
    <t xml:space="preserve"> more per month. That's about $</t>
  </si>
  <si>
    <t xml:space="preserve"> more per week. </t>
  </si>
  <si>
    <t xml:space="preserve">Hidden costs of anxiety and depression could also drop significantly. </t>
  </si>
  <si>
    <t>Share that with your supporters!</t>
  </si>
  <si>
    <t xml:space="preserve">I. </t>
  </si>
  <si>
    <t>Hidden human costs</t>
  </si>
  <si>
    <t xml:space="preserve">Both start the same. </t>
  </si>
  <si>
    <t xml:space="preserve">1.  Fill out the form above. </t>
  </si>
  <si>
    <t xml:space="preserve">2.  Decide who you need to notify, and get their contact information. </t>
  </si>
  <si>
    <t>3.  Go to that tab -</t>
  </si>
  <si>
    <t xml:space="preserve">(AI01 and so forth) and review the information. </t>
  </si>
  <si>
    <t>4.  If acceptable, save each one using these steps:</t>
  </si>
  <si>
    <t>a)  Select File menu (upper left)</t>
  </si>
  <si>
    <t>b)  Select Save As</t>
  </si>
  <si>
    <t>c)  Choose a folder to save it in</t>
  </si>
  <si>
    <t>d)  File name: change file name to include who is being notified</t>
  </si>
  <si>
    <t>e)  Save as type: scroll down dropdown list and choose PDF as file type (near bottom of list).</t>
  </si>
  <si>
    <t>f)  Click the SAVE button.</t>
  </si>
  <si>
    <t>Repeat for each tab you use. (Each PDF should open in your PDF reader, if installed with defaults)</t>
  </si>
  <si>
    <t>5.  Draft email specific to who you are notifying.</t>
  </si>
  <si>
    <t xml:space="preserve">6.  Send email with your corresponding PDF as an attachment. </t>
  </si>
  <si>
    <r>
      <t xml:space="preserve">7.  Wait, </t>
    </r>
    <r>
      <rPr>
        <i/>
        <sz val="11"/>
        <color theme="1"/>
        <rFont val="Times New Roman"/>
        <family val="1"/>
      </rPr>
      <t>or tactfully follow up</t>
    </r>
    <r>
      <rPr>
        <sz val="11"/>
        <color theme="1"/>
        <rFont val="Times New Roman"/>
        <family val="1"/>
      </rPr>
      <t>.</t>
    </r>
  </si>
  <si>
    <t>DIY for Free</t>
  </si>
  <si>
    <r>
      <t xml:space="preserve">DIY </t>
    </r>
    <r>
      <rPr>
        <b/>
        <sz val="16"/>
        <color theme="9" tint="-0.249977111117893"/>
        <rFont val="Tahoma"/>
        <family val="2"/>
      </rPr>
      <t>for Free</t>
    </r>
  </si>
  <si>
    <r>
      <t xml:space="preserve">You have the option to </t>
    </r>
    <r>
      <rPr>
        <b/>
        <sz val="11"/>
        <color theme="1"/>
        <rFont val="Times New Roman"/>
        <family val="1"/>
      </rPr>
      <t>Do It Yourself</t>
    </r>
    <r>
      <rPr>
        <sz val="11"/>
        <color theme="1"/>
        <rFont val="Times New Roman"/>
        <family val="1"/>
      </rPr>
      <t xml:space="preserve"> and go it alone. </t>
    </r>
  </si>
  <si>
    <t>Supporter(s)</t>
  </si>
  <si>
    <t>total supporters</t>
  </si>
  <si>
    <t xml:space="preserve">contributed by each of </t>
  </si>
  <si>
    <t>Invite personal supporters to claimant's support team.</t>
  </si>
  <si>
    <t>Build up your Support Team, one supporter at a time.</t>
  </si>
  <si>
    <t>Step 1</t>
  </si>
  <si>
    <t xml:space="preserve"> to go for weekly support.</t>
  </si>
  <si>
    <t xml:space="preserve">Invite supporters to help cover the weekly support fee, after claimant and proxy covers 10%. For step 1, you and your proxy will cover $5 while your support team covers the remaining $45. Later, for group video-chat, you and your proxy covers $10 while your support team covers the remaining $90. </t>
  </si>
  <si>
    <t xml:space="preserve">Only </t>
  </si>
  <si>
    <t>Supporter 01:</t>
  </si>
  <si>
    <t>FIRST NAME</t>
  </si>
  <si>
    <t>hard no</t>
  </si>
  <si>
    <t>no, I am not at all interested</t>
  </si>
  <si>
    <t>Email address</t>
  </si>
  <si>
    <t>soft no</t>
  </si>
  <si>
    <t>no, I am not ready at this time</t>
  </si>
  <si>
    <t>Relation to claimant</t>
  </si>
  <si>
    <t>AWARENESS OF ISSUE</t>
  </si>
  <si>
    <t>equivocating</t>
  </si>
  <si>
    <t>first, I want to learn more about this</t>
  </si>
  <si>
    <t>Invitation:</t>
  </si>
  <si>
    <t>Date sent:</t>
  </si>
  <si>
    <t>Date replied:</t>
  </si>
  <si>
    <t>maybe yes</t>
  </si>
  <si>
    <t>yes, I am willing but can't start now</t>
  </si>
  <si>
    <t>Sent/Reply</t>
  </si>
  <si>
    <t>YYYY-MM-DD</t>
  </si>
  <si>
    <t xml:space="preserve">This contribution is </t>
  </si>
  <si>
    <t>% of the average contribution.</t>
  </si>
  <si>
    <t>clear yes</t>
  </si>
  <si>
    <t>yes, I am ready to start</t>
  </si>
  <si>
    <t>Response:</t>
  </si>
  <si>
    <t xml:space="preserve">This covers </t>
  </si>
  <si>
    <t>doesn't know I have felony</t>
  </si>
  <si>
    <t>Support level:</t>
  </si>
  <si>
    <t xml:space="preserve">Weekly contribution: </t>
  </si>
  <si>
    <t>doesn't know I claim innocence</t>
  </si>
  <si>
    <t>contribution per exchange: $</t>
  </si>
  <si>
    <t>knows I have felony</t>
  </si>
  <si>
    <t>knows I claim innocence</t>
  </si>
  <si>
    <t>Supporter 02</t>
  </si>
  <si>
    <t>steph_d_turner@yahoo.com</t>
  </si>
  <si>
    <t>Supporter 03</t>
  </si>
  <si>
    <t>Supporter 04</t>
  </si>
  <si>
    <t>Supporter 05</t>
  </si>
  <si>
    <t>Supporter 06</t>
  </si>
  <si>
    <t>Supporter 07</t>
  </si>
  <si>
    <t>Supporter 08</t>
  </si>
  <si>
    <t>Supporter 09</t>
  </si>
  <si>
    <t>Supporter 10</t>
  </si>
  <si>
    <t>Supporter 11</t>
  </si>
  <si>
    <t>Supporter 12</t>
  </si>
  <si>
    <t>Supporter 13</t>
  </si>
  <si>
    <t>Supporter 14</t>
  </si>
  <si>
    <t>Supporter 15</t>
  </si>
  <si>
    <t>Supporter 16</t>
  </si>
  <si>
    <t>Supporter 17</t>
  </si>
  <si>
    <t>Supporter 18</t>
  </si>
  <si>
    <t>Supporter 19</t>
  </si>
  <si>
    <t>Supporter 20</t>
  </si>
  <si>
    <t>Supporter 21</t>
  </si>
  <si>
    <t>Supporter 22</t>
  </si>
  <si>
    <t>Supporter 23</t>
  </si>
  <si>
    <t>Supporter 24</t>
  </si>
  <si>
    <t>work without pay</t>
  </si>
  <si>
    <t>punished for being a binary transcendent need-resolver</t>
  </si>
  <si>
    <t>Who do you need to notify of your estimated innocence? Lower your risk of discrimination by sending notification to either an employer, a landlord, and/or debt collector.</t>
  </si>
  <si>
    <t>Click on "Employer" or other title to change it from the dropdown list. Pick an option for sending the notification. And fill out the contact information, so we can anticipate their reply.</t>
  </si>
  <si>
    <t>Accumulative total: $0</t>
  </si>
  <si>
    <t xml:space="preserve">Employer </t>
  </si>
  <si>
    <t xml:space="preserve">Accumulative total: </t>
  </si>
  <si>
    <t>notify options:</t>
  </si>
  <si>
    <t>We send notification on your behalf [$5]. Only $1 if done by Jan 1st.</t>
  </si>
  <si>
    <t>PICK AN OPTION BEST FOR YOU</t>
  </si>
  <si>
    <t>Y</t>
  </si>
  <si>
    <t>N1</t>
  </si>
  <si>
    <t xml:space="preserve">Go to </t>
  </si>
  <si>
    <t xml:space="preserve"> tab &gt;&gt;</t>
  </si>
  <si>
    <t xml:space="preserve">Send notification yourself </t>
  </si>
  <si>
    <t>[</t>
  </si>
  <si>
    <t>DIY FREE</t>
  </si>
  <si>
    <t>]</t>
  </si>
  <si>
    <t xml:space="preserve">Entity name: </t>
  </si>
  <si>
    <t xml:space="preserve">Housing </t>
  </si>
  <si>
    <t xml:space="preserve">We send notification on your behalf </t>
  </si>
  <si>
    <t xml:space="preserve">. Only </t>
  </si>
  <si>
    <t xml:space="preserve"> if done by </t>
  </si>
  <si>
    <t>Jan 1st</t>
  </si>
  <si>
    <t>.</t>
  </si>
  <si>
    <t xml:space="preserve">Contact person: </t>
  </si>
  <si>
    <t xml:space="preserve">Debt collector </t>
  </si>
  <si>
    <t xml:space="preserve">We qualify then notify them </t>
  </si>
  <si>
    <t xml:space="preserve">Position: </t>
  </si>
  <si>
    <t xml:space="preserve">Email address: </t>
  </si>
  <si>
    <t xml:space="preserve">Mailing address: </t>
  </si>
  <si>
    <t>N2</t>
  </si>
  <si>
    <t>N3</t>
  </si>
  <si>
    <t>N4</t>
  </si>
  <si>
    <t>N5</t>
  </si>
  <si>
    <t>N6</t>
  </si>
  <si>
    <t>Independent verifier(s)</t>
  </si>
  <si>
    <t>quote</t>
  </si>
  <si>
    <t>NAME</t>
  </si>
  <si>
    <t>NAME EMAIL ADDRESS</t>
  </si>
  <si>
    <t>HOW KNOW CLAIMANT</t>
  </si>
  <si>
    <t>Estimated time:</t>
  </si>
  <si>
    <t>$</t>
  </si>
  <si>
    <t xml:space="preserve">Min. rate </t>
  </si>
  <si>
    <t xml:space="preserve"> low bid  </t>
  </si>
  <si>
    <t>% down to start</t>
  </si>
  <si>
    <t xml:space="preserve">Max. rate </t>
  </si>
  <si>
    <t xml:space="preserve"> high bid  </t>
  </si>
  <si>
    <t xml:space="preserve">minimum to start:  </t>
  </si>
  <si>
    <t>You're not alone</t>
  </si>
  <si>
    <t>Evidence indicates the majority of the wrongly convicted are not yet exonerated, and may never be.</t>
  </si>
  <si>
    <t xml:space="preserve">applied to </t>
  </si>
  <si>
    <t xml:space="preserve"> totals </t>
  </si>
  <si>
    <t>currently exonerated according to the National Registry of Exonerations</t>
  </si>
  <si>
    <t>Felony population</t>
  </si>
  <si>
    <t>felony population</t>
  </si>
  <si>
    <t xml:space="preserve">of </t>
  </si>
  <si>
    <t xml:space="preserve"> million</t>
  </si>
  <si>
    <t xml:space="preserve"> applied to various estimated rates of wrongful conviction</t>
  </si>
  <si>
    <t/>
  </si>
  <si>
    <t>Ex-prisoner population</t>
  </si>
  <si>
    <t>ex-prisoner population</t>
  </si>
  <si>
    <t>Registered sex offenders</t>
  </si>
  <si>
    <t>Custody population</t>
  </si>
  <si>
    <t>custody population</t>
  </si>
  <si>
    <t>Prison population</t>
  </si>
  <si>
    <t>prison population</t>
  </si>
  <si>
    <t>These rates do not apply accurately to each population, but gives you a scope of the real problem.</t>
  </si>
  <si>
    <t>registered sex offenders</t>
  </si>
  <si>
    <t xml:space="preserve"> to </t>
  </si>
  <si>
    <t xml:space="preserve">. This represents </t>
  </si>
  <si>
    <t xml:space="preserve"> cleared cases.</t>
  </si>
  <si>
    <t>Hoffman, M.</t>
  </si>
  <si>
    <t>Cassell</t>
  </si>
  <si>
    <t>Scalia (Marquis)</t>
  </si>
  <si>
    <t>Zalman</t>
  </si>
  <si>
    <t>Ramsey &amp; Frank</t>
  </si>
  <si>
    <t>Gross</t>
  </si>
  <si>
    <t>Risinger</t>
  </si>
  <si>
    <t>Gross, et al.</t>
  </si>
  <si>
    <t>Roman, et al.</t>
  </si>
  <si>
    <t>Loeffler, et al.</t>
  </si>
  <si>
    <t>Walsh, et al.</t>
  </si>
  <si>
    <t>Poveda</t>
  </si>
  <si>
    <t>Seeking donations, seeking verification of claim, seeking supporters, seeking mediated communication with responsible parties</t>
  </si>
  <si>
    <t>Offers for work, for volunteering, for peer engagement, for consulting to CJS</t>
  </si>
  <si>
    <t>other</t>
  </si>
  <si>
    <t xml:space="preserve">Asking </t>
  </si>
  <si>
    <t xml:space="preserve">Seeking </t>
  </si>
  <si>
    <t xml:space="preserve">Pursuing </t>
  </si>
  <si>
    <t>BAI</t>
  </si>
  <si>
    <t>BDI</t>
  </si>
  <si>
    <t>yes, I willingly pled guilty</t>
  </si>
  <si>
    <t>yes, I pled guilty under durress</t>
  </si>
  <si>
    <t>coerced into a plea deal with threats</t>
  </si>
  <si>
    <t>tricked into a plea deal with lies</t>
  </si>
  <si>
    <t>no, I did not try to withdraw it</t>
  </si>
  <si>
    <t>accepted plea deal to save others</t>
  </si>
  <si>
    <t>yes, I tried withdrawing plea</t>
  </si>
  <si>
    <t>willingly plea-bargained to lesser charge</t>
  </si>
  <si>
    <t>other (explain below)</t>
  </si>
  <si>
    <t>not that I'm aware of</t>
  </si>
  <si>
    <t>Never received a reply.</t>
  </si>
  <si>
    <t>Stated my case did not merit their review.</t>
  </si>
  <si>
    <t>My case did not fall within their scope.</t>
  </si>
  <si>
    <t>but had to prioritize their resources for others whose liberty was more in jeopardy.</t>
  </si>
  <si>
    <t>other (explain in box below)</t>
  </si>
  <si>
    <t>CLAIM</t>
  </si>
  <si>
    <t>VERIFIABLE</t>
  </si>
  <si>
    <t>INDEPENDENT VERIFICATION</t>
  </si>
  <si>
    <t>fully refuted, apparently deceptive false claim</t>
  </si>
  <si>
    <t>fully discounted, unsubstantiated claim</t>
  </si>
  <si>
    <t>partially refuted, not fully discounted</t>
  </si>
  <si>
    <t>unverifiable</t>
  </si>
  <si>
    <t>not yet verified</t>
  </si>
  <si>
    <t>verification attempts unsuccessful</t>
  </si>
  <si>
    <t>partially verified, not fully established</t>
  </si>
  <si>
    <t>VERIFICATION</t>
  </si>
  <si>
    <t>review URL:</t>
  </si>
  <si>
    <t>link does not work</t>
  </si>
  <si>
    <t>By URL below, audio/visual recording  (great)</t>
  </si>
  <si>
    <t>link works poorly</t>
  </si>
  <si>
    <t>link works, item(s) not found</t>
  </si>
  <si>
    <t>By email below  (fair)</t>
  </si>
  <si>
    <t>link works, some item(s) found</t>
  </si>
  <si>
    <t>Not at this time  (poor)</t>
  </si>
  <si>
    <t>Not applicable  (okay)</t>
  </si>
  <si>
    <t>other (describe in box above)</t>
  </si>
  <si>
    <t>exoneration seems imminent</t>
  </si>
  <si>
    <t>exonerated!</t>
  </si>
  <si>
    <t>Challenging:</t>
  </si>
  <si>
    <t>severely challenged</t>
  </si>
  <si>
    <t>Aspiring:</t>
  </si>
  <si>
    <t>I desire it but feel it's unlikely to happen</t>
  </si>
  <si>
    <t>I hope it'll happen but I can do little about it now</t>
  </si>
  <si>
    <t>I sense I can maintain it with help like this</t>
  </si>
  <si>
    <t>Seeking:</t>
  </si>
  <si>
    <t>not important at all right now</t>
  </si>
  <si>
    <t>must have it as soon as possible</t>
  </si>
  <si>
    <t>can't go on any further without it</t>
  </si>
  <si>
    <t>Notifying:</t>
  </si>
  <si>
    <t xml:space="preserve">no, I don't need to notify any </t>
  </si>
  <si>
    <t xml:space="preserve">I have not yet decided if needing to notify any </t>
  </si>
  <si>
    <t xml:space="preserve">yes, but I'll let you know when I need to notifiy any </t>
  </si>
  <si>
    <t xml:space="preserve">yes, I need you to immediately notify </t>
  </si>
  <si>
    <t>Welcoming:</t>
  </si>
  <si>
    <t>no, not at this time</t>
  </si>
  <si>
    <t>perhaps with more information</t>
  </si>
  <si>
    <t>perhaps with some help</t>
  </si>
  <si>
    <t xml:space="preserve">yes, with help affording or handling it </t>
  </si>
  <si>
    <t>yes, as soon as possible</t>
  </si>
  <si>
    <t>Improving:</t>
  </si>
  <si>
    <t>not important to me now</t>
  </si>
  <si>
    <t>improving on my own</t>
  </si>
  <si>
    <t>seeking help to improve</t>
  </si>
  <si>
    <t>reaching but needing support to sustain</t>
  </si>
  <si>
    <t>SOR:</t>
  </si>
  <si>
    <t>already removed from registry</t>
  </si>
  <si>
    <t>on registry until official release</t>
  </si>
  <si>
    <t>CCC impacting how:</t>
  </si>
  <si>
    <t>CCC impacting whom:</t>
  </si>
  <si>
    <t>Legal discrimination</t>
  </si>
  <si>
    <t>impacting close friend(s)</t>
  </si>
  <si>
    <t>impacting only my (then) partner</t>
  </si>
  <si>
    <t>impactig only my child(ren)</t>
  </si>
  <si>
    <t>impactig only my grandchild(ren)</t>
  </si>
  <si>
    <r>
      <t xml:space="preserve">current custody status </t>
    </r>
    <r>
      <rPr>
        <sz val="14"/>
        <color rgb="FF000000"/>
        <rFont val="Calibri"/>
        <family val="2"/>
        <scheme val="minor"/>
      </rPr>
      <t>options:</t>
    </r>
  </si>
  <si>
    <t>Sentence severity:</t>
  </si>
  <si>
    <t>out on bond</t>
  </si>
  <si>
    <t>death row</t>
  </si>
  <si>
    <t>detained for parole violation</t>
  </si>
  <si>
    <t>life sentence without chance for parole</t>
  </si>
  <si>
    <t>incarcerated, no appeal</t>
  </si>
  <si>
    <t>life sentence with possibility of parole</t>
  </si>
  <si>
    <t>incarcerated, preparing appeal</t>
  </si>
  <si>
    <t>incarcerated in prison, on appeal</t>
  </si>
  <si>
    <t>indeterminent sentence with no set outdate</t>
  </si>
  <si>
    <t>incarcerated, post-appeal</t>
  </si>
  <si>
    <t>due to start next sentence after this one</t>
  </si>
  <si>
    <t>incarcerated, exhausted state remedies</t>
  </si>
  <si>
    <t>facing risk of civil commitment</t>
  </si>
  <si>
    <t>incarcerated, appealing at federal level</t>
  </si>
  <si>
    <t>facing risk of deportation</t>
  </si>
  <si>
    <t>continuance from earliest release date</t>
  </si>
  <si>
    <t>involuntary commitment</t>
  </si>
  <si>
    <t>on probation</t>
  </si>
  <si>
    <t>on parole</t>
  </si>
  <si>
    <t>released from prison</t>
  </si>
  <si>
    <t>released from probation</t>
  </si>
  <si>
    <t>discharged from parole</t>
  </si>
  <si>
    <t>waiting in prison for community placement</t>
  </si>
  <si>
    <t>facing re-imprisonment</t>
  </si>
  <si>
    <t>facing new charges</t>
  </si>
  <si>
    <t>arrested on new charges</t>
  </si>
  <si>
    <t>other (explain)</t>
  </si>
  <si>
    <t>restitition</t>
  </si>
  <si>
    <t>Team Support Level</t>
  </si>
  <si>
    <t>Passive Follower</t>
  </si>
  <si>
    <t>Active Participant</t>
  </si>
  <si>
    <t>Active Contributor</t>
  </si>
  <si>
    <t>Advisory Participant</t>
  </si>
  <si>
    <t>Advisory Contributor</t>
  </si>
  <si>
    <t>Sole Patron</t>
  </si>
  <si>
    <t>http://www.nlada.net/library/article/na_understandingbudgetsforprosanddefs</t>
  </si>
  <si>
    <t>Most states allow employers to check criminal backgrounds stretching far into the past. These records provide no distinction between sound evidence-based convictions and non-exonerated wrongful convictions, permitting otherwise illicit disrimination.</t>
  </si>
  <si>
    <t xml:space="preserve">Since your conviction occurred </t>
  </si>
  <si>
    <t xml:space="preserve"> years ago, </t>
  </si>
  <si>
    <t>and you earn only about $</t>
  </si>
  <si>
    <t xml:space="preserve"> per year, </t>
  </si>
  <si>
    <t xml:space="preserve"> prevents employers and others from running a criminal background check that far back.</t>
  </si>
  <si>
    <t xml:space="preserve"> cannnot limit how far back and employer can run a background check.</t>
  </si>
  <si>
    <t xml:space="preserve">Unfortunately for you, </t>
  </si>
  <si>
    <t xml:space="preserve"> does not limit how far back and employer can run a background check. </t>
  </si>
  <si>
    <t xml:space="preserve">Unfortunately, </t>
  </si>
  <si>
    <t xml:space="preserve">Background screeners must rely on indiscriminate records that fail to distinguish between "reliable evidence-based convictions" and "non-exonerated wrongful convictions"--permitting illicit discrimination. </t>
  </si>
  <si>
    <t xml:space="preserve">However, disrimination from wrongful listing on the sex offender registry could continue for years to come. </t>
  </si>
  <si>
    <t>No salary cap</t>
  </si>
  <si>
    <t>per year salary cap</t>
  </si>
  <si>
    <t>DC</t>
  </si>
  <si>
    <t>United States</t>
  </si>
  <si>
    <t>no stated maximum</t>
  </si>
  <si>
    <t>none yet</t>
  </si>
  <si>
    <t>N/A</t>
  </si>
  <si>
    <t>no statute</t>
  </si>
  <si>
    <t>ST</t>
  </si>
  <si>
    <t>State</t>
  </si>
  <si>
    <t>Per annum or per day</t>
  </si>
  <si>
    <t>Maxiumum</t>
  </si>
  <si>
    <t>Minimum</t>
  </si>
  <si>
    <t>SOR</t>
  </si>
  <si>
    <t>Decided by</t>
  </si>
  <si>
    <t>If by</t>
  </si>
  <si>
    <t>File by</t>
  </si>
  <si>
    <t>Future litig.</t>
  </si>
  <si>
    <t>Eligible</t>
  </si>
  <si>
    <t>Proof std.</t>
  </si>
  <si>
    <t xml:space="preserve">AL </t>
  </si>
  <si>
    <t>Alabama</t>
  </si>
  <si>
    <t>Code of Ala. §29-2-150 et seq</t>
  </si>
  <si>
    <t>State Division of Risk Management and the Committee on Compensation for WrongfulIncarceration</t>
  </si>
  <si>
    <t xml:space="preserve"> years</t>
  </si>
  <si>
    <t>not specified</t>
  </si>
  <si>
    <t>Conviction vacated or reversed and the charges dismissed on grounds consistent with innocence.</t>
  </si>
  <si>
    <t>Not specified</t>
  </si>
  <si>
    <t xml:space="preserve">AK </t>
  </si>
  <si>
    <t>Alaska</t>
  </si>
  <si>
    <t xml:space="preserve">AZ </t>
  </si>
  <si>
    <t>Arizona</t>
  </si>
  <si>
    <t xml:space="preserve">AR </t>
  </si>
  <si>
    <t>Arkansas</t>
  </si>
  <si>
    <t xml:space="preserve">CA </t>
  </si>
  <si>
    <t>California</t>
  </si>
  <si>
    <t>Calif. Penal Code §4900 et seq.</t>
  </si>
  <si>
    <t>California Victim Compensation and GovernmentClaims Board makes a recommendation to the legislature</t>
  </si>
  <si>
    <t>Pardon for innocence or being “innocent”; declaration of factual innocence.</t>
  </si>
  <si>
    <t xml:space="preserve">CO </t>
  </si>
  <si>
    <t>Colorado</t>
  </si>
  <si>
    <t>C.R.S. 13-65-101 et seq</t>
  </si>
  <si>
    <t>District Court inthe county in which the case originated.</t>
  </si>
  <si>
    <t>Requires the state compensate a person, or the immediate family members of a person, who has been: 1) wrongly convicted of a felony, or wrongly adjudicated as juvenile delinquent for the commission of an offense that would be a felony if committed by a person 18 years of age or older; 2) incarcerated; and 3) exonerated and found to be actually innocent. A person who is eligible to seek compensation from the state as an exonerated person, or the immediate family members of such a person, may petition a district court for an order declaring the person to be actually innocent and eligible to receive an order of compensation</t>
  </si>
  <si>
    <t>Clear and convincing</t>
  </si>
  <si>
    <t xml:space="preserve">CT </t>
  </si>
  <si>
    <t>Connecticut</t>
  </si>
  <si>
    <t>Conn. Gen. Statute 54-102uu</t>
  </si>
  <si>
    <t>Claims Commissione</t>
  </si>
  <si>
    <t>permits</t>
  </si>
  <si>
    <t>Pardon, or conviction vacated, or reversed, and the charges dismissed on grounds consistent with innocence.</t>
  </si>
  <si>
    <t>Preponderance of the evidence</t>
  </si>
  <si>
    <t xml:space="preserve">DE </t>
  </si>
  <si>
    <t>Delaware</t>
  </si>
  <si>
    <t xml:space="preserve">DC </t>
  </si>
  <si>
    <t>District of Columbia</t>
  </si>
  <si>
    <t>D.C. Code §2-421 et seq.</t>
  </si>
  <si>
    <t>Civil Court</t>
  </si>
  <si>
    <t>unspecfied</t>
  </si>
  <si>
    <t>Pardon for innocence or conviction reversed or set aside on the ground that claimant is not guilty.</t>
  </si>
  <si>
    <t xml:space="preserve">FL </t>
  </si>
  <si>
    <t>Florida</t>
  </si>
  <si>
    <t>Fla. Stat. 961.01 et seq</t>
  </si>
  <si>
    <t>Trial court –can consider claim even if prosecuting authority does not certify innocence. Claim would then be sent to admin. law judge for factual determination of innocence, and trial judge could adapt findings or not</t>
  </si>
  <si>
    <t xml:space="preserve"> days</t>
  </si>
  <si>
    <t>bars</t>
  </si>
  <si>
    <t>Certification by prosecuting authority that petitioner is innocent, that no further criminal proceeding will be initiated, no questions of fact remain, and petitioner is eligible forcompensation.</t>
  </si>
  <si>
    <t>If prosecuting authority does not certify, admin. law judge must find innocence by clear and convincing [evidence].</t>
  </si>
  <si>
    <t xml:space="preserve">GA </t>
  </si>
  <si>
    <t>Georgia</t>
  </si>
  <si>
    <t xml:space="preserve">HI </t>
  </si>
  <si>
    <t>Hawaii</t>
  </si>
  <si>
    <t>2016 Hi. Act 156</t>
  </si>
  <si>
    <t>Circuit court where petitioner lives or the circuit court for the first circuit (if petitioner lives out of state).</t>
  </si>
  <si>
    <t>Conviction reversed or vacated on actual innocence grounds or pardoned on actual innocence ground.</t>
  </si>
  <si>
    <t xml:space="preserve">ID </t>
  </si>
  <si>
    <t>Idaho</t>
  </si>
  <si>
    <t xml:space="preserve">IL </t>
  </si>
  <si>
    <t>Illinois</t>
  </si>
  <si>
    <t>735 ILCS 5/2-702 ,705 ILCS 505/8</t>
  </si>
  <si>
    <t>Court of Claims</t>
  </si>
  <si>
    <t>Pardon forinnocence or certificate of innocence.</t>
  </si>
  <si>
    <t xml:space="preserve">IN </t>
  </si>
  <si>
    <t>Indiana</t>
  </si>
  <si>
    <t>Ind. House Enrolled Act 1150</t>
  </si>
  <si>
    <t>unknown</t>
  </si>
  <si>
    <t xml:space="preserve">IA </t>
  </si>
  <si>
    <t>Iowa</t>
  </si>
  <si>
    <t>Iowa Code Ann. § 663A.1</t>
  </si>
  <si>
    <t>District Court for liability; State Appeal Board or Civil Ct. forDamage</t>
  </si>
  <si>
    <t>conditional</t>
  </si>
  <si>
    <t>Conviction vacated or reversed and charges dismissed.</t>
  </si>
  <si>
    <t xml:space="preserve">KS </t>
  </si>
  <si>
    <t>Kansas</t>
  </si>
  <si>
    <t>HB 2579</t>
  </si>
  <si>
    <t>Certificate of innocence or pardon.</t>
  </si>
  <si>
    <t xml:space="preserve">KY </t>
  </si>
  <si>
    <t>Kentucky</t>
  </si>
  <si>
    <t xml:space="preserve">LA </t>
  </si>
  <si>
    <t>Louisiana</t>
  </si>
  <si>
    <t>R.S. 15:572.8</t>
  </si>
  <si>
    <t>19th Judicial District Court - trial by judge alone.</t>
  </si>
  <si>
    <t>Conviction reversed or vacated, and petitioner “has proven” factual innocence.</t>
  </si>
  <si>
    <t xml:space="preserve">ME </t>
  </si>
  <si>
    <t>Maine</t>
  </si>
  <si>
    <t>M.R.S. §8241</t>
  </si>
  <si>
    <t>Superior Court in the county where the claimant was convicted or in Suffolk County</t>
  </si>
  <si>
    <t>Pardon forinnocence.</t>
  </si>
  <si>
    <t xml:space="preserve">MD </t>
  </si>
  <si>
    <t>Maryland</t>
  </si>
  <si>
    <t>State Finance and Procurement Code Ann. §10-501</t>
  </si>
  <si>
    <t>Board of PublicWorks</t>
  </si>
  <si>
    <t>Pardon stating that the individual's conviction has been shown conclusively to be in error.</t>
  </si>
  <si>
    <t xml:space="preserve">MA </t>
  </si>
  <si>
    <t>Massachusetts</t>
  </si>
  <si>
    <t>ALM GL. ch. 258D</t>
  </si>
  <si>
    <t>Pardon or conviction reversed and charges dismissed on grounds consistent with innocence or case tried to acquittal.</t>
  </si>
  <si>
    <t xml:space="preserve">MI </t>
  </si>
  <si>
    <t>not provided</t>
  </si>
  <si>
    <t>MCLS 691.1751 et seq</t>
  </si>
  <si>
    <t>Judgment of conviction was reversed or vacated and charges were dismissed or found not guilty on retrial.</t>
  </si>
  <si>
    <t xml:space="preserve">MN </t>
  </si>
  <si>
    <t>Minnesota</t>
  </si>
  <si>
    <t>Minn. Stat. 590.01 et seq., Minn. Stat. 611.362</t>
  </si>
  <si>
    <t>Compensation Pane</t>
  </si>
  <si>
    <t>Court vacated or reversed conviction on grounds consistent with innocence and charges dismissed; claimant found not guilty or had charges dismissedat new trial; or the time for appeal of the order resulting in exoneration has expired or the order has been affirmed and is final.</t>
  </si>
  <si>
    <t xml:space="preserve">MS </t>
  </si>
  <si>
    <t>Mississippi</t>
  </si>
  <si>
    <t>Miss. Code Ann. 11-44-1 et seq.</t>
  </si>
  <si>
    <t>Circuit court of the county in which the claimant was convicted</t>
  </si>
  <si>
    <t>Pardon based on the innocence or conviction was vacated and/or reversed.</t>
  </si>
  <si>
    <t xml:space="preserve">MO </t>
  </si>
  <si>
    <t>Missouri</t>
  </si>
  <si>
    <t>650.058 R.S.Mo.</t>
  </si>
  <si>
    <t>Sentencing cour</t>
  </si>
  <si>
    <t>Person must be determined to be ‘actually innocent’ only by DNA evidence.</t>
  </si>
  <si>
    <t>DNA evidence must demonstrate innocence</t>
  </si>
  <si>
    <t xml:space="preserve">MT </t>
  </si>
  <si>
    <t>Montana</t>
  </si>
  <si>
    <t>53-1-214, MCA</t>
  </si>
  <si>
    <t>Funds to be appropriated by the legislature</t>
  </si>
  <si>
    <t>Judgment of conviction was overturnedby a court based on the results of post-conviction forensic DNA testing that exonerates the person of the crime for which the person was convicted.</t>
  </si>
  <si>
    <t>Not specified (reliant upon eligibility finding)</t>
  </si>
  <si>
    <t xml:space="preserve">NE </t>
  </si>
  <si>
    <t>Nebraska</t>
  </si>
  <si>
    <t>R.R.S. Neb. §29-4601 et seq.</t>
  </si>
  <si>
    <t>Board of Pardons has pardoned the claimant, a court has vacated the conviction of the claimant, or that the conviction was reversed and remanded for a new trial and no subsequent conviction was obtained.</t>
  </si>
  <si>
    <t xml:space="preserve">NV </t>
  </si>
  <si>
    <t>Nevada</t>
  </si>
  <si>
    <t xml:space="preserve">NH </t>
  </si>
  <si>
    <t>New Hampshire</t>
  </si>
  <si>
    <t>RSA 541-B:14</t>
  </si>
  <si>
    <t>Board of Claims</t>
  </si>
  <si>
    <t>“Found innocent".</t>
  </si>
  <si>
    <t>Board must find by majority vote that claim is “justified"</t>
  </si>
  <si>
    <t xml:space="preserve">NJ </t>
  </si>
  <si>
    <t>New Jersey</t>
  </si>
  <si>
    <t>N.J. Stat. §52:4C-1</t>
  </si>
  <si>
    <t>Superior Court</t>
  </si>
  <si>
    <t>Notwithstanding the provisions of any other law, any person convicted and subsequently imprisoned for one or more crimes which he did not commit.</t>
  </si>
  <si>
    <t xml:space="preserve">NM </t>
  </si>
  <si>
    <t>New Mexico</t>
  </si>
  <si>
    <t xml:space="preserve">NY </t>
  </si>
  <si>
    <t>New York</t>
  </si>
  <si>
    <t>NY CLS Ct C Act § 8-b</t>
  </si>
  <si>
    <t xml:space="preserve">NC </t>
  </si>
  <si>
    <t>North Carolina</t>
  </si>
  <si>
    <t>N.C. Gen. Stat. §148-82 et seq.</t>
  </si>
  <si>
    <t>IndustrialCommission makes a recommendation to Governor</t>
  </si>
  <si>
    <t>Pardon for innocence.</t>
  </si>
  <si>
    <t xml:space="preserve">ND </t>
  </si>
  <si>
    <t>North Dakota</t>
  </si>
  <si>
    <t xml:space="preserve">OH </t>
  </si>
  <si>
    <t>Ohio</t>
  </si>
  <si>
    <t>Ohio Rev. Code §2743.48</t>
  </si>
  <si>
    <t>Court of Common Pleas for liability; Court of Claims for damages</t>
  </si>
  <si>
    <t>Preponderance of evidence; Walden v. State, 547 N.E.2d 962</t>
  </si>
  <si>
    <t xml:space="preserve">OK </t>
  </si>
  <si>
    <t>Oklahoma</t>
  </si>
  <si>
    <t>51 Okla. St. §154</t>
  </si>
  <si>
    <t>State Civil Court</t>
  </si>
  <si>
    <t>Pardoned or conviction vacated and charges dismissed on the basis of actual innocence.</t>
  </si>
  <si>
    <t xml:space="preserve">OR </t>
  </si>
  <si>
    <t>Oregon</t>
  </si>
  <si>
    <t xml:space="preserve">PA </t>
  </si>
  <si>
    <t>Pennsylvania</t>
  </si>
  <si>
    <t xml:space="preserve">RI </t>
  </si>
  <si>
    <t>Rhode Island</t>
  </si>
  <si>
    <t xml:space="preserve">SC </t>
  </si>
  <si>
    <t>South Carolina</t>
  </si>
  <si>
    <t xml:space="preserve">SD </t>
  </si>
  <si>
    <t>South Dakota</t>
  </si>
  <si>
    <t xml:space="preserve">TN </t>
  </si>
  <si>
    <t>Tennessee</t>
  </si>
  <si>
    <t>Tenn. Code Ann. §40-27-109, § 9-8-108</t>
  </si>
  <si>
    <t xml:space="preserve"> year</t>
  </si>
  <si>
    <t>Granted exoneration pursuant to §40-27-109 (exoneration by governor).</t>
  </si>
  <si>
    <t xml:space="preserve">TX </t>
  </si>
  <si>
    <t>Texas</t>
  </si>
  <si>
    <t>Tex. Gov’t Code §501.101,Tex. Civ. Prac. &amp; Rem. Code chapter 103</t>
  </si>
  <si>
    <t>Comptroller’s Judiciary Section</t>
  </si>
  <si>
    <t>Full pardon on the basis ofinnocence; writ of habeas corpus based on a court finding or determination that the person is actually innocent or writ of habeas corpus and: (i) district court entered an order dismissing the charge; and (ii) district court’s dismissal order based on motion to dismiss in which the state's attorney states that no credible evidence exists that inculpates the defendant and, either in the motion or in an affidavit, the state’s attorney states that the state’s attorney believes that the defendant is actually innocent.</t>
  </si>
  <si>
    <t>Preponderance of evidence</t>
  </si>
  <si>
    <t xml:space="preserve">UT </t>
  </si>
  <si>
    <t>Utah</t>
  </si>
  <si>
    <t>Utah Code Ann. §78B-9-401 et seq</t>
  </si>
  <si>
    <t>District court where conviction was rendered</t>
  </si>
  <si>
    <t>Factual innocence under Utah 78-35a-402.</t>
  </si>
  <si>
    <t xml:space="preserve">VT </t>
  </si>
  <si>
    <t>Vermont</t>
  </si>
  <si>
    <t>13 V.S.A. §5572 et seq.</t>
  </si>
  <si>
    <t>Washington County Supreme Court</t>
  </si>
  <si>
    <t>The conviction was reversed or vacated and the charges dismissed, or tried to an acquittal, or a pardon was granted.</t>
  </si>
  <si>
    <t>Clear and convincing evidence</t>
  </si>
  <si>
    <t xml:space="preserve">VA </t>
  </si>
  <si>
    <t>Virginia</t>
  </si>
  <si>
    <t>Va. Code Ann. §8.01-195.10 et seq.</t>
  </si>
  <si>
    <t>General Assembly</t>
  </si>
  <si>
    <t>Conviction vacated pursuant to VA Chapter 19.2 or 19.3 or absolute pardon.</t>
  </si>
  <si>
    <t xml:space="preserve">WA </t>
  </si>
  <si>
    <t>Washington</t>
  </si>
  <si>
    <t>Rev. Code Wash. 4.100.010 et seq.</t>
  </si>
  <si>
    <t>Superior Cour</t>
  </si>
  <si>
    <t>Any person convicted in superior court and subsequently imprisoned for one or more felonies of which he or she is actually innocent may file a claim for compensation against the state.</t>
  </si>
  <si>
    <t xml:space="preserve">WV </t>
  </si>
  <si>
    <t>West Virginia</t>
  </si>
  <si>
    <t>W.Va. Code §14-2-13a</t>
  </si>
  <si>
    <t>Pardon for innocence, or conviction reversed and either charges dismissed or acquittal on retrial.</t>
  </si>
  <si>
    <t xml:space="preserve">WI </t>
  </si>
  <si>
    <t>Wisconsin</t>
  </si>
  <si>
    <t>Wisc. Stat. 775.05</t>
  </si>
  <si>
    <t>Claims Board</t>
  </si>
  <si>
    <t>none specified</t>
  </si>
  <si>
    <t xml:space="preserve">WY </t>
  </si>
  <si>
    <t>Wyoming</t>
  </si>
  <si>
    <t>US</t>
  </si>
  <si>
    <t>federal</t>
  </si>
  <si>
    <t>28 U.S. Code § 2513</t>
  </si>
  <si>
    <t>U.S. Court of Federal Claims</t>
  </si>
  <si>
    <t>Pardon for innocence, or conviction reversed or set aside on ground that claimant is not guilty and found not guilty at new trial or rehearing.</t>
  </si>
  <si>
    <t>Community Engagement</t>
  </si>
  <si>
    <t>Community Prosecution</t>
  </si>
  <si>
    <t>Diversion</t>
  </si>
  <si>
    <t>Human Rights Division</t>
  </si>
  <si>
    <t>Juvenile Justice</t>
  </si>
  <si>
    <t>Mental Health</t>
  </si>
  <si>
    <t>Public Corruption</t>
  </si>
  <si>
    <t>Restitution</t>
  </si>
  <si>
    <t>Restorative Justice</t>
  </si>
  <si>
    <t>Violent Crime</t>
  </si>
  <si>
    <t>Originally charged with:</t>
  </si>
  <si>
    <t xml:space="preserve">Eventually convicted of: </t>
  </si>
  <si>
    <t>Convicted as:</t>
  </si>
  <si>
    <t>murder</t>
  </si>
  <si>
    <t>attempted murder</t>
  </si>
  <si>
    <t>sexual assualt/rape</t>
  </si>
  <si>
    <t>burglary</t>
  </si>
  <si>
    <t>lowered in plea deal</t>
  </si>
  <si>
    <t>robbery</t>
  </si>
  <si>
    <t>accomplice</t>
  </si>
  <si>
    <t>arson</t>
  </si>
  <si>
    <t>Involvement level</t>
  </si>
  <si>
    <t>not present during alleged incident nor played any role</t>
  </si>
  <si>
    <t>present after alleged incident but played no role in any criminal act</t>
  </si>
  <si>
    <t>present prior to alleged incident but played no role in any criminal act</t>
  </si>
  <si>
    <t>present during alleged incident but never witnessed any criminal act</t>
  </si>
  <si>
    <t>present during alleged incident but played no role in any criminal act</t>
  </si>
  <si>
    <t>present during alleged incident as another but unidentified victim</t>
  </si>
  <si>
    <t>played a minimal role in situation in a way not explicitly criminal</t>
  </si>
  <si>
    <t>involved with complainant but played no role in alleged criminal act</t>
  </si>
  <si>
    <t>entrapped by police or informant to act in way not explicitly criminal</t>
  </si>
  <si>
    <t>other (of actual innocence)</t>
  </si>
  <si>
    <t xml:space="preserve">relation to claimant: </t>
  </si>
  <si>
    <t>[spouse at time of conviction]</t>
  </si>
  <si>
    <t xml:space="preserve">trusted friend </t>
  </si>
  <si>
    <t>trusted colleague</t>
  </si>
  <si>
    <t>defense lawyer at trial</t>
  </si>
  <si>
    <t>defense lawyer after trial</t>
  </si>
  <si>
    <t>appellate lawyer</t>
  </si>
  <si>
    <t>investigative journalist</t>
  </si>
  <si>
    <t>activist</t>
  </si>
  <si>
    <t>Innocence Project staff/volunteer</t>
  </si>
  <si>
    <t>criminal justice system victim advocate</t>
  </si>
  <si>
    <t xml:space="preserve">gender: </t>
  </si>
  <si>
    <t>male</t>
  </si>
  <si>
    <t>female</t>
  </si>
  <si>
    <t xml:space="preserve">race: </t>
  </si>
  <si>
    <t>primarily black</t>
  </si>
  <si>
    <t>nonwhite hispanic</t>
  </si>
  <si>
    <t xml:space="preserve">language: </t>
  </si>
  <si>
    <t>Spanish</t>
  </si>
  <si>
    <t xml:space="preserve">how long knowing claimant: </t>
  </si>
  <si>
    <t>since claimant's childhood</t>
  </si>
  <si>
    <t>since release from incarceration</t>
  </si>
  <si>
    <t>appeal decision</t>
  </si>
  <si>
    <t>affirmed all convictions and sentences</t>
  </si>
  <si>
    <t>affirmed all convictions, threw out sentence</t>
  </si>
  <si>
    <t>threw out all convictions</t>
  </si>
  <si>
    <t>defense counsel</t>
  </si>
  <si>
    <t>satisfaction level</t>
  </si>
  <si>
    <t>fully satisfied with representation</t>
  </si>
  <si>
    <t>neither satisfied nor dissatisfied</t>
  </si>
  <si>
    <t>mostly dissatisfied with representation</t>
  </si>
  <si>
    <t>fully dissatisfied with representation</t>
  </si>
  <si>
    <t>would hire again</t>
  </si>
  <si>
    <t>would hire agains with changes</t>
  </si>
  <si>
    <t>would not hire again</t>
  </si>
  <si>
    <t>prefer if disciplined by peers</t>
  </si>
  <si>
    <t>prefer if disbarred</t>
  </si>
  <si>
    <t>how long maintain innocence</t>
  </si>
  <si>
    <t>no prior criminal history, misdemeanor(s) since</t>
  </si>
  <si>
    <t>always, even knowing it would cost me parole</t>
  </si>
  <si>
    <t>prior misdemeanor(s), but none since</t>
  </si>
  <si>
    <t>always, even knowing I could be stuck in prison for the rest of my life</t>
  </si>
  <si>
    <t>no prior criminal history, lesser felony since</t>
  </si>
  <si>
    <t>since recanting coerced confession</t>
  </si>
  <si>
    <t>prior lesser felony, but none or only misdemeanor since</t>
  </si>
  <si>
    <t>since released from prison</t>
  </si>
  <si>
    <t>no prior criminal history, equal or worse offense since</t>
  </si>
  <si>
    <t>never claimed innocence before</t>
  </si>
  <si>
    <t>equal or worse prior felony, but none or lesser offense since</t>
  </si>
  <si>
    <t>prior criminal history, equal or worse offense since</t>
  </si>
  <si>
    <t>prior convictions challenged, falsely charged with lesser offenses since</t>
  </si>
  <si>
    <t>prior convictions challenged, falsely charged with equal or greater offenses since</t>
  </si>
  <si>
    <t>equal or worse offense prior, equal or worse offense since</t>
  </si>
  <si>
    <t>IE:</t>
  </si>
  <si>
    <t>repeatedly targeted by law enforcement</t>
  </si>
  <si>
    <t>in need of mental health services</t>
  </si>
  <si>
    <t>survival crime</t>
  </si>
  <si>
    <t>can't explain why</t>
  </si>
  <si>
    <t>exploited developmental disability</t>
  </si>
  <si>
    <t>exploited mental health deficit(s)</t>
  </si>
  <si>
    <t>exploited fear of losing family connection</t>
  </si>
  <si>
    <t>exploited economic desperation</t>
  </si>
  <si>
    <t>deceived with false information about codefendant ("prisoner dilimma")</t>
  </si>
  <si>
    <t>deceived with false information about corroborating evidence</t>
  </si>
  <si>
    <t>deceived with false information about other interrogatorf (good-cop-bad-cop game)</t>
  </si>
  <si>
    <t>deceived with false information about victim(s)</t>
  </si>
  <si>
    <t>deceived with false information about severity of crime</t>
  </si>
  <si>
    <t>deceived with false information about applicable law</t>
  </si>
  <si>
    <t>deceived with dubious promise of ending interrogation if saying what they want to hear</t>
  </si>
  <si>
    <t>deceived with dubious promise of lighter charges or sentencing</t>
  </si>
  <si>
    <t>What are some specific impacts on the claimant after trusting the adversarial judicial process?</t>
  </si>
  <si>
    <t>reason for being denied review in the past</t>
  </si>
  <si>
    <t>revisiting case risks retraumatization</t>
  </si>
  <si>
    <t>anxiety from relying on same process creating error</t>
  </si>
  <si>
    <t>anxiety from slowness of legal-judicial process</t>
  </si>
  <si>
    <t>anxiety from prosecutor's power to reinforce error</t>
  </si>
  <si>
    <t>anxiety from having little to no control over process</t>
  </si>
  <si>
    <t>depression level from legal-jud. process as only option</t>
  </si>
  <si>
    <t>never heard back from them</t>
  </si>
  <si>
    <t>not convinced of your innocence</t>
  </si>
  <si>
    <t>case lacks adequate documents</t>
  </si>
  <si>
    <t>prioritizing assistance to others</t>
  </si>
  <si>
    <t>1 denied review:</t>
  </si>
  <si>
    <t>2 retraumatization risk:</t>
  </si>
  <si>
    <t>no trauma or risk of trauma</t>
  </si>
  <si>
    <t>risks losing some focus</t>
  </si>
  <si>
    <t>risks reliving the nightmare</t>
  </si>
  <si>
    <t>risks shutting down entirely</t>
  </si>
  <si>
    <t>risks complicating the damage</t>
  </si>
  <si>
    <t>risks lethal damage, suicide</t>
  </si>
  <si>
    <t>3 depression:</t>
  </si>
  <si>
    <t>none linked to legal-jud. process</t>
  </si>
  <si>
    <t>moderate level linkable to it</t>
  </si>
  <si>
    <t>often feel de-energized by it</t>
  </si>
  <si>
    <t>routinely immobilized by it</t>
  </si>
  <si>
    <t>constantly incapacitated by it</t>
  </si>
  <si>
    <t>4 anxiety:</t>
  </si>
  <si>
    <t>no anxiety trusting court process</t>
  </si>
  <si>
    <t>slightly wary of trusting courts</t>
  </si>
  <si>
    <t>worried process will go poorly</t>
  </si>
  <si>
    <t>afraid courts cannot face its errors</t>
  </si>
  <si>
    <t>terrified having to rely on courts</t>
  </si>
  <si>
    <t>5 anxiety:</t>
  </si>
  <si>
    <t>not worried it may take years</t>
  </si>
  <si>
    <t>concerned it may take many years</t>
  </si>
  <si>
    <t>worried it may take decades</t>
  </si>
  <si>
    <t>afraid justice will come too late</t>
  </si>
  <si>
    <t xml:space="preserve">terrified justice will never come </t>
  </si>
  <si>
    <t>6 anxiety:</t>
  </si>
  <si>
    <t>not worried at all about it</t>
  </si>
  <si>
    <t>slightly concerned by it</t>
  </si>
  <si>
    <t>worried about innoconce deniers</t>
  </si>
  <si>
    <t>afraid of their conflicts of interest</t>
  </si>
  <si>
    <t>fear judiciary opposes full justice</t>
  </si>
  <si>
    <t>7 anxiety:</t>
  </si>
  <si>
    <t>no anxiety being out of the loop</t>
  </si>
  <si>
    <t>feel some vulnerability to process</t>
  </si>
  <si>
    <t xml:space="preserve">feel manipulated by the process </t>
  </si>
  <si>
    <t>feel controlled by the process</t>
  </si>
  <si>
    <t>feel paralyzed by the process</t>
  </si>
  <si>
    <t>8 disillusioned with process:</t>
  </si>
  <si>
    <t>not at all and eager to try again</t>
  </si>
  <si>
    <t>somewhat but hanging on to hope</t>
  </si>
  <si>
    <t>tempted to give up trying</t>
  </si>
  <si>
    <t>fully disillusioned, gave up hope</t>
  </si>
  <si>
    <t>disillusionment with legal-judicial process</t>
  </si>
  <si>
    <t>Impact on claimant (legitimacy of exclusionary legal-judicial process)</t>
  </si>
  <si>
    <t>Painful experience with the adversarial system helps to account for this claimant and others among the unexonerated.</t>
  </si>
  <si>
    <t>do not handle this type of case</t>
  </si>
  <si>
    <t>fully trusts</t>
  </si>
  <si>
    <t>hesitantly trusts</t>
  </si>
  <si>
    <t>fully distrusts</t>
  </si>
  <si>
    <t xml:space="preserve"> the legal-judicial process. Its </t>
  </si>
  <si>
    <t xml:space="preserve">This claimant </t>
  </si>
  <si>
    <t>cafefully avoids</t>
  </si>
  <si>
    <t>feels suspicious of</t>
  </si>
  <si>
    <t>questionable</t>
  </si>
  <si>
    <t>weak</t>
  </si>
  <si>
    <t>poor</t>
  </si>
  <si>
    <t>harmful</t>
  </si>
  <si>
    <t>egregious</t>
  </si>
  <si>
    <t xml:space="preserve">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t>
  </si>
  <si>
    <t>Unsatisfactory outcomes and impacts from the adversarial legal-judicial system helps account for the estimated high volume of unexonerated innocent. This tool exists independent of the judiciary and can either complement it or compete with it. Legitimacy of the adversarial legal-judicial process hangs in the balance.</t>
  </si>
  <si>
    <t>generally disappointed</t>
  </si>
  <si>
    <r>
      <t xml:space="preserve">Other academic articles may exist calculating similar or unique rates, not identified here. Contrary to popular belief, not all prisoners nor felons claim innocence. Only about 15% prisoners claim </t>
    </r>
    <r>
      <rPr>
        <b/>
        <i/>
        <sz val="11"/>
        <color theme="1"/>
        <rFont val="Times New Roman"/>
        <family val="1"/>
      </rPr>
      <t>actual innocence</t>
    </r>
    <r>
      <rPr>
        <sz val="11"/>
        <color theme="1"/>
        <rFont val="Times New Roman"/>
        <family val="1"/>
      </rPr>
      <t>, according to research by the RAND Corporation. The data suggests every claim deserves a sincere consideration. Starting with this claim of verifiable actual innocence.</t>
    </r>
  </si>
  <si>
    <t>Collateral consequences of wrongful conviction</t>
  </si>
  <si>
    <t>#</t>
  </si>
  <si>
    <t>Trial prosecutor</t>
  </si>
  <si>
    <t>Preliminary prosecutor</t>
  </si>
  <si>
    <t>educational aid</t>
  </si>
  <si>
    <t>no limit</t>
  </si>
  <si>
    <t>=IF($D$1065=B2242,AI2242,IF($D$1065=B2243,AI2243,IF($D$1065=B2244,AI2244,IF($D$1065=B2245,AI2245,IF($D$1065=B2246,AI2246,IF($D$1065=B2247,AI2247,IF($D$1065=B2248,AI2248,IF($D$1065=B2249,AI2249,IF($D$1065=B2250,AI2250,IF($D$1065=B2251,AI2251,IF($D$1065=B2252,AI2252,IF($D$1065=B2253,AI2253,IF($D$1065=B2254,AI2254,IF($D$1065=B2255,AI2255,IF($D$1065=B2256,AI2256,IF($D$1065=B2257,AI2257,IF($D$1065=B2258,AI2258,IF($D$1065=B2259,AI2259,IF($D$1065=B2260,AI2260,IF($D$1065=B2261,AI2261,IF($D$1065=B2262,AI2262,IF($D$1065=B2263,AI2263,IF($D$1065=B2264,AI2264,IF($D$1065=B2265,AI2265,IF($D$1065=B2266,AI2266,IF($D$1065=B2267,AI2267,IF($D$1065=B2268,AI2268,IF($D$1065=B2269,AI2269,IF($D$1065=B2270,AI2270,IF($D$1065=B2271,AI2271,IF($D$1065=B2272,AI2272,IF($D$1065=B2273,AI2273,IF($D$1065=B2274,AI2274,IF($D$1065=B2275,AI2275,IF($D$1065=B2276,AI2276,IF($D$1065=B2277,AI2277,IF($D$1065=B2278,AI2278,IF($D$1065=B2279,AI2279,IF($D$1065=B2280,AI2280,IF($D$1065=B2281,AI2281,IF($D$1065=B2282,AI2282,IF($D$1065=B2283,AI2283,IF($D$1065=B2284,AI2284,IF($D$1065=B2285,AI2285,IF($D$1065=B2286,AI2286,IF($D$1065=B2287,AI2287,IF($D$1065=B2288,AI2288,IF($D$1065=B2289,AI2289,IF($D$1065=B2290,AI2290,IF($D$1065=B2291,AI2291,IF($D$1065=B2292,AI2292,IF($D$1065=B2293,AI2293,AI2240))))))))))))))))))))))))))))))))))))))))))))))))))))</t>
  </si>
  <si>
    <t>=IF(C1065&lt;=5,85350,IF(AND(AE264&gt;5,C1065&lt;=14),170000,IF(C1065&gt;14,199150)))</t>
  </si>
  <si>
    <t>=IF(OR($AC$1063=0,$C$1089=""),0,$C$1089*$C$1065)</t>
  </si>
  <si>
    <t>Estimated comp</t>
  </si>
  <si>
    <t>Years; 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</si>
</sst>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quot;$&quot;#,##0"/>
    <numFmt numFmtId="165" formatCode="0.0"/>
    <numFmt numFmtId="166" formatCode="&quot;$&quot;#,##0.00"/>
    <numFmt numFmtId="167" formatCode="_(* #,##0.000_);_(* \(#,##0.000\);_(* &quot;-&quot;??_);_(@_)"/>
    <numFmt numFmtId="168" formatCode="00000"/>
    <numFmt numFmtId="169" formatCode="_(* #,##0_);_(* \(#,##0\);_(* &quot;-&quot;??_);_(@_)"/>
    <numFmt numFmtId="170" formatCode="_(* #,##0.0_);_(* \(#,##0.0\);_(* &quot;-&quot;??_);_(@_)"/>
    <numFmt numFmtId="171" formatCode="0."/>
    <numFmt numFmtId="172" formatCode="0.0000%"/>
    <numFmt numFmtId="173" formatCode="0.000%"/>
    <numFmt numFmtId="174" formatCode="0.0%"/>
  </numFmts>
  <fonts count="142" x14ac:knownFonts="1">
    <font>
      <sz val="11"/>
      <color theme="1"/>
      <name val="Calibri"/>
      <family val="2"/>
      <scheme val="minor"/>
    </font>
    <font>
      <sz val="11"/>
      <color theme="1"/>
      <name val="Calibri"/>
      <family val="2"/>
      <scheme val="minor"/>
    </font>
    <font>
      <sz val="11"/>
      <color rgb="FF006100"/>
      <name val="Calibri"/>
      <family val="2"/>
      <scheme val="minor"/>
    </font>
    <font>
      <b/>
      <sz val="11"/>
      <color theme="1"/>
      <name val="Calibri"/>
      <family val="2"/>
      <scheme val="minor"/>
    </font>
    <font>
      <u/>
      <sz val="11"/>
      <color theme="10"/>
      <name val="Calibri"/>
      <family val="2"/>
      <scheme val="minor"/>
    </font>
    <font>
      <sz val="11"/>
      <color theme="1"/>
      <name val="Times New Roman"/>
      <family val="1"/>
    </font>
    <font>
      <b/>
      <sz val="28"/>
      <color theme="1"/>
      <name val="Tahoma"/>
      <family val="2"/>
    </font>
    <font>
      <b/>
      <sz val="14"/>
      <color theme="1"/>
      <name val="Tahoma"/>
      <family val="2"/>
    </font>
    <font>
      <b/>
      <sz val="24"/>
      <color theme="9" tint="-0.499984740745262"/>
      <name val="Tahoma"/>
      <family val="2"/>
    </font>
    <font>
      <sz val="12"/>
      <color theme="1"/>
      <name val="Times New Roman"/>
      <family val="1"/>
    </font>
    <font>
      <sz val="11"/>
      <color rgb="FF7030A0"/>
      <name val="Times New Roman"/>
      <family val="1"/>
    </font>
    <font>
      <b/>
      <u/>
      <sz val="12"/>
      <color theme="10"/>
      <name val="Arial Narrow"/>
      <family val="2"/>
    </font>
    <font>
      <sz val="10"/>
      <color theme="0"/>
      <name val="Calibri"/>
      <family val="2"/>
      <scheme val="minor"/>
    </font>
    <font>
      <b/>
      <sz val="28"/>
      <color rgb="FF7030A0"/>
      <name val="Tahoma"/>
      <family val="2"/>
    </font>
    <font>
      <b/>
      <sz val="28"/>
      <color theme="2"/>
      <name val="Tahoma"/>
      <family val="2"/>
    </font>
    <font>
      <b/>
      <sz val="20"/>
      <color theme="1"/>
      <name val="Tahoma"/>
      <family val="2"/>
    </font>
    <font>
      <b/>
      <i/>
      <sz val="18"/>
      <color rgb="FFFF0000"/>
      <name val="Tahoma"/>
      <family val="2"/>
    </font>
    <font>
      <b/>
      <i/>
      <sz val="14"/>
      <name val="Tahoma"/>
      <family val="2"/>
    </font>
    <font>
      <sz val="10"/>
      <color theme="1"/>
      <name val="Tahoma"/>
      <family val="2"/>
    </font>
    <font>
      <sz val="14"/>
      <color theme="1"/>
      <name val="Times New Roman"/>
      <family val="1"/>
    </font>
    <font>
      <sz val="11"/>
      <color theme="1"/>
      <name val="Tahoma"/>
      <family val="2"/>
    </font>
    <font>
      <sz val="12"/>
      <name val="Arial"/>
      <family val="2"/>
    </font>
    <font>
      <sz val="11"/>
      <color theme="0" tint="-4.9989318521683403E-2"/>
      <name val="Times New Roman"/>
      <family val="1"/>
    </font>
    <font>
      <sz val="14"/>
      <color theme="0" tint="-0.34998626667073579"/>
      <name val="Times New Roman"/>
      <family val="1"/>
    </font>
    <font>
      <sz val="12"/>
      <color theme="1"/>
      <name val="Arial"/>
      <family val="2"/>
    </font>
    <font>
      <sz val="11"/>
      <color theme="1"/>
      <name val="Arial Narrow"/>
      <family val="2"/>
    </font>
    <font>
      <b/>
      <sz val="14"/>
      <color theme="0" tint="-0.34998626667073579"/>
      <name val="Tahoma"/>
      <family val="2"/>
    </font>
    <font>
      <sz val="14"/>
      <color theme="0" tint="-0.249977111117893"/>
      <name val="Tahoma"/>
      <family val="2"/>
    </font>
    <font>
      <b/>
      <sz val="21"/>
      <color rgb="FF7030A0"/>
      <name val="Tahoma"/>
      <family val="2"/>
    </font>
    <font>
      <b/>
      <sz val="16"/>
      <color rgb="FF00C85A"/>
      <name val="Tahoma"/>
      <family val="2"/>
    </font>
    <font>
      <sz val="11"/>
      <color theme="0" tint="-0.499984740745262"/>
      <name val="Arial"/>
      <family val="2"/>
    </font>
    <font>
      <sz val="11"/>
      <color theme="1"/>
      <name val="Candara"/>
      <family val="2"/>
    </font>
    <font>
      <sz val="18"/>
      <color theme="1"/>
      <name val="Tahoma"/>
      <family val="2"/>
    </font>
    <font>
      <b/>
      <sz val="18"/>
      <color theme="1"/>
      <name val="Tahoma"/>
      <family val="2"/>
    </font>
    <font>
      <sz val="16"/>
      <color theme="1" tint="0.34998626667073579"/>
      <name val="Tahoma"/>
      <family val="2"/>
    </font>
    <font>
      <sz val="12"/>
      <color theme="1" tint="0.499984740745262"/>
      <name val="Tahoma"/>
      <family val="2"/>
    </font>
    <font>
      <sz val="11"/>
      <color theme="1" tint="0.249977111117893"/>
      <name val="Times New Roman"/>
      <family val="1"/>
    </font>
    <font>
      <sz val="14"/>
      <color theme="1"/>
      <name val="Arial Black"/>
      <family val="2"/>
    </font>
    <font>
      <sz val="10"/>
      <color theme="1"/>
      <name val="Times New Roman"/>
      <family val="1"/>
    </font>
    <font>
      <sz val="10"/>
      <color theme="1"/>
      <name val="Arial Black"/>
      <family val="2"/>
    </font>
    <font>
      <b/>
      <sz val="14"/>
      <color theme="0"/>
      <name val="Tahoma"/>
      <family val="2"/>
    </font>
    <font>
      <sz val="12"/>
      <name val="Times New Roman"/>
      <family val="1"/>
    </font>
    <font>
      <b/>
      <sz val="11"/>
      <color theme="1"/>
      <name val="Arial"/>
      <family val="2"/>
    </font>
    <font>
      <sz val="16"/>
      <color theme="1"/>
      <name val="Times New Roman"/>
      <family val="1"/>
    </font>
    <font>
      <sz val="11"/>
      <color theme="1"/>
      <name val="Arial"/>
      <family val="2"/>
    </font>
    <font>
      <i/>
      <sz val="11"/>
      <color theme="1"/>
      <name val="Times New Roman"/>
      <family val="1"/>
    </font>
    <font>
      <b/>
      <sz val="11"/>
      <color theme="1"/>
      <name val="Times New Roman"/>
      <family val="1"/>
    </font>
    <font>
      <sz val="10"/>
      <color theme="1"/>
      <name val="Arial"/>
      <family val="2"/>
    </font>
    <font>
      <b/>
      <i/>
      <sz val="11"/>
      <color rgb="FF9BFFC8"/>
      <name val="Times New Roman"/>
      <family val="1"/>
    </font>
    <font>
      <sz val="11"/>
      <color rgb="FF000000"/>
      <name val="Calibri"/>
      <family val="2"/>
      <scheme val="minor"/>
    </font>
    <font>
      <sz val="11"/>
      <color rgb="FF00CC5C"/>
      <name val="Times New Roman"/>
      <family val="1"/>
    </font>
    <font>
      <sz val="12"/>
      <color theme="1"/>
      <name val="Arial Narrow"/>
      <family val="2"/>
    </font>
    <font>
      <b/>
      <sz val="14"/>
      <color rgb="FF7030A0"/>
      <name val="Times New Roman"/>
      <family val="1"/>
    </font>
    <font>
      <b/>
      <sz val="12"/>
      <color theme="1"/>
      <name val="Arial"/>
      <family val="2"/>
    </font>
    <font>
      <b/>
      <sz val="14"/>
      <color theme="1"/>
      <name val="Arial"/>
      <family val="2"/>
    </font>
    <font>
      <b/>
      <sz val="11"/>
      <color rgb="FF7030A0"/>
      <name val="Times New Roman"/>
      <family val="1"/>
    </font>
    <font>
      <b/>
      <sz val="11"/>
      <color rgb="FF7030A0"/>
      <name val="Calibri"/>
      <family val="2"/>
      <scheme val="minor"/>
    </font>
    <font>
      <sz val="11"/>
      <name val="Calibri"/>
      <family val="2"/>
      <scheme val="minor"/>
    </font>
    <font>
      <b/>
      <sz val="12"/>
      <color rgb="FF7030A0"/>
      <name val="Arial"/>
      <family val="2"/>
    </font>
    <font>
      <b/>
      <sz val="20"/>
      <color theme="1"/>
      <name val="Arial"/>
      <family val="2"/>
    </font>
    <font>
      <b/>
      <sz val="18"/>
      <color rgb="FF7030A0"/>
      <name val="Arial"/>
      <family val="2"/>
    </font>
    <font>
      <sz val="12"/>
      <color theme="10"/>
      <name val="Calibri"/>
      <family val="2"/>
      <scheme val="minor"/>
    </font>
    <font>
      <b/>
      <i/>
      <sz val="12"/>
      <color theme="1"/>
      <name val="Times New Roman"/>
      <family val="1"/>
    </font>
    <font>
      <b/>
      <sz val="11"/>
      <color rgb="FF6B2894"/>
      <name val="Times New Roman"/>
      <family val="1"/>
    </font>
    <font>
      <b/>
      <sz val="10"/>
      <color theme="0"/>
      <name val="Tahoma"/>
      <family val="2"/>
    </font>
    <font>
      <b/>
      <sz val="12"/>
      <name val="Times New Roman"/>
      <family val="1"/>
    </font>
    <font>
      <b/>
      <sz val="14"/>
      <color theme="8" tint="0.79998168889431442"/>
      <name val="Tahoma"/>
      <family val="2"/>
    </font>
    <font>
      <b/>
      <sz val="12"/>
      <color theme="5" tint="0.79998168889431442"/>
      <name val="Times New Roman"/>
      <family val="1"/>
    </font>
    <font>
      <i/>
      <sz val="10"/>
      <color theme="1" tint="0.34998626667073579"/>
      <name val="Arial"/>
      <family val="2"/>
    </font>
    <font>
      <sz val="11"/>
      <color theme="1" tint="0.499984740745262"/>
      <name val="Arial"/>
      <family val="2"/>
    </font>
    <font>
      <sz val="11"/>
      <color theme="1" tint="0.34998626667073579"/>
      <name val="Arial Narrow"/>
      <family val="2"/>
    </font>
    <font>
      <sz val="11"/>
      <color theme="0"/>
      <name val="Times New Roman"/>
      <family val="1"/>
    </font>
    <font>
      <sz val="11"/>
      <name val="Arial Narrow"/>
      <family val="2"/>
    </font>
    <font>
      <b/>
      <sz val="12"/>
      <color rgb="FF0070C0"/>
      <name val="Arial"/>
      <family val="2"/>
    </font>
    <font>
      <i/>
      <sz val="10"/>
      <color theme="1"/>
      <name val="Times New Roman"/>
      <family val="1"/>
    </font>
    <font>
      <i/>
      <sz val="9"/>
      <color theme="1" tint="0.34998626667073579"/>
      <name val="Arial"/>
      <family val="2"/>
    </font>
    <font>
      <sz val="14"/>
      <color rgb="FFC00000"/>
      <name val="Arial Black"/>
      <family val="2"/>
    </font>
    <font>
      <sz val="10.5"/>
      <color theme="1"/>
      <name val="Times New Roman"/>
      <family val="1"/>
    </font>
    <font>
      <i/>
      <sz val="12"/>
      <color theme="1"/>
      <name val="Times New Roman"/>
      <family val="1"/>
    </font>
    <font>
      <b/>
      <sz val="12"/>
      <color theme="1"/>
      <name val="Times New Roman"/>
      <family val="1"/>
    </font>
    <font>
      <b/>
      <sz val="11"/>
      <color theme="0"/>
      <name val="Tahoma"/>
      <family val="2"/>
    </font>
    <font>
      <b/>
      <sz val="14"/>
      <color rgb="FFC8FFDC"/>
      <name val="Tahoma"/>
      <family val="2"/>
    </font>
    <font>
      <sz val="12"/>
      <color theme="1"/>
      <name val="Calibri"/>
      <family val="2"/>
      <scheme val="minor"/>
    </font>
    <font>
      <b/>
      <i/>
      <sz val="11"/>
      <color theme="1"/>
      <name val="Times New Roman"/>
      <family val="1"/>
    </font>
    <font>
      <sz val="10"/>
      <color theme="1"/>
      <name val="Calibri"/>
      <family val="2"/>
      <scheme val="minor"/>
    </font>
    <font>
      <sz val="8"/>
      <color theme="1"/>
      <name val="Arial"/>
      <family val="2"/>
    </font>
    <font>
      <b/>
      <sz val="10"/>
      <color theme="1"/>
      <name val="Arial"/>
      <family val="2"/>
    </font>
    <font>
      <sz val="15"/>
      <color theme="1"/>
      <name val="Times New Roman"/>
      <family val="1"/>
    </font>
    <font>
      <b/>
      <sz val="11"/>
      <color theme="1"/>
      <name val="Tahoma"/>
      <family val="2"/>
    </font>
    <font>
      <b/>
      <sz val="12"/>
      <color theme="0" tint="-0.249977111117893"/>
      <name val="Tahoma"/>
      <family val="2"/>
    </font>
    <font>
      <b/>
      <sz val="12"/>
      <color rgb="FF00B050"/>
      <name val="Calibri"/>
      <family val="2"/>
      <scheme val="minor"/>
    </font>
    <font>
      <b/>
      <sz val="12"/>
      <color theme="1"/>
      <name val="Calibri"/>
      <family val="2"/>
      <scheme val="minor"/>
    </font>
    <font>
      <b/>
      <i/>
      <sz val="11"/>
      <color theme="1"/>
      <name val="Tahoma"/>
      <family val="2"/>
    </font>
    <font>
      <sz val="12"/>
      <color theme="1"/>
      <name val="Tahoma"/>
      <family val="2"/>
    </font>
    <font>
      <sz val="10"/>
      <color theme="0"/>
      <name val="Arial Narrow"/>
      <family val="2"/>
    </font>
    <font>
      <b/>
      <sz val="16"/>
      <color rgb="FFD088FC"/>
      <name val="Tahoma"/>
      <family val="2"/>
    </font>
    <font>
      <b/>
      <sz val="16"/>
      <color theme="1"/>
      <name val="Tahoma"/>
      <family val="2"/>
    </font>
    <font>
      <b/>
      <sz val="16"/>
      <color theme="9" tint="-0.249977111117893"/>
      <name val="Tahoma"/>
      <family val="2"/>
    </font>
    <font>
      <b/>
      <sz val="11"/>
      <color rgb="FFD088FC"/>
      <name val="Arial"/>
      <family val="2"/>
    </font>
    <font>
      <sz val="11"/>
      <color theme="0" tint="-0.499984740745262"/>
      <name val="Times New Roman"/>
      <family val="1"/>
    </font>
    <font>
      <sz val="10"/>
      <color theme="0" tint="-0.499984740745262"/>
      <name val="Times New Roman"/>
      <family val="1"/>
    </font>
    <font>
      <b/>
      <sz val="9"/>
      <color rgb="FFD088FC"/>
      <name val="Tahoma"/>
      <family val="2"/>
    </font>
    <font>
      <b/>
      <sz val="11"/>
      <color rgb="FFD088FC"/>
      <name val="Tahoma"/>
      <family val="2"/>
    </font>
    <font>
      <sz val="11"/>
      <color rgb="FFD088FC"/>
      <name val="Times New Roman"/>
      <family val="1"/>
    </font>
    <font>
      <sz val="11"/>
      <name val="Times New Roman"/>
      <family val="1"/>
    </font>
    <font>
      <sz val="9"/>
      <color theme="1"/>
      <name val="Times New Roman"/>
      <family val="1"/>
    </font>
    <font>
      <sz val="11"/>
      <color rgb="FF7030A0"/>
      <name val="Calibri"/>
      <family val="2"/>
      <scheme val="minor"/>
    </font>
    <font>
      <sz val="11"/>
      <color theme="9" tint="-0.499984740745262"/>
      <name val="Times New Roman"/>
      <family val="1"/>
    </font>
    <font>
      <b/>
      <sz val="10"/>
      <color theme="1"/>
      <name val="Times New Roman"/>
      <family val="1"/>
    </font>
    <font>
      <u/>
      <sz val="11"/>
      <color rgb="FF7030A0"/>
      <name val="Times New Roman"/>
      <family val="1"/>
    </font>
    <font>
      <sz val="10"/>
      <color theme="1"/>
      <name val="Candara"/>
      <family val="2"/>
    </font>
    <font>
      <sz val="10"/>
      <color rgb="FF000000"/>
      <name val="Calibri"/>
      <family val="2"/>
      <scheme val="minor"/>
    </font>
    <font>
      <b/>
      <sz val="12"/>
      <color theme="1"/>
      <name val="Tahoma"/>
      <family val="2"/>
    </font>
    <font>
      <b/>
      <sz val="11"/>
      <color rgb="FF000000"/>
      <name val="Calibri"/>
      <family val="2"/>
      <scheme val="minor"/>
    </font>
    <font>
      <b/>
      <sz val="14"/>
      <color rgb="FF000000"/>
      <name val="Calibri"/>
      <family val="2"/>
      <scheme val="minor"/>
    </font>
    <font>
      <sz val="14"/>
      <color rgb="FF000000"/>
      <name val="Calibri"/>
      <family val="2"/>
      <scheme val="minor"/>
    </font>
    <font>
      <sz val="11"/>
      <color rgb="FFC00000"/>
      <name val="Calibri"/>
      <family val="2"/>
      <scheme val="minor"/>
    </font>
    <font>
      <u/>
      <sz val="11.5"/>
      <color rgb="FF0070C0"/>
      <name val="Times New Roman"/>
      <family val="1"/>
    </font>
    <font>
      <b/>
      <sz val="12"/>
      <color rgb="FFC00000"/>
      <name val="Times New Roman"/>
      <family val="1"/>
    </font>
    <font>
      <sz val="11"/>
      <color rgb="FFC00000"/>
      <name val="Times New Roman"/>
      <family val="1"/>
    </font>
    <font>
      <sz val="11"/>
      <color rgb="FF0070C0"/>
      <name val="Times New Roman"/>
      <family val="1"/>
    </font>
    <font>
      <i/>
      <sz val="11"/>
      <color rgb="FFC00000"/>
      <name val="Times New Roman"/>
      <family val="1"/>
    </font>
    <font>
      <sz val="7"/>
      <color theme="1"/>
      <name val="Arial"/>
      <family val="2"/>
    </font>
    <font>
      <b/>
      <sz val="9"/>
      <color indexed="81"/>
      <name val="Tahoma"/>
      <family val="2"/>
    </font>
    <font>
      <b/>
      <sz val="14"/>
      <color indexed="81"/>
      <name val="Tahoma"/>
      <family val="2"/>
    </font>
    <font>
      <b/>
      <sz val="14"/>
      <color indexed="22"/>
      <name val="Tahoma"/>
      <family val="2"/>
    </font>
    <font>
      <sz val="14"/>
      <color indexed="81"/>
      <name val="Tahoma"/>
      <family val="2"/>
    </font>
    <font>
      <sz val="12"/>
      <color indexed="9"/>
      <name val="Tahoma"/>
      <family val="2"/>
    </font>
    <font>
      <sz val="9"/>
      <color indexed="81"/>
      <name val="Tahoma"/>
      <family val="2"/>
    </font>
    <font>
      <sz val="10"/>
      <color indexed="16"/>
      <name val="Tahoma"/>
      <family val="2"/>
    </font>
    <font>
      <b/>
      <sz val="18"/>
      <color indexed="51"/>
      <name val="Tahoma"/>
      <family val="2"/>
    </font>
    <font>
      <b/>
      <sz val="16"/>
      <color indexed="51"/>
      <name val="Tahoma"/>
      <family val="2"/>
    </font>
    <font>
      <i/>
      <sz val="9"/>
      <color indexed="81"/>
      <name val="Tahoma"/>
      <family val="2"/>
    </font>
    <font>
      <sz val="9"/>
      <color indexed="55"/>
      <name val="Tahoma"/>
      <family val="2"/>
    </font>
    <font>
      <b/>
      <sz val="18"/>
      <color theme="8" tint="0.39997558519241921"/>
      <name val="Wingdings 3"/>
      <family val="1"/>
      <charset val="2"/>
    </font>
    <font>
      <sz val="14"/>
      <color theme="8" tint="0.39997558519241921"/>
      <name val="Arial Black"/>
      <family val="2"/>
    </font>
    <font>
      <sz val="11"/>
      <color theme="8" tint="0.39997558519241921"/>
      <name val="Times New Roman"/>
      <family val="1"/>
    </font>
    <font>
      <sz val="10"/>
      <color theme="8" tint="0.39997558519241921"/>
      <name val="Times New Roman"/>
      <family val="1"/>
    </font>
    <font>
      <sz val="11"/>
      <color rgb="FF000000"/>
      <name val="Times New Roman"/>
      <family val="1"/>
    </font>
    <font>
      <b/>
      <sz val="11"/>
      <color rgb="FF000000"/>
      <name val="Tahoma"/>
      <family val="2"/>
    </font>
    <font>
      <sz val="9"/>
      <color indexed="81"/>
      <name val="Tahoma"/>
      <charset val="1"/>
    </font>
    <font>
      <b/>
      <sz val="9"/>
      <color indexed="81"/>
      <name val="Tahoma"/>
      <charset val="1"/>
    </font>
  </fonts>
  <fills count="50">
    <fill>
      <patternFill patternType="none"/>
    </fill>
    <fill>
      <patternFill patternType="gray125"/>
    </fill>
    <fill>
      <patternFill patternType="solid">
        <fgColor rgb="FFC6EFCE"/>
      </patternFill>
    </fill>
    <fill>
      <patternFill patternType="solid">
        <fgColor theme="2"/>
        <bgColor indexed="64"/>
      </patternFill>
    </fill>
    <fill>
      <patternFill patternType="solid">
        <fgColor theme="6" tint="0.79998168889431442"/>
        <bgColor indexed="64"/>
      </patternFill>
    </fill>
    <fill>
      <patternFill patternType="solid">
        <fgColor theme="0"/>
        <bgColor indexed="64"/>
      </patternFill>
    </fill>
    <fill>
      <patternFill patternType="solid">
        <fgColor rgb="FFFF7C80"/>
        <bgColor indexed="64"/>
      </patternFill>
    </fill>
    <fill>
      <patternFill patternType="solid">
        <fgColor theme="5" tint="0.59999389629810485"/>
        <bgColor indexed="64"/>
      </patternFill>
    </fill>
    <fill>
      <patternFill patternType="solid">
        <fgColor rgb="FFFFFFCC"/>
        <bgColor indexed="64"/>
      </patternFill>
    </fill>
    <fill>
      <patternFill patternType="solid">
        <fgColor theme="9" tint="0.59999389629810485"/>
        <bgColor indexed="64"/>
      </patternFill>
    </fill>
    <fill>
      <patternFill patternType="solid">
        <fgColor rgb="FF25FF88"/>
        <bgColor indexed="64"/>
      </patternFill>
    </fill>
    <fill>
      <patternFill patternType="solid">
        <fgColor rgb="FFE2B5FD"/>
        <bgColor indexed="64"/>
      </patternFill>
    </fill>
    <fill>
      <patternFill patternType="solid">
        <fgColor rgb="FF7030A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2060"/>
        <bgColor indexed="64"/>
      </patternFill>
    </fill>
    <fill>
      <patternFill patternType="solid">
        <fgColor theme="8" tint="0.79998168889431442"/>
        <bgColor indexed="64"/>
      </patternFill>
    </fill>
    <fill>
      <patternFill patternType="solid">
        <fgColor rgb="FFEAE3D2"/>
        <bgColor indexed="64"/>
      </patternFill>
    </fill>
    <fill>
      <patternFill patternType="solid">
        <fgColor rgb="FF9BFFC8"/>
        <bgColor indexed="64"/>
      </patternFill>
    </fill>
    <fill>
      <patternFill patternType="solid">
        <fgColor rgb="FF00C85A"/>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19B61"/>
        <bgColor indexed="64"/>
      </patternFill>
    </fill>
    <fill>
      <patternFill patternType="solid">
        <fgColor theme="7" tint="0.59999389629810485"/>
        <bgColor indexed="64"/>
      </patternFill>
    </fill>
    <fill>
      <patternFill patternType="solid">
        <fgColor rgb="FFB9FFD9"/>
        <bgColor indexed="64"/>
      </patternFill>
    </fill>
    <fill>
      <patternFill patternType="solid">
        <fgColor theme="4" tint="0.59999389629810485"/>
        <bgColor indexed="64"/>
      </patternFill>
    </fill>
    <fill>
      <patternFill patternType="solid">
        <fgColor rgb="FFE1F5C1"/>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CCFF"/>
        <bgColor indexed="64"/>
      </patternFill>
    </fill>
    <fill>
      <patternFill patternType="solid">
        <fgColor rgb="FFE2C5FF"/>
        <bgColor indexed="64"/>
      </patternFill>
    </fill>
    <fill>
      <patternFill patternType="solid">
        <fgColor rgb="FFF3E7FF"/>
        <bgColor indexed="64"/>
      </patternFill>
    </fill>
    <fill>
      <patternFill patternType="solid">
        <fgColor theme="4"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CCFFCC"/>
        <bgColor indexed="64"/>
      </patternFill>
    </fill>
    <fill>
      <patternFill patternType="solid">
        <fgColor rgb="FFFFE1FF"/>
        <bgColor indexed="64"/>
      </patternFill>
    </fill>
    <fill>
      <patternFill patternType="solid">
        <fgColor rgb="FFD088FC"/>
        <bgColor indexed="64"/>
      </patternFill>
    </fill>
    <fill>
      <patternFill patternType="solid">
        <fgColor rgb="FF00E266"/>
        <bgColor indexed="64"/>
      </patternFill>
    </fill>
    <fill>
      <patternFill patternType="solid">
        <fgColor rgb="FFD7FFF0"/>
        <bgColor indexed="64"/>
      </patternFill>
    </fill>
    <fill>
      <patternFill patternType="solid">
        <fgColor theme="5" tint="0.39994506668294322"/>
        <bgColor indexed="64"/>
      </patternFill>
    </fill>
    <fill>
      <patternFill patternType="solid">
        <fgColor theme="5" tint="0.79998168889431442"/>
        <bgColor indexed="64"/>
      </patternFill>
    </fill>
    <fill>
      <patternFill patternType="solid">
        <fgColor rgb="FFC1FFFF"/>
        <bgColor indexed="64"/>
      </patternFill>
    </fill>
    <fill>
      <patternFill patternType="solid">
        <fgColor rgb="FFDBA5FD"/>
        <bgColor indexed="64"/>
      </patternFill>
    </fill>
    <fill>
      <patternFill patternType="solid">
        <fgColor rgb="FFC8FFE1"/>
        <bgColor indexed="64"/>
      </patternFill>
    </fill>
    <fill>
      <patternFill patternType="solid">
        <fgColor theme="9" tint="0.79998168889431442"/>
        <bgColor indexed="64"/>
      </patternFill>
    </fill>
    <fill>
      <patternFill patternType="solid">
        <fgColor rgb="FFFFE6E6"/>
        <bgColor indexed="64"/>
      </patternFill>
    </fill>
    <fill>
      <patternFill patternType="solid">
        <fgColor rgb="FFEBFFF5"/>
        <bgColor indexed="64"/>
      </patternFill>
    </fill>
  </fills>
  <borders count="102">
    <border>
      <left/>
      <right/>
      <top/>
      <bottom/>
      <diagonal/>
    </border>
    <border>
      <left style="thick">
        <color theme="2"/>
      </left>
      <right style="thick">
        <color theme="2"/>
      </right>
      <top style="thick">
        <color theme="2"/>
      </top>
      <bottom style="thick">
        <color theme="2"/>
      </bottom>
      <diagonal/>
    </border>
    <border>
      <left style="thick">
        <color theme="2"/>
      </left>
      <right style="thick">
        <color theme="2"/>
      </right>
      <top style="thick">
        <color theme="2"/>
      </top>
      <bottom/>
      <diagonal/>
    </border>
    <border>
      <left style="thick">
        <color theme="2"/>
      </left>
      <right/>
      <top/>
      <bottom/>
      <diagonal/>
    </border>
    <border>
      <left style="thick">
        <color theme="2"/>
      </left>
      <right style="thick">
        <color theme="2"/>
      </right>
      <top/>
      <bottom style="thick">
        <color theme="2"/>
      </bottom>
      <diagonal/>
    </border>
    <border>
      <left style="medium">
        <color theme="2"/>
      </left>
      <right/>
      <top style="medium">
        <color theme="2"/>
      </top>
      <bottom style="medium">
        <color theme="2"/>
      </bottom>
      <diagonal/>
    </border>
    <border>
      <left/>
      <right/>
      <top/>
      <bottom style="thick">
        <color theme="2"/>
      </bottom>
      <diagonal/>
    </border>
    <border>
      <left style="thick">
        <color theme="2"/>
      </left>
      <right/>
      <top style="thick">
        <color theme="2"/>
      </top>
      <bottom style="thick">
        <color theme="2"/>
      </bottom>
      <diagonal/>
    </border>
    <border>
      <left/>
      <right/>
      <top style="thick">
        <color theme="2"/>
      </top>
      <bottom style="thick">
        <color theme="2"/>
      </bottom>
      <diagonal/>
    </border>
    <border>
      <left/>
      <right style="thick">
        <color theme="2"/>
      </right>
      <top style="thick">
        <color theme="2"/>
      </top>
      <bottom style="thick">
        <color theme="2"/>
      </bottom>
      <diagonal/>
    </border>
    <border>
      <left/>
      <right/>
      <top style="thick">
        <color theme="0" tint="-0.14996795556505021"/>
      </top>
      <bottom style="thick">
        <color theme="0" tint="-0.149967955565050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B050"/>
      </left>
      <right style="medium">
        <color rgb="FF00B050"/>
      </right>
      <top style="medium">
        <color rgb="FF00B050"/>
      </top>
      <bottom style="thin">
        <color rgb="FF00B050"/>
      </bottom>
      <diagonal/>
    </border>
    <border>
      <left style="thin">
        <color rgb="FF00B050"/>
      </left>
      <right style="medium">
        <color rgb="FF00B050"/>
      </right>
      <top style="thin">
        <color rgb="FF00B050"/>
      </top>
      <bottom style="thin">
        <color rgb="FF00B050"/>
      </bottom>
      <diagonal/>
    </border>
    <border>
      <left style="thin">
        <color rgb="FF00B050"/>
      </left>
      <right style="medium">
        <color rgb="FF00B050"/>
      </right>
      <top style="thin">
        <color rgb="FF00B050"/>
      </top>
      <bottom style="medium">
        <color rgb="FF00B050"/>
      </bottom>
      <diagonal/>
    </border>
    <border>
      <left style="thick">
        <color rgb="FFEAE3D2"/>
      </left>
      <right style="thick">
        <color rgb="FFEAE3D2"/>
      </right>
      <top style="thick">
        <color rgb="FFEAE3D2"/>
      </top>
      <bottom style="thick">
        <color rgb="FFEAE3D2"/>
      </bottom>
      <diagonal/>
    </border>
    <border>
      <left style="thick">
        <color rgb="FFEAE3D2"/>
      </left>
      <right/>
      <top style="thick">
        <color rgb="FFEAE3D2"/>
      </top>
      <bottom style="thick">
        <color rgb="FFEAE3D2"/>
      </bottom>
      <diagonal/>
    </border>
    <border>
      <left/>
      <right style="thick">
        <color rgb="FFEAE3D2"/>
      </right>
      <top style="thick">
        <color rgb="FFEAE3D2"/>
      </top>
      <bottom style="thick">
        <color rgb="FFEAE3D2"/>
      </bottom>
      <diagonal/>
    </border>
    <border>
      <left/>
      <right/>
      <top style="thick">
        <color rgb="FFEAE3D2"/>
      </top>
      <bottom style="thick">
        <color rgb="FFEAE3D2"/>
      </bottom>
      <diagonal/>
    </border>
    <border>
      <left/>
      <right/>
      <top/>
      <bottom style="thick">
        <color rgb="FFEAE3D2"/>
      </bottom>
      <diagonal/>
    </border>
    <border>
      <left style="thin">
        <color indexed="64"/>
      </left>
      <right style="thin">
        <color indexed="64"/>
      </right>
      <top style="thin">
        <color indexed="64"/>
      </top>
      <bottom style="thin">
        <color indexed="64"/>
      </bottom>
      <diagonal/>
    </border>
    <border>
      <left/>
      <right style="thick">
        <color rgb="FFEAE3D2"/>
      </right>
      <top/>
      <bottom/>
      <diagonal/>
    </border>
    <border>
      <left style="thick">
        <color rgb="FFEAE3D2"/>
      </left>
      <right/>
      <top/>
      <bottom/>
      <diagonal/>
    </border>
    <border>
      <left style="thick">
        <color theme="8" tint="0.79998168889431442"/>
      </left>
      <right/>
      <top style="thick">
        <color theme="8" tint="0.79998168889431442"/>
      </top>
      <bottom style="thick">
        <color theme="8" tint="0.79998168889431442"/>
      </bottom>
      <diagonal/>
    </border>
    <border>
      <left/>
      <right/>
      <top style="thick">
        <color theme="8" tint="0.79998168889431442"/>
      </top>
      <bottom style="thick">
        <color theme="8" tint="0.79998168889431442"/>
      </bottom>
      <diagonal/>
    </border>
    <border>
      <left/>
      <right style="thick">
        <color theme="8" tint="0.79998168889431442"/>
      </right>
      <top style="thick">
        <color theme="8" tint="0.79998168889431442"/>
      </top>
      <bottom style="thick">
        <color theme="8" tint="0.79998168889431442"/>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double">
        <color theme="0"/>
      </left>
      <right style="double">
        <color theme="0"/>
      </right>
      <top style="double">
        <color theme="0"/>
      </top>
      <bottom style="double">
        <color theme="0"/>
      </bottom>
      <diagonal/>
    </border>
    <border>
      <left style="thin">
        <color theme="7" tint="0.59996337778862885"/>
      </left>
      <right/>
      <top/>
      <bottom/>
      <diagonal/>
    </border>
    <border>
      <left/>
      <right style="thin">
        <color theme="7" tint="0.59996337778862885"/>
      </right>
      <top/>
      <bottom/>
      <diagonal/>
    </border>
    <border>
      <left style="medium">
        <color theme="0"/>
      </left>
      <right/>
      <top/>
      <bottom style="medium">
        <color theme="7" tint="0.39994506668294322"/>
      </bottom>
      <diagonal/>
    </border>
    <border>
      <left/>
      <right/>
      <top/>
      <bottom style="medium">
        <color theme="7" tint="0.39994506668294322"/>
      </bottom>
      <diagonal/>
    </border>
    <border>
      <left/>
      <right style="medium">
        <color theme="0"/>
      </right>
      <top/>
      <bottom style="medium">
        <color theme="7" tint="0.39994506668294322"/>
      </bottom>
      <diagonal/>
    </border>
    <border>
      <left style="medium">
        <color theme="0"/>
      </left>
      <right style="medium">
        <color theme="0"/>
      </right>
      <top style="medium">
        <color theme="7" tint="0.39994506668294322"/>
      </top>
      <bottom style="medium">
        <color theme="0"/>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bottom style="medium">
        <color theme="7" tint="0.59996337778862885"/>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theme="7" tint="0.59996337778862885"/>
      </left>
      <right style="thick">
        <color theme="7" tint="0.59996337778862885"/>
      </right>
      <top style="thick">
        <color theme="7" tint="0.59996337778862885"/>
      </top>
      <bottom style="thick">
        <color theme="7" tint="0.59996337778862885"/>
      </bottom>
      <diagonal/>
    </border>
    <border>
      <left style="thick">
        <color rgb="FFFFFF00"/>
      </left>
      <right style="thick">
        <color rgb="FFFFFF00"/>
      </right>
      <top style="thick">
        <color rgb="FFFFFF00"/>
      </top>
      <bottom style="thick">
        <color rgb="FFFFFF00"/>
      </bottom>
      <diagonal/>
    </border>
    <border>
      <left style="thick">
        <color rgb="FFFFFF00"/>
      </left>
      <right/>
      <top style="thick">
        <color rgb="FFFFFF00"/>
      </top>
      <bottom style="thick">
        <color rgb="FFFFFF00"/>
      </bottom>
      <diagonal/>
    </border>
    <border>
      <left/>
      <right/>
      <top style="thick">
        <color rgb="FFFFFF00"/>
      </top>
      <bottom style="thick">
        <color rgb="FFFFFF00"/>
      </bottom>
      <diagonal/>
    </border>
    <border>
      <left/>
      <right style="thick">
        <color rgb="FFFFFF00"/>
      </right>
      <top style="thick">
        <color rgb="FFFFFF00"/>
      </top>
      <bottom style="thick">
        <color rgb="FFFFFF00"/>
      </bottom>
      <diagonal/>
    </border>
    <border>
      <left style="thin">
        <color indexed="64"/>
      </left>
      <right/>
      <top/>
      <bottom/>
      <diagonal/>
    </border>
    <border>
      <left/>
      <right/>
      <top/>
      <bottom style="medium">
        <color rgb="FFD5FFE8"/>
      </bottom>
      <diagonal/>
    </border>
    <border>
      <left style="thick">
        <color rgb="FFFFE1FF"/>
      </left>
      <right style="thick">
        <color rgb="FFFFE1FF"/>
      </right>
      <top style="thick">
        <color rgb="FFFFE1FF"/>
      </top>
      <bottom style="thick">
        <color rgb="FFFFE1FF"/>
      </bottom>
      <diagonal/>
    </border>
    <border>
      <left style="medium">
        <color indexed="64"/>
      </left>
      <right style="medium">
        <color indexed="64"/>
      </right>
      <top style="medium">
        <color indexed="64"/>
      </top>
      <bottom style="medium">
        <color indexed="64"/>
      </bottom>
      <diagonal/>
    </border>
    <border>
      <left style="thick">
        <color rgb="FFFFE1FF"/>
      </left>
      <right/>
      <top style="thick">
        <color rgb="FFFFE1FF"/>
      </top>
      <bottom style="thick">
        <color rgb="FFFFE1FF"/>
      </bottom>
      <diagonal/>
    </border>
    <border>
      <left/>
      <right style="thick">
        <color rgb="FFFFE1FF"/>
      </right>
      <top style="thick">
        <color rgb="FFFFE1FF"/>
      </top>
      <bottom style="thick">
        <color rgb="FFFFE1FF"/>
      </bottom>
      <diagonal/>
    </border>
    <border>
      <left style="thick">
        <color rgb="FF00C85A"/>
      </left>
      <right/>
      <top style="thick">
        <color rgb="FF00C85A"/>
      </top>
      <bottom style="thick">
        <color rgb="FF00C85A"/>
      </bottom>
      <diagonal/>
    </border>
    <border>
      <left/>
      <right style="thick">
        <color rgb="FF00C85A"/>
      </right>
      <top style="thick">
        <color rgb="FF00C85A"/>
      </top>
      <bottom style="thick">
        <color rgb="FF00C85A"/>
      </bottom>
      <diagonal/>
    </border>
    <border>
      <left style="medium">
        <color indexed="64"/>
      </left>
      <right/>
      <top/>
      <bottom/>
      <diagonal/>
    </border>
    <border>
      <left style="thick">
        <color rgb="FFFFE1FF"/>
      </left>
      <right/>
      <top/>
      <bottom/>
      <diagonal/>
    </border>
    <border>
      <left/>
      <right style="thick">
        <color rgb="FFFFE1FF"/>
      </right>
      <top/>
      <bottom/>
      <diagonal/>
    </border>
    <border>
      <left style="medium">
        <color theme="5" tint="0.59996337778862885"/>
      </left>
      <right/>
      <top style="medium">
        <color theme="5" tint="0.59996337778862885"/>
      </top>
      <bottom style="medium">
        <color theme="5" tint="0.59996337778862885"/>
      </bottom>
      <diagonal/>
    </border>
    <border>
      <left/>
      <right style="medium">
        <color theme="5" tint="0.59996337778862885"/>
      </right>
      <top style="medium">
        <color theme="5" tint="0.59996337778862885"/>
      </top>
      <bottom style="medium">
        <color theme="5" tint="0.59996337778862885"/>
      </bottom>
      <diagonal/>
    </border>
    <border>
      <left style="medium">
        <color theme="5" tint="0.59996337778862885"/>
      </left>
      <right/>
      <top style="medium">
        <color theme="5" tint="0.59996337778862885"/>
      </top>
      <bottom/>
      <diagonal/>
    </border>
    <border>
      <left/>
      <right style="medium">
        <color theme="5" tint="0.59996337778862885"/>
      </right>
      <top style="medium">
        <color theme="5" tint="0.59996337778862885"/>
      </top>
      <bottom/>
      <diagonal/>
    </border>
    <border>
      <left style="medium">
        <color theme="5" tint="0.59996337778862885"/>
      </left>
      <right/>
      <top/>
      <bottom/>
      <diagonal/>
    </border>
    <border>
      <left/>
      <right style="medium">
        <color theme="5" tint="0.59996337778862885"/>
      </right>
      <top/>
      <bottom/>
      <diagonal/>
    </border>
    <border>
      <left style="medium">
        <color theme="5" tint="0.59996337778862885"/>
      </left>
      <right/>
      <top/>
      <bottom style="medium">
        <color theme="5" tint="0.59996337778862885"/>
      </bottom>
      <diagonal/>
    </border>
    <border>
      <left/>
      <right style="medium">
        <color theme="5" tint="0.59996337778862885"/>
      </right>
      <top/>
      <bottom style="medium">
        <color theme="5" tint="0.59996337778862885"/>
      </bottom>
      <diagonal/>
    </border>
    <border>
      <left/>
      <right/>
      <top/>
      <bottom style="thin">
        <color indexed="64"/>
      </bottom>
      <diagonal/>
    </border>
    <border>
      <left style="thick">
        <color rgb="FFC1FFFF"/>
      </left>
      <right style="medium">
        <color rgb="FFC1FFFF"/>
      </right>
      <top style="thick">
        <color rgb="FFC1FFFF"/>
      </top>
      <bottom style="thick">
        <color rgb="FFC1FFFF"/>
      </bottom>
      <diagonal/>
    </border>
    <border>
      <left style="medium">
        <color rgb="FFC1FFFF"/>
      </left>
      <right/>
      <top style="thick">
        <color rgb="FFC1FFFF"/>
      </top>
      <bottom style="thick">
        <color rgb="FFC1FFFF"/>
      </bottom>
      <diagonal/>
    </border>
    <border>
      <left style="thick">
        <color rgb="FFC1FFFF"/>
      </left>
      <right/>
      <top style="thick">
        <color rgb="FFC1FFFF"/>
      </top>
      <bottom style="thick">
        <color rgb="FFC1FFFF"/>
      </bottom>
      <diagonal/>
    </border>
    <border>
      <left style="thick">
        <color rgb="FFC1FFFF"/>
      </left>
      <right style="thick">
        <color rgb="FFC1FFFF"/>
      </right>
      <top style="thick">
        <color rgb="FFC1FFFF"/>
      </top>
      <bottom style="thick">
        <color rgb="FFC1FFFF"/>
      </bottom>
      <diagonal/>
    </border>
    <border>
      <left/>
      <right/>
      <top/>
      <bottom style="thick">
        <color rgb="FFD5FFE8"/>
      </bottom>
      <diagonal/>
    </border>
    <border>
      <left style="thick">
        <color rgb="FFD5FFE8"/>
      </left>
      <right/>
      <top style="thick">
        <color rgb="FFD5FFE8"/>
      </top>
      <bottom style="thick">
        <color rgb="FFD5FFE8"/>
      </bottom>
      <diagonal/>
    </border>
    <border>
      <left/>
      <right style="thick">
        <color rgb="FFD5FFE8"/>
      </right>
      <top style="thick">
        <color rgb="FFD5FFE8"/>
      </top>
      <bottom style="thick">
        <color rgb="FFD5FFE8"/>
      </bottom>
      <diagonal/>
    </border>
    <border>
      <left style="thick">
        <color rgb="FFD5FFE8"/>
      </left>
      <right style="thick">
        <color rgb="FFD5FFE8"/>
      </right>
      <top style="thick">
        <color rgb="FFD5FFE8"/>
      </top>
      <bottom style="thick">
        <color rgb="FFD5FFE8"/>
      </bottom>
      <diagonal/>
    </border>
    <border>
      <left style="medium">
        <color rgb="FF9BFFC8"/>
      </left>
      <right/>
      <top style="medium">
        <color rgb="FF9BFFC8"/>
      </top>
      <bottom/>
      <diagonal/>
    </border>
    <border>
      <left/>
      <right/>
      <top style="medium">
        <color rgb="FF9BFFC8"/>
      </top>
      <bottom/>
      <diagonal/>
    </border>
    <border>
      <left/>
      <right style="medium">
        <color rgb="FF9BFFC8"/>
      </right>
      <top style="medium">
        <color rgb="FF9BFFC8"/>
      </top>
      <bottom/>
      <diagonal/>
    </border>
    <border>
      <left style="medium">
        <color rgb="FF9BFFC8"/>
      </left>
      <right/>
      <top/>
      <bottom/>
      <diagonal/>
    </border>
    <border>
      <left/>
      <right style="medium">
        <color rgb="FF9BFFC8"/>
      </right>
      <top/>
      <bottom/>
      <diagonal/>
    </border>
    <border>
      <left style="medium">
        <color rgb="FF9BFFC8"/>
      </left>
      <right/>
      <top/>
      <bottom style="medium">
        <color rgb="FF9BFFC8"/>
      </bottom>
      <diagonal/>
    </border>
    <border>
      <left/>
      <right/>
      <top/>
      <bottom style="medium">
        <color rgb="FF9BFFC8"/>
      </bottom>
      <diagonal/>
    </border>
    <border>
      <left/>
      <right style="medium">
        <color rgb="FF9BFFC8"/>
      </right>
      <top/>
      <bottom style="medium">
        <color rgb="FF9BFFC8"/>
      </bottom>
      <diagonal/>
    </border>
    <border>
      <left/>
      <right/>
      <top/>
      <bottom style="thick">
        <color indexed="64"/>
      </bottom>
      <diagonal/>
    </border>
    <border>
      <left/>
      <right/>
      <top/>
      <bottom style="double">
        <color rgb="FF501E6E"/>
      </bottom>
      <diagonal/>
    </border>
    <border>
      <left/>
      <right style="thin">
        <color rgb="FF00B050"/>
      </right>
      <top style="medium">
        <color rgb="FF00B050"/>
      </top>
      <bottom style="thin">
        <color rgb="FF00B050"/>
      </bottom>
      <diagonal/>
    </border>
    <border>
      <left/>
      <right style="thin">
        <color rgb="FF00B050"/>
      </right>
      <top style="thin">
        <color rgb="FF00B050"/>
      </top>
      <bottom style="thin">
        <color rgb="FF00B050"/>
      </bottom>
      <diagonal/>
    </border>
    <border>
      <left/>
      <right style="thin">
        <color rgb="FF00B050"/>
      </right>
      <top style="thin">
        <color rgb="FF00B050"/>
      </top>
      <bottom style="medium">
        <color rgb="FF00B050"/>
      </bottom>
      <diagonal/>
    </border>
    <border>
      <left style="medium">
        <color rgb="FFFF0000"/>
      </left>
      <right style="thin">
        <color theme="0" tint="-0.34998626667073579"/>
      </right>
      <top style="medium">
        <color rgb="FFFF0000"/>
      </top>
      <bottom style="thin">
        <color rgb="FFFF0000"/>
      </bottom>
      <diagonal/>
    </border>
    <border>
      <left style="medium">
        <color rgb="FFFF0000"/>
      </left>
      <right style="thin">
        <color theme="0" tint="-0.34998626667073579"/>
      </right>
      <top style="thin">
        <color rgb="FFFF0000"/>
      </top>
      <bottom style="thin">
        <color rgb="FFFF0000"/>
      </bottom>
      <diagonal/>
    </border>
    <border>
      <left style="medium">
        <color rgb="FFFF0000"/>
      </left>
      <right style="thin">
        <color theme="0" tint="-0.34998626667073579"/>
      </right>
      <top style="thin">
        <color rgb="FFFF0000"/>
      </top>
      <bottom style="medium">
        <color rgb="FFFF0000"/>
      </bottom>
      <diagonal/>
    </border>
    <border>
      <left style="medium">
        <color theme="5" tint="0.59996337778862885"/>
      </left>
      <right style="medium">
        <color theme="5" tint="0.59996337778862885"/>
      </right>
      <top style="medium">
        <color theme="5" tint="0.59996337778862885"/>
      </top>
      <bottom style="medium">
        <color theme="5" tint="0.59996337778862885"/>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applyNumberFormat="0" applyFill="0" applyBorder="0" applyAlignment="0" applyProtection="0"/>
  </cellStyleXfs>
  <cellXfs count="655">
    <xf numFmtId="0" fontId="0" fillId="0" borderId="0" xfId="0"/>
    <xf numFmtId="0" fontId="5" fillId="3" borderId="0" xfId="0" applyFont="1" applyFill="1"/>
    <xf numFmtId="9" fontId="6" fillId="4" borderId="1" xfId="0" applyNumberFormat="1" applyFont="1" applyFill="1" applyBorder="1" applyAlignment="1">
      <alignment horizontal="center" vertical="center"/>
    </xf>
    <xf numFmtId="0" fontId="7" fillId="3" borderId="0" xfId="0" applyFont="1" applyFill="1" applyAlignment="1">
      <alignment horizontal="left" vertical="center" indent="1"/>
    </xf>
    <xf numFmtId="0" fontId="8" fillId="3" borderId="0" xfId="0" applyFont="1" applyFill="1" applyAlignment="1">
      <alignment horizontal="center"/>
    </xf>
    <xf numFmtId="0" fontId="5" fillId="5" borderId="0" xfId="0" applyFont="1" applyFill="1"/>
    <xf numFmtId="0" fontId="5" fillId="0" borderId="0" xfId="0" applyFont="1"/>
    <xf numFmtId="0" fontId="9" fillId="0" borderId="0" xfId="0" applyFont="1"/>
    <xf numFmtId="0" fontId="10" fillId="0" borderId="0" xfId="0" applyFont="1"/>
    <xf numFmtId="0" fontId="5" fillId="6" borderId="0" xfId="0" applyFont="1" applyFill="1"/>
    <xf numFmtId="0" fontId="5" fillId="7" borderId="0" xfId="0" applyFont="1" applyFill="1"/>
    <xf numFmtId="0" fontId="5" fillId="8" borderId="0" xfId="0" applyFont="1" applyFill="1"/>
    <xf numFmtId="0" fontId="5" fillId="9" borderId="0" xfId="0" applyFont="1" applyFill="1"/>
    <xf numFmtId="0" fontId="5" fillId="10" borderId="0" xfId="0" applyFont="1" applyFill="1"/>
    <xf numFmtId="0" fontId="11" fillId="0" borderId="0" xfId="5" applyFont="1" applyAlignment="1">
      <alignment horizontal="center" vertical="center"/>
    </xf>
    <xf numFmtId="0" fontId="8" fillId="3" borderId="0" xfId="0" applyFont="1" applyFill="1" applyAlignment="1">
      <alignment horizontal="center" vertical="center"/>
    </xf>
    <xf numFmtId="2" fontId="5" fillId="0" borderId="0" xfId="0" applyNumberFormat="1" applyFont="1"/>
    <xf numFmtId="0" fontId="13" fillId="12" borderId="0" xfId="0" applyFont="1" applyFill="1" applyAlignment="1">
      <alignment vertical="center"/>
    </xf>
    <xf numFmtId="0" fontId="15" fillId="3" borderId="0" xfId="0" applyFont="1" applyFill="1"/>
    <xf numFmtId="14" fontId="16" fillId="3" borderId="0" xfId="0" applyNumberFormat="1" applyFont="1" applyFill="1" applyAlignment="1">
      <alignment horizontal="right" vertical="center" indent="1"/>
    </xf>
    <xf numFmtId="14" fontId="17" fillId="3" borderId="0" xfId="0" applyNumberFormat="1" applyFont="1" applyFill="1" applyAlignment="1">
      <alignment horizontal="right" vertical="center" indent="1"/>
    </xf>
    <xf numFmtId="0" fontId="18" fillId="3" borderId="0" xfId="0" applyFont="1" applyFill="1" applyAlignment="1">
      <alignment horizontal="right" vertical="center"/>
    </xf>
    <xf numFmtId="0" fontId="19" fillId="5" borderId="5" xfId="0" applyFont="1" applyFill="1" applyBorder="1" applyAlignment="1">
      <alignment horizontal="left" indent="1" shrinkToFit="1"/>
    </xf>
    <xf numFmtId="0" fontId="18" fillId="3" borderId="0" xfId="0" applyFont="1" applyFill="1" applyAlignment="1">
      <alignment horizontal="right"/>
    </xf>
    <xf numFmtId="0" fontId="5" fillId="5" borderId="5" xfId="0" applyFont="1" applyFill="1" applyBorder="1" applyAlignment="1">
      <alignment horizontal="left" indent="1" shrinkToFit="1"/>
    </xf>
    <xf numFmtId="0" fontId="20" fillId="3" borderId="0" xfId="0" applyFont="1" applyFill="1" applyAlignment="1">
      <alignment horizontal="right" vertical="center"/>
    </xf>
    <xf numFmtId="0" fontId="7" fillId="3" borderId="0" xfId="0" applyFont="1" applyFill="1"/>
    <xf numFmtId="0" fontId="22" fillId="3" borderId="0" xfId="0" applyFont="1" applyFill="1"/>
    <xf numFmtId="0" fontId="5" fillId="0" borderId="0" xfId="0" applyFont="1" applyAlignment="1">
      <alignment vertical="top"/>
    </xf>
    <xf numFmtId="0" fontId="23" fillId="3" borderId="0" xfId="0" applyFont="1" applyFill="1" applyAlignment="1">
      <alignment horizontal="right" vertical="center" indent="1"/>
    </xf>
    <xf numFmtId="164" fontId="26" fillId="3" borderId="0" xfId="2" applyNumberFormat="1" applyFont="1" applyFill="1" applyAlignment="1">
      <alignment vertical="center"/>
    </xf>
    <xf numFmtId="164" fontId="27" fillId="3" borderId="0" xfId="2" applyNumberFormat="1" applyFont="1" applyFill="1" applyAlignment="1">
      <alignment vertical="center"/>
    </xf>
    <xf numFmtId="164" fontId="28" fillId="3" borderId="0" xfId="2" applyNumberFormat="1" applyFont="1" applyFill="1" applyAlignment="1">
      <alignment horizontal="center" vertical="center"/>
    </xf>
    <xf numFmtId="164" fontId="28" fillId="3" borderId="0" xfId="2" applyNumberFormat="1" applyFont="1" applyFill="1" applyAlignment="1">
      <alignment horizontal="center" vertical="center"/>
    </xf>
    <xf numFmtId="0" fontId="31" fillId="0" borderId="0" xfId="0" applyFont="1" applyAlignment="1">
      <alignment horizontal="left" vertical="center" indent="1"/>
    </xf>
    <xf numFmtId="0" fontId="5" fillId="0" borderId="11" xfId="0" applyFont="1" applyBorder="1"/>
    <xf numFmtId="0" fontId="5" fillId="0" borderId="12" xfId="0" applyFont="1" applyBorder="1"/>
    <xf numFmtId="0" fontId="5" fillId="0" borderId="13" xfId="0" applyFont="1" applyBorder="1"/>
    <xf numFmtId="0" fontId="32" fillId="14" borderId="0" xfId="0" applyFont="1" applyFill="1" applyAlignment="1">
      <alignment horizontal="left" indent="1"/>
    </xf>
    <xf numFmtId="0" fontId="33" fillId="14" borderId="0" xfId="0" applyFont="1" applyFill="1" applyAlignment="1">
      <alignment horizontal="left" indent="1"/>
    </xf>
    <xf numFmtId="0" fontId="37" fillId="3" borderId="0" xfId="0" applyFont="1" applyFill="1"/>
    <xf numFmtId="0" fontId="5" fillId="3" borderId="0" xfId="0" applyFont="1" applyFill="1" applyAlignment="1">
      <alignment horizontal="left" vertical="top"/>
    </xf>
    <xf numFmtId="0" fontId="39" fillId="3" borderId="0" xfId="0" applyFont="1" applyFill="1"/>
    <xf numFmtId="0" fontId="37" fillId="3" borderId="0" xfId="0" applyFont="1" applyFill="1" applyAlignment="1">
      <alignment horizontal="left" indent="1"/>
    </xf>
    <xf numFmtId="0" fontId="38" fillId="3" borderId="0" xfId="0" applyFont="1" applyFill="1" applyAlignment="1">
      <alignment horizontal="left" vertical="top" indent="1"/>
    </xf>
    <xf numFmtId="0" fontId="40" fillId="15" borderId="0" xfId="0" applyFont="1" applyFill="1" applyAlignment="1">
      <alignment horizontal="center" vertical="center"/>
    </xf>
    <xf numFmtId="0" fontId="40" fillId="15" borderId="0" xfId="0" applyFont="1" applyFill="1" applyAlignment="1">
      <alignment horizontal="left" vertical="center"/>
    </xf>
    <xf numFmtId="0" fontId="4" fillId="15" borderId="0" xfId="5" applyFill="1" applyAlignment="1">
      <alignment horizontal="left" vertical="center"/>
    </xf>
    <xf numFmtId="0" fontId="41" fillId="16" borderId="0" xfId="0" applyFont="1" applyFill="1" applyAlignment="1">
      <alignment horizontal="left" vertical="top"/>
    </xf>
    <xf numFmtId="0" fontId="40" fillId="16" borderId="0" xfId="0" applyFont="1" applyFill="1" applyAlignment="1">
      <alignment horizontal="left" vertical="top" shrinkToFit="1"/>
    </xf>
    <xf numFmtId="0" fontId="5" fillId="17" borderId="0" xfId="0" applyFont="1" applyFill="1"/>
    <xf numFmtId="0" fontId="42" fillId="17" borderId="17" xfId="0" applyFont="1" applyFill="1" applyBorder="1" applyAlignment="1">
      <alignment horizontal="right" vertical="center" indent="1"/>
    </xf>
    <xf numFmtId="0" fontId="43" fillId="0" borderId="0" xfId="0" applyFont="1" applyAlignment="1">
      <alignment horizontal="left" indent="1"/>
    </xf>
    <xf numFmtId="0" fontId="44" fillId="17" borderId="0" xfId="0" applyFont="1" applyFill="1"/>
    <xf numFmtId="14" fontId="5" fillId="5" borderId="17" xfId="0" applyNumberFormat="1" applyFont="1" applyFill="1" applyBorder="1" applyAlignment="1">
      <alignment horizontal="left" indent="1"/>
    </xf>
    <xf numFmtId="0" fontId="5" fillId="5" borderId="17" xfId="0" applyFont="1" applyFill="1" applyBorder="1"/>
    <xf numFmtId="0" fontId="5" fillId="0" borderId="0" xfId="0" applyFont="1"/>
    <xf numFmtId="0" fontId="5" fillId="18" borderId="0" xfId="0" applyFont="1" applyFill="1"/>
    <xf numFmtId="0" fontId="5" fillId="11" borderId="0" xfId="0" applyFont="1" applyFill="1"/>
    <xf numFmtId="2" fontId="46" fillId="11" borderId="0" xfId="0" applyNumberFormat="1" applyFont="1" applyFill="1"/>
    <xf numFmtId="0" fontId="46" fillId="0" borderId="0" xfId="0" applyFont="1"/>
    <xf numFmtId="0" fontId="46" fillId="11" borderId="0" xfId="0" applyFont="1" applyFill="1"/>
    <xf numFmtId="0" fontId="5" fillId="5" borderId="17" xfId="0" applyFont="1" applyFill="1" applyBorder="1" applyAlignment="1">
      <alignment horizontal="left" indent="1"/>
    </xf>
    <xf numFmtId="0" fontId="42" fillId="17" borderId="17" xfId="0" applyFont="1" applyFill="1" applyBorder="1" applyAlignment="1">
      <alignment horizontal="left" vertical="center" indent="2"/>
    </xf>
    <xf numFmtId="0" fontId="42" fillId="17" borderId="17" xfId="0" applyFont="1" applyFill="1" applyBorder="1" applyAlignment="1">
      <alignment horizontal="left" vertical="center"/>
    </xf>
    <xf numFmtId="0" fontId="44" fillId="17" borderId="0" xfId="0" applyFont="1" applyFill="1" applyAlignment="1">
      <alignment vertical="center"/>
    </xf>
    <xf numFmtId="0" fontId="5" fillId="17" borderId="0" xfId="0" applyFont="1" applyFill="1" applyAlignment="1">
      <alignment vertical="top" wrapText="1"/>
    </xf>
    <xf numFmtId="0" fontId="5" fillId="5" borderId="17" xfId="0" applyFont="1" applyFill="1" applyBorder="1" applyAlignment="1">
      <alignment horizontal="left" vertical="top" wrapText="1"/>
    </xf>
    <xf numFmtId="0" fontId="38" fillId="5" borderId="17" xfId="0" applyFont="1" applyFill="1" applyBorder="1" applyAlignment="1">
      <alignment vertical="top" wrapText="1"/>
    </xf>
    <xf numFmtId="0" fontId="5" fillId="3" borderId="0" xfId="0" applyFont="1" applyFill="1" applyAlignment="1">
      <alignment vertical="top" wrapText="1"/>
    </xf>
    <xf numFmtId="0" fontId="5" fillId="5" borderId="0" xfId="0" applyFont="1" applyFill="1" applyAlignment="1">
      <alignment vertical="top" wrapText="1"/>
    </xf>
    <xf numFmtId="0" fontId="5" fillId="0" borderId="0" xfId="0" applyFont="1" applyAlignment="1">
      <alignment vertical="top" wrapText="1"/>
    </xf>
    <xf numFmtId="2" fontId="5" fillId="0" borderId="0" xfId="0" applyNumberFormat="1" applyFont="1" applyAlignment="1">
      <alignment vertical="top" wrapText="1"/>
    </xf>
    <xf numFmtId="0" fontId="47" fillId="17" borderId="0" xfId="0" applyFont="1" applyFill="1" applyAlignment="1">
      <alignment horizontal="left"/>
    </xf>
    <xf numFmtId="0" fontId="48" fillId="19" borderId="0" xfId="0" applyFont="1" applyFill="1" applyAlignment="1">
      <alignment horizontal="center" vertical="center"/>
    </xf>
    <xf numFmtId="0" fontId="5" fillId="5" borderId="17" xfId="0" applyFont="1" applyFill="1" applyBorder="1" applyAlignment="1">
      <alignment horizontal="left" indent="1" shrinkToFit="1"/>
    </xf>
    <xf numFmtId="0" fontId="3" fillId="0" borderId="0" xfId="0" applyFont="1"/>
    <xf numFmtId="0" fontId="49" fillId="0" borderId="0" xfId="0" applyFont="1"/>
    <xf numFmtId="0" fontId="44" fillId="17" borderId="0" xfId="0" applyFont="1" applyFill="1" applyAlignment="1">
      <alignment horizontal="center" vertical="center"/>
    </xf>
    <xf numFmtId="14" fontId="5" fillId="5" borderId="17" xfId="0" applyNumberFormat="1" applyFont="1" applyFill="1" applyBorder="1" applyAlignment="1">
      <alignment horizontal="center" vertical="center"/>
    </xf>
    <xf numFmtId="0" fontId="0" fillId="0" borderId="0" xfId="0"/>
    <xf numFmtId="0" fontId="44" fillId="17" borderId="0" xfId="0" applyFont="1" applyFill="1" applyAlignment="1">
      <alignment horizontal="left"/>
    </xf>
    <xf numFmtId="0" fontId="44" fillId="17" borderId="0" xfId="0" applyFont="1" applyFill="1" applyAlignment="1">
      <alignment horizontal="left" indent="1"/>
    </xf>
    <xf numFmtId="164" fontId="0" fillId="0" borderId="0" xfId="0" applyNumberFormat="1"/>
    <xf numFmtId="0" fontId="5" fillId="20" borderId="0" xfId="0" applyFont="1" applyFill="1" applyAlignment="1">
      <alignment horizontal="left" indent="1"/>
    </xf>
    <xf numFmtId="0" fontId="44" fillId="20" borderId="0" xfId="0" applyFont="1" applyFill="1"/>
    <xf numFmtId="0" fontId="5" fillId="5" borderId="17" xfId="0" applyFont="1" applyFill="1" applyBorder="1" applyAlignment="1">
      <alignment horizontal="center" vertical="center"/>
    </xf>
    <xf numFmtId="0" fontId="5" fillId="5" borderId="17" xfId="0" applyFont="1" applyFill="1" applyBorder="1" applyAlignment="1">
      <alignment shrinkToFit="1"/>
    </xf>
    <xf numFmtId="0" fontId="44" fillId="21" borderId="0" xfId="0" applyFont="1" applyFill="1"/>
    <xf numFmtId="14" fontId="5" fillId="5" borderId="17" xfId="0" applyNumberFormat="1" applyFont="1" applyFill="1" applyBorder="1"/>
    <xf numFmtId="0" fontId="5" fillId="0" borderId="0" xfId="0" applyFont="1" applyAlignment="1">
      <alignment horizontal="center" vertical="center" shrinkToFit="1"/>
    </xf>
    <xf numFmtId="0" fontId="38" fillId="5" borderId="17" xfId="0" applyFont="1" applyFill="1" applyBorder="1" applyAlignment="1">
      <alignment horizontal="left" indent="1" shrinkToFit="1"/>
    </xf>
    <xf numFmtId="0" fontId="5" fillId="21" borderId="0" xfId="0" applyFont="1" applyFill="1"/>
    <xf numFmtId="0" fontId="46" fillId="21" borderId="22" xfId="0" applyFont="1" applyFill="1" applyBorder="1"/>
    <xf numFmtId="0" fontId="4" fillId="21" borderId="0" xfId="5" applyFill="1"/>
    <xf numFmtId="0" fontId="47" fillId="17" borderId="0" xfId="0" applyFont="1" applyFill="1" applyAlignment="1">
      <alignment horizontal="left" indent="1"/>
    </xf>
    <xf numFmtId="0" fontId="5" fillId="17" borderId="0" xfId="0" applyFont="1" applyFill="1" applyAlignment="1">
      <alignment horizontal="left" indent="1"/>
    </xf>
    <xf numFmtId="0" fontId="42" fillId="17" borderId="0" xfId="0" applyFont="1" applyFill="1"/>
    <xf numFmtId="165" fontId="5" fillId="0" borderId="0" xfId="0" applyNumberFormat="1" applyFont="1" applyAlignment="1">
      <alignment shrinkToFit="1"/>
    </xf>
    <xf numFmtId="0" fontId="5" fillId="5" borderId="17" xfId="0" applyFont="1" applyFill="1" applyBorder="1" applyAlignment="1">
      <alignment horizontal="right" shrinkToFit="1"/>
    </xf>
    <xf numFmtId="0" fontId="5" fillId="5" borderId="17" xfId="0" applyFont="1" applyFill="1" applyBorder="1" applyAlignment="1">
      <alignment horizontal="right"/>
    </xf>
    <xf numFmtId="0" fontId="5" fillId="22" borderId="0" xfId="0" applyFont="1" applyFill="1"/>
    <xf numFmtId="0" fontId="5" fillId="23" borderId="17" xfId="0" applyFont="1" applyFill="1" applyBorder="1" applyAlignment="1">
      <alignment horizontal="right"/>
    </xf>
    <xf numFmtId="0" fontId="5" fillId="5" borderId="17" xfId="0" applyFont="1" applyFill="1" applyBorder="1" applyAlignment="1">
      <alignment horizontal="center" vertical="center" shrinkToFit="1"/>
    </xf>
    <xf numFmtId="14" fontId="5" fillId="5" borderId="17" xfId="0" applyNumberFormat="1" applyFont="1" applyFill="1" applyBorder="1" applyAlignment="1">
      <alignment shrinkToFit="1"/>
    </xf>
    <xf numFmtId="0" fontId="5" fillId="17" borderId="0" xfId="0" applyFont="1" applyFill="1"/>
    <xf numFmtId="0" fontId="50" fillId="24" borderId="0" xfId="0" applyFont="1" applyFill="1"/>
    <xf numFmtId="0" fontId="5" fillId="24" borderId="0" xfId="0" applyFont="1" applyFill="1"/>
    <xf numFmtId="0" fontId="41" fillId="16" borderId="0" xfId="0" applyFont="1" applyFill="1" applyAlignment="1">
      <alignment horizontal="left" vertical="center" indent="1"/>
    </xf>
    <xf numFmtId="0" fontId="5" fillId="16" borderId="0" xfId="0" applyFont="1" applyFill="1" applyAlignment="1">
      <alignment vertical="center"/>
    </xf>
    <xf numFmtId="0" fontId="40" fillId="16" borderId="0" xfId="0" applyFont="1" applyFill="1" applyAlignment="1">
      <alignment horizontal="left" vertical="center" shrinkToFit="1"/>
    </xf>
    <xf numFmtId="0" fontId="52" fillId="0" borderId="0" xfId="0" applyFont="1"/>
    <xf numFmtId="2" fontId="5" fillId="0" borderId="0" xfId="0" applyNumberFormat="1" applyFont="1" applyAlignment="1">
      <alignment shrinkToFit="1"/>
    </xf>
    <xf numFmtId="9" fontId="5" fillId="0" borderId="0" xfId="3" applyFont="1"/>
    <xf numFmtId="0" fontId="53" fillId="25" borderId="0" xfId="0" applyFont="1" applyFill="1" applyAlignment="1">
      <alignment vertical="center"/>
    </xf>
    <xf numFmtId="9" fontId="54" fillId="25" borderId="0" xfId="3" applyFont="1" applyFill="1" applyAlignment="1">
      <alignment vertical="center"/>
    </xf>
    <xf numFmtId="0" fontId="24" fillId="25" borderId="0" xfId="0" applyFont="1" applyFill="1"/>
    <xf numFmtId="0" fontId="46" fillId="25" borderId="0" xfId="0" applyFont="1" applyFill="1" applyAlignment="1">
      <alignment vertical="center"/>
    </xf>
    <xf numFmtId="0" fontId="5" fillId="25" borderId="0" xfId="0" applyFont="1" applyFill="1" applyAlignment="1">
      <alignment vertical="center"/>
    </xf>
    <xf numFmtId="0" fontId="5" fillId="5" borderId="0" xfId="0" applyFont="1" applyFill="1" applyAlignment="1">
      <alignment vertical="center"/>
    </xf>
    <xf numFmtId="0" fontId="5" fillId="0" borderId="0" xfId="0" applyFont="1" applyAlignment="1">
      <alignment vertical="center"/>
    </xf>
    <xf numFmtId="2" fontId="5" fillId="10" borderId="0" xfId="0" applyNumberFormat="1" applyFont="1" applyFill="1" applyAlignment="1">
      <alignment vertical="center" shrinkToFit="1"/>
    </xf>
    <xf numFmtId="2" fontId="5" fillId="24" borderId="0" xfId="0" applyNumberFormat="1" applyFont="1" applyFill="1" applyAlignment="1">
      <alignment vertical="center" shrinkToFit="1"/>
    </xf>
    <xf numFmtId="2" fontId="5" fillId="26" borderId="0" xfId="0" applyNumberFormat="1" applyFont="1" applyFill="1" applyAlignment="1">
      <alignment vertical="center" shrinkToFit="1"/>
    </xf>
    <xf numFmtId="2" fontId="5" fillId="27" borderId="0" xfId="0" applyNumberFormat="1" applyFont="1" applyFill="1" applyAlignment="1">
      <alignment vertical="center" shrinkToFit="1"/>
    </xf>
    <xf numFmtId="2" fontId="5" fillId="28" borderId="0" xfId="0" applyNumberFormat="1" applyFont="1" applyFill="1" applyAlignment="1">
      <alignment vertical="center" shrinkToFit="1"/>
    </xf>
    <xf numFmtId="2" fontId="5" fillId="6" borderId="0" xfId="0" applyNumberFormat="1" applyFont="1" applyFill="1" applyAlignment="1">
      <alignment vertical="center" shrinkToFit="1"/>
    </xf>
    <xf numFmtId="2" fontId="46" fillId="0" borderId="0" xfId="0" applyNumberFormat="1" applyFont="1" applyAlignment="1">
      <alignment horizontal="center"/>
    </xf>
    <xf numFmtId="0" fontId="46" fillId="9" borderId="0" xfId="0" applyFont="1" applyFill="1" applyAlignment="1">
      <alignment horizontal="left" vertical="center"/>
    </xf>
    <xf numFmtId="0" fontId="46" fillId="9" borderId="0" xfId="0" applyFont="1" applyFill="1" applyAlignment="1">
      <alignment horizontal="center" vertical="center"/>
    </xf>
    <xf numFmtId="0" fontId="46" fillId="29" borderId="0" xfId="0" applyFont="1" applyFill="1" applyAlignment="1">
      <alignment horizontal="left" vertical="center"/>
    </xf>
    <xf numFmtId="0" fontId="5" fillId="29" borderId="0" xfId="0" applyFont="1" applyFill="1" applyAlignment="1">
      <alignment vertical="center"/>
    </xf>
    <xf numFmtId="0" fontId="5" fillId="25" borderId="0" xfId="0" applyFont="1" applyFill="1"/>
    <xf numFmtId="2" fontId="5" fillId="30" borderId="0" xfId="0" applyNumberFormat="1" applyFont="1" applyFill="1" applyAlignment="1">
      <alignment shrinkToFit="1"/>
    </xf>
    <xf numFmtId="9" fontId="46" fillId="9" borderId="0" xfId="3" applyFont="1" applyFill="1" applyAlignment="1">
      <alignment horizontal="center" vertical="center"/>
    </xf>
    <xf numFmtId="9" fontId="46" fillId="29" borderId="0" xfId="3" applyFont="1" applyFill="1" applyAlignment="1">
      <alignment horizontal="center" vertical="center"/>
    </xf>
    <xf numFmtId="166" fontId="5" fillId="0" borderId="0" xfId="0" applyNumberFormat="1" applyFont="1" applyAlignment="1">
      <alignment shrinkToFit="1"/>
    </xf>
    <xf numFmtId="2" fontId="5" fillId="0" borderId="0" xfId="0" applyNumberFormat="1" applyFont="1" applyAlignment="1">
      <alignment horizontal="center" vertical="center"/>
    </xf>
    <xf numFmtId="164" fontId="5" fillId="8" borderId="0" xfId="0" applyNumberFormat="1" applyFont="1" applyFill="1" applyAlignment="1">
      <alignment vertical="center" shrinkToFit="1"/>
    </xf>
    <xf numFmtId="0" fontId="58" fillId="25" borderId="0" xfId="0" applyFont="1" applyFill="1" applyAlignment="1">
      <alignment vertical="center"/>
    </xf>
    <xf numFmtId="164" fontId="5" fillId="0" borderId="0" xfId="0" applyNumberFormat="1" applyFont="1" applyAlignment="1">
      <alignment vertical="center" shrinkToFit="1"/>
    </xf>
    <xf numFmtId="0" fontId="38" fillId="29" borderId="34" xfId="0" applyFont="1" applyFill="1" applyBorder="1" applyAlignment="1">
      <alignment horizontal="left" vertical="center"/>
    </xf>
    <xf numFmtId="0" fontId="38" fillId="29" borderId="35" xfId="0" applyFont="1" applyFill="1" applyBorder="1" applyAlignment="1">
      <alignment horizontal="left" vertical="center"/>
    </xf>
    <xf numFmtId="0" fontId="38" fillId="29" borderId="36" xfId="0" applyFont="1" applyFill="1" applyBorder="1" applyAlignment="1">
      <alignment horizontal="left" vertical="center"/>
    </xf>
    <xf numFmtId="0" fontId="5" fillId="31" borderId="0" xfId="0" applyFont="1" applyFill="1"/>
    <xf numFmtId="3" fontId="38" fillId="30" borderId="28" xfId="0" applyNumberFormat="1" applyFont="1" applyFill="1" applyBorder="1" applyAlignment="1">
      <alignment horizontal="center" vertical="center"/>
    </xf>
    <xf numFmtId="0" fontId="38" fillId="30" borderId="29" xfId="0" applyFont="1" applyFill="1" applyBorder="1"/>
    <xf numFmtId="167" fontId="38" fillId="29" borderId="30" xfId="1" applyNumberFormat="1" applyFont="1" applyFill="1" applyBorder="1" applyAlignment="1">
      <alignment horizontal="left" vertical="center"/>
    </xf>
    <xf numFmtId="0" fontId="5" fillId="25" borderId="0" xfId="0" applyFont="1" applyFill="1" applyAlignment="1">
      <alignment horizontal="center" vertical="center"/>
    </xf>
    <xf numFmtId="165" fontId="5" fillId="24" borderId="0" xfId="0" applyNumberFormat="1" applyFont="1" applyFill="1" applyAlignment="1">
      <alignment shrinkToFit="1"/>
    </xf>
    <xf numFmtId="165" fontId="5" fillId="26" borderId="0" xfId="0" applyNumberFormat="1" applyFont="1" applyFill="1" applyAlignment="1">
      <alignment shrinkToFit="1"/>
    </xf>
    <xf numFmtId="165" fontId="5" fillId="27" borderId="0" xfId="0" applyNumberFormat="1" applyFont="1" applyFill="1" applyAlignment="1">
      <alignment shrinkToFit="1"/>
    </xf>
    <xf numFmtId="165" fontId="5" fillId="23" borderId="0" xfId="0" applyNumberFormat="1" applyFont="1" applyFill="1" applyAlignment="1">
      <alignment shrinkToFit="1"/>
    </xf>
    <xf numFmtId="2" fontId="5" fillId="31" borderId="0" xfId="0" applyNumberFormat="1" applyFont="1" applyFill="1" applyAlignment="1">
      <alignment shrinkToFit="1"/>
    </xf>
    <xf numFmtId="0" fontId="5" fillId="0" borderId="0" xfId="0" applyFont="1" applyAlignment="1">
      <alignment shrinkToFit="1"/>
    </xf>
    <xf numFmtId="2" fontId="5" fillId="6" borderId="0" xfId="0" applyNumberFormat="1" applyFont="1" applyFill="1" applyAlignment="1">
      <alignment shrinkToFit="1"/>
    </xf>
    <xf numFmtId="2" fontId="5" fillId="23" borderId="0" xfId="0" applyNumberFormat="1" applyFont="1" applyFill="1" applyAlignment="1">
      <alignment shrinkToFit="1"/>
    </xf>
    <xf numFmtId="2" fontId="5" fillId="27" borderId="0" xfId="0" applyNumberFormat="1" applyFont="1" applyFill="1" applyAlignment="1">
      <alignment shrinkToFit="1"/>
    </xf>
    <xf numFmtId="2" fontId="5" fillId="26" borderId="0" xfId="0" applyNumberFormat="1" applyFont="1" applyFill="1" applyAlignment="1">
      <alignment shrinkToFit="1"/>
    </xf>
    <xf numFmtId="2" fontId="5" fillId="10" borderId="0" xfId="0" applyNumberFormat="1" applyFont="1" applyFill="1" applyAlignment="1">
      <alignment shrinkToFit="1"/>
    </xf>
    <xf numFmtId="165" fontId="46" fillId="0" borderId="0" xfId="0" applyNumberFormat="1" applyFont="1"/>
    <xf numFmtId="166" fontId="5" fillId="0" borderId="0" xfId="0" applyNumberFormat="1" applyFont="1" applyAlignment="1">
      <alignment vertical="top" shrinkToFit="1"/>
    </xf>
    <xf numFmtId="166" fontId="5" fillId="0" borderId="0" xfId="0" applyNumberFormat="1" applyFont="1"/>
    <xf numFmtId="0" fontId="38" fillId="30" borderId="28" xfId="0" applyFont="1" applyFill="1" applyBorder="1" applyAlignment="1">
      <alignment horizontal="center" vertical="center"/>
    </xf>
    <xf numFmtId="0" fontId="5" fillId="30" borderId="0" xfId="0" applyFont="1" applyFill="1"/>
    <xf numFmtId="0" fontId="38" fillId="25" borderId="0" xfId="0" applyFont="1" applyFill="1" applyAlignment="1">
      <alignment horizontal="left" vertical="center"/>
    </xf>
    <xf numFmtId="0" fontId="5" fillId="25" borderId="0" xfId="0" applyFont="1" applyFill="1" applyAlignment="1">
      <alignment horizontal="left" vertical="center"/>
    </xf>
    <xf numFmtId="9" fontId="59" fillId="25" borderId="0" xfId="3" applyFont="1" applyFill="1" applyAlignment="1">
      <alignment horizontal="right" vertical="center" indent="1"/>
    </xf>
    <xf numFmtId="9" fontId="60" fillId="25" borderId="0" xfId="3" applyFont="1" applyFill="1" applyAlignment="1">
      <alignment vertical="center"/>
    </xf>
    <xf numFmtId="166" fontId="46" fillId="0" borderId="0" xfId="0" applyNumberFormat="1" applyFont="1" applyAlignment="1">
      <alignment shrinkToFit="1"/>
    </xf>
    <xf numFmtId="166" fontId="5" fillId="0" borderId="0" xfId="0" applyNumberFormat="1" applyFont="1" applyAlignment="1">
      <alignment shrinkToFit="1"/>
    </xf>
    <xf numFmtId="9" fontId="10" fillId="31" borderId="0" xfId="0" applyNumberFormat="1" applyFont="1" applyFill="1"/>
    <xf numFmtId="166" fontId="10" fillId="31" borderId="0" xfId="0" applyNumberFormat="1" applyFont="1" applyFill="1"/>
    <xf numFmtId="0" fontId="61" fillId="25" borderId="0" xfId="5" applyFont="1" applyFill="1" applyAlignment="1">
      <alignment horizontal="right" vertical="center" indent="1"/>
    </xf>
    <xf numFmtId="0" fontId="46" fillId="32" borderId="0" xfId="0" applyFont="1" applyFill="1" applyAlignment="1">
      <alignment vertical="center"/>
    </xf>
    <xf numFmtId="0" fontId="10" fillId="31" borderId="0" xfId="0" applyFont="1" applyFill="1"/>
    <xf numFmtId="166" fontId="10" fillId="31" borderId="0" xfId="0" applyNumberFormat="1" applyFont="1" applyFill="1" applyAlignment="1">
      <alignment shrinkToFit="1"/>
    </xf>
    <xf numFmtId="0" fontId="42" fillId="25" borderId="0" xfId="0" applyFont="1" applyFill="1" applyAlignment="1">
      <alignment vertical="center"/>
    </xf>
    <xf numFmtId="0" fontId="62" fillId="25" borderId="0" xfId="0" applyFont="1" applyFill="1" applyAlignment="1">
      <alignment vertical="top"/>
    </xf>
    <xf numFmtId="0" fontId="44" fillId="25" borderId="0" xfId="0" applyFont="1" applyFill="1"/>
    <xf numFmtId="0" fontId="44" fillId="5" borderId="0" xfId="0" applyFont="1" applyFill="1"/>
    <xf numFmtId="0" fontId="44" fillId="0" borderId="0" xfId="0" applyFont="1"/>
    <xf numFmtId="166" fontId="44" fillId="0" borderId="0" xfId="0" applyNumberFormat="1" applyFont="1" applyAlignment="1">
      <alignment shrinkToFit="1"/>
    </xf>
    <xf numFmtId="0" fontId="20" fillId="25" borderId="37" xfId="0" applyFont="1" applyFill="1" applyBorder="1" applyAlignment="1">
      <alignment horizontal="center" vertical="center"/>
    </xf>
    <xf numFmtId="0" fontId="5" fillId="25" borderId="0" xfId="0" applyFont="1" applyFill="1" applyAlignment="1">
      <alignment horizontal="left" vertical="center" indent="1"/>
    </xf>
    <xf numFmtId="0" fontId="5" fillId="25" borderId="37" xfId="0" applyFont="1" applyFill="1" applyBorder="1" applyAlignment="1">
      <alignment horizontal="center" vertical="center"/>
    </xf>
    <xf numFmtId="0" fontId="38" fillId="25" borderId="0" xfId="0" applyFont="1" applyFill="1" applyAlignment="1">
      <alignment vertical="center"/>
    </xf>
    <xf numFmtId="0" fontId="63" fillId="11" borderId="0" xfId="0" applyFont="1" applyFill="1" applyAlignment="1">
      <alignment horizontal="center" vertical="center"/>
    </xf>
    <xf numFmtId="0" fontId="64" fillId="15" borderId="0" xfId="0" applyFont="1" applyFill="1" applyAlignment="1">
      <alignment horizontal="center" vertical="center"/>
    </xf>
    <xf numFmtId="9" fontId="66" fillId="16" borderId="0" xfId="0" applyNumberFormat="1" applyFont="1" applyFill="1" applyAlignment="1">
      <alignment horizontal="left" vertical="center" shrinkToFit="1"/>
    </xf>
    <xf numFmtId="2" fontId="9" fillId="6" borderId="0" xfId="0" applyNumberFormat="1" applyFont="1" applyFill="1" applyAlignment="1">
      <alignment vertical="center" shrinkToFit="1"/>
    </xf>
    <xf numFmtId="2" fontId="9" fillId="33" borderId="0" xfId="0" applyNumberFormat="1" applyFont="1" applyFill="1" applyAlignment="1">
      <alignment vertical="center" shrinkToFit="1"/>
    </xf>
    <xf numFmtId="2" fontId="9" fillId="27" borderId="0" xfId="0" applyNumberFormat="1" applyFont="1" applyFill="1" applyAlignment="1">
      <alignment vertical="center" shrinkToFit="1"/>
    </xf>
    <xf numFmtId="2" fontId="9" fillId="10" borderId="0" xfId="0" applyNumberFormat="1" applyFont="1" applyFill="1" applyAlignment="1">
      <alignment vertical="center" shrinkToFit="1"/>
    </xf>
    <xf numFmtId="165" fontId="67" fillId="34" borderId="0" xfId="0" applyNumberFormat="1" applyFont="1" applyFill="1" applyAlignment="1">
      <alignment vertical="center" shrinkToFit="1"/>
    </xf>
    <xf numFmtId="2" fontId="5" fillId="33" borderId="0" xfId="0" applyNumberFormat="1" applyFont="1" applyFill="1" applyAlignment="1">
      <alignment vertical="center" shrinkToFit="1"/>
    </xf>
    <xf numFmtId="2" fontId="5" fillId="0" borderId="0" xfId="0" applyNumberFormat="1" applyFont="1" applyAlignment="1">
      <alignment vertical="center" shrinkToFit="1"/>
    </xf>
    <xf numFmtId="2" fontId="5" fillId="0" borderId="0" xfId="0" applyNumberFormat="1" applyFont="1" applyAlignment="1">
      <alignment vertical="center"/>
    </xf>
    <xf numFmtId="10" fontId="5" fillId="30" borderId="0" xfId="3" applyNumberFormat="1" applyFont="1" applyFill="1" applyAlignment="1">
      <alignment shrinkToFit="1"/>
    </xf>
    <xf numFmtId="10" fontId="5" fillId="0" borderId="0" xfId="3" applyNumberFormat="1" applyFont="1" applyAlignment="1">
      <alignment shrinkToFit="1"/>
    </xf>
    <xf numFmtId="0" fontId="53" fillId="33" borderId="0" xfId="0" applyFont="1" applyFill="1" applyAlignment="1">
      <alignment vertical="center"/>
    </xf>
    <xf numFmtId="0" fontId="68" fillId="33" borderId="0" xfId="0" applyFont="1" applyFill="1" applyAlignment="1">
      <alignment horizontal="right" vertical="center"/>
    </xf>
    <xf numFmtId="0" fontId="46" fillId="33" borderId="0" xfId="0" applyFont="1" applyFill="1" applyAlignment="1">
      <alignment vertical="center"/>
    </xf>
    <xf numFmtId="0" fontId="5" fillId="33" borderId="0" xfId="0" applyFont="1" applyFill="1" applyAlignment="1">
      <alignment vertical="center"/>
    </xf>
    <xf numFmtId="0" fontId="44" fillId="23" borderId="43" xfId="0" applyFont="1" applyFill="1" applyBorder="1" applyAlignment="1">
      <alignment horizontal="left" vertical="top" wrapText="1"/>
    </xf>
    <xf numFmtId="0" fontId="69" fillId="23" borderId="43" xfId="0" applyFont="1" applyFill="1" applyBorder="1" applyAlignment="1">
      <alignment horizontal="left" vertical="top" wrapText="1"/>
    </xf>
    <xf numFmtId="0" fontId="10" fillId="30" borderId="0" xfId="0" applyFont="1" applyFill="1"/>
    <xf numFmtId="0" fontId="46" fillId="28" borderId="0" xfId="0" applyFont="1" applyFill="1"/>
    <xf numFmtId="0" fontId="46" fillId="26" borderId="0" xfId="0" applyFont="1" applyFill="1"/>
    <xf numFmtId="2" fontId="46" fillId="28" borderId="0" xfId="0" applyNumberFormat="1" applyFont="1" applyFill="1"/>
    <xf numFmtId="0" fontId="46" fillId="28" borderId="0" xfId="0" applyFont="1" applyFill="1" applyAlignment="1">
      <alignment shrinkToFit="1"/>
    </xf>
    <xf numFmtId="0" fontId="46" fillId="26" borderId="0" xfId="0" applyFont="1" applyFill="1" applyAlignment="1">
      <alignment shrinkToFit="1"/>
    </xf>
    <xf numFmtId="0" fontId="25" fillId="0" borderId="46" xfId="0" applyFont="1" applyBorder="1"/>
    <xf numFmtId="0" fontId="25" fillId="0" borderId="46" xfId="0" applyFont="1" applyBorder="1" applyAlignment="1">
      <alignment vertical="center" shrinkToFit="1"/>
    </xf>
    <xf numFmtId="0" fontId="70" fillId="3" borderId="47" xfId="0" applyFont="1" applyFill="1" applyBorder="1" applyAlignment="1">
      <alignment vertical="center" shrinkToFit="1"/>
    </xf>
    <xf numFmtId="2" fontId="55" fillId="30" borderId="0" xfId="0" applyNumberFormat="1" applyFont="1" applyFill="1" applyAlignment="1">
      <alignment shrinkToFit="1"/>
    </xf>
    <xf numFmtId="2" fontId="5" fillId="28" borderId="0" xfId="0" applyNumberFormat="1" applyFont="1" applyFill="1" applyAlignment="1">
      <alignment shrinkToFit="1"/>
    </xf>
    <xf numFmtId="10" fontId="5" fillId="28" borderId="0" xfId="3" applyNumberFormat="1" applyFont="1" applyFill="1" applyAlignment="1">
      <alignment shrinkToFit="1"/>
    </xf>
    <xf numFmtId="10" fontId="5" fillId="26" borderId="0" xfId="3" applyNumberFormat="1" applyFont="1" applyFill="1" applyAlignment="1">
      <alignment shrinkToFit="1"/>
    </xf>
    <xf numFmtId="2" fontId="71" fillId="0" borderId="0" xfId="0" applyNumberFormat="1" applyFont="1" applyAlignment="1">
      <alignment shrinkToFit="1"/>
    </xf>
    <xf numFmtId="0" fontId="5" fillId="16" borderId="0" xfId="0" applyFont="1" applyFill="1"/>
    <xf numFmtId="0" fontId="5" fillId="35" borderId="0" xfId="0" applyFont="1" applyFill="1"/>
    <xf numFmtId="0" fontId="5" fillId="36" borderId="0" xfId="0" applyFont="1" applyFill="1"/>
    <xf numFmtId="0" fontId="70" fillId="3" borderId="46" xfId="0" applyFont="1" applyFill="1" applyBorder="1" applyAlignment="1">
      <alignment vertical="center" shrinkToFit="1"/>
    </xf>
    <xf numFmtId="2" fontId="5" fillId="16" borderId="0" xfId="0" applyNumberFormat="1" applyFont="1" applyFill="1" applyAlignment="1">
      <alignment shrinkToFit="1"/>
    </xf>
    <xf numFmtId="2" fontId="5" fillId="35" borderId="0" xfId="0" applyNumberFormat="1" applyFont="1" applyFill="1" applyAlignment="1">
      <alignment shrinkToFit="1"/>
    </xf>
    <xf numFmtId="2" fontId="46" fillId="36" borderId="0" xfId="0" applyNumberFormat="1" applyFont="1" applyFill="1" applyAlignment="1">
      <alignment shrinkToFit="1"/>
    </xf>
    <xf numFmtId="0" fontId="72" fillId="3" borderId="46" xfId="0" applyFont="1" applyFill="1" applyBorder="1" applyAlignment="1">
      <alignment vertical="center" shrinkToFit="1"/>
    </xf>
    <xf numFmtId="9" fontId="20" fillId="33" borderId="0" xfId="0" applyNumberFormat="1" applyFont="1" applyFill="1" applyAlignment="1">
      <alignment vertical="center" shrinkToFit="1"/>
    </xf>
    <xf numFmtId="10" fontId="5" fillId="31" borderId="0" xfId="3" applyNumberFormat="1" applyFont="1" applyFill="1" applyAlignment="1">
      <alignment shrinkToFit="1"/>
    </xf>
    <xf numFmtId="0" fontId="53" fillId="33" borderId="0" xfId="0" applyFont="1" applyFill="1" applyAlignment="1">
      <alignment horizontal="left" vertical="center" indent="5"/>
    </xf>
    <xf numFmtId="0" fontId="75" fillId="33" borderId="0" xfId="0" applyFont="1" applyFill="1" applyAlignment="1">
      <alignment horizontal="right" vertical="center"/>
    </xf>
    <xf numFmtId="2" fontId="46" fillId="16" borderId="0" xfId="0" applyNumberFormat="1" applyFont="1" applyFill="1" applyAlignment="1">
      <alignment shrinkToFit="1"/>
    </xf>
    <xf numFmtId="0" fontId="5" fillId="33" borderId="48" xfId="0" applyFont="1" applyFill="1" applyBorder="1" applyAlignment="1">
      <alignment vertical="center"/>
    </xf>
    <xf numFmtId="0" fontId="41" fillId="16" borderId="0" xfId="0" applyFont="1" applyFill="1" applyAlignment="1">
      <alignment horizontal="left" vertical="center" indent="3"/>
    </xf>
    <xf numFmtId="0" fontId="53" fillId="23" borderId="0" xfId="0" applyFont="1" applyFill="1" applyAlignment="1">
      <alignment vertical="center"/>
    </xf>
    <xf numFmtId="0" fontId="5" fillId="23" borderId="0" xfId="0" applyFont="1" applyFill="1"/>
    <xf numFmtId="0" fontId="46" fillId="23" borderId="0" xfId="0" applyFont="1" applyFill="1" applyAlignment="1">
      <alignment vertical="center"/>
    </xf>
    <xf numFmtId="0" fontId="5" fillId="5" borderId="0" xfId="0" applyFont="1" applyFill="1" applyAlignment="1">
      <alignment vertical="top"/>
    </xf>
    <xf numFmtId="0" fontId="20" fillId="23" borderId="52" xfId="0" applyFont="1" applyFill="1" applyBorder="1" applyAlignment="1">
      <alignment horizontal="left" indent="1"/>
    </xf>
    <xf numFmtId="0" fontId="5" fillId="23" borderId="52" xfId="0" applyFont="1" applyFill="1" applyBorder="1"/>
    <xf numFmtId="0" fontId="5" fillId="5" borderId="52" xfId="0" applyFont="1" applyFill="1" applyBorder="1"/>
    <xf numFmtId="0" fontId="46" fillId="21" borderId="0" xfId="0" applyFont="1" applyFill="1" applyAlignment="1">
      <alignment vertical="center"/>
    </xf>
    <xf numFmtId="0" fontId="77" fillId="21" borderId="0" xfId="0" applyFont="1" applyFill="1" applyAlignment="1">
      <alignment horizontal="left" vertical="top"/>
    </xf>
    <xf numFmtId="0" fontId="53" fillId="21" borderId="0" xfId="0" applyFont="1" applyFill="1" applyAlignment="1">
      <alignment vertical="center"/>
    </xf>
    <xf numFmtId="0" fontId="9" fillId="27" borderId="0" xfId="0" applyFont="1" applyFill="1"/>
    <xf numFmtId="0" fontId="5" fillId="27" borderId="0" xfId="0" applyFont="1" applyFill="1"/>
    <xf numFmtId="0" fontId="5" fillId="5" borderId="0" xfId="0" applyFont="1" applyFill="1" applyAlignment="1">
      <alignment horizontal="left" indent="1"/>
    </xf>
    <xf numFmtId="0" fontId="5" fillId="21" borderId="0" xfId="0" applyFont="1" applyFill="1" applyAlignment="1">
      <alignment horizontal="left" indent="1"/>
    </xf>
    <xf numFmtId="0" fontId="5" fillId="37" borderId="0" xfId="0" applyFont="1" applyFill="1"/>
    <xf numFmtId="0" fontId="5" fillId="29" borderId="0" xfId="0" applyFont="1" applyFill="1"/>
    <xf numFmtId="0" fontId="4" fillId="0" borderId="0" xfId="5"/>
    <xf numFmtId="0" fontId="79" fillId="38" borderId="0" xfId="0" applyFont="1" applyFill="1"/>
    <xf numFmtId="0" fontId="5" fillId="38" borderId="0" xfId="0" applyFont="1" applyFill="1"/>
    <xf numFmtId="0" fontId="5" fillId="27" borderId="0" xfId="0" applyFont="1" applyFill="1" applyAlignment="1">
      <alignment vertical="center"/>
    </xf>
    <xf numFmtId="0" fontId="80" fillId="39" borderId="0" xfId="0" applyFont="1" applyFill="1" applyAlignment="1">
      <alignment horizontal="center" vertical="center" shrinkToFit="1"/>
    </xf>
    <xf numFmtId="9" fontId="80" fillId="39" borderId="0" xfId="3" applyFont="1" applyFill="1" applyAlignment="1">
      <alignment horizontal="center" vertical="center" shrinkToFit="1"/>
    </xf>
    <xf numFmtId="0" fontId="5" fillId="5" borderId="0" xfId="0" applyFont="1" applyFill="1" applyAlignment="1">
      <alignment horizontal="left" indent="1" shrinkToFit="1"/>
    </xf>
    <xf numFmtId="0" fontId="5" fillId="40" borderId="0" xfId="0" applyFont="1" applyFill="1"/>
    <xf numFmtId="0" fontId="55" fillId="0" borderId="0" xfId="0" applyFont="1"/>
    <xf numFmtId="0" fontId="5" fillId="39" borderId="0" xfId="0" applyFont="1" applyFill="1"/>
    <xf numFmtId="1" fontId="5" fillId="0" borderId="0" xfId="0" applyNumberFormat="1" applyFont="1"/>
    <xf numFmtId="0" fontId="5" fillId="0" borderId="0" xfId="0" quotePrefix="1" applyFont="1"/>
    <xf numFmtId="0" fontId="5" fillId="20" borderId="0" xfId="0" applyFont="1" applyFill="1"/>
    <xf numFmtId="9" fontId="19" fillId="0" borderId="0" xfId="0" applyNumberFormat="1" applyFont="1"/>
    <xf numFmtId="164" fontId="81" fillId="12" borderId="0" xfId="2" applyNumberFormat="1" applyFont="1" applyFill="1" applyAlignment="1">
      <alignment vertical="center"/>
    </xf>
    <xf numFmtId="0" fontId="5" fillId="0" borderId="0" xfId="0" applyFont="1" applyAlignment="1">
      <alignment textRotation="44"/>
    </xf>
    <xf numFmtId="0" fontId="45" fillId="38" borderId="0" xfId="0" applyFont="1" applyFill="1"/>
    <xf numFmtId="0" fontId="20" fillId="21" borderId="0" xfId="0" applyFont="1" applyFill="1" applyAlignment="1">
      <alignment horizontal="left" indent="1"/>
    </xf>
    <xf numFmtId="0" fontId="5" fillId="5" borderId="53" xfId="0" applyFont="1" applyFill="1" applyBorder="1"/>
    <xf numFmtId="0" fontId="5" fillId="5" borderId="53" xfId="0" applyFont="1" applyFill="1" applyBorder="1" applyAlignment="1">
      <alignment shrinkToFit="1"/>
    </xf>
    <xf numFmtId="2" fontId="5" fillId="0" borderId="0" xfId="0" quotePrefix="1" applyNumberFormat="1" applyFont="1"/>
    <xf numFmtId="2" fontId="5" fillId="0" borderId="0" xfId="0" applyNumberFormat="1" applyFont="1" applyAlignment="1">
      <alignment vertical="top"/>
    </xf>
    <xf numFmtId="0" fontId="53" fillId="24" borderId="0" xfId="0" applyFont="1" applyFill="1" applyAlignment="1">
      <alignment vertical="center"/>
    </xf>
    <xf numFmtId="0" fontId="46" fillId="24" borderId="0" xfId="0" applyFont="1" applyFill="1" applyAlignment="1">
      <alignment vertical="center"/>
    </xf>
    <xf numFmtId="0" fontId="5" fillId="24" borderId="0" xfId="0" applyFont="1" applyFill="1" applyAlignment="1">
      <alignment horizontal="right" vertical="center" indent="1"/>
    </xf>
    <xf numFmtId="0" fontId="9" fillId="24" borderId="0" xfId="0" applyFont="1" applyFill="1" applyAlignment="1">
      <alignment horizontal="left" vertical="top" wrapText="1"/>
    </xf>
    <xf numFmtId="0" fontId="5" fillId="24" borderId="0" xfId="0" applyFont="1" applyFill="1" applyAlignment="1">
      <alignment horizontal="left" vertical="top" wrapText="1"/>
    </xf>
    <xf numFmtId="0" fontId="5" fillId="0" borderId="0" xfId="0" applyFont="1" applyAlignment="1">
      <alignment wrapText="1"/>
    </xf>
    <xf numFmtId="0" fontId="85" fillId="0" borderId="0" xfId="0" applyFont="1" applyAlignment="1">
      <alignment horizontal="center" shrinkToFit="1"/>
    </xf>
    <xf numFmtId="0" fontId="0" fillId="38" borderId="0" xfId="0" applyFill="1"/>
    <xf numFmtId="0" fontId="24" fillId="38" borderId="0" xfId="0" applyFont="1" applyFill="1" applyAlignment="1">
      <alignment vertical="center"/>
    </xf>
    <xf numFmtId="0" fontId="44" fillId="38" borderId="0" xfId="0" applyFont="1" applyFill="1" applyAlignment="1">
      <alignment horizontal="right" vertical="center"/>
    </xf>
    <xf numFmtId="0" fontId="24" fillId="38" borderId="0" xfId="0" applyFont="1" applyFill="1" applyAlignment="1">
      <alignment horizontal="left" vertical="center" indent="1"/>
    </xf>
    <xf numFmtId="0" fontId="5" fillId="5" borderId="59" xfId="0" applyFont="1" applyFill="1" applyBorder="1" applyAlignment="1">
      <alignment shrinkToFit="1"/>
    </xf>
    <xf numFmtId="0" fontId="38" fillId="38" borderId="0" xfId="0" applyFont="1" applyFill="1" applyAlignment="1">
      <alignment vertical="center" shrinkToFit="1"/>
    </xf>
    <xf numFmtId="0" fontId="47" fillId="38" borderId="0" xfId="0" applyFont="1" applyFill="1" applyAlignment="1">
      <alignment horizontal="left" vertical="center" indent="2"/>
    </xf>
    <xf numFmtId="0" fontId="86" fillId="38" borderId="0" xfId="0" applyFont="1" applyFill="1" applyAlignment="1">
      <alignment vertical="center"/>
    </xf>
    <xf numFmtId="0" fontId="0" fillId="38" borderId="60" xfId="0" applyFill="1" applyBorder="1"/>
    <xf numFmtId="0" fontId="0" fillId="5" borderId="0" xfId="0" applyFill="1"/>
    <xf numFmtId="0" fontId="20" fillId="38" borderId="0" xfId="0" applyFont="1" applyFill="1" applyAlignment="1">
      <alignment horizontal="left" indent="1"/>
    </xf>
    <xf numFmtId="0" fontId="87" fillId="38" borderId="0" xfId="0" applyFont="1" applyFill="1" applyAlignment="1">
      <alignment vertical="center"/>
    </xf>
    <xf numFmtId="0" fontId="88" fillId="38" borderId="0" xfId="0" applyFont="1" applyFill="1" applyAlignment="1">
      <alignment vertical="center"/>
    </xf>
    <xf numFmtId="0" fontId="89" fillId="0" borderId="0" xfId="0" applyFont="1"/>
    <xf numFmtId="0" fontId="5" fillId="38" borderId="0" xfId="0" applyFont="1" applyFill="1" applyAlignment="1">
      <alignment horizontal="left" vertical="center" indent="5"/>
    </xf>
    <xf numFmtId="0" fontId="5" fillId="38" borderId="0" xfId="0" applyFont="1" applyFill="1" applyAlignment="1">
      <alignment horizontal="left" vertical="center" indent="1"/>
    </xf>
    <xf numFmtId="0" fontId="46" fillId="38" borderId="0" xfId="0" applyFont="1" applyFill="1" applyAlignment="1">
      <alignment vertical="center"/>
    </xf>
    <xf numFmtId="0" fontId="46" fillId="21" borderId="0" xfId="0" applyFont="1" applyFill="1"/>
    <xf numFmtId="0" fontId="5" fillId="38" borderId="0" xfId="0" applyFont="1" applyFill="1" applyAlignment="1">
      <alignment horizontal="left" indent="1"/>
    </xf>
    <xf numFmtId="0" fontId="90" fillId="0" borderId="0" xfId="0" applyFont="1"/>
    <xf numFmtId="0" fontId="91" fillId="0" borderId="0" xfId="0" applyFont="1"/>
    <xf numFmtId="0" fontId="93" fillId="38" borderId="0" xfId="0" applyFont="1" applyFill="1"/>
    <xf numFmtId="164" fontId="5" fillId="38" borderId="0" xfId="0" applyNumberFormat="1" applyFont="1" applyFill="1"/>
    <xf numFmtId="0" fontId="5" fillId="42" borderId="0" xfId="0" applyFont="1" applyFill="1"/>
    <xf numFmtId="0" fontId="46" fillId="42" borderId="0" xfId="0" applyFont="1" applyFill="1" applyAlignment="1">
      <alignment horizontal="right" vertical="top"/>
    </xf>
    <xf numFmtId="0" fontId="24" fillId="42" borderId="0" xfId="0" applyFont="1" applyFill="1" applyAlignment="1">
      <alignment vertical="top"/>
    </xf>
    <xf numFmtId="0" fontId="24" fillId="42" borderId="0" xfId="0" applyFont="1" applyFill="1"/>
    <xf numFmtId="0" fontId="9" fillId="43" borderId="68" xfId="0" applyFont="1" applyFill="1" applyBorder="1"/>
    <xf numFmtId="0" fontId="5" fillId="43" borderId="69" xfId="0" applyFont="1" applyFill="1" applyBorder="1"/>
    <xf numFmtId="0" fontId="9" fillId="43" borderId="70" xfId="0" applyFont="1" applyFill="1" applyBorder="1"/>
    <xf numFmtId="0" fontId="5" fillId="43" borderId="71" xfId="0" applyFont="1" applyFill="1" applyBorder="1"/>
    <xf numFmtId="0" fontId="5" fillId="43" borderId="74" xfId="0" applyFont="1" applyFill="1" applyBorder="1"/>
    <xf numFmtId="0" fontId="5" fillId="43" borderId="75" xfId="0" applyFont="1" applyFill="1" applyBorder="1"/>
    <xf numFmtId="164" fontId="9" fillId="43" borderId="70" xfId="0" applyNumberFormat="1" applyFont="1" applyFill="1" applyBorder="1" applyAlignment="1">
      <alignment horizontal="left"/>
    </xf>
    <xf numFmtId="0" fontId="5" fillId="43" borderId="71" xfId="0" applyFont="1" applyFill="1" applyBorder="1" applyAlignment="1">
      <alignment vertical="top" wrapText="1"/>
    </xf>
    <xf numFmtId="0" fontId="5" fillId="43" borderId="74" xfId="0" applyFont="1" applyFill="1" applyBorder="1" applyAlignment="1">
      <alignment vertical="top" wrapText="1"/>
    </xf>
    <xf numFmtId="0" fontId="5" fillId="43" borderId="75" xfId="0" applyFont="1" applyFill="1" applyBorder="1" applyAlignment="1">
      <alignment vertical="top" wrapText="1"/>
    </xf>
    <xf numFmtId="0" fontId="5" fillId="42" borderId="0" xfId="0" applyFont="1" applyFill="1" applyAlignment="1">
      <alignment vertical="top" wrapText="1"/>
    </xf>
    <xf numFmtId="164" fontId="43" fillId="5" borderId="0" xfId="0" applyNumberFormat="1" applyFont="1" applyFill="1" applyAlignment="1">
      <alignment shrinkToFit="1"/>
    </xf>
    <xf numFmtId="0" fontId="5" fillId="42" borderId="0" xfId="0" applyFont="1" applyFill="1" applyAlignment="1">
      <alignment horizontal="left" indent="1"/>
    </xf>
    <xf numFmtId="0" fontId="5" fillId="42" borderId="0" xfId="0" applyFont="1" applyFill="1" applyAlignment="1">
      <alignment vertical="top" wrapText="1"/>
    </xf>
    <xf numFmtId="164" fontId="5" fillId="0" borderId="0" xfId="0" applyNumberFormat="1" applyFont="1" applyAlignment="1">
      <alignment horizontal="left"/>
    </xf>
    <xf numFmtId="164" fontId="5" fillId="0" borderId="0" xfId="0" applyNumberFormat="1" applyFont="1"/>
    <xf numFmtId="0" fontId="5" fillId="41" borderId="0" xfId="0" applyFont="1" applyFill="1"/>
    <xf numFmtId="0" fontId="94" fillId="41" borderId="0" xfId="5" applyFont="1" applyFill="1" applyAlignment="1">
      <alignment horizontal="right"/>
    </xf>
    <xf numFmtId="0" fontId="9" fillId="41" borderId="0" xfId="0" applyFont="1" applyFill="1"/>
    <xf numFmtId="0" fontId="5" fillId="24" borderId="0" xfId="0" applyFont="1" applyFill="1" applyAlignment="1">
      <alignment horizontal="left" indent="2"/>
    </xf>
    <xf numFmtId="0" fontId="38" fillId="24" borderId="0" xfId="0" applyFont="1" applyFill="1" applyAlignment="1">
      <alignment horizontal="left" indent="2"/>
    </xf>
    <xf numFmtId="0" fontId="95" fillId="41" borderId="0" xfId="0" applyFont="1" applyFill="1" applyAlignment="1">
      <alignment horizontal="left" indent="3"/>
    </xf>
    <xf numFmtId="0" fontId="96" fillId="41" borderId="0" xfId="0" applyFont="1" applyFill="1"/>
    <xf numFmtId="0" fontId="5" fillId="41" borderId="0" xfId="0" applyFont="1" applyFill="1" applyAlignment="1">
      <alignment shrinkToFit="1"/>
    </xf>
    <xf numFmtId="6" fontId="5" fillId="41" borderId="0" xfId="0" applyNumberFormat="1" applyFont="1" applyFill="1" applyAlignment="1">
      <alignment shrinkToFit="1"/>
    </xf>
    <xf numFmtId="49" fontId="5" fillId="0" borderId="0" xfId="0" applyNumberFormat="1" applyFont="1"/>
    <xf numFmtId="0" fontId="5" fillId="0" borderId="76" xfId="0" applyFont="1" applyBorder="1"/>
    <xf numFmtId="164" fontId="46" fillId="0" borderId="0" xfId="0" applyNumberFormat="1" applyFont="1" applyAlignment="1">
      <alignment shrinkToFit="1"/>
    </xf>
    <xf numFmtId="164" fontId="5" fillId="0" borderId="0" xfId="0" applyNumberFormat="1" applyFont="1" applyAlignment="1">
      <alignment shrinkToFit="1"/>
    </xf>
    <xf numFmtId="0" fontId="42" fillId="44" borderId="0" xfId="0" applyFont="1" applyFill="1"/>
    <xf numFmtId="0" fontId="5" fillId="44" borderId="0" xfId="0" applyFont="1" applyFill="1" applyAlignment="1">
      <alignment horizontal="left" indent="1" shrinkToFit="1"/>
    </xf>
    <xf numFmtId="0" fontId="5" fillId="44" borderId="0" xfId="0" applyFont="1" applyFill="1"/>
    <xf numFmtId="0" fontId="15" fillId="44" borderId="0" xfId="0" applyFont="1" applyFill="1" applyAlignment="1">
      <alignment horizontal="left" vertical="top"/>
    </xf>
    <xf numFmtId="0" fontId="5" fillId="44" borderId="0" xfId="0" applyFont="1" applyFill="1" applyAlignment="1">
      <alignment horizontal="right" indent="1"/>
    </xf>
    <xf numFmtId="166" fontId="5" fillId="44" borderId="0" xfId="2" applyNumberFormat="1" applyFont="1" applyFill="1"/>
    <xf numFmtId="0" fontId="79" fillId="44" borderId="0" xfId="0" applyFont="1" applyFill="1" applyAlignment="1">
      <alignment horizontal="left" vertical="center" indent="1" shrinkToFit="1"/>
    </xf>
    <xf numFmtId="14" fontId="5" fillId="0" borderId="0" xfId="0" applyNumberFormat="1" applyFont="1" applyAlignment="1">
      <alignment horizontal="left"/>
    </xf>
    <xf numFmtId="14" fontId="5" fillId="0" borderId="0" xfId="0" applyNumberFormat="1" applyFont="1" applyAlignment="1">
      <alignment horizontal="center"/>
    </xf>
    <xf numFmtId="0" fontId="5" fillId="0" borderId="0" xfId="0" applyFont="1" applyAlignment="1">
      <alignment horizontal="center"/>
    </xf>
    <xf numFmtId="164" fontId="19" fillId="11" borderId="0" xfId="0" applyNumberFormat="1" applyFont="1" applyFill="1" applyAlignment="1">
      <alignment horizontal="right"/>
    </xf>
    <xf numFmtId="0" fontId="98" fillId="44" borderId="0" xfId="0" applyFont="1" applyFill="1"/>
    <xf numFmtId="0" fontId="79" fillId="44" borderId="0" xfId="0" applyFont="1" applyFill="1" applyAlignment="1">
      <alignment horizontal="left" vertical="center" shrinkToFit="1"/>
    </xf>
    <xf numFmtId="0" fontId="5" fillId="5" borderId="77" xfId="0" applyFont="1" applyFill="1" applyBorder="1"/>
    <xf numFmtId="0" fontId="5" fillId="5" borderId="78" xfId="0" applyFont="1" applyFill="1" applyBorder="1"/>
    <xf numFmtId="0" fontId="99" fillId="0" borderId="0" xfId="0" applyFont="1"/>
    <xf numFmtId="0" fontId="0" fillId="0" borderId="0" xfId="0" applyAlignment="1">
      <alignment horizontal="right"/>
    </xf>
    <xf numFmtId="0" fontId="5" fillId="5" borderId="79" xfId="0" applyFont="1" applyFill="1" applyBorder="1"/>
    <xf numFmtId="0" fontId="5" fillId="44" borderId="0" xfId="0" applyFont="1" applyFill="1" applyAlignment="1">
      <alignment shrinkToFit="1"/>
    </xf>
    <xf numFmtId="0" fontId="5" fillId="5" borderId="80" xfId="0" applyFont="1" applyFill="1" applyBorder="1"/>
    <xf numFmtId="14" fontId="5" fillId="0" borderId="0" xfId="0" applyNumberFormat="1" applyFont="1"/>
    <xf numFmtId="0" fontId="100" fillId="44" borderId="0" xfId="0" applyFont="1" applyFill="1" applyAlignment="1">
      <alignment horizontal="left" indent="2" shrinkToFit="1"/>
    </xf>
    <xf numFmtId="14" fontId="5" fillId="5" borderId="77" xfId="0" applyNumberFormat="1" applyFont="1" applyFill="1" applyBorder="1" applyAlignment="1">
      <alignment horizontal="left" vertical="center" indent="2"/>
    </xf>
    <xf numFmtId="10" fontId="5" fillId="0" borderId="0" xfId="0" applyNumberFormat="1" applyFont="1" applyAlignment="1">
      <alignment shrinkToFit="1"/>
    </xf>
    <xf numFmtId="0" fontId="5" fillId="0" borderId="0" xfId="0" applyFont="1" applyAlignment="1">
      <alignment horizontal="left" indent="1"/>
    </xf>
    <xf numFmtId="166" fontId="5" fillId="5" borderId="80" xfId="0" applyNumberFormat="1" applyFont="1" applyFill="1" applyBorder="1" applyAlignment="1">
      <alignment horizontal="left" indent="2"/>
    </xf>
    <xf numFmtId="0" fontId="5" fillId="5" borderId="80" xfId="0" applyFont="1" applyFill="1" applyBorder="1" applyAlignment="1">
      <alignment horizontal="left" indent="1"/>
    </xf>
    <xf numFmtId="164" fontId="5" fillId="8" borderId="0" xfId="0" applyNumberFormat="1" applyFont="1" applyFill="1"/>
    <xf numFmtId="0" fontId="5" fillId="44" borderId="0" xfId="0" applyFont="1" applyFill="1" applyAlignment="1">
      <alignment horizontal="left" vertical="top" indent="1"/>
    </xf>
    <xf numFmtId="0" fontId="40" fillId="44" borderId="0" xfId="0" applyFont="1" applyFill="1" applyAlignment="1">
      <alignment horizontal="left" vertical="center"/>
    </xf>
    <xf numFmtId="0" fontId="40" fillId="44" borderId="0" xfId="0" applyFont="1" applyFill="1" applyAlignment="1">
      <alignment horizontal="center" vertical="center"/>
    </xf>
    <xf numFmtId="0" fontId="40" fillId="44" borderId="0" xfId="0" applyFont="1" applyFill="1" applyAlignment="1">
      <alignment horizontal="left" vertical="top" shrinkToFit="1"/>
    </xf>
    <xf numFmtId="0" fontId="41" fillId="44" borderId="0" xfId="0" applyFont="1" applyFill="1" applyAlignment="1">
      <alignment horizontal="left" vertical="center" indent="1"/>
    </xf>
    <xf numFmtId="0" fontId="5" fillId="44" borderId="0" xfId="0" applyFont="1" applyFill="1" applyAlignment="1">
      <alignment horizontal="left"/>
    </xf>
    <xf numFmtId="0" fontId="5" fillId="5" borderId="0" xfId="0" applyFont="1" applyFill="1" applyAlignment="1">
      <alignment horizontal="left"/>
    </xf>
    <xf numFmtId="0" fontId="5" fillId="0" borderId="0" xfId="0" applyFont="1" applyAlignment="1">
      <alignment horizontal="left"/>
    </xf>
    <xf numFmtId="164" fontId="81" fillId="44" borderId="0" xfId="2" applyNumberFormat="1" applyFont="1" applyFill="1" applyAlignment="1">
      <alignment vertical="center"/>
    </xf>
    <xf numFmtId="164" fontId="81" fillId="44" borderId="0" xfId="2" applyNumberFormat="1" applyFont="1" applyFill="1" applyAlignment="1">
      <alignment horizontal="right" vertical="center"/>
    </xf>
    <xf numFmtId="0" fontId="5" fillId="0" borderId="0" xfId="0" applyFont="1" applyAlignment="1">
      <alignment horizontal="right"/>
    </xf>
    <xf numFmtId="0" fontId="79" fillId="44" borderId="0" xfId="0" applyFont="1" applyFill="1"/>
    <xf numFmtId="0" fontId="5" fillId="45" borderId="0" xfId="0" applyFont="1" applyFill="1"/>
    <xf numFmtId="0" fontId="101" fillId="44" borderId="0" xfId="0" applyFont="1" applyFill="1" applyAlignment="1">
      <alignment horizontal="left"/>
    </xf>
    <xf numFmtId="0" fontId="103" fillId="0" borderId="0" xfId="0" applyFont="1"/>
    <xf numFmtId="0" fontId="104" fillId="44" borderId="82" xfId="5" applyFont="1" applyFill="1" applyBorder="1" applyAlignment="1">
      <alignment shrinkToFit="1"/>
    </xf>
    <xf numFmtId="0" fontId="104" fillId="44" borderId="83" xfId="5" applyFont="1" applyFill="1" applyBorder="1" applyAlignment="1">
      <alignment shrinkToFit="1"/>
    </xf>
    <xf numFmtId="0" fontId="104" fillId="44" borderId="84" xfId="5" applyFont="1" applyFill="1" applyBorder="1" applyAlignment="1">
      <alignment shrinkToFit="1"/>
    </xf>
    <xf numFmtId="168" fontId="104" fillId="44" borderId="84" xfId="5" applyNumberFormat="1" applyFont="1" applyFill="1" applyBorder="1" applyAlignment="1">
      <alignment horizontal="center" shrinkToFit="1"/>
    </xf>
    <xf numFmtId="0" fontId="104" fillId="44" borderId="84" xfId="5" applyFont="1" applyFill="1" applyBorder="1" applyAlignment="1">
      <alignment shrinkToFit="1"/>
    </xf>
    <xf numFmtId="0" fontId="5" fillId="44" borderId="0" xfId="0" applyFont="1" applyFill="1" applyAlignment="1">
      <alignment horizontal="left" vertical="center" indent="1"/>
    </xf>
    <xf numFmtId="0" fontId="20" fillId="44" borderId="0" xfId="0" applyFont="1" applyFill="1" applyAlignment="1">
      <alignment horizontal="left" indent="1"/>
    </xf>
    <xf numFmtId="0" fontId="5" fillId="12" borderId="0" xfId="0" applyFont="1" applyFill="1"/>
    <xf numFmtId="0" fontId="5" fillId="30" borderId="0" xfId="0" applyFont="1" applyFill="1" applyAlignment="1">
      <alignment horizontal="left" indent="1"/>
    </xf>
    <xf numFmtId="0" fontId="5" fillId="30" borderId="0" xfId="0" applyFont="1" applyFill="1" applyAlignment="1">
      <alignment horizontal="left" indent="2"/>
    </xf>
    <xf numFmtId="166" fontId="5" fillId="0" borderId="0" xfId="0" applyNumberFormat="1" applyFont="1"/>
    <xf numFmtId="0" fontId="5" fillId="46" borderId="0" xfId="0" applyFont="1" applyFill="1"/>
    <xf numFmtId="169" fontId="5" fillId="46" borderId="0" xfId="1" applyNumberFormat="1" applyFont="1" applyFill="1" applyAlignment="1"/>
    <xf numFmtId="169" fontId="5" fillId="0" borderId="0" xfId="0" applyNumberFormat="1" applyFont="1"/>
    <xf numFmtId="169" fontId="5" fillId="5" borderId="0" xfId="1" applyNumberFormat="1" applyFont="1" applyFill="1"/>
    <xf numFmtId="0" fontId="46" fillId="18" borderId="0" xfId="0" applyFont="1" applyFill="1"/>
    <xf numFmtId="169" fontId="0" fillId="0" borderId="0" xfId="0" quotePrefix="1" applyNumberFormat="1"/>
    <xf numFmtId="169" fontId="5" fillId="0" borderId="0" xfId="0" applyNumberFormat="1" applyFont="1" applyAlignment="1">
      <alignment shrinkToFit="1"/>
    </xf>
    <xf numFmtId="0" fontId="105" fillId="0" borderId="0" xfId="0" applyFont="1"/>
    <xf numFmtId="170" fontId="5" fillId="0" borderId="0" xfId="0" applyNumberFormat="1" applyFont="1" applyAlignment="1">
      <alignment shrinkToFit="1"/>
    </xf>
    <xf numFmtId="169" fontId="5" fillId="5" borderId="0" xfId="1" applyNumberFormat="1" applyFont="1" applyFill="1" applyAlignment="1">
      <alignment shrinkToFit="1"/>
    </xf>
    <xf numFmtId="171" fontId="107" fillId="18" borderId="0" xfId="0" applyNumberFormat="1" applyFont="1" applyFill="1"/>
    <xf numFmtId="0" fontId="108" fillId="46" borderId="0" xfId="0" applyFont="1" applyFill="1" applyAlignment="1">
      <alignment horizontal="center" vertical="top"/>
    </xf>
    <xf numFmtId="10" fontId="5" fillId="0" borderId="0" xfId="3" applyNumberFormat="1" applyFont="1" applyAlignment="1">
      <alignment shrinkToFit="1"/>
    </xf>
    <xf numFmtId="43" fontId="5" fillId="0" borderId="0" xfId="0" applyNumberFormat="1" applyFont="1"/>
    <xf numFmtId="0" fontId="109" fillId="18" borderId="0" xfId="5" applyFont="1" applyFill="1" applyAlignment="1">
      <alignment horizontal="left" indent="1"/>
    </xf>
    <xf numFmtId="0" fontId="109" fillId="18" borderId="0" xfId="5" applyFont="1" applyFill="1" applyAlignment="1">
      <alignment horizontal="left" indent="2"/>
    </xf>
    <xf numFmtId="1" fontId="5" fillId="0" borderId="0" xfId="0" applyNumberFormat="1" applyFont="1" applyAlignment="1">
      <alignment shrinkToFit="1"/>
    </xf>
    <xf numFmtId="173" fontId="5" fillId="0" borderId="0" xfId="3" applyNumberFormat="1" applyFont="1" applyAlignment="1">
      <alignment shrinkToFit="1"/>
    </xf>
    <xf numFmtId="173" fontId="0" fillId="0" borderId="0" xfId="3" applyNumberFormat="1" applyFont="1" applyAlignment="1">
      <alignment shrinkToFit="1"/>
    </xf>
    <xf numFmtId="172" fontId="5" fillId="0" borderId="0" xfId="0" applyNumberFormat="1" applyFont="1" applyAlignment="1">
      <alignment shrinkToFit="1"/>
    </xf>
    <xf numFmtId="0" fontId="0" fillId="0" borderId="0" xfId="0" applyAlignment="1">
      <alignment shrinkToFit="1"/>
    </xf>
    <xf numFmtId="1" fontId="5" fillId="0" borderId="0" xfId="0" applyNumberFormat="1" applyFont="1"/>
    <xf numFmtId="174" fontId="5" fillId="0" borderId="0" xfId="3" applyNumberFormat="1" applyFont="1" applyAlignment="1">
      <alignment shrinkToFit="1"/>
    </xf>
    <xf numFmtId="2" fontId="5" fillId="5" borderId="0" xfId="0" applyNumberFormat="1" applyFont="1" applyFill="1"/>
    <xf numFmtId="0" fontId="110" fillId="5" borderId="0" xfId="0" applyFont="1" applyFill="1" applyAlignment="1">
      <alignment horizontal="left" vertical="center" indent="1"/>
    </xf>
    <xf numFmtId="0" fontId="5" fillId="5" borderId="85" xfId="0" applyFont="1" applyFill="1" applyBorder="1"/>
    <xf numFmtId="0" fontId="5" fillId="5" borderId="86" xfId="0" applyFont="1" applyFill="1" applyBorder="1"/>
    <xf numFmtId="0" fontId="5" fillId="5" borderId="87" xfId="0" applyFont="1" applyFill="1" applyBorder="1"/>
    <xf numFmtId="0" fontId="5" fillId="5" borderId="88" xfId="0" applyFont="1" applyFill="1" applyBorder="1"/>
    <xf numFmtId="0" fontId="5" fillId="5" borderId="89" xfId="0" applyFont="1" applyFill="1" applyBorder="1"/>
    <xf numFmtId="0" fontId="5" fillId="5" borderId="90" xfId="0" applyFont="1" applyFill="1" applyBorder="1"/>
    <xf numFmtId="0" fontId="5" fillId="5" borderId="91" xfId="0" applyFont="1" applyFill="1" applyBorder="1"/>
    <xf numFmtId="0" fontId="5" fillId="5" borderId="92" xfId="0" applyFont="1" applyFill="1" applyBorder="1"/>
    <xf numFmtId="9" fontId="5" fillId="0" borderId="0" xfId="3" applyFont="1" applyFill="1" applyAlignment="1">
      <alignment horizontal="center"/>
    </xf>
    <xf numFmtId="0" fontId="5" fillId="5" borderId="93" xfId="0" applyFont="1" applyFill="1" applyBorder="1"/>
    <xf numFmtId="0" fontId="111" fillId="0" borderId="0" xfId="0" applyFont="1"/>
    <xf numFmtId="0" fontId="112" fillId="0" borderId="0" xfId="0" applyFont="1"/>
    <xf numFmtId="0" fontId="113" fillId="0" borderId="0" xfId="0" applyFont="1"/>
    <xf numFmtId="2" fontId="9" fillId="6" borderId="0" xfId="0" applyNumberFormat="1" applyFont="1" applyFill="1" applyAlignment="1">
      <alignment vertical="center" textRotation="90" shrinkToFit="1"/>
    </xf>
    <xf numFmtId="2" fontId="9" fillId="33" borderId="0" xfId="0" applyNumberFormat="1" applyFont="1" applyFill="1" applyAlignment="1">
      <alignment vertical="center" textRotation="90" shrinkToFit="1"/>
    </xf>
    <xf numFmtId="2" fontId="9" fillId="27" borderId="0" xfId="0" applyNumberFormat="1" applyFont="1" applyFill="1" applyAlignment="1">
      <alignment vertical="center" textRotation="90" shrinkToFit="1"/>
    </xf>
    <xf numFmtId="2" fontId="2" fillId="2" borderId="0" xfId="4" applyNumberFormat="1" applyAlignment="1">
      <alignment vertical="center" textRotation="90" shrinkToFit="1"/>
    </xf>
    <xf numFmtId="2" fontId="9" fillId="10" borderId="0" xfId="0" applyNumberFormat="1" applyFont="1" applyFill="1" applyAlignment="1">
      <alignment vertical="center" textRotation="90" shrinkToFit="1"/>
    </xf>
    <xf numFmtId="0" fontId="114" fillId="0" borderId="0" xfId="0" applyFont="1"/>
    <xf numFmtId="0" fontId="49" fillId="6" borderId="0" xfId="0" applyFont="1" applyFill="1"/>
    <xf numFmtId="0" fontId="116" fillId="0" borderId="0" xfId="0" applyFont="1"/>
    <xf numFmtId="2" fontId="5" fillId="18" borderId="0" xfId="0" applyNumberFormat="1" applyFont="1" applyFill="1"/>
    <xf numFmtId="164" fontId="5" fillId="0" borderId="0" xfId="0" applyNumberFormat="1" applyFont="1" applyAlignment="1">
      <alignment shrinkToFit="1"/>
    </xf>
    <xf numFmtId="0" fontId="5" fillId="0" borderId="22" xfId="0" applyFont="1" applyBorder="1"/>
    <xf numFmtId="0" fontId="3" fillId="0" borderId="0" xfId="0" applyFont="1" applyAlignment="1">
      <alignment horizontal="left" vertical="center" indent="1"/>
    </xf>
    <xf numFmtId="0" fontId="0" fillId="0" borderId="0" xfId="0" applyAlignment="1">
      <alignment horizontal="right" vertical="center" indent="1"/>
    </xf>
    <xf numFmtId="0" fontId="0" fillId="0" borderId="0" xfId="0" applyAlignment="1">
      <alignment horizontal="left" indent="1"/>
    </xf>
    <xf numFmtId="6" fontId="0" fillId="0" borderId="0" xfId="0" applyNumberFormat="1" applyAlignment="1">
      <alignment horizontal="right" vertical="center" indent="1"/>
    </xf>
    <xf numFmtId="0" fontId="3" fillId="21" borderId="0" xfId="0" applyFont="1" applyFill="1" applyAlignment="1">
      <alignment horizontal="left" vertical="center" indent="1"/>
    </xf>
    <xf numFmtId="0" fontId="117" fillId="46" borderId="0" xfId="0" applyFont="1" applyFill="1"/>
    <xf numFmtId="0" fontId="5" fillId="0" borderId="0" xfId="0" quotePrefix="1" applyFont="1" applyAlignment="1">
      <alignment horizontal="left"/>
    </xf>
    <xf numFmtId="164" fontId="5" fillId="0" borderId="0" xfId="0" quotePrefix="1" applyNumberFormat="1" applyFont="1" applyAlignment="1">
      <alignment horizontal="left"/>
    </xf>
    <xf numFmtId="0" fontId="5" fillId="0" borderId="0" xfId="0" applyFont="1" applyAlignment="1">
      <alignment horizontal="left" indent="2"/>
    </xf>
    <xf numFmtId="0" fontId="45" fillId="0" borderId="0" xfId="0" applyFont="1"/>
    <xf numFmtId="0" fontId="79" fillId="0" borderId="0" xfId="0" applyFont="1"/>
    <xf numFmtId="0" fontId="79" fillId="0" borderId="0" xfId="0" applyFont="1" applyAlignment="1">
      <alignment horizontal="left" indent="2"/>
    </xf>
    <xf numFmtId="0" fontId="118" fillId="0" borderId="0" xfId="0" applyFont="1"/>
    <xf numFmtId="164" fontId="38" fillId="0" borderId="0" xfId="0" applyNumberFormat="1" applyFont="1" applyAlignment="1">
      <alignment shrinkToFit="1"/>
    </xf>
    <xf numFmtId="9" fontId="5" fillId="0" borderId="0" xfId="3" applyFont="1" applyAlignment="1">
      <alignment shrinkToFit="1"/>
    </xf>
    <xf numFmtId="0" fontId="9" fillId="0" borderId="0" xfId="0" applyFont="1" applyAlignment="1">
      <alignment horizontal="left" vertical="center"/>
    </xf>
    <xf numFmtId="0" fontId="9" fillId="0" borderId="0" xfId="0" applyFont="1" applyAlignment="1">
      <alignment horizontal="left" vertical="center" indent="2"/>
    </xf>
    <xf numFmtId="164" fontId="5" fillId="0" borderId="0" xfId="2" applyNumberFormat="1" applyFont="1"/>
    <xf numFmtId="164" fontId="5" fillId="5" borderId="0" xfId="0" applyNumberFormat="1" applyFont="1" applyFill="1" applyAlignment="1">
      <alignment shrinkToFit="1"/>
    </xf>
    <xf numFmtId="0" fontId="119" fillId="0" borderId="0" xfId="0" applyFont="1"/>
    <xf numFmtId="166" fontId="0" fillId="0" borderId="0" xfId="0" applyNumberFormat="1"/>
    <xf numFmtId="6" fontId="0" fillId="47" borderId="0" xfId="0" applyNumberFormat="1" applyFill="1" applyAlignment="1">
      <alignment vertical="center" shrinkToFit="1"/>
    </xf>
    <xf numFmtId="0" fontId="9" fillId="20" borderId="0" xfId="0" applyFont="1" applyFill="1" applyAlignment="1">
      <alignment horizontal="left" vertical="center"/>
    </xf>
    <xf numFmtId="0" fontId="9" fillId="20" borderId="0" xfId="0" applyFont="1" applyFill="1" applyAlignment="1">
      <alignment horizontal="left" vertical="center" indent="2"/>
    </xf>
    <xf numFmtId="164" fontId="5" fillId="20" borderId="0" xfId="2" applyNumberFormat="1" applyFont="1" applyFill="1"/>
    <xf numFmtId="164" fontId="5" fillId="0" borderId="0" xfId="2" quotePrefix="1" applyNumberFormat="1" applyFont="1"/>
    <xf numFmtId="164" fontId="45" fillId="21" borderId="0" xfId="2" applyNumberFormat="1" applyFont="1" applyFill="1"/>
    <xf numFmtId="0" fontId="120" fillId="0" borderId="0" xfId="0" applyFont="1"/>
    <xf numFmtId="0" fontId="121" fillId="0" borderId="0" xfId="0" applyFont="1"/>
    <xf numFmtId="0" fontId="122" fillId="0" borderId="0" xfId="0" applyFont="1"/>
    <xf numFmtId="164" fontId="5" fillId="5" borderId="0" xfId="2" applyNumberFormat="1" applyFont="1" applyFill="1"/>
    <xf numFmtId="164" fontId="5" fillId="21" borderId="0" xfId="2" applyNumberFormat="1" applyFont="1" applyFill="1"/>
    <xf numFmtId="0" fontId="4" fillId="0" borderId="0" xfId="5" applyAlignment="1">
      <alignment horizontal="left" vertical="center" indent="1"/>
    </xf>
    <xf numFmtId="0" fontId="114" fillId="0" borderId="0" xfId="0" applyFont="1" applyAlignment="1">
      <alignment wrapText="1"/>
    </xf>
    <xf numFmtId="0" fontId="114" fillId="0" borderId="0" xfId="0" applyFont="1" applyAlignment="1">
      <alignment horizontal="center"/>
    </xf>
    <xf numFmtId="0" fontId="5" fillId="11" borderId="94" xfId="0" applyFont="1" applyFill="1" applyBorder="1"/>
    <xf numFmtId="0" fontId="134" fillId="15" borderId="0" xfId="0" applyFont="1" applyFill="1" applyAlignment="1">
      <alignment horizontal="center" vertical="center"/>
    </xf>
    <xf numFmtId="0" fontId="135" fillId="3" borderId="0" xfId="0" applyFont="1" applyFill="1"/>
    <xf numFmtId="0" fontId="136" fillId="3" borderId="0" xfId="0" applyFont="1" applyFill="1"/>
    <xf numFmtId="0" fontId="137" fillId="3" borderId="0" xfId="0" applyFont="1" applyFill="1" applyAlignment="1">
      <alignment horizontal="left" vertical="top"/>
    </xf>
    <xf numFmtId="0" fontId="4" fillId="5" borderId="0" xfId="5" quotePrefix="1" applyFill="1"/>
    <xf numFmtId="0" fontId="138" fillId="0" borderId="0" xfId="0" applyFont="1"/>
    <xf numFmtId="0" fontId="139" fillId="0" borderId="0" xfId="0" applyFont="1"/>
    <xf numFmtId="9" fontId="5" fillId="0" borderId="0" xfId="0" applyNumberFormat="1" applyFont="1" applyAlignment="1">
      <alignment shrinkToFit="1"/>
    </xf>
    <xf numFmtId="0" fontId="5" fillId="18" borderId="0" xfId="0" applyFont="1" applyFill="1" applyAlignment="1">
      <alignment vertical="top" wrapText="1"/>
    </xf>
    <xf numFmtId="0" fontId="38" fillId="3" borderId="0" xfId="0" applyFont="1" applyFill="1" applyAlignment="1">
      <alignment horizontal="left" vertical="top" indent="2"/>
    </xf>
    <xf numFmtId="0" fontId="5" fillId="0" borderId="0" xfId="0" applyFont="1"/>
    <xf numFmtId="0" fontId="5" fillId="0" borderId="0" xfId="0" applyFont="1"/>
    <xf numFmtId="0" fontId="46" fillId="42" borderId="0" xfId="0" applyFont="1" applyFill="1" applyAlignment="1">
      <alignment horizontal="left" vertical="top"/>
    </xf>
    <xf numFmtId="0" fontId="46" fillId="0" borderId="0" xfId="0" applyFont="1" applyAlignment="1">
      <alignment horizontal="right" indent="1"/>
    </xf>
    <xf numFmtId="0" fontId="5" fillId="49" borderId="0" xfId="0" quotePrefix="1" applyFont="1" applyFill="1" applyAlignment="1">
      <alignment horizontal="left"/>
    </xf>
    <xf numFmtId="164" fontId="5" fillId="49" borderId="0" xfId="0" quotePrefix="1" applyNumberFormat="1" applyFont="1" applyFill="1" applyAlignment="1">
      <alignment horizontal="left"/>
    </xf>
    <xf numFmtId="164" fontId="45" fillId="21" borderId="0" xfId="2" quotePrefix="1" applyNumberFormat="1" applyFont="1" applyFill="1"/>
    <xf numFmtId="164" fontId="5" fillId="20" borderId="0" xfId="2" quotePrefix="1" applyNumberFormat="1" applyFont="1" applyFill="1"/>
    <xf numFmtId="164" fontId="5" fillId="21" borderId="0" xfId="2" quotePrefix="1" applyNumberFormat="1" applyFont="1" applyFill="1"/>
    <xf numFmtId="164" fontId="9" fillId="43" borderId="70" xfId="0" quotePrefix="1" applyNumberFormat="1" applyFont="1" applyFill="1" applyBorder="1" applyAlignment="1">
      <alignment horizontal="left"/>
    </xf>
    <xf numFmtId="164" fontId="9" fillId="43" borderId="70" xfId="0" quotePrefix="1" applyNumberFormat="1" applyFont="1" applyFill="1" applyBorder="1" applyAlignment="1">
      <alignment horizontal="left" shrinkToFit="1"/>
    </xf>
    <xf numFmtId="1" fontId="46" fillId="0" borderId="101" xfId="0" applyNumberFormat="1" applyFont="1" applyBorder="1" applyAlignment="1">
      <alignment horizontal="right" indent="1"/>
    </xf>
    <xf numFmtId="0" fontId="46" fillId="0" borderId="101" xfId="0" applyFont="1" applyBorder="1" applyAlignment="1">
      <alignment horizontal="right" indent="1"/>
    </xf>
    <xf numFmtId="9" fontId="6" fillId="4" borderId="2" xfId="0" applyNumberFormat="1" applyFont="1" applyFill="1" applyBorder="1" applyAlignment="1">
      <alignment horizontal="center" vertical="center"/>
    </xf>
    <xf numFmtId="9" fontId="6" fillId="4" borderId="4" xfId="0" applyNumberFormat="1" applyFont="1" applyFill="1" applyBorder="1" applyAlignment="1">
      <alignment horizontal="center" vertical="center"/>
    </xf>
    <xf numFmtId="0" fontId="7" fillId="3" borderId="3" xfId="0" applyFont="1" applyFill="1" applyBorder="1" applyAlignment="1">
      <alignment horizontal="left" vertical="center" indent="1"/>
    </xf>
    <xf numFmtId="0" fontId="12" fillId="11" borderId="0" xfId="0" applyFont="1" applyFill="1" applyAlignment="1">
      <alignment horizontal="center" vertical="center" wrapText="1"/>
    </xf>
    <xf numFmtId="0" fontId="12" fillId="11" borderId="6" xfId="0" applyFont="1" applyFill="1" applyBorder="1" applyAlignment="1">
      <alignment horizontal="center" vertical="center" wrapText="1"/>
    </xf>
    <xf numFmtId="0" fontId="21" fillId="5" borderId="7" xfId="0" applyFont="1" applyFill="1" applyBorder="1" applyAlignment="1">
      <alignment horizontal="left" vertical="center" wrapText="1" indent="1"/>
    </xf>
    <xf numFmtId="0" fontId="21" fillId="5" borderId="8" xfId="0" applyFont="1" applyFill="1" applyBorder="1" applyAlignment="1">
      <alignment horizontal="left" vertical="center" wrapText="1" indent="1"/>
    </xf>
    <xf numFmtId="0" fontId="21" fillId="5" borderId="9" xfId="0" applyFont="1" applyFill="1" applyBorder="1" applyAlignment="1">
      <alignment horizontal="left" vertical="center" wrapText="1" indent="1"/>
    </xf>
    <xf numFmtId="0" fontId="24" fillId="5" borderId="10" xfId="0" applyFont="1" applyFill="1" applyBorder="1" applyAlignment="1">
      <alignment horizontal="left" shrinkToFit="1"/>
    </xf>
    <xf numFmtId="0" fontId="25" fillId="0" borderId="7" xfId="0" applyFont="1" applyBorder="1" applyAlignment="1">
      <alignment horizontal="left" vertical="center" wrapText="1" indent="1"/>
    </xf>
    <xf numFmtId="0" fontId="25" fillId="0" borderId="8" xfId="0" applyFont="1" applyBorder="1" applyAlignment="1">
      <alignment horizontal="left" vertical="center" wrapText="1" indent="1"/>
    </xf>
    <xf numFmtId="0" fontId="25" fillId="0" borderId="9" xfId="0" applyFont="1" applyBorder="1" applyAlignment="1">
      <alignment horizontal="left" vertical="center" wrapText="1" indent="1"/>
    </xf>
    <xf numFmtId="164" fontId="28" fillId="3" borderId="0" xfId="2" applyNumberFormat="1" applyFont="1" applyFill="1" applyAlignment="1">
      <alignment horizontal="center" vertical="center"/>
    </xf>
    <xf numFmtId="164" fontId="29" fillId="3" borderId="0" xfId="2" applyNumberFormat="1" applyFont="1" applyFill="1" applyAlignment="1">
      <alignment horizontal="center" vertical="center"/>
    </xf>
    <xf numFmtId="0" fontId="30" fillId="13" borderId="0" xfId="0" applyFont="1" applyFill="1" applyAlignment="1">
      <alignment horizontal="left" vertical="top" wrapText="1"/>
    </xf>
    <xf numFmtId="0" fontId="30" fillId="13" borderId="0" xfId="0" applyFont="1" applyFill="1" applyAlignment="1">
      <alignment horizontal="left" vertical="center" wrapText="1"/>
    </xf>
    <xf numFmtId="164" fontId="35" fillId="3" borderId="0" xfId="2" applyNumberFormat="1" applyFont="1" applyFill="1" applyBorder="1" applyAlignment="1">
      <alignment horizontal="left" vertical="top" wrapText="1"/>
    </xf>
    <xf numFmtId="164" fontId="36" fillId="48" borderId="99" xfId="2" applyNumberFormat="1" applyFont="1" applyFill="1" applyBorder="1" applyAlignment="1">
      <alignment horizontal="left" vertical="top" wrapText="1" indent="1"/>
    </xf>
    <xf numFmtId="0" fontId="36" fillId="49" borderId="96" xfId="0" applyFont="1" applyFill="1" applyBorder="1" applyAlignment="1">
      <alignment horizontal="left" vertical="top" wrapText="1" indent="1"/>
    </xf>
    <xf numFmtId="0" fontId="36" fillId="49" borderId="15" xfId="0" applyFont="1" applyFill="1" applyBorder="1" applyAlignment="1">
      <alignment horizontal="left" vertical="top" wrapText="1" indent="1"/>
    </xf>
    <xf numFmtId="164" fontId="34" fillId="3" borderId="0" xfId="2" applyNumberFormat="1" applyFont="1" applyFill="1" applyBorder="1" applyAlignment="1">
      <alignment horizontal="center" vertical="center" wrapText="1"/>
    </xf>
    <xf numFmtId="0" fontId="34" fillId="3" borderId="0" xfId="0" applyFont="1" applyFill="1" applyAlignment="1">
      <alignment horizontal="center" vertical="center" wrapText="1"/>
    </xf>
    <xf numFmtId="164" fontId="36" fillId="48" borderId="98" xfId="2" applyNumberFormat="1" applyFont="1" applyFill="1" applyBorder="1" applyAlignment="1">
      <alignment horizontal="left" vertical="top" wrapText="1" indent="1"/>
    </xf>
    <xf numFmtId="0" fontId="36" fillId="49" borderId="95" xfId="0" applyFont="1" applyFill="1" applyBorder="1" applyAlignment="1">
      <alignment horizontal="left" vertical="top" wrapText="1" indent="1"/>
    </xf>
    <xf numFmtId="0" fontId="36" fillId="49" borderId="14" xfId="0" applyFont="1" applyFill="1" applyBorder="1" applyAlignment="1">
      <alignment horizontal="left" vertical="top" wrapText="1" indent="1"/>
    </xf>
    <xf numFmtId="164" fontId="36" fillId="48" borderId="100" xfId="2" applyNumberFormat="1" applyFont="1" applyFill="1" applyBorder="1" applyAlignment="1">
      <alignment horizontal="left" vertical="top" wrapText="1" indent="1"/>
    </xf>
    <xf numFmtId="0" fontId="36" fillId="49" borderId="97" xfId="0" applyFont="1" applyFill="1" applyBorder="1" applyAlignment="1">
      <alignment horizontal="left" vertical="top" wrapText="1" indent="1"/>
    </xf>
    <xf numFmtId="0" fontId="36" fillId="49" borderId="16" xfId="0" applyFont="1" applyFill="1" applyBorder="1" applyAlignment="1">
      <alignment horizontal="left" vertical="top" wrapText="1" indent="1"/>
    </xf>
    <xf numFmtId="14" fontId="5" fillId="0" borderId="0" xfId="0" applyNumberFormat="1" applyFont="1"/>
    <xf numFmtId="0" fontId="0" fillId="0" borderId="0" xfId="0"/>
    <xf numFmtId="0" fontId="5" fillId="5" borderId="18" xfId="0" applyFont="1" applyFill="1" applyBorder="1" applyAlignment="1">
      <alignment horizontal="left" vertical="top" wrapText="1" indent="1"/>
    </xf>
    <xf numFmtId="0" fontId="5" fillId="5" borderId="20" xfId="0" applyFont="1" applyFill="1" applyBorder="1" applyAlignment="1">
      <alignment horizontal="left" vertical="top" wrapText="1" indent="1"/>
    </xf>
    <xf numFmtId="0" fontId="5" fillId="5" borderId="19" xfId="0" applyFont="1" applyFill="1" applyBorder="1" applyAlignment="1">
      <alignment horizontal="left" vertical="top" wrapText="1" indent="1"/>
    </xf>
    <xf numFmtId="0" fontId="5" fillId="16" borderId="0" xfId="0" applyFont="1" applyFill="1" applyAlignment="1">
      <alignment horizontal="left" vertical="center" wrapText="1"/>
    </xf>
    <xf numFmtId="0" fontId="5" fillId="0" borderId="0" xfId="0" applyFont="1"/>
    <xf numFmtId="164" fontId="0" fillId="8" borderId="0" xfId="0" applyNumberFormat="1" applyFill="1"/>
    <xf numFmtId="0" fontId="5" fillId="5" borderId="18" xfId="0" applyFont="1" applyFill="1" applyBorder="1" applyAlignment="1">
      <alignment horizontal="left" indent="1"/>
    </xf>
    <xf numFmtId="0" fontId="5" fillId="5" borderId="19" xfId="0" applyFont="1" applyFill="1" applyBorder="1" applyAlignment="1">
      <alignment horizontal="left" indent="1"/>
    </xf>
    <xf numFmtId="0" fontId="42" fillId="17" borderId="21" xfId="0" applyFont="1" applyFill="1" applyBorder="1" applyAlignment="1">
      <alignment horizontal="center"/>
    </xf>
    <xf numFmtId="0" fontId="5" fillId="5" borderId="18" xfId="0" applyFont="1" applyFill="1" applyBorder="1" applyAlignment="1">
      <alignment vertical="top" wrapText="1"/>
    </xf>
    <xf numFmtId="0" fontId="5" fillId="5" borderId="20" xfId="0" applyFont="1" applyFill="1" applyBorder="1" applyAlignment="1">
      <alignment vertical="top" wrapText="1"/>
    </xf>
    <xf numFmtId="0" fontId="5" fillId="5" borderId="19" xfId="0" applyFont="1" applyFill="1" applyBorder="1" applyAlignment="1">
      <alignment vertical="top" wrapText="1"/>
    </xf>
    <xf numFmtId="14" fontId="5" fillId="0" borderId="0" xfId="0" applyNumberFormat="1" applyFont="1" applyAlignment="1">
      <alignment horizontal="center" shrinkToFit="1"/>
    </xf>
    <xf numFmtId="0" fontId="44" fillId="17" borderId="0" xfId="0" applyFont="1" applyFill="1" applyAlignment="1">
      <alignment horizontal="left" shrinkToFit="1"/>
    </xf>
    <xf numFmtId="0" fontId="44" fillId="17" borderId="23" xfId="0" applyFont="1" applyFill="1" applyBorder="1" applyAlignment="1">
      <alignment horizontal="left" shrinkToFit="1"/>
    </xf>
    <xf numFmtId="0" fontId="44" fillId="17" borderId="0" xfId="0" applyFont="1" applyFill="1" applyAlignment="1">
      <alignment shrinkToFit="1"/>
    </xf>
    <xf numFmtId="0" fontId="44" fillId="17" borderId="23" xfId="0" applyFont="1" applyFill="1" applyBorder="1" applyAlignment="1">
      <alignment shrinkToFit="1"/>
    </xf>
    <xf numFmtId="0" fontId="5" fillId="17" borderId="0" xfId="0" applyFont="1" applyFill="1"/>
    <xf numFmtId="0" fontId="5" fillId="25" borderId="0" xfId="0" applyFont="1" applyFill="1" applyAlignment="1">
      <alignment horizontal="left" vertical="top"/>
    </xf>
    <xf numFmtId="0" fontId="5" fillId="16" borderId="25" xfId="0" applyFont="1" applyFill="1" applyBorder="1" applyAlignment="1">
      <alignment horizontal="left" vertical="center"/>
    </xf>
    <xf numFmtId="0" fontId="5" fillId="16" borderId="26" xfId="0" applyFont="1" applyFill="1" applyBorder="1" applyAlignment="1">
      <alignment horizontal="left" vertical="center"/>
    </xf>
    <xf numFmtId="0" fontId="5" fillId="16" borderId="27" xfId="0" applyFont="1" applyFill="1" applyBorder="1" applyAlignment="1">
      <alignment horizontal="left" vertical="center"/>
    </xf>
    <xf numFmtId="2" fontId="5" fillId="30" borderId="0" xfId="0" applyNumberFormat="1" applyFont="1" applyFill="1"/>
    <xf numFmtId="2" fontId="55" fillId="24" borderId="0" xfId="0" applyNumberFormat="1" applyFont="1" applyFill="1"/>
    <xf numFmtId="0" fontId="56" fillId="24" borderId="0" xfId="0" applyFont="1" applyFill="1"/>
    <xf numFmtId="0" fontId="4" fillId="5" borderId="28" xfId="5" applyFill="1" applyBorder="1" applyAlignment="1">
      <alignment horizontal="left" vertical="center"/>
    </xf>
    <xf numFmtId="0" fontId="4" fillId="5" borderId="29" xfId="5" applyFill="1" applyBorder="1" applyAlignment="1">
      <alignment horizontal="left" vertical="center"/>
    </xf>
    <xf numFmtId="0" fontId="4" fillId="5" borderId="30" xfId="5" applyFill="1" applyBorder="1" applyAlignment="1">
      <alignment horizontal="left" vertical="center"/>
    </xf>
    <xf numFmtId="0" fontId="57" fillId="5" borderId="31" xfId="5" applyFont="1" applyFill="1" applyBorder="1" applyAlignment="1">
      <alignment horizontal="left" vertical="top"/>
    </xf>
    <xf numFmtId="0" fontId="57" fillId="5" borderId="32" xfId="5" applyFont="1" applyFill="1" applyBorder="1" applyAlignment="1">
      <alignment horizontal="left" vertical="top"/>
    </xf>
    <xf numFmtId="0" fontId="57" fillId="5" borderId="33" xfId="5" applyFont="1" applyFill="1" applyBorder="1" applyAlignment="1">
      <alignment horizontal="left" vertical="top"/>
    </xf>
    <xf numFmtId="14" fontId="5" fillId="5" borderId="24" xfId="0" applyNumberFormat="1" applyFont="1" applyFill="1" applyBorder="1"/>
    <xf numFmtId="14" fontId="5" fillId="5" borderId="23" xfId="0" applyNumberFormat="1" applyFont="1" applyFill="1" applyBorder="1"/>
    <xf numFmtId="0" fontId="44" fillId="17" borderId="21" xfId="0" applyFont="1" applyFill="1" applyBorder="1" applyAlignment="1">
      <alignment vertical="top" wrapText="1"/>
    </xf>
    <xf numFmtId="0" fontId="51" fillId="17" borderId="0" xfId="0" applyFont="1" applyFill="1" applyAlignment="1">
      <alignment vertical="top" wrapText="1"/>
    </xf>
    <xf numFmtId="0" fontId="5" fillId="25" borderId="0" xfId="0" applyFont="1" applyFill="1" applyAlignment="1">
      <alignment horizontal="left" vertical="center"/>
    </xf>
    <xf numFmtId="0" fontId="5" fillId="16" borderId="0" xfId="0" applyFont="1" applyFill="1" applyAlignment="1">
      <alignment horizontal="left" vertical="center"/>
    </xf>
    <xf numFmtId="0" fontId="4" fillId="5" borderId="0" xfId="5" applyFill="1" applyAlignment="1">
      <alignment horizontal="left" vertical="center"/>
    </xf>
    <xf numFmtId="166" fontId="5" fillId="0" borderId="0" xfId="0" applyNumberFormat="1" applyFont="1" applyAlignment="1">
      <alignment shrinkToFit="1"/>
    </xf>
    <xf numFmtId="0" fontId="38" fillId="23" borderId="38" xfId="0" applyFont="1" applyFill="1" applyBorder="1" applyAlignment="1">
      <alignment horizontal="left" vertical="top" wrapText="1"/>
    </xf>
    <xf numFmtId="0" fontId="38" fillId="23" borderId="0" xfId="0" applyFont="1" applyFill="1" applyAlignment="1">
      <alignment horizontal="left" vertical="top" wrapText="1"/>
    </xf>
    <xf numFmtId="0" fontId="38" fillId="23" borderId="39" xfId="0" applyFont="1" applyFill="1" applyBorder="1" applyAlignment="1">
      <alignment horizontal="left" vertical="top" wrapText="1"/>
    </xf>
    <xf numFmtId="0" fontId="25" fillId="0" borderId="40" xfId="0" applyFont="1" applyBorder="1" applyAlignment="1">
      <alignment horizontal="left" vertical="top" wrapText="1"/>
    </xf>
    <xf numFmtId="0" fontId="25" fillId="0" borderId="41" xfId="0" applyFont="1" applyBorder="1" applyAlignment="1">
      <alignment horizontal="left" vertical="top" wrapText="1"/>
    </xf>
    <xf numFmtId="0" fontId="25" fillId="0" borderId="42" xfId="0" applyFont="1" applyBorder="1" applyAlignment="1">
      <alignment horizontal="left" vertical="top" wrapText="1"/>
    </xf>
    <xf numFmtId="9" fontId="20" fillId="20" borderId="44" xfId="0" applyNumberFormat="1" applyFont="1" applyFill="1" applyBorder="1" applyAlignment="1">
      <alignment horizontal="center" vertical="center" shrinkToFit="1"/>
    </xf>
    <xf numFmtId="9" fontId="20" fillId="20" borderId="45" xfId="0" applyNumberFormat="1" applyFont="1" applyFill="1" applyBorder="1" applyAlignment="1">
      <alignment horizontal="center" vertical="center" shrinkToFit="1"/>
    </xf>
    <xf numFmtId="0" fontId="76" fillId="20" borderId="49" xfId="0" applyFont="1" applyFill="1" applyBorder="1" applyAlignment="1">
      <alignment horizontal="center" vertical="center" textRotation="45" wrapText="1"/>
    </xf>
    <xf numFmtId="0" fontId="76" fillId="20" borderId="50" xfId="0" applyFont="1" applyFill="1" applyBorder="1" applyAlignment="1">
      <alignment horizontal="center" vertical="center" textRotation="45" wrapText="1"/>
    </xf>
    <xf numFmtId="0" fontId="76" fillId="20" borderId="51" xfId="0" applyFont="1" applyFill="1" applyBorder="1" applyAlignment="1">
      <alignment horizontal="center" vertical="center" textRotation="45" wrapText="1"/>
    </xf>
    <xf numFmtId="0" fontId="5" fillId="20" borderId="0" xfId="0" applyFont="1" applyFill="1" applyAlignment="1">
      <alignment horizontal="left" vertical="center"/>
    </xf>
    <xf numFmtId="0" fontId="5" fillId="0" borderId="57" xfId="0" applyFont="1" applyBorder="1" applyAlignment="1">
      <alignment vertical="center" wrapText="1"/>
    </xf>
    <xf numFmtId="0" fontId="5" fillId="0" borderId="0" xfId="0" applyFont="1" applyAlignment="1">
      <alignment vertical="center" wrapText="1"/>
    </xf>
    <xf numFmtId="0" fontId="5" fillId="16" borderId="0" xfId="0" applyFont="1" applyFill="1" applyAlignment="1">
      <alignment horizontal="left" vertical="top" wrapText="1"/>
    </xf>
    <xf numFmtId="0" fontId="5" fillId="23" borderId="0" xfId="0" applyFont="1" applyFill="1" applyAlignment="1">
      <alignment vertical="top" wrapText="1"/>
    </xf>
    <xf numFmtId="0" fontId="5" fillId="20" borderId="0" xfId="0" applyFont="1" applyFill="1" applyBorder="1" applyAlignment="1">
      <alignment horizontal="left" vertical="top" wrapText="1"/>
    </xf>
    <xf numFmtId="0" fontId="5" fillId="5" borderId="0" xfId="0" applyFont="1" applyFill="1" applyAlignment="1">
      <alignment horizontal="center"/>
    </xf>
    <xf numFmtId="0" fontId="5" fillId="0" borderId="11" xfId="0" applyFont="1" applyBorder="1" applyAlignment="1">
      <alignment vertical="top" wrapText="1"/>
    </xf>
    <xf numFmtId="0" fontId="5" fillId="0" borderId="12" xfId="0" applyFont="1" applyBorder="1" applyAlignment="1">
      <alignment vertical="top" wrapText="1"/>
    </xf>
    <xf numFmtId="0" fontId="5" fillId="0" borderId="13" xfId="0" applyFont="1" applyBorder="1" applyAlignment="1">
      <alignment vertical="top" wrapText="1"/>
    </xf>
    <xf numFmtId="0" fontId="5" fillId="0" borderId="11" xfId="0" applyFont="1" applyBorder="1" applyAlignment="1">
      <alignment vertical="center" wrapText="1"/>
    </xf>
    <xf numFmtId="0" fontId="5" fillId="0" borderId="12" xfId="0" applyFont="1" applyBorder="1" applyAlignment="1">
      <alignment vertical="center" wrapText="1"/>
    </xf>
    <xf numFmtId="0" fontId="5" fillId="0" borderId="13" xfId="0" applyFont="1" applyBorder="1" applyAlignment="1">
      <alignment vertical="center" wrapText="1"/>
    </xf>
    <xf numFmtId="0" fontId="5" fillId="24" borderId="0" xfId="0" applyFont="1" applyFill="1" applyAlignment="1">
      <alignment horizontal="left" vertical="top" wrapText="1"/>
    </xf>
    <xf numFmtId="0" fontId="82" fillId="0" borderId="0" xfId="0" applyFont="1" applyAlignment="1">
      <alignment horizontal="left" vertical="top" wrapText="1"/>
    </xf>
    <xf numFmtId="0" fontId="5" fillId="24" borderId="0" xfId="0" applyFont="1" applyFill="1" applyAlignment="1">
      <alignment vertical="center" wrapText="1"/>
    </xf>
    <xf numFmtId="0" fontId="0" fillId="5" borderId="58" xfId="0" applyFill="1" applyBorder="1" applyAlignment="1">
      <alignment vertical="center" shrinkToFit="1"/>
    </xf>
    <xf numFmtId="0" fontId="5" fillId="21" borderId="0" xfId="0" applyFont="1" applyFill="1" applyAlignment="1">
      <alignment vertical="top" wrapText="1"/>
    </xf>
    <xf numFmtId="0" fontId="20" fillId="5" borderId="54" xfId="0" applyFont="1" applyFill="1" applyBorder="1" applyAlignment="1">
      <alignment horizontal="left" vertical="top"/>
    </xf>
    <xf numFmtId="0" fontId="20" fillId="5" borderId="55" xfId="0" applyFont="1" applyFill="1" applyBorder="1" applyAlignment="1">
      <alignment horizontal="left" vertical="top"/>
    </xf>
    <xf numFmtId="0" fontId="20" fillId="5" borderId="56" xfId="0" applyFont="1" applyFill="1" applyBorder="1" applyAlignment="1">
      <alignment horizontal="left" vertical="top"/>
    </xf>
    <xf numFmtId="0" fontId="5" fillId="38" borderId="0" xfId="0" applyFont="1" applyFill="1" applyAlignment="1">
      <alignment vertical="top" wrapText="1"/>
    </xf>
    <xf numFmtId="0" fontId="5" fillId="11" borderId="0" xfId="0" applyFont="1" applyFill="1" applyAlignment="1">
      <alignment horizontal="left" vertical="center" wrapText="1" indent="1"/>
    </xf>
    <xf numFmtId="0" fontId="47" fillId="41" borderId="0" xfId="0" applyFont="1" applyFill="1" applyAlignment="1">
      <alignment horizontal="left" vertical="center" wrapText="1"/>
    </xf>
    <xf numFmtId="0" fontId="47" fillId="41" borderId="0" xfId="0" applyFont="1" applyFill="1" applyAlignment="1">
      <alignment horizontal="left" vertical="center"/>
    </xf>
    <xf numFmtId="0" fontId="9" fillId="5" borderId="61" xfId="0" applyFont="1" applyFill="1" applyBorder="1" applyAlignment="1">
      <alignment horizontal="left" vertical="center" indent="1" shrinkToFit="1"/>
    </xf>
    <xf numFmtId="0" fontId="9" fillId="5" borderId="62" xfId="0" applyFont="1" applyFill="1" applyBorder="1" applyAlignment="1">
      <alignment horizontal="left" vertical="center" indent="1" shrinkToFit="1"/>
    </xf>
    <xf numFmtId="0" fontId="84" fillId="0" borderId="0" xfId="0" applyFont="1" applyAlignment="1">
      <alignment horizontal="left" vertical="top" wrapText="1"/>
    </xf>
    <xf numFmtId="0" fontId="0" fillId="5" borderId="63" xfId="0" applyFill="1" applyBorder="1"/>
    <xf numFmtId="0" fontId="0" fillId="5" borderId="64" xfId="0" applyFill="1" applyBorder="1"/>
    <xf numFmtId="0" fontId="0" fillId="0" borderId="65" xfId="0" applyBorder="1" applyAlignment="1">
      <alignment shrinkToFit="1"/>
    </xf>
    <xf numFmtId="0" fontId="0" fillId="0" borderId="0" xfId="0" applyAlignment="1">
      <alignment shrinkToFit="1"/>
    </xf>
    <xf numFmtId="0" fontId="20" fillId="41" borderId="66" xfId="0" applyFont="1" applyFill="1" applyBorder="1" applyAlignment="1">
      <alignment horizontal="left" vertical="center" wrapText="1"/>
    </xf>
    <xf numFmtId="0" fontId="20" fillId="41" borderId="0" xfId="0" applyFont="1" applyFill="1" applyAlignment="1">
      <alignment horizontal="left" vertical="center"/>
    </xf>
    <xf numFmtId="0" fontId="20" fillId="41" borderId="67" xfId="0" applyFont="1" applyFill="1" applyBorder="1" applyAlignment="1">
      <alignment horizontal="left" vertical="center"/>
    </xf>
    <xf numFmtId="166" fontId="5" fillId="44" borderId="0" xfId="2" applyNumberFormat="1" applyFont="1" applyFill="1" applyAlignment="1">
      <alignment vertical="top" wrapText="1"/>
    </xf>
    <xf numFmtId="14" fontId="5" fillId="8" borderId="0" xfId="0" applyNumberFormat="1" applyFont="1" applyFill="1" applyAlignment="1">
      <alignment horizontal="center"/>
    </xf>
    <xf numFmtId="14" fontId="5" fillId="0" borderId="0" xfId="0" applyNumberFormat="1" applyFont="1" applyAlignment="1">
      <alignment horizontal="center"/>
    </xf>
    <xf numFmtId="0" fontId="5" fillId="0" borderId="0" xfId="0" applyFont="1" applyAlignment="1">
      <alignment horizontal="center"/>
    </xf>
    <xf numFmtId="0" fontId="9" fillId="43" borderId="68" xfId="0" applyFont="1" applyFill="1" applyBorder="1" applyAlignment="1">
      <alignment horizontal="left" vertical="top"/>
    </xf>
    <xf numFmtId="0" fontId="9" fillId="43" borderId="69" xfId="0" applyFont="1" applyFill="1" applyBorder="1" applyAlignment="1">
      <alignment horizontal="left" vertical="top"/>
    </xf>
    <xf numFmtId="0" fontId="9" fillId="43" borderId="70" xfId="0" applyFont="1" applyFill="1" applyBorder="1" applyAlignment="1">
      <alignment horizontal="left" vertical="top" wrapText="1"/>
    </xf>
    <xf numFmtId="0" fontId="9" fillId="43" borderId="71" xfId="0" applyFont="1" applyFill="1" applyBorder="1" applyAlignment="1">
      <alignment horizontal="left" vertical="top" wrapText="1"/>
    </xf>
    <xf numFmtId="0" fontId="9" fillId="43" borderId="72" xfId="0" applyFont="1" applyFill="1" applyBorder="1" applyAlignment="1">
      <alignment horizontal="left" vertical="top" wrapText="1"/>
    </xf>
    <xf numFmtId="0" fontId="9" fillId="43" borderId="73" xfId="0" applyFont="1" applyFill="1" applyBorder="1" applyAlignment="1">
      <alignment horizontal="left" vertical="top" wrapText="1"/>
    </xf>
    <xf numFmtId="0" fontId="9" fillId="43" borderId="74" xfId="0" applyFont="1" applyFill="1" applyBorder="1" applyAlignment="1">
      <alignment horizontal="left" vertical="top" wrapText="1"/>
    </xf>
    <xf numFmtId="0" fontId="9" fillId="43" borderId="75" xfId="0" applyFont="1" applyFill="1" applyBorder="1" applyAlignment="1">
      <alignment horizontal="left" vertical="top" wrapText="1"/>
    </xf>
    <xf numFmtId="0" fontId="5" fillId="42" borderId="0" xfId="0" applyFont="1" applyFill="1" applyAlignment="1">
      <alignment vertical="top" wrapText="1"/>
    </xf>
    <xf numFmtId="10" fontId="5" fillId="8" borderId="0" xfId="0" applyNumberFormat="1" applyFont="1" applyFill="1" applyAlignment="1">
      <alignment horizontal="center"/>
    </xf>
    <xf numFmtId="0" fontId="102" fillId="44" borderId="81" xfId="5" applyFont="1" applyFill="1" applyBorder="1" applyAlignment="1">
      <alignment horizontal="right" vertical="center" shrinkToFit="1"/>
    </xf>
    <xf numFmtId="0" fontId="104" fillId="44" borderId="84" xfId="5" applyFont="1" applyFill="1" applyBorder="1" applyAlignment="1">
      <alignment shrinkToFit="1"/>
    </xf>
    <xf numFmtId="0" fontId="20" fillId="44" borderId="0" xfId="0" applyFont="1" applyFill="1" applyAlignment="1">
      <alignment horizontal="left" indent="1"/>
    </xf>
    <xf numFmtId="0" fontId="5" fillId="44" borderId="0" xfId="0" applyFont="1" applyFill="1" applyAlignment="1">
      <alignment horizontal="left" vertical="center" wrapText="1"/>
    </xf>
    <xf numFmtId="0" fontId="5" fillId="44" borderId="0" xfId="0" applyFont="1" applyFill="1" applyAlignment="1">
      <alignment horizontal="left" wrapText="1"/>
    </xf>
    <xf numFmtId="0" fontId="5" fillId="44" borderId="0" xfId="0" applyFont="1" applyFill="1" applyAlignment="1">
      <alignment vertical="top" wrapText="1"/>
    </xf>
    <xf numFmtId="166" fontId="5" fillId="0" borderId="0" xfId="0" applyNumberFormat="1" applyFont="1"/>
    <xf numFmtId="169" fontId="5" fillId="0" borderId="0" xfId="1" applyNumberFormat="1" applyFont="1" applyAlignment="1"/>
    <xf numFmtId="169" fontId="10" fillId="0" borderId="0" xfId="1" applyNumberFormat="1" applyFont="1" applyAlignment="1"/>
    <xf numFmtId="0" fontId="106" fillId="0" borderId="0" xfId="0" applyFont="1"/>
    <xf numFmtId="0" fontId="5" fillId="46" borderId="0" xfId="0" applyFont="1" applyFill="1" applyAlignment="1">
      <alignment horizontal="left" vertical="top" wrapText="1"/>
    </xf>
    <xf numFmtId="172" fontId="5" fillId="0" borderId="0" xfId="3" applyNumberFormat="1" applyFont="1" applyAlignment="1">
      <alignment shrinkToFit="1"/>
    </xf>
    <xf numFmtId="172" fontId="0" fillId="0" borderId="0" xfId="3" applyNumberFormat="1" applyFont="1" applyAlignment="1">
      <alignment shrinkToFit="1"/>
    </xf>
    <xf numFmtId="10" fontId="5" fillId="0" borderId="0" xfId="3" applyNumberFormat="1" applyFont="1" applyAlignment="1">
      <alignment shrinkToFit="1"/>
    </xf>
    <xf numFmtId="10" fontId="0" fillId="0" borderId="0" xfId="3" applyNumberFormat="1" applyFont="1" applyAlignment="1">
      <alignment shrinkToFit="1"/>
    </xf>
    <xf numFmtId="1" fontId="5" fillId="0" borderId="0" xfId="0" applyNumberFormat="1" applyFont="1" applyAlignment="1">
      <alignment horizontal="left"/>
    </xf>
    <xf numFmtId="1" fontId="0" fillId="0" borderId="0" xfId="0" applyNumberFormat="1" applyAlignment="1">
      <alignment horizontal="left"/>
    </xf>
    <xf numFmtId="173" fontId="5" fillId="0" borderId="0" xfId="3" applyNumberFormat="1" applyFont="1" applyAlignment="1">
      <alignment shrinkToFit="1"/>
    </xf>
    <xf numFmtId="173" fontId="0" fillId="0" borderId="0" xfId="3" applyNumberFormat="1" applyFont="1" applyAlignment="1">
      <alignment shrinkToFit="1"/>
    </xf>
    <xf numFmtId="172" fontId="5" fillId="0" borderId="0" xfId="0" applyNumberFormat="1" applyFont="1" applyAlignment="1">
      <alignment shrinkToFit="1"/>
    </xf>
    <xf numFmtId="169" fontId="0" fillId="0" borderId="0" xfId="1" applyNumberFormat="1" applyFont="1" applyAlignment="1"/>
    <xf numFmtId="1" fontId="5" fillId="0" borderId="0" xfId="0" applyNumberFormat="1" applyFont="1"/>
    <xf numFmtId="1" fontId="0" fillId="0" borderId="0" xfId="0" applyNumberFormat="1"/>
    <xf numFmtId="169" fontId="5" fillId="0" borderId="0" xfId="1" applyNumberFormat="1" applyFont="1" applyAlignment="1">
      <alignment horizontal="left"/>
    </xf>
    <xf numFmtId="169" fontId="0" fillId="0" borderId="0" xfId="1" applyNumberFormat="1" applyFont="1" applyAlignment="1">
      <alignment horizontal="left"/>
    </xf>
    <xf numFmtId="0" fontId="5" fillId="18" borderId="0" xfId="0" applyFont="1" applyFill="1" applyAlignment="1">
      <alignment horizontal="left" vertical="top" wrapText="1" indent="2"/>
    </xf>
    <xf numFmtId="164" fontId="5" fillId="0" borderId="0" xfId="0" applyNumberFormat="1" applyFont="1" applyAlignment="1">
      <alignment shrinkToFit="1"/>
    </xf>
    <xf numFmtId="164" fontId="9" fillId="43" borderId="72" xfId="0" quotePrefix="1" applyNumberFormat="1" applyFont="1" applyFill="1" applyBorder="1" applyAlignment="1">
      <alignment horizontal="left" shrinkToFit="1"/>
    </xf>
  </cellXfs>
  <cellStyles count="6">
    <cellStyle name="Comma" xfId="1" builtinId="3"/>
    <cellStyle name="Currency" xfId="2" builtinId="4"/>
    <cellStyle name="Good" xfId="4" builtinId="26"/>
    <cellStyle name="Hyperlink" xfId="5" builtinId="8"/>
    <cellStyle name="Normal" xfId="0" builtinId="0"/>
    <cellStyle name="Percent" xfId="3" builtinId="5"/>
  </cellStyles>
  <dxfs count="2613">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color auto="1"/>
      </font>
      <fill>
        <patternFill>
          <bgColor theme="0"/>
        </patternFill>
      </fill>
    </dxf>
    <dxf>
      <font>
        <color auto="1"/>
      </font>
      <fill>
        <patternFill>
          <bgColor theme="0"/>
        </patternFill>
      </fill>
    </dxf>
    <dxf>
      <font>
        <color auto="1"/>
      </font>
      <fill>
        <patternFill>
          <bgColor theme="0"/>
        </patternFill>
      </fill>
      <border>
        <bottom style="thin">
          <color rgb="FFEAE3D2"/>
        </bottom>
      </border>
    </dxf>
    <dxf>
      <font>
        <color theme="0" tint="-0.499984740745262"/>
      </font>
      <fill>
        <patternFill>
          <bgColor theme="0" tint="-0.14996795556505021"/>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color theme="0" tint="-0.24994659260841701"/>
      </font>
      <fill>
        <patternFill patternType="solid">
          <bgColor theme="0"/>
        </patternFill>
      </fill>
    </dxf>
    <dxf>
      <font>
        <color theme="0" tint="-0.24994659260841701"/>
      </font>
      <fill>
        <patternFill patternType="solid">
          <bgColor theme="0"/>
        </patternFill>
      </fill>
    </dxf>
    <dxf>
      <font>
        <color theme="0" tint="-0.499984740745262"/>
      </font>
      <fill>
        <patternFill>
          <bgColor theme="0"/>
        </patternFill>
      </fill>
    </dxf>
    <dxf>
      <font>
        <color auto="1"/>
      </font>
      <fill>
        <patternFill>
          <bgColor rgb="FFCCCCFF"/>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2" tint="-0.499984740745262"/>
      </font>
      <fill>
        <patternFill>
          <bgColor theme="2"/>
        </patternFill>
      </fill>
    </dxf>
    <dxf>
      <font>
        <color theme="0" tint="-0.34998626667073579"/>
      </font>
      <fill>
        <patternFill patternType="solid">
          <bgColor theme="2"/>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C1FFFF"/>
      </font>
      <fill>
        <patternFill>
          <bgColor theme="8" tint="0.79998168889431442"/>
        </patternFill>
      </fill>
    </dxf>
    <dxf>
      <font>
        <color auto="1"/>
      </font>
      <fill>
        <patternFill>
          <bgColor theme="0"/>
        </patternFill>
      </fill>
    </dxf>
    <dxf>
      <font>
        <color theme="0" tint="-0.499984740745262"/>
      </font>
      <fill>
        <patternFill>
          <bgColor theme="0" tint="-0.1499679555650502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006100"/>
      </font>
      <fill>
        <patternFill patternType="solid">
          <bgColor theme="4"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C1FFFF"/>
      </font>
      <fill>
        <patternFill>
          <bgColor theme="8" tint="0.79998168889431442"/>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E2B5FD"/>
      </font>
      <fill>
        <patternFill>
          <bgColor rgb="FF7030A0"/>
        </patternFill>
      </fill>
    </dxf>
    <dxf>
      <font>
        <color rgb="FFE2B5FD"/>
      </font>
      <fill>
        <patternFill>
          <bgColor rgb="FF7030A0"/>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2"/>
      </font>
      <fill>
        <patternFill>
          <bgColor them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rgb="FFFFC000"/>
      </font>
      <fill>
        <patternFill>
          <bgColor rgb="FFFFC000"/>
        </patternFill>
      </fill>
    </dxf>
    <dxf>
      <font>
        <color rgb="FFFFC000"/>
      </font>
      <fill>
        <patternFill>
          <bgColor rgb="FFFFC000"/>
        </patternFill>
      </fill>
    </dxf>
    <dxf>
      <font>
        <color auto="1"/>
      </font>
      <fill>
        <patternFill>
          <bgColor theme="0"/>
        </patternFill>
      </fill>
    </dxf>
    <dxf>
      <font>
        <color auto="1"/>
      </font>
      <fill>
        <patternFill>
          <bgColor theme="0"/>
        </patternFill>
      </fill>
    </dxf>
    <dxf>
      <font>
        <b/>
        <i val="0"/>
        <color theme="9" tint="-0.499984740745262"/>
      </font>
      <fill>
        <patternFill>
          <bgColor rgb="FFEFF6EA"/>
        </patternFill>
      </fill>
    </dxf>
    <dxf>
      <font>
        <color auto="1"/>
      </font>
      <fill>
        <patternFill>
          <bgColor theme="0"/>
        </patternFill>
      </fill>
    </dxf>
    <dxf>
      <font>
        <color auto="1"/>
      </font>
      <fill>
        <patternFill>
          <bgColor theme="0"/>
        </patternFill>
      </fill>
    </dxf>
    <dxf>
      <font>
        <color auto="1"/>
      </font>
      <fill>
        <patternFill>
          <bgColor theme="0"/>
        </patternFill>
      </fill>
    </dxf>
    <dxf>
      <font>
        <color theme="0" tint="-0.499984740745262"/>
      </font>
      <fill>
        <patternFill>
          <bgColor theme="0" tint="-0.14996795556505021"/>
        </patternFill>
      </fill>
    </dxf>
    <dxf>
      <font>
        <color theme="2" tint="-0.499984740745262"/>
      </font>
      <fill>
        <patternFill>
          <bgColor theme="2"/>
        </patternFill>
      </fill>
    </dxf>
    <dxf>
      <font>
        <color theme="0" tint="-0.34998626667073579"/>
      </font>
      <fill>
        <patternFill patternType="solid">
          <bgColor theme="2"/>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color rgb="FFFF0000"/>
      </font>
      <fill>
        <patternFill patternType="solid">
          <bgColor theme="2"/>
        </patternFill>
      </fill>
    </dxf>
    <dxf>
      <font>
        <color theme="7" tint="-0.24994659260841701"/>
      </font>
      <fill>
        <patternFill patternType="solid">
          <bgColor theme="2"/>
        </patternFill>
      </fill>
    </dxf>
    <dxf>
      <font>
        <color rgb="FF00B050"/>
      </font>
      <fill>
        <patternFill patternType="solid">
          <bgColor theme="2"/>
        </patternFill>
      </fill>
    </dxf>
    <dxf>
      <font>
        <color rgb="FF9C0006"/>
      </font>
      <fill>
        <patternFill>
          <bgColor rgb="FFFFF3F4"/>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auto="1"/>
      </font>
      <fill>
        <patternFill>
          <bgColor theme="0"/>
        </patternFill>
      </fill>
    </dxf>
    <dxf>
      <font>
        <color theme="0" tint="-0.24994659260841701"/>
      </font>
      <fill>
        <patternFill patternType="solid">
          <bgColor theme="0"/>
        </patternFill>
      </fill>
    </dxf>
    <dxf>
      <font>
        <color theme="0" tint="-0.24994659260841701"/>
      </font>
      <fill>
        <patternFill patternType="solid">
          <bgColor theme="0"/>
        </patternFill>
      </fill>
    </dxf>
    <dxf>
      <font>
        <color theme="0" tint="-0.24994659260841701"/>
      </font>
      <fill>
        <patternFill patternType="solid">
          <bgColor theme="0"/>
        </patternFill>
      </fill>
    </dxf>
    <dxf>
      <font>
        <color theme="0" tint="-0.24994659260841701"/>
      </font>
      <fill>
        <patternFill patternType="solid">
          <bgColor theme="0"/>
        </patternFill>
      </fill>
    </dxf>
    <dxf>
      <font>
        <color rgb="FFC1FFFF"/>
      </font>
      <fill>
        <patternFill>
          <bgColor theme="8" tint="0.79998168889431442"/>
        </patternFill>
      </fill>
    </dxf>
    <dxf>
      <font>
        <color rgb="FFC1FFFF"/>
      </font>
      <fill>
        <patternFill>
          <bgColor theme="8" tint="0.79998168889431442"/>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theme="0" tint="-4.9989318521683403E-2"/>
      </font>
      <fill>
        <patternFill patternType="none">
          <bgColor auto="1"/>
        </patternFill>
      </fill>
    </dxf>
    <dxf>
      <font>
        <color rgb="FF9C0006"/>
      </font>
      <fill>
        <patternFill>
          <bgColor rgb="FFFFC7CE"/>
        </patternFill>
      </fill>
    </dxf>
    <dxf>
      <font>
        <color rgb="FF9C5700"/>
      </font>
      <fill>
        <patternFill>
          <bgColor theme="5" tint="0.59996337778862885"/>
        </patternFill>
      </fill>
    </dxf>
    <dxf>
      <font>
        <color theme="7" tint="-0.24994659260841701"/>
      </font>
      <fill>
        <patternFill>
          <bgColor rgb="FFFFFFCC"/>
        </patternFill>
      </fill>
    </dxf>
    <dxf>
      <font>
        <color rgb="FF00B050"/>
      </font>
      <fill>
        <patternFill>
          <bgColor rgb="FFCCFFCC"/>
        </patternFill>
      </fill>
    </dxf>
    <dxf>
      <font>
        <color rgb="FF006100"/>
      </font>
      <fill>
        <patternFill>
          <bgColor rgb="FF9BFFC8"/>
        </patternFill>
      </fill>
    </dxf>
    <dxf>
      <font>
        <color rgb="FF9C0006"/>
      </font>
      <fill>
        <patternFill>
          <bgColor rgb="FFFFC7CE"/>
        </patternFill>
      </fill>
    </dxf>
    <dxf>
      <font>
        <color rgb="FF9C5700"/>
      </font>
      <fill>
        <patternFill>
          <bgColor theme="5" tint="0.59996337778862885"/>
        </patternFill>
      </fill>
    </dxf>
    <dxf>
      <font>
        <color theme="7" tint="-0.24994659260841701"/>
      </font>
      <fill>
        <patternFill>
          <bgColor rgb="FFFFFFCC"/>
        </patternFill>
      </fill>
    </dxf>
    <dxf>
      <font>
        <color rgb="FF00B050"/>
      </font>
      <fill>
        <patternFill>
          <bgColor rgb="FFCCFFCC"/>
        </patternFill>
      </fill>
    </dxf>
    <dxf>
      <font>
        <color rgb="FF006100"/>
      </font>
      <fill>
        <patternFill>
          <bgColor rgb="FF9BFFC8"/>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2" tint="-0.499984740745262"/>
      </font>
      <fill>
        <patternFill>
          <bgColor theme="2"/>
        </patternFill>
      </fill>
    </dxf>
    <dxf>
      <font>
        <color theme="0" tint="-0.34998626667073579"/>
      </font>
      <fill>
        <patternFill patternType="solid">
          <bgColor theme="2"/>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color auto="1"/>
      </font>
      <fill>
        <patternFill>
          <bgColor theme="0"/>
        </patternFill>
      </fill>
    </dxf>
    <dxf>
      <font>
        <color auto="1"/>
      </font>
      <fill>
        <patternFill>
          <bgColor theme="0"/>
        </patternFill>
      </fill>
    </dxf>
    <dxf>
      <font>
        <color auto="1"/>
      </font>
      <fill>
        <patternFill>
          <bgColor theme="0"/>
        </patternFill>
      </fill>
      <border>
        <bottom style="thin">
          <color rgb="FFEAE3D2"/>
        </bottom>
      </border>
    </dxf>
    <dxf>
      <font>
        <color theme="0" tint="-0.499984740745262"/>
      </font>
      <fill>
        <patternFill>
          <bgColor theme="0" tint="-0.14996795556505021"/>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color theme="0" tint="-0.24994659260841701"/>
      </font>
      <fill>
        <patternFill patternType="solid">
          <bgColor theme="0"/>
        </patternFill>
      </fill>
    </dxf>
    <dxf>
      <font>
        <color theme="0" tint="-0.24994659260841701"/>
      </font>
      <fill>
        <patternFill patternType="solid">
          <bgColor theme="0"/>
        </patternFill>
      </fill>
    </dxf>
    <dxf>
      <font>
        <color theme="0" tint="-0.499984740745262"/>
      </font>
      <fill>
        <patternFill>
          <bgColor theme="0"/>
        </patternFill>
      </fill>
    </dxf>
    <dxf>
      <font>
        <color auto="1"/>
      </font>
      <fill>
        <patternFill>
          <bgColor rgb="FFCCCCFF"/>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2" tint="-0.499984740745262"/>
      </font>
      <fill>
        <patternFill>
          <bgColor theme="2"/>
        </patternFill>
      </fill>
    </dxf>
    <dxf>
      <font>
        <color theme="0" tint="-0.34998626667073579"/>
      </font>
      <fill>
        <patternFill patternType="solid">
          <bgColor theme="2"/>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C1FFFF"/>
      </font>
      <fill>
        <patternFill>
          <bgColor theme="8" tint="0.79998168889431442"/>
        </patternFill>
      </fill>
    </dxf>
    <dxf>
      <font>
        <color auto="1"/>
      </font>
      <fill>
        <patternFill>
          <bgColor theme="0"/>
        </patternFill>
      </fill>
    </dxf>
    <dxf>
      <font>
        <color theme="0" tint="-0.499984740745262"/>
      </font>
      <fill>
        <patternFill>
          <bgColor theme="0" tint="-0.1499679555650502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006100"/>
      </font>
      <fill>
        <patternFill patternType="solid">
          <bgColor theme="4"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C1FFFF"/>
      </font>
      <fill>
        <patternFill>
          <bgColor theme="8" tint="0.79998168889431442"/>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E2B5FD"/>
      </font>
      <fill>
        <patternFill>
          <bgColor rgb="FF7030A0"/>
        </patternFill>
      </fill>
    </dxf>
    <dxf>
      <font>
        <color rgb="FFE2B5FD"/>
      </font>
      <fill>
        <patternFill>
          <bgColor rgb="FF7030A0"/>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2"/>
      </font>
      <fill>
        <patternFill>
          <bgColor them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rgb="FFFFC000"/>
      </font>
      <fill>
        <patternFill>
          <bgColor rgb="FFFFC000"/>
        </patternFill>
      </fill>
    </dxf>
    <dxf>
      <font>
        <color rgb="FFFFC000"/>
      </font>
      <fill>
        <patternFill>
          <bgColor rgb="FFFFC000"/>
        </patternFill>
      </fill>
    </dxf>
    <dxf>
      <font>
        <color auto="1"/>
      </font>
      <fill>
        <patternFill>
          <bgColor theme="0"/>
        </patternFill>
      </fill>
    </dxf>
    <dxf>
      <font>
        <color auto="1"/>
      </font>
      <fill>
        <patternFill>
          <bgColor theme="0"/>
        </patternFill>
      </fill>
    </dxf>
    <dxf>
      <font>
        <b/>
        <i val="0"/>
        <color theme="9" tint="-0.499984740745262"/>
      </font>
      <fill>
        <patternFill>
          <bgColor rgb="FFEFF6EA"/>
        </patternFill>
      </fill>
    </dxf>
    <dxf>
      <font>
        <color auto="1"/>
      </font>
      <fill>
        <patternFill>
          <bgColor theme="0"/>
        </patternFill>
      </fill>
    </dxf>
    <dxf>
      <font>
        <color auto="1"/>
      </font>
      <fill>
        <patternFill>
          <bgColor theme="0"/>
        </patternFill>
      </fill>
    </dxf>
    <dxf>
      <font>
        <color auto="1"/>
      </font>
      <fill>
        <patternFill>
          <bgColor theme="0"/>
        </patternFill>
      </fill>
    </dxf>
    <dxf>
      <font>
        <color theme="0" tint="-0.499984740745262"/>
      </font>
      <fill>
        <patternFill>
          <bgColor theme="0" tint="-0.14996795556505021"/>
        </patternFill>
      </fill>
    </dxf>
    <dxf>
      <font>
        <color theme="2" tint="-0.499984740745262"/>
      </font>
      <fill>
        <patternFill>
          <bgColor theme="2"/>
        </patternFill>
      </fill>
    </dxf>
    <dxf>
      <font>
        <color theme="0" tint="-0.34998626667073579"/>
      </font>
      <fill>
        <patternFill patternType="solid">
          <bgColor theme="2"/>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color rgb="FFFF0000"/>
      </font>
      <fill>
        <patternFill patternType="solid">
          <bgColor theme="2"/>
        </patternFill>
      </fill>
    </dxf>
    <dxf>
      <font>
        <color theme="7" tint="-0.24994659260841701"/>
      </font>
      <fill>
        <patternFill patternType="solid">
          <bgColor theme="2"/>
        </patternFill>
      </fill>
    </dxf>
    <dxf>
      <font>
        <color rgb="FF00B050"/>
      </font>
      <fill>
        <patternFill patternType="solid">
          <bgColor theme="2"/>
        </patternFill>
      </fill>
    </dxf>
    <dxf>
      <font>
        <color rgb="FF9C0006"/>
      </font>
      <fill>
        <patternFill>
          <bgColor rgb="FFFFF3F4"/>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auto="1"/>
      </font>
      <fill>
        <patternFill>
          <bgColor theme="0"/>
        </patternFill>
      </fill>
    </dxf>
    <dxf>
      <font>
        <color theme="0" tint="-0.24994659260841701"/>
      </font>
      <fill>
        <patternFill patternType="solid">
          <bgColor theme="0"/>
        </patternFill>
      </fill>
    </dxf>
    <dxf>
      <font>
        <color theme="0" tint="-0.24994659260841701"/>
      </font>
      <fill>
        <patternFill patternType="solid">
          <bgColor theme="0"/>
        </patternFill>
      </fill>
    </dxf>
    <dxf>
      <font>
        <color theme="0" tint="-0.24994659260841701"/>
      </font>
      <fill>
        <patternFill patternType="solid">
          <bgColor theme="0"/>
        </patternFill>
      </fill>
    </dxf>
    <dxf>
      <font>
        <color theme="0" tint="-0.24994659260841701"/>
      </font>
      <fill>
        <patternFill patternType="solid">
          <bgColor theme="0"/>
        </patternFill>
      </fill>
    </dxf>
    <dxf>
      <font>
        <color rgb="FFC1FFFF"/>
      </font>
      <fill>
        <patternFill>
          <bgColor theme="8" tint="0.79998168889431442"/>
        </patternFill>
      </fill>
    </dxf>
    <dxf>
      <font>
        <color rgb="FFC1FFFF"/>
      </font>
      <fill>
        <patternFill>
          <bgColor theme="8" tint="0.79998168889431442"/>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theme="0" tint="-4.9989318521683403E-2"/>
      </font>
      <fill>
        <patternFill patternType="none">
          <bgColor auto="1"/>
        </patternFill>
      </fill>
    </dxf>
    <dxf>
      <font>
        <color rgb="FF9C0006"/>
      </font>
      <fill>
        <patternFill>
          <bgColor rgb="FFFFC7CE"/>
        </patternFill>
      </fill>
    </dxf>
    <dxf>
      <font>
        <color rgb="FF9C5700"/>
      </font>
      <fill>
        <patternFill>
          <bgColor theme="5" tint="0.59996337778862885"/>
        </patternFill>
      </fill>
    </dxf>
    <dxf>
      <font>
        <color theme="7" tint="-0.24994659260841701"/>
      </font>
      <fill>
        <patternFill>
          <bgColor rgb="FFFFFFCC"/>
        </patternFill>
      </fill>
    </dxf>
    <dxf>
      <font>
        <color rgb="FF00B050"/>
      </font>
      <fill>
        <patternFill>
          <bgColor rgb="FFCCFFCC"/>
        </patternFill>
      </fill>
    </dxf>
    <dxf>
      <font>
        <color rgb="FF006100"/>
      </font>
      <fill>
        <patternFill>
          <bgColor rgb="FF9BFFC8"/>
        </patternFill>
      </fill>
    </dxf>
    <dxf>
      <font>
        <color rgb="FF9C0006"/>
      </font>
      <fill>
        <patternFill>
          <bgColor rgb="FFFFC7CE"/>
        </patternFill>
      </fill>
    </dxf>
    <dxf>
      <font>
        <color rgb="FF9C5700"/>
      </font>
      <fill>
        <patternFill>
          <bgColor theme="5" tint="0.59996337778862885"/>
        </patternFill>
      </fill>
    </dxf>
    <dxf>
      <font>
        <color theme="7" tint="-0.24994659260841701"/>
      </font>
      <fill>
        <patternFill>
          <bgColor rgb="FFFFFFCC"/>
        </patternFill>
      </fill>
    </dxf>
    <dxf>
      <font>
        <color rgb="FF00B050"/>
      </font>
      <fill>
        <patternFill>
          <bgColor rgb="FFCCFFCC"/>
        </patternFill>
      </fill>
    </dxf>
    <dxf>
      <font>
        <color rgb="FF006100"/>
      </font>
      <fill>
        <patternFill>
          <bgColor rgb="FF9BFFC8"/>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2" tint="-0.499984740745262"/>
      </font>
      <fill>
        <patternFill>
          <bgColor theme="2"/>
        </patternFill>
      </fill>
    </dxf>
    <dxf>
      <font>
        <color theme="0" tint="-0.34998626667073579"/>
      </font>
      <fill>
        <patternFill patternType="solid">
          <bgColor theme="2"/>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ill>
        <patternFill>
          <bgColor theme="5" tint="0.7999816888943144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color auto="1"/>
      </font>
      <fill>
        <patternFill>
          <bgColor theme="0"/>
        </patternFill>
      </fill>
    </dxf>
    <dxf>
      <font>
        <color auto="1"/>
      </font>
      <fill>
        <patternFill>
          <bgColor theme="0"/>
        </patternFill>
      </fill>
    </dxf>
    <dxf>
      <font>
        <color auto="1"/>
      </font>
      <fill>
        <patternFill>
          <bgColor theme="0"/>
        </patternFill>
      </fill>
      <border>
        <bottom style="thin">
          <color rgb="FFEAE3D2"/>
        </bottom>
      </border>
    </dxf>
    <dxf>
      <font>
        <color theme="0" tint="-0.499984740745262"/>
      </font>
      <fill>
        <patternFill>
          <bgColor theme="0" tint="-0.14996795556505021"/>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strike val="0"/>
        <color rgb="FF9C0006"/>
      </font>
      <fill>
        <patternFill patternType="solid">
          <bgColor theme="2"/>
        </patternFill>
      </fill>
    </dxf>
    <dxf>
      <font>
        <color theme="5" tint="-0.24994659260841701"/>
      </font>
      <fill>
        <patternFill patternType="solid">
          <bgColor theme="2"/>
        </patternFill>
      </fill>
    </dxf>
    <dxf>
      <font>
        <color theme="7" tint="-0.24994659260841701"/>
      </font>
      <fill>
        <patternFill patternType="solid">
          <bgColor theme="2"/>
        </patternFill>
      </fill>
    </dxf>
    <dxf>
      <font>
        <color rgb="FF92D050"/>
      </font>
      <fill>
        <patternFill>
          <bgColor theme="2"/>
        </patternFill>
      </fill>
    </dxf>
    <dxf>
      <font>
        <color rgb="FF00B050"/>
      </font>
      <fill>
        <patternFill>
          <bgColor theme="2"/>
        </patternFill>
      </fill>
    </dxf>
    <dxf>
      <font>
        <color auto="1"/>
      </font>
      <fill>
        <patternFill>
          <bgColor theme="5" tint="0.79998168889431442"/>
        </patternFill>
      </fill>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5" tint="0.59996337778862885"/>
      </font>
    </dxf>
    <dxf>
      <font>
        <color theme="0" tint="-0.24994659260841701"/>
      </font>
      <fill>
        <patternFill patternType="solid">
          <bgColor theme="0"/>
        </patternFill>
      </fill>
    </dxf>
    <dxf>
      <font>
        <color theme="0" tint="-0.24994659260841701"/>
      </font>
      <fill>
        <patternFill patternType="solid">
          <bgColor theme="0"/>
        </patternFill>
      </fill>
    </dxf>
    <dxf>
      <font>
        <color theme="0" tint="-0.499984740745262"/>
      </font>
      <fill>
        <patternFill>
          <bgColor theme="0"/>
        </patternFill>
      </fill>
    </dxf>
    <dxf>
      <font>
        <color auto="1"/>
      </font>
      <fill>
        <patternFill>
          <bgColor rgb="FFCCCCFF"/>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2" tint="-0.499984740745262"/>
      </font>
      <fill>
        <patternFill>
          <bgColor theme="2"/>
        </patternFill>
      </fill>
    </dxf>
    <dxf>
      <font>
        <color theme="0" tint="-0.34998626667073579"/>
      </font>
      <fill>
        <patternFill patternType="solid">
          <bgColor theme="2"/>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B9FFD9"/>
      </font>
      <fill>
        <patternFill>
          <bgColor rgb="FFC8FFE1"/>
        </patternFill>
      </fill>
    </dxf>
    <dxf>
      <font>
        <color rgb="FFC1FFFF"/>
      </font>
      <fill>
        <patternFill>
          <bgColor theme="8" tint="0.79998168889431442"/>
        </patternFill>
      </fill>
    </dxf>
    <dxf>
      <font>
        <color auto="1"/>
      </font>
      <fill>
        <patternFill>
          <bgColor theme="0"/>
        </patternFill>
      </fill>
    </dxf>
    <dxf>
      <font>
        <color theme="0" tint="-0.499984740745262"/>
      </font>
      <fill>
        <patternFill>
          <bgColor theme="0" tint="-0.1499679555650502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theme="0" tint="-0.499984740745262"/>
      </font>
      <fill>
        <patternFill patternType="none">
          <bgColor auto="1"/>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C1FFFF"/>
      </font>
      <fill>
        <patternFill>
          <bgColor theme="8"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rgb="FF9C5700"/>
      </font>
      <fill>
        <patternFill>
          <bgColor rgb="FFFFEB9C"/>
        </patternFill>
      </fill>
    </dxf>
    <dxf>
      <font>
        <color theme="9" tint="-0.499984740745262"/>
      </font>
      <fill>
        <patternFill>
          <bgColor theme="9" tint="0.79998168889431442"/>
        </patternFill>
      </fill>
    </dxf>
    <dxf>
      <font>
        <color theme="0" tint="-0.499984740745262"/>
      </font>
      <fill>
        <patternFill>
          <bgColor theme="0"/>
        </patternFill>
      </fill>
    </dxf>
    <dxf>
      <font>
        <color theme="0" tint="-0.499984740745262"/>
      </font>
      <fill>
        <patternFill>
          <bgColor theme="0"/>
        </patternFill>
      </fill>
    </dxf>
    <dxf>
      <font>
        <color rgb="FF006100"/>
      </font>
      <fill>
        <patternFill patternType="solid">
          <bgColor theme="4" tint="0.59996337778862885"/>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C1FFFF"/>
      </font>
      <fill>
        <patternFill>
          <bgColor theme="8" tint="0.79998168889431442"/>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7030A0"/>
      </font>
      <fill>
        <patternFill>
          <bgColor rgb="FF7030A0"/>
        </patternFill>
      </fill>
    </dxf>
    <dxf>
      <font>
        <color rgb="FFE2B5FD"/>
      </font>
      <fill>
        <patternFill>
          <bgColor rgb="FF7030A0"/>
        </patternFill>
      </fill>
    </dxf>
    <dxf>
      <font>
        <color rgb="FF7030A0"/>
      </font>
      <fill>
        <patternFill>
          <bgColor rgb="FF7030A0"/>
        </patternFill>
      </fill>
    </dxf>
    <dxf>
      <font>
        <color rgb="FFE2B5FD"/>
      </font>
      <fill>
        <patternFill>
          <bgColor rgb="FF7030A0"/>
        </patternFill>
      </fill>
    </dxf>
    <dxf>
      <font>
        <color rgb="FFE2B5FD"/>
      </font>
      <fill>
        <patternFill>
          <bgColor rgb="FF7030A0"/>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2"/>
      </font>
      <fill>
        <patternFill>
          <bgColor them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rgb="FFFFC000"/>
      </font>
      <fill>
        <patternFill>
          <bgColor rgb="FFFFC000"/>
        </patternFill>
      </fill>
    </dxf>
    <dxf>
      <font>
        <color rgb="FFFFC000"/>
      </font>
      <fill>
        <patternFill>
          <bgColor rgb="FFFFC000"/>
        </patternFill>
      </fill>
    </dxf>
    <dxf>
      <font>
        <color auto="1"/>
      </font>
      <fill>
        <patternFill>
          <bgColor theme="0"/>
        </patternFill>
      </fill>
    </dxf>
    <dxf>
      <font>
        <color auto="1"/>
      </font>
      <fill>
        <patternFill>
          <bgColor theme="0"/>
        </patternFill>
      </fill>
    </dxf>
    <dxf>
      <font>
        <b/>
        <i val="0"/>
        <color theme="9" tint="-0.499984740745262"/>
      </font>
      <fill>
        <patternFill>
          <bgColor rgb="FFEFF6EA"/>
        </patternFill>
      </fill>
    </dxf>
    <dxf>
      <font>
        <color auto="1"/>
      </font>
      <fill>
        <patternFill>
          <bgColor theme="0"/>
        </patternFill>
      </fill>
    </dxf>
    <dxf>
      <font>
        <color auto="1"/>
      </font>
      <fill>
        <patternFill>
          <bgColor theme="0"/>
        </patternFill>
      </fill>
    </dxf>
    <dxf>
      <font>
        <color auto="1"/>
      </font>
      <fill>
        <patternFill>
          <bgColor theme="0"/>
        </patternFill>
      </fill>
    </dxf>
    <dxf>
      <font>
        <color theme="0" tint="-0.499984740745262"/>
      </font>
      <fill>
        <patternFill>
          <bgColor theme="0" tint="-0.14996795556505021"/>
        </patternFill>
      </fill>
    </dxf>
    <dxf>
      <font>
        <color theme="2" tint="-0.499984740745262"/>
      </font>
      <fill>
        <patternFill>
          <bgColor theme="2"/>
        </patternFill>
      </fill>
    </dxf>
    <dxf>
      <font>
        <color theme="0" tint="-0.34998626667073579"/>
      </font>
      <fill>
        <patternFill patternType="solid">
          <bgColor theme="2"/>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b/>
        <i val="0"/>
        <strike val="0"/>
        <color theme="0" tint="-0.24994659260841701"/>
      </font>
      <fill>
        <patternFill>
          <bgColor theme="0"/>
        </patternFill>
      </fill>
    </dxf>
    <dxf>
      <font>
        <color rgb="FFFF0000"/>
      </font>
      <fill>
        <patternFill patternType="solid">
          <bgColor theme="2"/>
        </patternFill>
      </fill>
    </dxf>
    <dxf>
      <font>
        <color theme="7" tint="-0.24994659260841701"/>
      </font>
      <fill>
        <patternFill patternType="solid">
          <bgColor theme="2"/>
        </patternFill>
      </fill>
    </dxf>
    <dxf>
      <font>
        <color rgb="FF00B050"/>
      </font>
      <fill>
        <patternFill patternType="solid">
          <bgColor theme="2"/>
        </patternFill>
      </fill>
    </dxf>
    <dxf>
      <font>
        <color rgb="FF9C0006"/>
      </font>
      <fill>
        <patternFill>
          <bgColor rgb="FFFFF3F4"/>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24994659260841701"/>
      </font>
      <fill>
        <patternFill patternType="none">
          <bgColor auto="1"/>
        </patternFill>
      </fill>
    </dxf>
    <dxf>
      <font>
        <color theme="0" tint="-0.34998626667073579"/>
      </font>
      <fill>
        <patternFill patternType="none">
          <bgColor auto="1"/>
        </patternFill>
      </fill>
    </dxf>
    <dxf>
      <font>
        <color auto="1"/>
      </font>
      <fill>
        <patternFill>
          <bgColor theme="0"/>
        </patternFill>
      </fill>
    </dxf>
    <dxf>
      <font>
        <color theme="0" tint="-0.24994659260841701"/>
      </font>
      <fill>
        <patternFill patternType="solid">
          <bgColor theme="0"/>
        </patternFill>
      </fill>
    </dxf>
    <dxf>
      <font>
        <color theme="0" tint="-0.24994659260841701"/>
      </font>
      <fill>
        <patternFill patternType="solid">
          <bgColor theme="0"/>
        </patternFill>
      </fill>
    </dxf>
    <dxf>
      <font>
        <color theme="0" tint="-0.24994659260841701"/>
      </font>
      <fill>
        <patternFill patternType="solid">
          <bgColor theme="0"/>
        </patternFill>
      </fill>
    </dxf>
    <dxf>
      <font>
        <color theme="0" tint="-0.24994659260841701"/>
      </font>
      <fill>
        <patternFill patternType="solid">
          <bgColor theme="0"/>
        </patternFill>
      </fill>
    </dxf>
    <dxf>
      <font>
        <color rgb="FFC1FFFF"/>
      </font>
      <fill>
        <patternFill>
          <bgColor theme="8" tint="0.79998168889431442"/>
        </patternFill>
      </fill>
    </dxf>
    <dxf>
      <font>
        <color rgb="FFC1FFFF"/>
      </font>
      <fill>
        <patternFill>
          <bgColor theme="8" tint="0.79998168889431442"/>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rgb="FF7030A0"/>
      </font>
      <fill>
        <patternFill>
          <bgColor theme="8" tint="0.59996337778862885"/>
        </patternFill>
      </fill>
    </dxf>
    <dxf>
      <font>
        <color theme="4" tint="0.59996337778862885"/>
      </font>
      <fill>
        <patternFill>
          <bgColor theme="4" tint="0.59996337778862885"/>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auto="1"/>
      </font>
      <fill>
        <patternFill>
          <bgColor rgb="FFCCCCFF"/>
        </patternFill>
      </fill>
    </dxf>
    <dxf>
      <font>
        <color theme="0" tint="-4.9989318521683403E-2"/>
      </font>
      <fill>
        <patternFill patternType="none">
          <bgColor auto="1"/>
        </patternFill>
      </fill>
    </dxf>
    <dxf>
      <font>
        <color rgb="FF9C0006"/>
      </font>
      <fill>
        <patternFill>
          <bgColor rgb="FFFFC7CE"/>
        </patternFill>
      </fill>
    </dxf>
    <dxf>
      <font>
        <color rgb="FF9C5700"/>
      </font>
      <fill>
        <patternFill>
          <bgColor theme="5" tint="0.59996337778862885"/>
        </patternFill>
      </fill>
    </dxf>
    <dxf>
      <font>
        <color theme="7" tint="-0.24994659260841701"/>
      </font>
      <fill>
        <patternFill>
          <bgColor rgb="FFFFFFCC"/>
        </patternFill>
      </fill>
    </dxf>
    <dxf>
      <font>
        <color rgb="FF00B050"/>
      </font>
      <fill>
        <patternFill>
          <bgColor rgb="FFCCFFCC"/>
        </patternFill>
      </fill>
    </dxf>
    <dxf>
      <font>
        <color rgb="FF006100"/>
      </font>
      <fill>
        <patternFill>
          <bgColor rgb="FF9BFFC8"/>
        </patternFill>
      </fill>
    </dxf>
    <dxf>
      <font>
        <color rgb="FF9C0006"/>
      </font>
      <fill>
        <patternFill>
          <bgColor rgb="FFFFC7CE"/>
        </patternFill>
      </fill>
    </dxf>
    <dxf>
      <font>
        <color rgb="FF9C5700"/>
      </font>
      <fill>
        <patternFill>
          <bgColor theme="5" tint="0.59996337778862885"/>
        </patternFill>
      </fill>
    </dxf>
    <dxf>
      <font>
        <color theme="7" tint="-0.24994659260841701"/>
      </font>
      <fill>
        <patternFill>
          <bgColor rgb="FFFFFFCC"/>
        </patternFill>
      </fill>
    </dxf>
    <dxf>
      <font>
        <color rgb="FF00B050"/>
      </font>
      <fill>
        <patternFill>
          <bgColor rgb="FFCCFFCC"/>
        </patternFill>
      </fill>
    </dxf>
    <dxf>
      <font>
        <color rgb="FF006100"/>
      </font>
      <fill>
        <patternFill>
          <bgColor rgb="FF9BFFC8"/>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2" tint="-0.499984740745262"/>
      </font>
      <fill>
        <patternFill>
          <bgColor theme="2"/>
        </patternFill>
      </fill>
    </dxf>
    <dxf>
      <font>
        <color theme="0" tint="-0.34998626667073579"/>
      </font>
      <fill>
        <patternFill patternType="solid">
          <bgColor theme="2"/>
        </patternFill>
      </fill>
    </dxf>
    <dxf>
      <font>
        <color rgb="FFFFC000"/>
      </font>
      <fill>
        <patternFill>
          <bgColor rgb="FFFFC000"/>
        </patternFill>
      </fill>
    </dxf>
    <dxf>
      <font>
        <color rgb="FFFFC000"/>
      </font>
      <fill>
        <patternFill>
          <bgColor rgb="FFFFC000"/>
        </patternFill>
      </fill>
    </dxf>
    <dxf>
      <font>
        <color rgb="FFFFC000"/>
      </font>
      <fill>
        <patternFill>
          <bgColor rgb="FFFFC000"/>
        </patternFill>
      </fill>
    </dxf>
  </dxfs>
  <tableStyles count="0" defaultTableStyle="TableStyleMedium2" defaultPivotStyle="PivotStyleLight16"/>
  <colors>
    <mruColors>
      <color rgb="FFEBFFF5"/>
      <color rgb="FFFFE6E6"/>
      <color rgb="FF0078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EIF-new'!A1597:F1646"/><Relationship Id="rId13" Type="http://schemas.openxmlformats.org/officeDocument/2006/relationships/image" Target="../media/image1.jpg"/><Relationship Id="rId18" Type="http://schemas.openxmlformats.org/officeDocument/2006/relationships/hyperlink" Target="#serv!A9:F13"/><Relationship Id="rId26" Type="http://schemas.openxmlformats.org/officeDocument/2006/relationships/hyperlink" Target="https://exoneratednation.org/blog/a-look-at-the-facts-highlighting-the-research-of-the-national-registry-of-exonerations/" TargetMode="External"/><Relationship Id="rId3" Type="http://schemas.openxmlformats.org/officeDocument/2006/relationships/hyperlink" Target="#'EIF-new'!A462:F718"/><Relationship Id="rId21" Type="http://schemas.openxmlformats.org/officeDocument/2006/relationships/hyperlink" Target="#input!B233:D236"/><Relationship Id="rId34" Type="http://schemas.openxmlformats.org/officeDocument/2006/relationships/hyperlink" Target="https://www.nelp.org/wp-content/uploads/2015/03/65_Million_Need_Not_Apply.pdf" TargetMode="External"/><Relationship Id="rId7" Type="http://schemas.openxmlformats.org/officeDocument/2006/relationships/hyperlink" Target="#'EIF-new'!A1062:F1103"/><Relationship Id="rId12" Type="http://schemas.openxmlformats.org/officeDocument/2006/relationships/hyperlink" Target="#'EIF-Steph'!B33:D33"/><Relationship Id="rId17" Type="http://schemas.openxmlformats.org/officeDocument/2006/relationships/hyperlink" Target="#input!A2"/><Relationship Id="rId25" Type="http://schemas.openxmlformats.org/officeDocument/2006/relationships/hyperlink" Target="#serv!A1"/><Relationship Id="rId33" Type="http://schemas.openxmlformats.org/officeDocument/2006/relationships/hyperlink" Target="#'EIF-Steph'!B14:D14"/><Relationship Id="rId38" Type="http://schemas.openxmlformats.org/officeDocument/2006/relationships/image" Target="../media/image6.png"/><Relationship Id="rId2" Type="http://schemas.openxmlformats.org/officeDocument/2006/relationships/hyperlink" Target="#'EIF-new'!A296:F461"/><Relationship Id="rId16" Type="http://schemas.openxmlformats.org/officeDocument/2006/relationships/hyperlink" Target="https://www.coursehero.com/file/p6dpe50/Four-types-of-prosecutorial-misconduct-are-offering-inadmissible-evidence-in/" TargetMode="External"/><Relationship Id="rId20" Type="http://schemas.openxmlformats.org/officeDocument/2006/relationships/hyperlink" Target="#serv!A39:G45"/><Relationship Id="rId29" Type="http://schemas.openxmlformats.org/officeDocument/2006/relationships/hyperlink" Target="#input!A1461:F1534"/><Relationship Id="rId1" Type="http://schemas.openxmlformats.org/officeDocument/2006/relationships/hyperlink" Target="#'EIF-new'!A149:F295"/><Relationship Id="rId6" Type="http://schemas.openxmlformats.org/officeDocument/2006/relationships/hyperlink" Target="#'EIF-new'!A839:F881"/><Relationship Id="rId11" Type="http://schemas.openxmlformats.org/officeDocument/2006/relationships/hyperlink" Target="#'EIF-Steph'!B28:D28"/><Relationship Id="rId24" Type="http://schemas.microsoft.com/office/2007/relationships/hdphoto" Target="../media/hdphoto1.wdp"/><Relationship Id="rId32" Type="http://schemas.openxmlformats.org/officeDocument/2006/relationships/hyperlink" Target="#'EIF-new'!C849:D858"/><Relationship Id="rId37" Type="http://schemas.openxmlformats.org/officeDocument/2006/relationships/hyperlink" Target="#instructions!A1"/><Relationship Id="rId5" Type="http://schemas.openxmlformats.org/officeDocument/2006/relationships/hyperlink" Target="#'EIF-new'!A762:F838"/><Relationship Id="rId15" Type="http://schemas.openxmlformats.org/officeDocument/2006/relationships/image" Target="../media/image2.png"/><Relationship Id="rId23" Type="http://schemas.openxmlformats.org/officeDocument/2006/relationships/image" Target="../media/image4.png"/><Relationship Id="rId28" Type="http://schemas.openxmlformats.org/officeDocument/2006/relationships/hyperlink" Target="https://www.valuerelating.com/contact" TargetMode="External"/><Relationship Id="rId36" Type="http://schemas.openxmlformats.org/officeDocument/2006/relationships/hyperlink" Target="#input!B1187:B1417"/><Relationship Id="rId10" Type="http://schemas.openxmlformats.org/officeDocument/2006/relationships/hyperlink" Target="#'EIF-new'!B871:D871"/><Relationship Id="rId19" Type="http://schemas.openxmlformats.org/officeDocument/2006/relationships/image" Target="../media/image3.png"/><Relationship Id="rId31" Type="http://schemas.openxmlformats.org/officeDocument/2006/relationships/hyperlink" Target="#'EIF-Steph'!C16:D25"/><Relationship Id="rId4" Type="http://schemas.openxmlformats.org/officeDocument/2006/relationships/hyperlink" Target="#'EIF-new'!A719:F761"/><Relationship Id="rId9" Type="http://schemas.openxmlformats.org/officeDocument/2006/relationships/hyperlink" Target="#'EIF-new'!B845:D845"/><Relationship Id="rId14" Type="http://schemas.openxmlformats.org/officeDocument/2006/relationships/hyperlink" Target="https://niccc.csgjusticecenter.org/map/" TargetMode="External"/><Relationship Id="rId22" Type="http://schemas.openxmlformats.org/officeDocument/2006/relationships/hyperlink" Target="http://restoration.ccresourcecenter.org/" TargetMode="External"/><Relationship Id="rId27" Type="http://schemas.openxmlformats.org/officeDocument/2006/relationships/hyperlink" Target="https://www.law.umich.edu/special/exoneration/Documents/Race_and_Wrongful_Convictions.pdf" TargetMode="External"/><Relationship Id="rId30" Type="http://schemas.openxmlformats.org/officeDocument/2006/relationships/hyperlink" Target="#'EIF-new'!B862:D862"/><Relationship Id="rId35" Type="http://schemas.openxmlformats.org/officeDocument/2006/relationships/image" Target="../media/image5.png"/></Relationships>
</file>

<file path=xl/drawings/_rels/drawing2.xml.rels><?xml version="1.0" encoding="UTF-8" standalone="yes"?>
<Relationships xmlns="http://schemas.openxmlformats.org/package/2006/relationships"><Relationship Id="rId8" Type="http://schemas.openxmlformats.org/officeDocument/2006/relationships/hyperlink" Target="#'EIF-Steph'!A1597:F1646"/><Relationship Id="rId13" Type="http://schemas.openxmlformats.org/officeDocument/2006/relationships/image" Target="../media/image1.jpg"/><Relationship Id="rId18" Type="http://schemas.openxmlformats.org/officeDocument/2006/relationships/hyperlink" Target="#serv!A9:F13"/><Relationship Id="rId26" Type="http://schemas.openxmlformats.org/officeDocument/2006/relationships/hyperlink" Target="#serv!A1"/><Relationship Id="rId39" Type="http://schemas.openxmlformats.org/officeDocument/2006/relationships/hyperlink" Target="#instructions!A1"/><Relationship Id="rId3" Type="http://schemas.openxmlformats.org/officeDocument/2006/relationships/hyperlink" Target="#'EIF-Steph'!A462:F718"/><Relationship Id="rId21" Type="http://schemas.openxmlformats.org/officeDocument/2006/relationships/hyperlink" Target="#input!B233:D236"/><Relationship Id="rId34" Type="http://schemas.openxmlformats.org/officeDocument/2006/relationships/hyperlink" Target="#'EIF-Steph'!B14:D14"/><Relationship Id="rId7" Type="http://schemas.openxmlformats.org/officeDocument/2006/relationships/hyperlink" Target="#'EIF-Steph'!A1062:F1103"/><Relationship Id="rId12" Type="http://schemas.openxmlformats.org/officeDocument/2006/relationships/hyperlink" Target="#'EIF-Steph'!B33:D33"/><Relationship Id="rId17" Type="http://schemas.openxmlformats.org/officeDocument/2006/relationships/hyperlink" Target="#input!A2"/><Relationship Id="rId25" Type="http://schemas.microsoft.com/office/2007/relationships/hdphoto" Target="../media/hdphoto1.wdp"/><Relationship Id="rId33" Type="http://schemas.openxmlformats.org/officeDocument/2006/relationships/hyperlink" Target="#'EIF-Steph'!C849:D858"/><Relationship Id="rId38" Type="http://schemas.openxmlformats.org/officeDocument/2006/relationships/image" Target="../media/image8.jpeg"/><Relationship Id="rId2" Type="http://schemas.openxmlformats.org/officeDocument/2006/relationships/hyperlink" Target="#'EIF-Steph'!A296:F461"/><Relationship Id="rId16" Type="http://schemas.openxmlformats.org/officeDocument/2006/relationships/hyperlink" Target="https://www.coursehero.com/file/p6dpe50/Four-types-of-prosecutorial-misconduct-are-offering-inadmissible-evidence-in/" TargetMode="External"/><Relationship Id="rId20" Type="http://schemas.openxmlformats.org/officeDocument/2006/relationships/hyperlink" Target="#serv!A39:G45"/><Relationship Id="rId29" Type="http://schemas.openxmlformats.org/officeDocument/2006/relationships/hyperlink" Target="https://www.valuerelating.com/contact" TargetMode="External"/><Relationship Id="rId1" Type="http://schemas.openxmlformats.org/officeDocument/2006/relationships/hyperlink" Target="#'EIF-Steph'!A149:F295"/><Relationship Id="rId6" Type="http://schemas.openxmlformats.org/officeDocument/2006/relationships/hyperlink" Target="#'EIF-Steph'!A839:F881"/><Relationship Id="rId11" Type="http://schemas.openxmlformats.org/officeDocument/2006/relationships/hyperlink" Target="#'EIF-Steph'!B28:D28"/><Relationship Id="rId24" Type="http://schemas.openxmlformats.org/officeDocument/2006/relationships/image" Target="../media/image4.png"/><Relationship Id="rId32" Type="http://schemas.openxmlformats.org/officeDocument/2006/relationships/hyperlink" Target="#'EIF-Steph'!C16:D25"/><Relationship Id="rId37" Type="http://schemas.openxmlformats.org/officeDocument/2006/relationships/hyperlink" Target="#input!B1187:B1417"/><Relationship Id="rId40" Type="http://schemas.openxmlformats.org/officeDocument/2006/relationships/image" Target="../media/image6.png"/><Relationship Id="rId5" Type="http://schemas.openxmlformats.org/officeDocument/2006/relationships/hyperlink" Target="#'EIF-Steph'!A762:F838"/><Relationship Id="rId15" Type="http://schemas.openxmlformats.org/officeDocument/2006/relationships/image" Target="../media/image2.png"/><Relationship Id="rId23" Type="http://schemas.openxmlformats.org/officeDocument/2006/relationships/hyperlink" Target="http://restoration.ccresourcecenter.org/" TargetMode="External"/><Relationship Id="rId28" Type="http://schemas.openxmlformats.org/officeDocument/2006/relationships/hyperlink" Target="https://www.law.umich.edu/special/exoneration/Documents/Race_and_Wrongful_Convictions.pdf" TargetMode="External"/><Relationship Id="rId36" Type="http://schemas.openxmlformats.org/officeDocument/2006/relationships/image" Target="../media/image5.png"/><Relationship Id="rId10" Type="http://schemas.openxmlformats.org/officeDocument/2006/relationships/hyperlink" Target="#'EIF-Steph'!B871:D871"/><Relationship Id="rId19" Type="http://schemas.openxmlformats.org/officeDocument/2006/relationships/image" Target="../media/image3.png"/><Relationship Id="rId31" Type="http://schemas.openxmlformats.org/officeDocument/2006/relationships/hyperlink" Target="#'EIF-Steph'!B862:D862"/><Relationship Id="rId4" Type="http://schemas.openxmlformats.org/officeDocument/2006/relationships/hyperlink" Target="#'EIF-Steph'!A719:F761"/><Relationship Id="rId9" Type="http://schemas.openxmlformats.org/officeDocument/2006/relationships/hyperlink" Target="#'EIF-Steph'!B845:D845"/><Relationship Id="rId14" Type="http://schemas.openxmlformats.org/officeDocument/2006/relationships/hyperlink" Target="https://niccc.csgjusticecenter.org/map/" TargetMode="External"/><Relationship Id="rId22" Type="http://schemas.openxmlformats.org/officeDocument/2006/relationships/hyperlink" Target="#input!B227:D227"/><Relationship Id="rId27" Type="http://schemas.openxmlformats.org/officeDocument/2006/relationships/hyperlink" Target="https://exoneratednation.org/blog/a-look-at-the-facts-highlighting-the-research-of-the-national-registry-of-exonerations/" TargetMode="External"/><Relationship Id="rId30" Type="http://schemas.openxmlformats.org/officeDocument/2006/relationships/hyperlink" Target="#input!A1461:F1534"/><Relationship Id="rId35" Type="http://schemas.openxmlformats.org/officeDocument/2006/relationships/hyperlink" Target="https://www.nelp.org/wp-content/uploads/2015/03/65_Million_Need_Not_Apply.pdf"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EIF-Steph'!A1597:F1646"/><Relationship Id="rId13" Type="http://schemas.openxmlformats.org/officeDocument/2006/relationships/image" Target="../media/image1.jpg"/><Relationship Id="rId18" Type="http://schemas.openxmlformats.org/officeDocument/2006/relationships/hyperlink" Target="#input!B233:D236"/><Relationship Id="rId26" Type="http://schemas.openxmlformats.org/officeDocument/2006/relationships/hyperlink" Target="https://www.valuerelating.com/contact" TargetMode="External"/><Relationship Id="rId39" Type="http://schemas.openxmlformats.org/officeDocument/2006/relationships/image" Target="../media/image2.png"/><Relationship Id="rId3" Type="http://schemas.openxmlformats.org/officeDocument/2006/relationships/hyperlink" Target="#'EIF-Steph'!A462:F718"/><Relationship Id="rId21" Type="http://schemas.openxmlformats.org/officeDocument/2006/relationships/image" Target="../media/image4.png"/><Relationship Id="rId34" Type="http://schemas.openxmlformats.org/officeDocument/2006/relationships/hyperlink" Target="#input!B1187:B1417"/><Relationship Id="rId7" Type="http://schemas.openxmlformats.org/officeDocument/2006/relationships/hyperlink" Target="#'EIF-Steph'!A1062:F1103"/><Relationship Id="rId12" Type="http://schemas.openxmlformats.org/officeDocument/2006/relationships/hyperlink" Target="#'EIF-Steph'!B33:D33"/><Relationship Id="rId17" Type="http://schemas.openxmlformats.org/officeDocument/2006/relationships/hyperlink" Target="#serv!A39:G45"/><Relationship Id="rId25" Type="http://schemas.openxmlformats.org/officeDocument/2006/relationships/hyperlink" Target="https://www.law.umich.edu/special/exoneration/Documents/Race_and_Wrongful_Convictions.pdf" TargetMode="External"/><Relationship Id="rId33" Type="http://schemas.openxmlformats.org/officeDocument/2006/relationships/image" Target="../media/image5.png"/><Relationship Id="rId38" Type="http://schemas.openxmlformats.org/officeDocument/2006/relationships/hyperlink" Target="https://niccc.csgjusticecenter.org/map/" TargetMode="External"/><Relationship Id="rId2" Type="http://schemas.openxmlformats.org/officeDocument/2006/relationships/hyperlink" Target="#'EIF-Steph'!A296:F461"/><Relationship Id="rId16" Type="http://schemas.openxmlformats.org/officeDocument/2006/relationships/hyperlink" Target="#serv!A9:F13"/><Relationship Id="rId20" Type="http://schemas.openxmlformats.org/officeDocument/2006/relationships/hyperlink" Target="http://restoration.ccresourcecenter.org/" TargetMode="External"/><Relationship Id="rId29" Type="http://schemas.openxmlformats.org/officeDocument/2006/relationships/hyperlink" Target="#'EIF-Steph'!C16:D25"/><Relationship Id="rId1" Type="http://schemas.openxmlformats.org/officeDocument/2006/relationships/hyperlink" Target="#'EIF-Steph'!A149:F295"/><Relationship Id="rId6" Type="http://schemas.openxmlformats.org/officeDocument/2006/relationships/hyperlink" Target="#'EIF-Steph'!A839:F881"/><Relationship Id="rId11" Type="http://schemas.openxmlformats.org/officeDocument/2006/relationships/hyperlink" Target="#'EIF-Steph'!B28:D28"/><Relationship Id="rId24" Type="http://schemas.openxmlformats.org/officeDocument/2006/relationships/hyperlink" Target="https://exoneratednation.org/blog/a-look-at-the-facts-highlighting-the-research-of-the-national-registry-of-exonerations/" TargetMode="External"/><Relationship Id="rId32" Type="http://schemas.openxmlformats.org/officeDocument/2006/relationships/hyperlink" Target="https://www.nelp.org/wp-content/uploads/2015/03/65_Million_Need_Not_Apply.pdf" TargetMode="External"/><Relationship Id="rId37" Type="http://schemas.openxmlformats.org/officeDocument/2006/relationships/image" Target="../media/image6.png"/><Relationship Id="rId40" Type="http://schemas.openxmlformats.org/officeDocument/2006/relationships/image" Target="../media/image3.png"/><Relationship Id="rId5" Type="http://schemas.openxmlformats.org/officeDocument/2006/relationships/hyperlink" Target="#'EIF-Steph'!A762:F838"/><Relationship Id="rId15" Type="http://schemas.openxmlformats.org/officeDocument/2006/relationships/hyperlink" Target="#input!A2"/><Relationship Id="rId23" Type="http://schemas.openxmlformats.org/officeDocument/2006/relationships/hyperlink" Target="#serv!A1"/><Relationship Id="rId28" Type="http://schemas.openxmlformats.org/officeDocument/2006/relationships/hyperlink" Target="#'EIF-Steph'!B862:D862"/><Relationship Id="rId36" Type="http://schemas.openxmlformats.org/officeDocument/2006/relationships/hyperlink" Target="#instructions!A1"/><Relationship Id="rId10" Type="http://schemas.openxmlformats.org/officeDocument/2006/relationships/hyperlink" Target="#'EIF-Steph'!B871:D871"/><Relationship Id="rId19" Type="http://schemas.openxmlformats.org/officeDocument/2006/relationships/hyperlink" Target="#input!B227:D227"/><Relationship Id="rId31" Type="http://schemas.openxmlformats.org/officeDocument/2006/relationships/hyperlink" Target="#'EIF-Steph'!B14:D14"/><Relationship Id="rId4" Type="http://schemas.openxmlformats.org/officeDocument/2006/relationships/hyperlink" Target="#'EIF-Steph'!A719:F761"/><Relationship Id="rId9" Type="http://schemas.openxmlformats.org/officeDocument/2006/relationships/hyperlink" Target="#'EIF-Steph'!B845:D845"/><Relationship Id="rId14" Type="http://schemas.openxmlformats.org/officeDocument/2006/relationships/hyperlink" Target="https://www.coursehero.com/file/p6dpe50/Four-types-of-prosecutorial-misconduct-are-offering-inadmissible-evidence-in/" TargetMode="External"/><Relationship Id="rId22" Type="http://schemas.microsoft.com/office/2007/relationships/hdphoto" Target="../media/hdphoto1.wdp"/><Relationship Id="rId27" Type="http://schemas.openxmlformats.org/officeDocument/2006/relationships/hyperlink" Target="#input!A1461:F1534"/><Relationship Id="rId30" Type="http://schemas.openxmlformats.org/officeDocument/2006/relationships/hyperlink" Target="#'EIF-Steph'!C849:D858"/><Relationship Id="rId35"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2</xdr:col>
      <xdr:colOff>1945640</xdr:colOff>
      <xdr:row>105</xdr:row>
      <xdr:rowOff>53340</xdr:rowOff>
    </xdr:from>
    <xdr:to>
      <xdr:col>2</xdr:col>
      <xdr:colOff>2264981</xdr:colOff>
      <xdr:row>105</xdr:row>
      <xdr:rowOff>259080</xdr:rowOff>
    </xdr:to>
    <xdr:sp macro="" textlink="">
      <xdr:nvSpPr>
        <xdr:cNvPr id="2" name="Rectangle 1">
          <a:hlinkClick xmlns:r="http://schemas.openxmlformats.org/officeDocument/2006/relationships" r:id="rId1" tooltip="Case information"/>
          <a:extLst>
            <a:ext uri="{FF2B5EF4-FFF2-40B4-BE49-F238E27FC236}">
              <a16:creationId xmlns:a16="http://schemas.microsoft.com/office/drawing/2014/main" id="{5919C00F-76AA-4E9E-A8F5-CCC22A2F3DEE}"/>
            </a:ext>
          </a:extLst>
        </xdr:cNvPr>
        <xdr:cNvSpPr/>
      </xdr:nvSpPr>
      <xdr:spPr>
        <a:xfrm>
          <a:off x="3286760" y="33901380"/>
          <a:ext cx="319341" cy="205740"/>
        </a:xfrm>
        <a:prstGeom prst="rect">
          <a:avLst/>
        </a:prstGeom>
        <a:solidFill>
          <a:srgbClr val="EAE3D2"/>
        </a:solidFill>
        <a:ln w="19050">
          <a:noFill/>
        </a:ln>
        <a:effectLst>
          <a:outerShdw blurRad="63500" sx="102000" sy="102000" algn="ctr"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indent="0" algn="ctr"/>
          <a:r>
            <a:rPr lang="en-US" sz="1400">
              <a:solidFill>
                <a:sysClr val="windowText" lastClr="000000"/>
              </a:solidFill>
              <a:latin typeface="Arial Black" panose="020B0A04020102020204" pitchFamily="34" charset="0"/>
              <a:ea typeface="+mn-ea"/>
              <a:cs typeface="+mn-cs"/>
            </a:rPr>
            <a:t>A</a:t>
          </a:r>
        </a:p>
      </xdr:txBody>
    </xdr:sp>
    <xdr:clientData/>
  </xdr:twoCellAnchor>
  <xdr:twoCellAnchor>
    <xdr:from>
      <xdr:col>2</xdr:col>
      <xdr:colOff>2269700</xdr:colOff>
      <xdr:row>105</xdr:row>
      <xdr:rowOff>53340</xdr:rowOff>
    </xdr:from>
    <xdr:to>
      <xdr:col>3</xdr:col>
      <xdr:colOff>137941</xdr:colOff>
      <xdr:row>105</xdr:row>
      <xdr:rowOff>259080</xdr:rowOff>
    </xdr:to>
    <xdr:sp macro="" textlink="">
      <xdr:nvSpPr>
        <xdr:cNvPr id="3" name="Rectangle 2">
          <a:hlinkClick xmlns:r="http://schemas.openxmlformats.org/officeDocument/2006/relationships" r:id="rId2" tooltip="Documentation for verfication"/>
          <a:extLst>
            <a:ext uri="{FF2B5EF4-FFF2-40B4-BE49-F238E27FC236}">
              <a16:creationId xmlns:a16="http://schemas.microsoft.com/office/drawing/2014/main" id="{48CD4D64-62AD-4AA8-9F32-BCC59D7E2561}"/>
            </a:ext>
          </a:extLst>
        </xdr:cNvPr>
        <xdr:cNvSpPr/>
      </xdr:nvSpPr>
      <xdr:spPr>
        <a:xfrm>
          <a:off x="3610820" y="33901380"/>
          <a:ext cx="321881" cy="205740"/>
        </a:xfrm>
        <a:prstGeom prst="rect">
          <a:avLst/>
        </a:prstGeom>
        <a:solidFill>
          <a:schemeClr val="accent1">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B</a:t>
          </a:r>
        </a:p>
      </xdr:txBody>
    </xdr:sp>
    <xdr:clientData/>
  </xdr:twoCellAnchor>
  <xdr:twoCellAnchor>
    <xdr:from>
      <xdr:col>3</xdr:col>
      <xdr:colOff>150279</xdr:colOff>
      <xdr:row>105</xdr:row>
      <xdr:rowOff>53340</xdr:rowOff>
    </xdr:from>
    <xdr:to>
      <xdr:col>3</xdr:col>
      <xdr:colOff>469620</xdr:colOff>
      <xdr:row>105</xdr:row>
      <xdr:rowOff>259080</xdr:rowOff>
    </xdr:to>
    <xdr:sp macro="" textlink="">
      <xdr:nvSpPr>
        <xdr:cNvPr id="4" name="Rectangle 3">
          <a:hlinkClick xmlns:r="http://schemas.openxmlformats.org/officeDocument/2006/relationships" r:id="rId3" tooltip="Factors in your wrongful conviction"/>
          <a:extLst>
            <a:ext uri="{FF2B5EF4-FFF2-40B4-BE49-F238E27FC236}">
              <a16:creationId xmlns:a16="http://schemas.microsoft.com/office/drawing/2014/main" id="{B03CB440-90E2-4166-8E03-9548531C8C2E}"/>
            </a:ext>
          </a:extLst>
        </xdr:cNvPr>
        <xdr:cNvSpPr/>
      </xdr:nvSpPr>
      <xdr:spPr>
        <a:xfrm>
          <a:off x="3945039" y="33901380"/>
          <a:ext cx="319341" cy="205740"/>
        </a:xfrm>
        <a:prstGeom prst="rect">
          <a:avLst/>
        </a:prstGeom>
        <a:solidFill>
          <a:srgbClr val="FFC0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C</a:t>
          </a:r>
        </a:p>
      </xdr:txBody>
    </xdr:sp>
    <xdr:clientData/>
  </xdr:twoCellAnchor>
  <xdr:twoCellAnchor>
    <xdr:from>
      <xdr:col>3</xdr:col>
      <xdr:colOff>474339</xdr:colOff>
      <xdr:row>105</xdr:row>
      <xdr:rowOff>53340</xdr:rowOff>
    </xdr:from>
    <xdr:to>
      <xdr:col>3</xdr:col>
      <xdr:colOff>793680</xdr:colOff>
      <xdr:row>105</xdr:row>
      <xdr:rowOff>259080</xdr:rowOff>
    </xdr:to>
    <xdr:sp macro="" textlink="">
      <xdr:nvSpPr>
        <xdr:cNvPr id="5" name="Rectangle 4">
          <a:hlinkClick xmlns:r="http://schemas.openxmlformats.org/officeDocument/2006/relationships" r:id="rId4" tooltip="Requests &amp; responses for exoneration help"/>
          <a:extLst>
            <a:ext uri="{FF2B5EF4-FFF2-40B4-BE49-F238E27FC236}">
              <a16:creationId xmlns:a16="http://schemas.microsoft.com/office/drawing/2014/main" id="{6D468498-0D9E-4B4C-9D32-C4704419C1DD}"/>
            </a:ext>
          </a:extLst>
        </xdr:cNvPr>
        <xdr:cNvSpPr/>
      </xdr:nvSpPr>
      <xdr:spPr>
        <a:xfrm>
          <a:off x="4269099" y="33901380"/>
          <a:ext cx="319341" cy="205740"/>
        </a:xfrm>
        <a:prstGeom prst="rect">
          <a:avLst/>
        </a:prstGeom>
        <a:solidFill>
          <a:schemeClr val="accent4">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D</a:t>
          </a:r>
        </a:p>
      </xdr:txBody>
    </xdr:sp>
    <xdr:clientData/>
  </xdr:twoCellAnchor>
  <xdr:twoCellAnchor>
    <xdr:from>
      <xdr:col>3</xdr:col>
      <xdr:colOff>798399</xdr:colOff>
      <xdr:row>105</xdr:row>
      <xdr:rowOff>53340</xdr:rowOff>
    </xdr:from>
    <xdr:to>
      <xdr:col>3</xdr:col>
      <xdr:colOff>1117740</xdr:colOff>
      <xdr:row>105</xdr:row>
      <xdr:rowOff>259080</xdr:rowOff>
    </xdr:to>
    <xdr:sp macro="" textlink="">
      <xdr:nvSpPr>
        <xdr:cNvPr id="6" name="Rectangle 5">
          <a:hlinkClick xmlns:r="http://schemas.openxmlformats.org/officeDocument/2006/relationships" r:id="rId5" tooltip="Collateral consequences of conviction"/>
          <a:extLst>
            <a:ext uri="{FF2B5EF4-FFF2-40B4-BE49-F238E27FC236}">
              <a16:creationId xmlns:a16="http://schemas.microsoft.com/office/drawing/2014/main" id="{777B9D24-BAEC-46A7-B19E-E80F86654F3A}"/>
            </a:ext>
          </a:extLst>
        </xdr:cNvPr>
        <xdr:cNvSpPr/>
      </xdr:nvSpPr>
      <xdr:spPr>
        <a:xfrm>
          <a:off x="4593159" y="33901380"/>
          <a:ext cx="319341" cy="205740"/>
        </a:xfrm>
        <a:prstGeom prst="rect">
          <a:avLst/>
        </a:prstGeom>
        <a:solidFill>
          <a:srgbClr val="FFFF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E</a:t>
          </a:r>
        </a:p>
      </xdr:txBody>
    </xdr:sp>
    <xdr:clientData/>
  </xdr:twoCellAnchor>
  <xdr:twoCellAnchor>
    <xdr:from>
      <xdr:col>3</xdr:col>
      <xdr:colOff>1131046</xdr:colOff>
      <xdr:row>105</xdr:row>
      <xdr:rowOff>53340</xdr:rowOff>
    </xdr:from>
    <xdr:to>
      <xdr:col>3</xdr:col>
      <xdr:colOff>1450387</xdr:colOff>
      <xdr:row>105</xdr:row>
      <xdr:rowOff>259080</xdr:rowOff>
    </xdr:to>
    <xdr:sp macro="" textlink="">
      <xdr:nvSpPr>
        <xdr:cNvPr id="7" name="Rectangle 6">
          <a:hlinkClick xmlns:r="http://schemas.openxmlformats.org/officeDocument/2006/relationships" r:id="rId6" tooltip="Claimant narrative"/>
          <a:extLst>
            <a:ext uri="{FF2B5EF4-FFF2-40B4-BE49-F238E27FC236}">
              <a16:creationId xmlns:a16="http://schemas.microsoft.com/office/drawing/2014/main" id="{65FEDE02-F6C5-4998-82FE-657F8AE7EC53}"/>
            </a:ext>
          </a:extLst>
        </xdr:cNvPr>
        <xdr:cNvSpPr/>
      </xdr:nvSpPr>
      <xdr:spPr>
        <a:xfrm>
          <a:off x="4925806" y="33901380"/>
          <a:ext cx="319341" cy="205740"/>
        </a:xfrm>
        <a:prstGeom prst="rect">
          <a:avLst/>
        </a:prstGeom>
        <a:solidFill>
          <a:srgbClr val="B9FFD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F</a:t>
          </a:r>
        </a:p>
      </xdr:txBody>
    </xdr:sp>
    <xdr:clientData/>
  </xdr:twoCellAnchor>
  <xdr:twoCellAnchor>
    <xdr:from>
      <xdr:col>3</xdr:col>
      <xdr:colOff>1455105</xdr:colOff>
      <xdr:row>105</xdr:row>
      <xdr:rowOff>53340</xdr:rowOff>
    </xdr:from>
    <xdr:to>
      <xdr:col>3</xdr:col>
      <xdr:colOff>1776260</xdr:colOff>
      <xdr:row>105</xdr:row>
      <xdr:rowOff>259080</xdr:rowOff>
    </xdr:to>
    <xdr:sp macro="" textlink="">
      <xdr:nvSpPr>
        <xdr:cNvPr id="8" name="Rectangle 7">
          <a:hlinkClick xmlns:r="http://schemas.openxmlformats.org/officeDocument/2006/relationships" r:id="rId7" tooltip="Compensation"/>
          <a:extLst>
            <a:ext uri="{FF2B5EF4-FFF2-40B4-BE49-F238E27FC236}">
              <a16:creationId xmlns:a16="http://schemas.microsoft.com/office/drawing/2014/main" id="{DAF591A6-59E5-475E-BD54-958AAED5D83E}"/>
            </a:ext>
          </a:extLst>
        </xdr:cNvPr>
        <xdr:cNvSpPr/>
      </xdr:nvSpPr>
      <xdr:spPr>
        <a:xfrm>
          <a:off x="5249865" y="33901380"/>
          <a:ext cx="321155" cy="205740"/>
        </a:xfrm>
        <a:prstGeom prst="rect">
          <a:avLst/>
        </a:prstGeom>
        <a:solidFill>
          <a:srgbClr val="FFE1FF"/>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G</a:t>
          </a:r>
        </a:p>
      </xdr:txBody>
    </xdr:sp>
    <xdr:clientData/>
  </xdr:twoCellAnchor>
  <xdr:twoCellAnchor>
    <xdr:from>
      <xdr:col>3</xdr:col>
      <xdr:colOff>1781946</xdr:colOff>
      <xdr:row>105</xdr:row>
      <xdr:rowOff>53340</xdr:rowOff>
    </xdr:from>
    <xdr:to>
      <xdr:col>4</xdr:col>
      <xdr:colOff>132787</xdr:colOff>
      <xdr:row>105</xdr:row>
      <xdr:rowOff>259080</xdr:rowOff>
    </xdr:to>
    <xdr:sp macro="" textlink="">
      <xdr:nvSpPr>
        <xdr:cNvPr id="9" name="Rectangle 8">
          <a:hlinkClick xmlns:r="http://schemas.openxmlformats.org/officeDocument/2006/relationships" r:id="rId8" tooltip="You're not alone"/>
          <a:extLst>
            <a:ext uri="{FF2B5EF4-FFF2-40B4-BE49-F238E27FC236}">
              <a16:creationId xmlns:a16="http://schemas.microsoft.com/office/drawing/2014/main" id="{3DEF78D3-6045-4658-8FE5-8B8CB69D108B}"/>
            </a:ext>
          </a:extLst>
        </xdr:cNvPr>
        <xdr:cNvSpPr/>
      </xdr:nvSpPr>
      <xdr:spPr>
        <a:xfrm>
          <a:off x="5576706" y="33901380"/>
          <a:ext cx="324421" cy="205740"/>
        </a:xfrm>
        <a:prstGeom prst="rect">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H</a:t>
          </a:r>
        </a:p>
      </xdr:txBody>
    </xdr:sp>
    <xdr:clientData/>
  </xdr:twoCellAnchor>
  <xdr:twoCellAnchor>
    <xdr:from>
      <xdr:col>0</xdr:col>
      <xdr:colOff>7620</xdr:colOff>
      <xdr:row>13</xdr:row>
      <xdr:rowOff>137160</xdr:rowOff>
    </xdr:from>
    <xdr:to>
      <xdr:col>1</xdr:col>
      <xdr:colOff>15240</xdr:colOff>
      <xdr:row>13</xdr:row>
      <xdr:rowOff>434340</xdr:rowOff>
    </xdr:to>
    <xdr:sp macro="" textlink="">
      <xdr:nvSpPr>
        <xdr:cNvPr id="10" name="Arrow: Down 9">
          <a:hlinkClick xmlns:r="http://schemas.openxmlformats.org/officeDocument/2006/relationships" r:id="rId9" tooltip="SYNOPSIS entry"/>
          <a:extLst>
            <a:ext uri="{FF2B5EF4-FFF2-40B4-BE49-F238E27FC236}">
              <a16:creationId xmlns:a16="http://schemas.microsoft.com/office/drawing/2014/main" id="{4A7FD95B-11E7-4923-961F-5524B1A87ACF}"/>
            </a:ext>
          </a:extLst>
        </xdr:cNvPr>
        <xdr:cNvSpPr/>
      </xdr:nvSpPr>
      <xdr:spPr>
        <a:xfrm>
          <a:off x="7620" y="319278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7620</xdr:colOff>
      <xdr:row>32</xdr:row>
      <xdr:rowOff>144780</xdr:rowOff>
    </xdr:from>
    <xdr:to>
      <xdr:col>1</xdr:col>
      <xdr:colOff>15240</xdr:colOff>
      <xdr:row>32</xdr:row>
      <xdr:rowOff>441960</xdr:rowOff>
    </xdr:to>
    <xdr:sp macro="" textlink="">
      <xdr:nvSpPr>
        <xdr:cNvPr id="11" name="Arrow: Down 10">
          <a:hlinkClick xmlns:r="http://schemas.openxmlformats.org/officeDocument/2006/relationships" r:id="rId10" tooltip="SUMMARY entry"/>
          <a:extLst>
            <a:ext uri="{FF2B5EF4-FFF2-40B4-BE49-F238E27FC236}">
              <a16:creationId xmlns:a16="http://schemas.microsoft.com/office/drawing/2014/main" id="{E9401996-91D6-4D02-B3D2-7FEC72887A41}"/>
            </a:ext>
          </a:extLst>
        </xdr:cNvPr>
        <xdr:cNvSpPr/>
      </xdr:nvSpPr>
      <xdr:spPr>
        <a:xfrm>
          <a:off x="7620" y="894588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860</xdr:row>
      <xdr:rowOff>373380</xdr:rowOff>
    </xdr:from>
    <xdr:to>
      <xdr:col>1</xdr:col>
      <xdr:colOff>15240</xdr:colOff>
      <xdr:row>861</xdr:row>
      <xdr:rowOff>678180</xdr:rowOff>
    </xdr:to>
    <xdr:sp macro="" textlink="">
      <xdr:nvSpPr>
        <xdr:cNvPr id="12" name="Arrow: Up 11">
          <a:hlinkClick xmlns:r="http://schemas.openxmlformats.org/officeDocument/2006/relationships" r:id="rId11" tooltip="FLIPSIDE displayed above"/>
          <a:extLst>
            <a:ext uri="{FF2B5EF4-FFF2-40B4-BE49-F238E27FC236}">
              <a16:creationId xmlns:a16="http://schemas.microsoft.com/office/drawing/2014/main" id="{75E5904B-8535-4CD9-98D7-FF9A3100B50B}"/>
            </a:ext>
          </a:extLst>
        </xdr:cNvPr>
        <xdr:cNvSpPr/>
      </xdr:nvSpPr>
      <xdr:spPr>
        <a:xfrm>
          <a:off x="0" y="28746450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0</xdr:colOff>
      <xdr:row>870</xdr:row>
      <xdr:rowOff>0</xdr:rowOff>
    </xdr:from>
    <xdr:to>
      <xdr:col>1</xdr:col>
      <xdr:colOff>15240</xdr:colOff>
      <xdr:row>870</xdr:row>
      <xdr:rowOff>685800</xdr:rowOff>
    </xdr:to>
    <xdr:sp macro="" textlink="">
      <xdr:nvSpPr>
        <xdr:cNvPr id="13" name="Arrow: Up 12">
          <a:hlinkClick xmlns:r="http://schemas.openxmlformats.org/officeDocument/2006/relationships" r:id="rId12" tooltip="SUMMARY displayed above"/>
          <a:extLst>
            <a:ext uri="{FF2B5EF4-FFF2-40B4-BE49-F238E27FC236}">
              <a16:creationId xmlns:a16="http://schemas.microsoft.com/office/drawing/2014/main" id="{07DF35ED-F79C-4AC7-9926-70CA94FF3C3B}"/>
            </a:ext>
          </a:extLst>
        </xdr:cNvPr>
        <xdr:cNvSpPr/>
      </xdr:nvSpPr>
      <xdr:spPr>
        <a:xfrm>
          <a:off x="0" y="29080206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98331</xdr:colOff>
      <xdr:row>1698</xdr:row>
      <xdr:rowOff>28423</xdr:rowOff>
    </xdr:from>
    <xdr:to>
      <xdr:col>5</xdr:col>
      <xdr:colOff>11065</xdr:colOff>
      <xdr:row>1708</xdr:row>
      <xdr:rowOff>127915</xdr:rowOff>
    </xdr:to>
    <xdr:sp macro="" textlink="">
      <xdr:nvSpPr>
        <xdr:cNvPr id="14" name="Text Box 12">
          <a:extLst>
            <a:ext uri="{FF2B5EF4-FFF2-40B4-BE49-F238E27FC236}">
              <a16:creationId xmlns:a16="http://schemas.microsoft.com/office/drawing/2014/main" id="{67534407-D092-4409-8C8D-0E169D825648}"/>
            </a:ext>
          </a:extLst>
        </xdr:cNvPr>
        <xdr:cNvSpPr txBox="1"/>
      </xdr:nvSpPr>
      <xdr:spPr>
        <a:xfrm rot="21221143">
          <a:off x="98331" y="323710783"/>
          <a:ext cx="5871574" cy="1852092"/>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20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Whether law</a:t>
          </a:r>
          <a:r>
            <a:rPr lang="en-US" sz="20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breaker or law enforcer</a:t>
          </a:r>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indulging your need at another's expense lets you become the evil you fear in others.</a:t>
          </a:r>
        </a:p>
      </xdr:txBody>
    </xdr:sp>
    <xdr:clientData/>
  </xdr:twoCellAnchor>
  <xdr:twoCellAnchor>
    <xdr:from>
      <xdr:col>0</xdr:col>
      <xdr:colOff>45720</xdr:colOff>
      <xdr:row>1793</xdr:row>
      <xdr:rowOff>0</xdr:rowOff>
    </xdr:from>
    <xdr:to>
      <xdr:col>3</xdr:col>
      <xdr:colOff>1737360</xdr:colOff>
      <xdr:row>1793</xdr:row>
      <xdr:rowOff>0</xdr:rowOff>
    </xdr:to>
    <xdr:grpSp>
      <xdr:nvGrpSpPr>
        <xdr:cNvPr id="15" name="Group 14">
          <a:extLst>
            <a:ext uri="{FF2B5EF4-FFF2-40B4-BE49-F238E27FC236}">
              <a16:creationId xmlns:a16="http://schemas.microsoft.com/office/drawing/2014/main" id="{E96EAA6E-E7B7-45BA-A5AC-E5D5AC81A822}"/>
            </a:ext>
          </a:extLst>
        </xdr:cNvPr>
        <xdr:cNvGrpSpPr/>
      </xdr:nvGrpSpPr>
      <xdr:grpSpPr>
        <a:xfrm>
          <a:off x="45720" y="340377780"/>
          <a:ext cx="5486400" cy="0"/>
          <a:chOff x="45720" y="340583520"/>
          <a:chExt cx="5486400" cy="6762750"/>
        </a:xfrm>
      </xdr:grpSpPr>
      <xdr:pic>
        <xdr:nvPicPr>
          <xdr:cNvPr id="16" name="Ronald Reagan">
            <a:extLst>
              <a:ext uri="{FF2B5EF4-FFF2-40B4-BE49-F238E27FC236}">
                <a16:creationId xmlns:a16="http://schemas.microsoft.com/office/drawing/2014/main" id="{2E8F43BB-40C2-4A9C-8C4B-1600E6EBABB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5720" y="340583520"/>
            <a:ext cx="5410200" cy="6762750"/>
          </a:xfrm>
          <a:prstGeom prst="rect">
            <a:avLst/>
          </a:prstGeom>
        </xdr:spPr>
      </xdr:pic>
      <xdr:sp macro="" textlink="">
        <xdr:nvSpPr>
          <xdr:cNvPr id="17" name="TextBox 16">
            <a:extLst>
              <a:ext uri="{FF2B5EF4-FFF2-40B4-BE49-F238E27FC236}">
                <a16:creationId xmlns:a16="http://schemas.microsoft.com/office/drawing/2014/main" id="{D2D30E13-2BE9-44C1-A570-59EEF699E007}"/>
              </a:ext>
            </a:extLst>
          </xdr:cNvPr>
          <xdr:cNvSpPr txBox="1"/>
        </xdr:nvSpPr>
        <xdr:spPr>
          <a:xfrm>
            <a:off x="68580" y="341779860"/>
            <a:ext cx="2255520" cy="3497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ts val="2400"/>
              </a:lnSpc>
              <a:spcBef>
                <a:spcPts val="0"/>
              </a:spcBef>
              <a:spcAft>
                <a:spcPts val="0"/>
              </a:spcAft>
              <a:buClrTx/>
              <a:buSzTx/>
              <a:buFontTx/>
              <a:buNone/>
              <a:tabLst/>
              <a:defRPr/>
            </a:pP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panose="020B0604020202020204" pitchFamily="34" charset="0"/>
                <a:ea typeface="+mn-ea"/>
                <a:cs typeface="Arial" panose="020B0604020202020204" pitchFamily="34" charset="0"/>
              </a:rPr>
              <a:t>          </a:t>
            </a:r>
            <a:r>
              <a:rPr lang="en-US" sz="1800" b="1"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panose="020B0604020202020204" pitchFamily="34" charset="0"/>
                <a:ea typeface="+mn-ea"/>
                <a:cs typeface="Arial" panose="020B0604020202020204" pitchFamily="34" charset="0"/>
              </a:rPr>
              <a:t>  </a:t>
            </a: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"In this present crisis,"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to paraphrase Ronald Reagan,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"the </a:t>
            </a:r>
            <a:r>
              <a:rPr lang="en-US" sz="1800" b="1">
                <a:ln>
                  <a:solidFill>
                    <a:schemeClr val="tx1"/>
                  </a:solidFill>
                </a:ln>
                <a:solidFill>
                  <a:srgbClr val="FFABAD"/>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criminal justice system</a:t>
            </a:r>
            <a:r>
              <a:rPr lang="en-US" sz="1800" b="1" baseline="0">
                <a:ln>
                  <a:solidFill>
                    <a:schemeClr val="tx1"/>
                  </a:solidFill>
                </a:ln>
                <a:solidFill>
                  <a:srgbClr val="FFABAD"/>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spc="-100"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is not the solution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to the problem.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The </a:t>
            </a:r>
            <a:r>
              <a:rPr lang="en-US" sz="1800" b="1">
                <a:ln>
                  <a:solidFill>
                    <a:schemeClr val="tx1"/>
                  </a:solidFill>
                </a:ln>
                <a:solidFill>
                  <a:srgbClr val="FFABAD"/>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criminal justice system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i="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is</a:t>
            </a: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 the problem."</a:t>
            </a:r>
            <a:endParaRPr lang="en-US" sz="180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cs typeface="Arial" panose="020B0604020202020204" pitchFamily="34" charset="0"/>
            </a:endParaRPr>
          </a:p>
        </xdr:txBody>
      </xdr:sp>
      <xdr:sp macro="" textlink="">
        <xdr:nvSpPr>
          <xdr:cNvPr id="18" name="TextBox 17">
            <a:extLst>
              <a:ext uri="{FF2B5EF4-FFF2-40B4-BE49-F238E27FC236}">
                <a16:creationId xmlns:a16="http://schemas.microsoft.com/office/drawing/2014/main" id="{32DB36D9-FFA5-4C0A-9BDE-3B75D8232833}"/>
              </a:ext>
            </a:extLst>
          </xdr:cNvPr>
          <xdr:cNvSpPr txBox="1"/>
        </xdr:nvSpPr>
        <xdr:spPr>
          <a:xfrm>
            <a:off x="53340" y="340629240"/>
            <a:ext cx="5478780" cy="1219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The </a:t>
            </a:r>
            <a:r>
              <a:rPr lang="en-US" sz="1800" b="1">
                <a:ln>
                  <a:solidFill>
                    <a:schemeClr val="tx1"/>
                  </a:solidFill>
                </a:ln>
                <a:solidFill>
                  <a:srgbClr val="FFABAD"/>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criminal justice system </a:t>
            </a: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finds itself in a crisis by being that part of </a:t>
            </a:r>
            <a:r>
              <a:rPr lang="en-US" sz="2000" b="1" spc="-100"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government</a:t>
            </a:r>
            <a:r>
              <a:rPr lang="en-US" sz="20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 </a:t>
            </a: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with far more power than accountability. </a:t>
            </a:r>
          </a:p>
        </xdr:txBody>
      </xdr:sp>
      <xdr:sp macro="" textlink="">
        <xdr:nvSpPr>
          <xdr:cNvPr id="19" name="TextBox 18">
            <a:extLst>
              <a:ext uri="{FF2B5EF4-FFF2-40B4-BE49-F238E27FC236}">
                <a16:creationId xmlns:a16="http://schemas.microsoft.com/office/drawing/2014/main" id="{BA17004E-0630-4F76-AA02-D624A39EAEDA}"/>
              </a:ext>
            </a:extLst>
          </xdr:cNvPr>
          <xdr:cNvSpPr txBox="1"/>
        </xdr:nvSpPr>
        <xdr:spPr>
          <a:xfrm>
            <a:off x="91440" y="345239340"/>
            <a:ext cx="5067300" cy="1127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1800" b="1" spc="-100"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Its </a:t>
            </a:r>
            <a:r>
              <a:rPr lang="en-US" sz="1800" b="1" spc="-100" baseline="0">
                <a:ln>
                  <a:solidFill>
                    <a:schemeClr val="tx1"/>
                  </a:solidFill>
                </a:ln>
                <a:solidFill>
                  <a:srgbClr val="FFABAD"/>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adversarial system </a:t>
            </a:r>
            <a:r>
              <a:rPr lang="en-US" sz="1800" b="1" spc="-100"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gets anchored in untested beliefs, while the lives it impacts remains anchored painfully to reality.</a:t>
            </a:r>
          </a:p>
        </xdr:txBody>
      </xdr:sp>
      <xdr:sp macro="" textlink="">
        <xdr:nvSpPr>
          <xdr:cNvPr id="20" name="TextBox 19">
            <a:extLst>
              <a:ext uri="{FF2B5EF4-FFF2-40B4-BE49-F238E27FC236}">
                <a16:creationId xmlns:a16="http://schemas.microsoft.com/office/drawing/2014/main" id="{E686BCFB-F09A-41D3-BAA1-F0989CDFF43F}"/>
              </a:ext>
            </a:extLst>
          </xdr:cNvPr>
          <xdr:cNvSpPr txBox="1"/>
        </xdr:nvSpPr>
        <xdr:spPr>
          <a:xfrm>
            <a:off x="91440" y="346344240"/>
            <a:ext cx="5265420" cy="777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1800" b="1" spc="-100"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Reality is what happens when your beliefs have you looking the other way.</a:t>
            </a:r>
          </a:p>
        </xdr:txBody>
      </xdr:sp>
    </xdr:grpSp>
    <xdr:clientData/>
  </xdr:twoCellAnchor>
  <xdr:twoCellAnchor>
    <xdr:from>
      <xdr:col>35</xdr:col>
      <xdr:colOff>125334</xdr:colOff>
      <xdr:row>55</xdr:row>
      <xdr:rowOff>152976</xdr:rowOff>
    </xdr:from>
    <xdr:to>
      <xdr:col>58</xdr:col>
      <xdr:colOff>227667</xdr:colOff>
      <xdr:row>58</xdr:row>
      <xdr:rowOff>454479</xdr:rowOff>
    </xdr:to>
    <xdr:sp macro="" textlink="">
      <xdr:nvSpPr>
        <xdr:cNvPr id="21" name="Text Box 4">
          <a:extLst>
            <a:ext uri="{FF2B5EF4-FFF2-40B4-BE49-F238E27FC236}">
              <a16:creationId xmlns:a16="http://schemas.microsoft.com/office/drawing/2014/main" id="{A9B3302F-9589-494E-864D-A474193457E8}"/>
            </a:ext>
          </a:extLst>
        </xdr:cNvPr>
        <xdr:cNvSpPr txBox="1"/>
      </xdr:nvSpPr>
      <xdr:spPr>
        <a:xfrm>
          <a:off x="18341340" y="21321336"/>
          <a:ext cx="0" cy="1505463"/>
        </a:xfrm>
        <a:prstGeom prst="rect">
          <a:avLst/>
        </a:prstGeom>
        <a:solidFill>
          <a:srgbClr val="FFE1FF">
            <a:alpha val="85098"/>
          </a:srgbClr>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2800"/>
            </a:lnSpc>
            <a:spcBef>
              <a:spcPts val="0"/>
            </a:spcBef>
            <a:spcAft>
              <a:spcPts val="0"/>
            </a:spcAft>
            <a:tabLst>
              <a:tab pos="3200400" algn="r"/>
            </a:tabLst>
          </a:pP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We know without doubt that the vast majority of </a:t>
          </a:r>
          <a:r>
            <a:rPr lang="en-US" sz="1600" b="1" u="none" strike="noStrike">
              <a:ln w="3175" cap="rnd" cmpd="sng" algn="ctr">
                <a:solidFill>
                  <a:srgbClr val="7030A0"/>
                </a:solidFill>
                <a:prstDash val="solid"/>
                <a:bevel/>
              </a:ln>
              <a:solidFill>
                <a:srgbClr val="FFFF00"/>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innocent defendants</a:t>
          </a:r>
          <a:r>
            <a:rPr lang="en-US" sz="1600" b="1" u="none" strike="noStrike">
              <a:ln w="3175" cap="rnd" cmpd="sng" algn="ctr">
                <a:solidFill>
                  <a:srgbClr val="7030A0"/>
                </a:solidFill>
                <a:prstDash val="solid"/>
                <a:bevel/>
              </a:ln>
              <a:solidFill>
                <a:srgbClr val="70AD47"/>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who are </a:t>
          </a:r>
          <a:r>
            <a:rPr lang="en-US" sz="1600" b="1" u="none" strike="noStrike">
              <a:ln w="3175" cap="rnd" cmpd="sng" algn="ctr">
                <a:solidFill>
                  <a:srgbClr val="7030A0"/>
                </a:solidFill>
                <a:prstDash val="solid"/>
                <a:bevel/>
              </a:ln>
              <a:solidFill>
                <a:schemeClr val="tx1"/>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convicted</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of crimes</a:t>
          </a:r>
          <a:r>
            <a:rPr lang="en-US" sz="1600" b="1" u="none" strike="noStrike">
              <a:ln w="3175" cap="rnd" cmpd="sng" algn="ctr">
                <a:solidFill>
                  <a:srgbClr val="7030A0"/>
                </a:solidFill>
                <a:prstDash val="solid"/>
                <a:bevel/>
              </a:ln>
              <a:solidFill>
                <a:srgbClr val="B9FFD9"/>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B9FFD9"/>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800" b="1" u="none" strike="noStrike">
              <a:ln w="3175" cap="rnd" cmpd="sng" algn="ctr">
                <a:solidFill>
                  <a:srgbClr val="7030A0"/>
                </a:solidFill>
                <a:prstDash val="solid"/>
                <a:bevel/>
              </a:ln>
              <a:solidFill>
                <a:srgbClr val="FF7C80"/>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are never identified and cleared</a:t>
          </a: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a:p>
          <a:pPr marL="685800" marR="349250" indent="-228600" algn="ctr">
            <a:lnSpc>
              <a:spcPts val="1400"/>
            </a:lnSpc>
            <a:spcBef>
              <a:spcPts val="600"/>
            </a:spcBef>
            <a:spcAft>
              <a:spcPts val="0"/>
            </a:spcAft>
            <a:tabLst>
              <a:tab pos="3200400" algn="r"/>
            </a:tabLst>
          </a:pPr>
          <a:r>
            <a:rPr lang="en-US" sz="1050">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Samuel R. Gross, </a:t>
          </a:r>
          <a:r>
            <a:rPr lang="en-US" sz="1050" i="1">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NRE</a:t>
          </a:r>
          <a:endParaRPr lang="en-US" sz="105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763269</xdr:colOff>
      <xdr:row>1732</xdr:row>
      <xdr:rowOff>24766</xdr:rowOff>
    </xdr:from>
    <xdr:to>
      <xdr:col>4</xdr:col>
      <xdr:colOff>156844</xdr:colOff>
      <xdr:row>1741</xdr:row>
      <xdr:rowOff>17146</xdr:rowOff>
    </xdr:to>
    <xdr:sp macro="" textlink="">
      <xdr:nvSpPr>
        <xdr:cNvPr id="22" name="Text Box 9">
          <a:extLst>
            <a:ext uri="{FF2B5EF4-FFF2-40B4-BE49-F238E27FC236}">
              <a16:creationId xmlns:a16="http://schemas.microsoft.com/office/drawing/2014/main" id="{B30B37F9-E5D3-4D0A-AE7F-8F05CC1217DC}"/>
            </a:ext>
          </a:extLst>
        </xdr:cNvPr>
        <xdr:cNvSpPr txBox="1"/>
      </xdr:nvSpPr>
      <xdr:spPr>
        <a:xfrm rot="582896">
          <a:off x="2104389" y="329665966"/>
          <a:ext cx="3820795" cy="1569720"/>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nSpc>
              <a:spcPts val="3200"/>
            </a:lnSpc>
            <a:spcBef>
              <a:spcPts val="0"/>
            </a:spcBef>
            <a:spcAft>
              <a:spcPts val="0"/>
            </a:spcAft>
            <a:tabLst>
              <a:tab pos="3200400" algn="r"/>
            </a:tabLst>
          </a:pPr>
          <a:r>
            <a:rPr lang="en-US" sz="18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What often gets categorized as justice is no justice at all.</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228599</xdr:colOff>
      <xdr:row>1723</xdr:row>
      <xdr:rowOff>167641</xdr:rowOff>
    </xdr:from>
    <xdr:to>
      <xdr:col>3</xdr:col>
      <xdr:colOff>1920239</xdr:colOff>
      <xdr:row>1732</xdr:row>
      <xdr:rowOff>160021</xdr:rowOff>
    </xdr:to>
    <xdr:sp macro="" textlink="">
      <xdr:nvSpPr>
        <xdr:cNvPr id="23" name="Text Box 7">
          <a:extLst>
            <a:ext uri="{FF2B5EF4-FFF2-40B4-BE49-F238E27FC236}">
              <a16:creationId xmlns:a16="http://schemas.microsoft.com/office/drawing/2014/main" id="{861A665C-FA5A-4027-8426-904632650407}"/>
            </a:ext>
          </a:extLst>
        </xdr:cNvPr>
        <xdr:cNvSpPr txBox="1"/>
      </xdr:nvSpPr>
      <xdr:spPr>
        <a:xfrm rot="21249537">
          <a:off x="228599" y="328231501"/>
          <a:ext cx="5486400" cy="1569720"/>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nSpc>
              <a:spcPts val="3200"/>
            </a:lnSpc>
            <a:spcBef>
              <a:spcPts val="0"/>
            </a:spcBef>
            <a:spcAft>
              <a:spcPts val="0"/>
            </a:spcAft>
            <a:tabLst>
              <a:tab pos="3200400" algn="r"/>
            </a:tabLst>
          </a:pPr>
          <a:r>
            <a:rPr lang="en-US" sz="18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Any unfairness in the process for justice rarely results in the fairness of justice</a:t>
          </a:r>
          <a:r>
            <a:rPr lang="en-US" sz="1800" b="1" u="sng">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27</xdr:col>
      <xdr:colOff>45719</xdr:colOff>
      <xdr:row>714</xdr:row>
      <xdr:rowOff>489495</xdr:rowOff>
    </xdr:from>
    <xdr:to>
      <xdr:col>42</xdr:col>
      <xdr:colOff>165100</xdr:colOff>
      <xdr:row>719</xdr:row>
      <xdr:rowOff>55881</xdr:rowOff>
    </xdr:to>
    <xdr:sp macro="" textlink="">
      <xdr:nvSpPr>
        <xdr:cNvPr id="24" name="TextBox 23">
          <a:extLst>
            <a:ext uri="{FF2B5EF4-FFF2-40B4-BE49-F238E27FC236}">
              <a16:creationId xmlns:a16="http://schemas.microsoft.com/office/drawing/2014/main" id="{199F8DB2-DFE0-4259-B513-5D8F6333F72C}"/>
            </a:ext>
          </a:extLst>
        </xdr:cNvPr>
        <xdr:cNvSpPr txBox="1"/>
      </xdr:nvSpPr>
      <xdr:spPr>
        <a:xfrm>
          <a:off x="18341340" y="254220255"/>
          <a:ext cx="0" cy="12732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Request</a:t>
          </a:r>
          <a:r>
            <a:rPr lang="en-US" sz="1100" b="1" i="0" u="none" strike="noStrike" baseline="0">
              <a:solidFill>
                <a:schemeClr val="dk1"/>
              </a:solidFill>
              <a:effectLst/>
              <a:latin typeface="+mn-lt"/>
              <a:ea typeface="+mn-ea"/>
              <a:cs typeface="+mn-cs"/>
            </a:rPr>
            <a:t> not honored:</a:t>
          </a:r>
        </a:p>
        <a:p>
          <a:r>
            <a:rPr lang="en-US" sz="1100" b="0" i="0" u="none" strike="noStrike" baseline="0">
              <a:solidFill>
                <a:schemeClr val="dk1"/>
              </a:solidFill>
              <a:effectLst/>
              <a:latin typeface="+mn-lt"/>
              <a:ea typeface="+mn-ea"/>
              <a:cs typeface="+mn-cs"/>
            </a:rPr>
            <a:t>Prioritizing assistance to claimants on death row</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life sentance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long sentences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still in prison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61</xdr:col>
      <xdr:colOff>268876</xdr:colOff>
      <xdr:row>713</xdr:row>
      <xdr:rowOff>117565</xdr:rowOff>
    </xdr:from>
    <xdr:to>
      <xdr:col>74</xdr:col>
      <xdr:colOff>207917</xdr:colOff>
      <xdr:row>714</xdr:row>
      <xdr:rowOff>1763486</xdr:rowOff>
    </xdr:to>
    <xdr:sp macro="" textlink="">
      <xdr:nvSpPr>
        <xdr:cNvPr id="25" name="TextBox 24">
          <a:extLst>
            <a:ext uri="{FF2B5EF4-FFF2-40B4-BE49-F238E27FC236}">
              <a16:creationId xmlns:a16="http://schemas.microsoft.com/office/drawing/2014/main" id="{2C2999F3-A14F-4686-849A-3E2E937CB7B6}"/>
            </a:ext>
          </a:extLst>
        </xdr:cNvPr>
        <xdr:cNvSpPr txBox="1"/>
      </xdr:nvSpPr>
      <xdr:spPr>
        <a:xfrm>
          <a:off x="18341340" y="253673065"/>
          <a:ext cx="0" cy="822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review URL</a:t>
          </a:r>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link does not work</a:t>
          </a:r>
        </a:p>
        <a:p>
          <a:r>
            <a:rPr lang="en-US" sz="1100" b="0" i="0" u="none" strike="noStrike" baseline="0">
              <a:solidFill>
                <a:schemeClr val="dk1"/>
              </a:solidFill>
              <a:effectLst/>
              <a:latin typeface="+mn-lt"/>
              <a:ea typeface="+mn-ea"/>
              <a:cs typeface="+mn-cs"/>
            </a:rPr>
            <a:t>link works unreliably</a:t>
          </a:r>
        </a:p>
        <a:p>
          <a:r>
            <a:rPr lang="en-US" sz="1100" b="0" i="0" u="none" strike="noStrike" baseline="0">
              <a:solidFill>
                <a:schemeClr val="dk1"/>
              </a:solidFill>
              <a:effectLst/>
              <a:latin typeface="+mn-lt"/>
              <a:ea typeface="+mn-ea"/>
              <a:cs typeface="+mn-cs"/>
            </a:rPr>
            <a:t>link works, document(s) not found</a:t>
          </a:r>
        </a:p>
        <a:p>
          <a:r>
            <a:rPr lang="en-US" sz="1100" b="0" i="0" u="none" strike="noStrike" baseline="0">
              <a:solidFill>
                <a:schemeClr val="dk1"/>
              </a:solidFill>
              <a:effectLst/>
              <a:latin typeface="+mn-lt"/>
              <a:ea typeface="+mn-ea"/>
              <a:cs typeface="+mn-cs"/>
            </a:rPr>
            <a:t>link works, some of document(s) found</a:t>
          </a:r>
        </a:p>
        <a:p>
          <a:r>
            <a:rPr lang="en-US" sz="1100" b="0" i="0" u="none" strike="noStrike" baseline="0">
              <a:solidFill>
                <a:schemeClr val="dk1"/>
              </a:solidFill>
              <a:effectLst/>
              <a:latin typeface="+mn-lt"/>
              <a:ea typeface="+mn-ea"/>
              <a:cs typeface="+mn-cs"/>
            </a:rPr>
            <a:t>link works, all of document(s) found</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39</xdr:col>
      <xdr:colOff>76200</xdr:colOff>
      <xdr:row>727</xdr:row>
      <xdr:rowOff>21771</xdr:rowOff>
    </xdr:from>
    <xdr:to>
      <xdr:col>39</xdr:col>
      <xdr:colOff>250372</xdr:colOff>
      <xdr:row>727</xdr:row>
      <xdr:rowOff>67490</xdr:rowOff>
    </xdr:to>
    <xdr:sp macro="" textlink="">
      <xdr:nvSpPr>
        <xdr:cNvPr id="26" name="TextBox 25">
          <a:extLst>
            <a:ext uri="{FF2B5EF4-FFF2-40B4-BE49-F238E27FC236}">
              <a16:creationId xmlns:a16="http://schemas.microsoft.com/office/drawing/2014/main" id="{EAEEE151-32EB-45A1-AA4D-01FA5A92ACC4}"/>
            </a:ext>
          </a:extLst>
        </xdr:cNvPr>
        <xdr:cNvSpPr txBox="1"/>
      </xdr:nvSpPr>
      <xdr:spPr>
        <a:xfrm>
          <a:off x="18341340" y="256968171"/>
          <a:ext cx="0"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57</xdr:col>
      <xdr:colOff>18507</xdr:colOff>
      <xdr:row>791</xdr:row>
      <xdr:rowOff>139337</xdr:rowOff>
    </xdr:from>
    <xdr:to>
      <xdr:col>61</xdr:col>
      <xdr:colOff>261257</xdr:colOff>
      <xdr:row>791</xdr:row>
      <xdr:rowOff>1077686</xdr:rowOff>
    </xdr:to>
    <xdr:sp macro="" textlink="">
      <xdr:nvSpPr>
        <xdr:cNvPr id="27" name="TextBox 26">
          <a:extLst>
            <a:ext uri="{FF2B5EF4-FFF2-40B4-BE49-F238E27FC236}">
              <a16:creationId xmlns:a16="http://schemas.microsoft.com/office/drawing/2014/main" id="{BF9CA119-2AD3-4E76-AD35-0C810CDD93CF}"/>
            </a:ext>
          </a:extLst>
        </xdr:cNvPr>
        <xdr:cNvSpPr txBox="1"/>
      </xdr:nvSpPr>
      <xdr:spPr>
        <a:xfrm>
          <a:off x="18341340" y="271076057"/>
          <a:ext cx="0" cy="816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options:</a:t>
          </a:r>
          <a:endParaRPr lang="en-US" sz="1100" b="1"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during incarceration</a:t>
          </a:r>
        </a:p>
        <a:p>
          <a:r>
            <a:rPr lang="en-US" sz="1100" b="0" i="0" u="none" strike="noStrike" baseline="0">
              <a:solidFill>
                <a:schemeClr val="dk1"/>
              </a:solidFill>
              <a:effectLst/>
              <a:latin typeface="+mn-lt"/>
              <a:ea typeface="+mn-ea"/>
              <a:cs typeface="+mn-cs"/>
            </a:rPr>
            <a:t>since incarceration</a:t>
          </a:r>
        </a:p>
        <a:p>
          <a:r>
            <a:rPr lang="en-US" sz="1100" b="0" i="0" u="none" strike="noStrike" baseline="0">
              <a:solidFill>
                <a:schemeClr val="dk1"/>
              </a:solidFill>
              <a:effectLst/>
              <a:latin typeface="+mn-lt"/>
              <a:ea typeface="+mn-ea"/>
              <a:cs typeface="+mn-cs"/>
            </a:rPr>
            <a:t>during and since incarceration</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editAs="oneCell">
    <xdr:from>
      <xdr:col>0</xdr:col>
      <xdr:colOff>257767</xdr:colOff>
      <xdr:row>764</xdr:row>
      <xdr:rowOff>397328</xdr:rowOff>
    </xdr:from>
    <xdr:to>
      <xdr:col>2</xdr:col>
      <xdr:colOff>1335932</xdr:colOff>
      <xdr:row>764</xdr:row>
      <xdr:rowOff>1924594</xdr:rowOff>
    </xdr:to>
    <xdr:pic>
      <xdr:nvPicPr>
        <xdr:cNvPr id="28" name="Picture 27" descr="Maps, Country, America, States, Land, Geography, Us">
          <a:hlinkClick xmlns:r="http://schemas.openxmlformats.org/officeDocument/2006/relationships" r:id="rId14" tooltip="Clicking on map takes you to a website listing collateral consequences by state."/>
          <a:extLst>
            <a:ext uri="{FF2B5EF4-FFF2-40B4-BE49-F238E27FC236}">
              <a16:creationId xmlns:a16="http://schemas.microsoft.com/office/drawing/2014/main" id="{EB8AA3BC-641C-4D0E-B3DA-E4B3CB67CB53}"/>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57767" y="264712268"/>
          <a:ext cx="2419285" cy="1527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83</xdr:col>
      <xdr:colOff>223067</xdr:colOff>
      <xdr:row>1195</xdr:row>
      <xdr:rowOff>284025</xdr:rowOff>
    </xdr:from>
    <xdr:to>
      <xdr:col>87</xdr:col>
      <xdr:colOff>240846</xdr:colOff>
      <xdr:row>1249</xdr:row>
      <xdr:rowOff>0</xdr:rowOff>
    </xdr:to>
    <xdr:sp macro="" textlink="">
      <xdr:nvSpPr>
        <xdr:cNvPr id="29" name="TextBox 28">
          <a:extLst>
            <a:ext uri="{FF2B5EF4-FFF2-40B4-BE49-F238E27FC236}">
              <a16:creationId xmlns:a16="http://schemas.microsoft.com/office/drawing/2014/main" id="{D730B8CE-3ADD-4C9F-9241-D77DE0308D6B}"/>
            </a:ext>
          </a:extLst>
        </xdr:cNvPr>
        <xdr:cNvSpPr txBox="1"/>
      </xdr:nvSpPr>
      <xdr:spPr>
        <a:xfrm>
          <a:off x="18341340" y="3060115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how know</a:t>
          </a:r>
          <a:r>
            <a:rPr lang="en-US" sz="1100" b="1" i="0" u="none" strike="noStrike" baseline="0">
              <a:solidFill>
                <a:schemeClr val="dk1"/>
              </a:solidFill>
              <a:effectLst/>
              <a:latin typeface="+mn-lt"/>
              <a:ea typeface="+mn-ea"/>
              <a:cs typeface="+mn-cs"/>
            </a:rPr>
            <a:t> each other:</a:t>
          </a:r>
        </a:p>
        <a:p>
          <a:r>
            <a:rPr lang="en-US" sz="1100" b="0" i="0" u="none" strike="noStrike" baseline="0">
              <a:solidFill>
                <a:schemeClr val="dk1"/>
              </a:solidFill>
              <a:effectLst/>
              <a:latin typeface="+mn-lt"/>
              <a:ea typeface="+mn-ea"/>
              <a:cs typeface="+mn-cs"/>
            </a:rPr>
            <a:t>family</a:t>
          </a:r>
        </a:p>
        <a:p>
          <a:r>
            <a:rPr lang="en-US" sz="1100" b="0" i="0" u="none" strike="noStrike" baseline="0">
              <a:solidFill>
                <a:schemeClr val="dk1"/>
              </a:solidFill>
              <a:effectLst/>
              <a:latin typeface="+mn-lt"/>
              <a:ea typeface="+mn-ea"/>
              <a:cs typeface="+mn-cs"/>
            </a:rPr>
            <a:t>friend</a:t>
          </a:r>
        </a:p>
        <a:p>
          <a:r>
            <a:rPr lang="en-US" sz="1100" b="0" i="0" u="none" strike="noStrike" baseline="0">
              <a:solidFill>
                <a:schemeClr val="dk1"/>
              </a:solidFill>
              <a:effectLst/>
              <a:latin typeface="+mn-lt"/>
              <a:ea typeface="+mn-ea"/>
              <a:cs typeface="+mn-cs"/>
            </a:rPr>
            <a:t>work/school colleague</a:t>
          </a:r>
        </a:p>
        <a:p>
          <a:r>
            <a:rPr lang="en-US" sz="1100" b="0" i="0" u="none" strike="noStrike" baseline="0">
              <a:solidFill>
                <a:schemeClr val="dk1"/>
              </a:solidFill>
              <a:effectLst/>
              <a:latin typeface="+mn-lt"/>
              <a:ea typeface="+mn-ea"/>
              <a:cs typeface="+mn-cs"/>
            </a:rPr>
            <a:t>casual acquaintance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professional acquaintance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social media only</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by referral only</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do not personally know (yet)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other</a:t>
          </a:r>
          <a:endParaRPr lang="en-US">
            <a:effectLst/>
          </a:endParaRPr>
        </a:p>
        <a:p>
          <a:endParaRPr lang="en-US" sz="1100" b="0" i="0" u="none" strike="noStrike" baseline="0">
            <a:solidFill>
              <a:schemeClr val="dk1"/>
            </a:solidFill>
            <a:effectLst/>
            <a:latin typeface="+mn-lt"/>
            <a:ea typeface="+mn-ea"/>
            <a:cs typeface="+mn-cs"/>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0</xdr:col>
      <xdr:colOff>16328</xdr:colOff>
      <xdr:row>2061</xdr:row>
      <xdr:rowOff>149134</xdr:rowOff>
    </xdr:from>
    <xdr:to>
      <xdr:col>3</xdr:col>
      <xdr:colOff>1652452</xdr:colOff>
      <xdr:row>2075</xdr:row>
      <xdr:rowOff>4354</xdr:rowOff>
    </xdr:to>
    <xdr:sp macro="" textlink="">
      <xdr:nvSpPr>
        <xdr:cNvPr id="30" name="TextBox 29">
          <a:extLst>
            <a:ext uri="{FF2B5EF4-FFF2-40B4-BE49-F238E27FC236}">
              <a16:creationId xmlns:a16="http://schemas.microsoft.com/office/drawing/2014/main" id="{5F321DD6-1EAD-41C7-BA77-2F452CEE068C}"/>
            </a:ext>
          </a:extLst>
        </xdr:cNvPr>
        <xdr:cNvSpPr txBox="1"/>
      </xdr:nvSpPr>
      <xdr:spPr>
        <a:xfrm>
          <a:off x="16328" y="340339680"/>
          <a:ext cx="543088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1800" b="1">
              <a:solidFill>
                <a:sysClr val="windowText" lastClr="000000"/>
              </a:solidFill>
              <a:effectLst>
                <a:glow rad="25400">
                  <a:schemeClr val="bg1"/>
                </a:glow>
                <a:outerShdw dist="38100" dir="2400000" algn="tl" rotWithShape="0">
                  <a:srgbClr val="000000"/>
                </a:outerShdw>
              </a:effectLst>
              <a:latin typeface="Arial Black" panose="020B0A04020102020204" pitchFamily="34" charset="0"/>
              <a:ea typeface="+mn-ea"/>
              <a:cs typeface="Arial" panose="020B0604020202020204" pitchFamily="34" charset="0"/>
            </a:rPr>
            <a:t>Prosecutors are essentially accountable</a:t>
          </a:r>
          <a:r>
            <a:rPr lang="en-US" sz="1800" b="1" baseline="0">
              <a:solidFill>
                <a:sysClr val="windowText" lastClr="000000"/>
              </a:solidFill>
              <a:effectLst>
                <a:glow rad="25400">
                  <a:schemeClr val="bg1"/>
                </a:glow>
                <a:outerShdw dist="38100" dir="2400000" algn="tl" rotWithShape="0">
                  <a:srgbClr val="000000"/>
                </a:outerShdw>
              </a:effectLst>
              <a:latin typeface="Arial Black" panose="020B0A04020102020204" pitchFamily="34" charset="0"/>
              <a:ea typeface="+mn-ea"/>
              <a:cs typeface="Arial" panose="020B0604020202020204" pitchFamily="34" charset="0"/>
            </a:rPr>
            <a:t> to no one. They enjoy immunities, </a:t>
          </a:r>
          <a:endParaRPr lang="en-US" sz="1800" b="1">
            <a:solidFill>
              <a:sysClr val="windowText" lastClr="000000"/>
            </a:solidFill>
            <a:effectLst>
              <a:glow rad="25400">
                <a:schemeClr val="bg1"/>
              </a:glow>
              <a:outerShdw dist="38100" dir="2400000" algn="tl" rotWithShape="0">
                <a:srgbClr val="000000"/>
              </a:outerShdw>
            </a:effectLst>
            <a:latin typeface="Arial Black" panose="020B0A04020102020204" pitchFamily="34" charset="0"/>
            <a:ea typeface="+mn-ea"/>
            <a:cs typeface="Arial" panose="020B0604020202020204" pitchFamily="34" charset="0"/>
          </a:endParaRPr>
        </a:p>
      </xdr:txBody>
    </xdr:sp>
    <xdr:clientData/>
  </xdr:twoCellAnchor>
  <xdr:twoCellAnchor>
    <xdr:from>
      <xdr:col>46</xdr:col>
      <xdr:colOff>190500</xdr:colOff>
      <xdr:row>1558</xdr:row>
      <xdr:rowOff>116408</xdr:rowOff>
    </xdr:from>
    <xdr:to>
      <xdr:col>64</xdr:col>
      <xdr:colOff>196931</xdr:colOff>
      <xdr:row>1580</xdr:row>
      <xdr:rowOff>28574</xdr:rowOff>
    </xdr:to>
    <xdr:sp macro="" textlink="">
      <xdr:nvSpPr>
        <xdr:cNvPr id="31" name="TextBox 30">
          <a:extLst>
            <a:ext uri="{FF2B5EF4-FFF2-40B4-BE49-F238E27FC236}">
              <a16:creationId xmlns:a16="http://schemas.microsoft.com/office/drawing/2014/main" id="{83151849-C53C-45EF-A362-80050AC1F500}"/>
            </a:ext>
          </a:extLst>
        </xdr:cNvPr>
        <xdr:cNvSpPr txBox="1"/>
      </xdr:nvSpPr>
      <xdr:spPr>
        <a:xfrm>
          <a:off x="18341340" y="3060115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how know</a:t>
          </a:r>
          <a:r>
            <a:rPr lang="en-US" sz="1100" b="1" i="0" u="none" strike="noStrike" baseline="0">
              <a:solidFill>
                <a:schemeClr val="dk1"/>
              </a:solidFill>
              <a:effectLst/>
              <a:latin typeface="+mn-lt"/>
              <a:ea typeface="+mn-ea"/>
              <a:cs typeface="+mn-cs"/>
            </a:rPr>
            <a:t> each other:</a:t>
          </a:r>
        </a:p>
        <a:p>
          <a:r>
            <a:rPr lang="en-US" sz="1100" b="0" i="0" u="none" strike="noStrike" baseline="0">
              <a:solidFill>
                <a:schemeClr val="dk1"/>
              </a:solidFill>
              <a:effectLst/>
              <a:latin typeface="+mn-lt"/>
              <a:ea typeface="+mn-ea"/>
              <a:cs typeface="+mn-cs"/>
            </a:rPr>
            <a:t>I pledge my reputation that I have no personal relation with claimant or their supporters</a:t>
          </a:r>
        </a:p>
        <a:p>
          <a:r>
            <a:rPr lang="en-US" sz="1100" b="0" i="0" u="none" strike="noStrike" baseline="0">
              <a:solidFill>
                <a:schemeClr val="dk1"/>
              </a:solidFill>
              <a:effectLst/>
              <a:latin typeface="+mn-lt"/>
              <a:ea typeface="+mn-ea"/>
              <a:cs typeface="+mn-cs"/>
            </a:rPr>
            <a:t>I pledge my </a:t>
          </a:r>
          <a:r>
            <a:rPr lang="en-US" sz="1100" b="0" i="0" baseline="0">
              <a:solidFill>
                <a:schemeClr val="dk1"/>
              </a:solidFill>
              <a:effectLst/>
              <a:latin typeface="+mn-lt"/>
              <a:ea typeface="+mn-ea"/>
              <a:cs typeface="+mn-cs"/>
            </a:rPr>
            <a:t>reputation</a:t>
          </a:r>
          <a:r>
            <a:rPr lang="en-US" sz="1100" b="0" i="0" u="none" strike="noStrike" baseline="0">
              <a:solidFill>
                <a:schemeClr val="dk1"/>
              </a:solidFill>
              <a:effectLst/>
              <a:latin typeface="+mn-lt"/>
              <a:ea typeface="+mn-ea"/>
              <a:cs typeface="+mn-cs"/>
            </a:rPr>
            <a:t> that I have only a professional relation with claimant through: ____</a:t>
          </a:r>
        </a:p>
        <a:p>
          <a:r>
            <a:rPr lang="en-US" sz="1100" b="0" i="0" u="none" strike="noStrike" baseline="0">
              <a:solidFill>
                <a:schemeClr val="dk1"/>
              </a:solidFill>
              <a:effectLst/>
              <a:latin typeface="+mn-lt"/>
              <a:ea typeface="+mn-ea"/>
              <a:cs typeface="+mn-cs"/>
            </a:rPr>
            <a:t>I pledge my </a:t>
          </a:r>
          <a:r>
            <a:rPr lang="en-US" sz="1100" b="0" i="0" baseline="0">
              <a:solidFill>
                <a:schemeClr val="dk1"/>
              </a:solidFill>
              <a:effectLst/>
              <a:latin typeface="+mn-lt"/>
              <a:ea typeface="+mn-ea"/>
              <a:cs typeface="+mn-cs"/>
            </a:rPr>
            <a:t>reputation</a:t>
          </a:r>
          <a:r>
            <a:rPr lang="en-US" sz="1100" b="0" i="0" u="none" strike="noStrike" baseline="0">
              <a:solidFill>
                <a:schemeClr val="dk1"/>
              </a:solidFill>
              <a:effectLst/>
              <a:latin typeface="+mn-lt"/>
              <a:ea typeface="+mn-ea"/>
              <a:cs typeface="+mn-cs"/>
            </a:rPr>
            <a:t> that I only know claimant through a common contact</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I was involved in the claimant's prosecution in some extent</a:t>
          </a:r>
        </a:p>
        <a:p>
          <a:r>
            <a:rPr lang="en-US" sz="1100" b="0" i="0" u="none" strike="noStrike" baseline="0">
              <a:solidFill>
                <a:schemeClr val="dk1"/>
              </a:solidFill>
              <a:effectLst/>
              <a:latin typeface="+mn-lt"/>
              <a:ea typeface="+mn-ea"/>
              <a:cs typeface="+mn-cs"/>
            </a:rPr>
            <a:t>I am a member of the criminal justice system never involved in this case</a:t>
          </a:r>
        </a:p>
        <a:p>
          <a:r>
            <a:rPr lang="en-US" sz="1100" b="0" i="0" u="none" strike="noStrike" baseline="0">
              <a:solidFill>
                <a:schemeClr val="dk1"/>
              </a:solidFill>
              <a:effectLst/>
              <a:latin typeface="+mn-lt"/>
              <a:ea typeface="+mn-ea"/>
              <a:cs typeface="+mn-cs"/>
            </a:rPr>
            <a:t>I personally know victim that led to claimant's indictment and conviction</a:t>
          </a:r>
        </a:p>
        <a:p>
          <a:r>
            <a:rPr lang="en-US" sz="1100" b="0" i="0" u="none" strike="noStrike" baseline="0">
              <a:solidFill>
                <a:schemeClr val="dk1"/>
              </a:solidFill>
              <a:effectLst/>
              <a:latin typeface="+mn-lt"/>
              <a:ea typeface="+mn-ea"/>
              <a:cs typeface="+mn-cs"/>
            </a:rPr>
            <a:t>I am the complainant behind claimant's indictment and conviction</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 I am fully independent and do not personally know claimant or any listed supporter ]]</a:t>
          </a:r>
        </a:p>
        <a:p>
          <a:r>
            <a:rPr lang="en-US" sz="1100" b="1" i="0" u="none" strike="noStrike" baseline="0">
              <a:solidFill>
                <a:schemeClr val="dk1"/>
              </a:solidFill>
              <a:effectLst/>
              <a:latin typeface="+mn-lt"/>
              <a:ea typeface="+mn-ea"/>
              <a:cs typeface="+mn-cs"/>
            </a:rPr>
            <a:t>I do not personally know claimant nor any listed supporters nor previously involved in this case</a:t>
          </a:r>
        </a:p>
        <a:p>
          <a:r>
            <a:rPr lang="en-US" sz="1100" b="0" i="0" u="none" strike="noStrike" baseline="0">
              <a:solidFill>
                <a:schemeClr val="dk1"/>
              </a:solidFill>
              <a:effectLst/>
              <a:latin typeface="+mn-lt"/>
              <a:ea typeface="+mn-ea"/>
              <a:cs typeface="+mn-cs"/>
            </a:rPr>
            <a:t>[ I am fully independent and accountable to the professional entity identified below ]</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I personally know proxy or one or more of claimant's listed supporters</a:t>
          </a:r>
        </a:p>
        <a:p>
          <a:r>
            <a:rPr lang="en-US" sz="1100" b="0" i="0" u="none" strike="noStrike" baseline="0">
              <a:solidFill>
                <a:schemeClr val="dk1"/>
              </a:solidFill>
              <a:effectLst/>
              <a:latin typeface="+mn-lt"/>
              <a:ea typeface="+mn-ea"/>
              <a:cs typeface="+mn-cs"/>
            </a:rPr>
            <a:t>I personally know claimant but I am not (yet) a listed supporter</a:t>
          </a:r>
        </a:p>
        <a:p>
          <a:r>
            <a:rPr lang="en-US" sz="1100" b="0" i="0" u="none" strike="noStrike" baseline="0">
              <a:solidFill>
                <a:schemeClr val="dk1"/>
              </a:solidFill>
              <a:effectLst/>
              <a:latin typeface="+mn-lt"/>
              <a:ea typeface="+mn-ea"/>
              <a:cs typeface="+mn-cs"/>
            </a:rPr>
            <a:t>I am one of claimant's listed supporters</a:t>
          </a:r>
        </a:p>
        <a:p>
          <a:r>
            <a:rPr lang="en-US" sz="1100" b="0" i="0" u="none" strike="noStrike" baseline="0">
              <a:solidFill>
                <a:schemeClr val="dk1"/>
              </a:solidFill>
              <a:effectLst/>
              <a:latin typeface="+mn-lt"/>
              <a:ea typeface="+mn-ea"/>
              <a:cs typeface="+mn-cs"/>
            </a:rPr>
            <a:t>I am claimant's proxy supporter</a:t>
          </a:r>
        </a:p>
        <a:p>
          <a:r>
            <a:rPr lang="en-US" sz="1100" b="0" i="0" u="none" strike="noStrike" baseline="0">
              <a:solidFill>
                <a:schemeClr val="dk1"/>
              </a:solidFill>
              <a:effectLst/>
              <a:latin typeface="+mn-lt"/>
              <a:ea typeface="+mn-ea"/>
              <a:cs typeface="+mn-cs"/>
            </a:rPr>
            <a:t>I am the claimant</a:t>
          </a:r>
        </a:p>
        <a:p>
          <a:r>
            <a:rPr lang="en-US" sz="1100" b="0" i="0" u="none" strike="noStrike" baseline="0">
              <a:solidFill>
                <a:schemeClr val="dk1"/>
              </a:solidFill>
              <a:effectLst/>
              <a:latin typeface="+mn-lt"/>
              <a:ea typeface="+mn-ea"/>
              <a:cs typeface="+mn-cs"/>
            </a:rPr>
            <a:t>Other: _____</a:t>
          </a:r>
          <a:endParaRPr lang="en-US">
            <a:effectLst/>
          </a:endParaRPr>
        </a:p>
        <a:p>
          <a:endParaRPr lang="en-US" sz="1100" b="0" i="0" u="none" strike="noStrike" baseline="0">
            <a:solidFill>
              <a:schemeClr val="dk1"/>
            </a:solidFill>
            <a:effectLst/>
            <a:latin typeface="+mn-lt"/>
            <a:ea typeface="+mn-ea"/>
            <a:cs typeface="+mn-cs"/>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0</xdr:col>
      <xdr:colOff>238125</xdr:colOff>
      <xdr:row>2119</xdr:row>
      <xdr:rowOff>160020</xdr:rowOff>
    </xdr:from>
    <xdr:to>
      <xdr:col>3</xdr:col>
      <xdr:colOff>1259205</xdr:colOff>
      <xdr:row>2130</xdr:row>
      <xdr:rowOff>80010</xdr:rowOff>
    </xdr:to>
    <xdr:sp macro="" textlink="">
      <xdr:nvSpPr>
        <xdr:cNvPr id="32" name="TextBox 31">
          <a:extLst>
            <a:ext uri="{FF2B5EF4-FFF2-40B4-BE49-F238E27FC236}">
              <a16:creationId xmlns:a16="http://schemas.microsoft.com/office/drawing/2014/main" id="{18552CD4-5721-4C15-BA43-47142D50C24A}"/>
            </a:ext>
          </a:extLst>
        </xdr:cNvPr>
        <xdr:cNvSpPr txBox="1"/>
      </xdr:nvSpPr>
      <xdr:spPr>
        <a:xfrm>
          <a:off x="238125" y="340339680"/>
          <a:ext cx="4815840" cy="0"/>
        </a:xfrm>
        <a:prstGeom prst="rect">
          <a:avLst/>
        </a:prstGeom>
        <a:solidFill>
          <a:srgbClr val="FFCCCC">
            <a:alpha val="30196"/>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Tahoma" panose="020B0604030504040204" pitchFamily="34" charset="0"/>
              <a:ea typeface="Tahoma" panose="020B0604030504040204" pitchFamily="34" charset="0"/>
              <a:cs typeface="Tahoma" panose="020B0604030504040204" pitchFamily="34" charset="0"/>
            </a:rPr>
            <a:t>innocence denier</a:t>
          </a:r>
        </a:p>
        <a:p>
          <a:r>
            <a:rPr lang="en-US" sz="2000" b="1">
              <a:latin typeface="Tahoma" panose="020B0604030504040204" pitchFamily="34" charset="0"/>
              <a:ea typeface="Tahoma" panose="020B0604030504040204" pitchFamily="34" charset="0"/>
              <a:cs typeface="Tahoma" panose="020B0604030504040204" pitchFamily="34" charset="0"/>
            </a:rPr>
            <a:t>innocence consciousness</a:t>
          </a:r>
        </a:p>
        <a:p>
          <a:endParaRPr lang="en-US" sz="1100"/>
        </a:p>
      </xdr:txBody>
    </xdr:sp>
    <xdr:clientData/>
  </xdr:twoCellAnchor>
  <xdr:twoCellAnchor>
    <xdr:from>
      <xdr:col>1</xdr:col>
      <xdr:colOff>723900</xdr:colOff>
      <xdr:row>2125</xdr:row>
      <xdr:rowOff>20955</xdr:rowOff>
    </xdr:from>
    <xdr:to>
      <xdr:col>4</xdr:col>
      <xdr:colOff>32385</xdr:colOff>
      <xdr:row>2135</xdr:row>
      <xdr:rowOff>120015</xdr:rowOff>
    </xdr:to>
    <xdr:sp macro="" textlink="">
      <xdr:nvSpPr>
        <xdr:cNvPr id="33" name="TextBox 32">
          <a:extLst>
            <a:ext uri="{FF2B5EF4-FFF2-40B4-BE49-F238E27FC236}">
              <a16:creationId xmlns:a16="http://schemas.microsoft.com/office/drawing/2014/main" id="{7E17918F-EDB1-4F5C-97AB-127BC1EB4902}"/>
            </a:ext>
          </a:extLst>
        </xdr:cNvPr>
        <xdr:cNvSpPr txBox="1"/>
      </xdr:nvSpPr>
      <xdr:spPr>
        <a:xfrm>
          <a:off x="982980" y="340339680"/>
          <a:ext cx="4817745" cy="0"/>
        </a:xfrm>
        <a:prstGeom prst="rect">
          <a:avLst/>
        </a:prstGeom>
        <a:solidFill>
          <a:srgbClr val="FFCCCC">
            <a:alpha val="30196"/>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Tahoma" panose="020B0604030504040204" pitchFamily="34" charset="0"/>
              <a:ea typeface="Tahoma" panose="020B0604030504040204" pitchFamily="34" charset="0"/>
              <a:cs typeface="Tahoma" panose="020B0604030504040204" pitchFamily="34" charset="0"/>
            </a:rPr>
            <a:t>incentivized conviction rates?</a:t>
          </a:r>
        </a:p>
        <a:p>
          <a:endParaRPr lang="en-US" sz="1100"/>
        </a:p>
        <a:p>
          <a:endParaRPr lang="en-US" sz="1100"/>
        </a:p>
        <a:p>
          <a:r>
            <a:rPr lang="en-US"/>
            <a:t>Four types of prosecutorial misconduct are offering inadmissible evidence in court, suppressing evidence from the defense, encouraging deceit from witnesses, and prosecutorial bluffing (threats or intimidation).</a:t>
          </a:r>
          <a:endParaRPr lang="en-US" sz="1100"/>
        </a:p>
      </xdr:txBody>
    </xdr:sp>
    <xdr:clientData/>
  </xdr:twoCellAnchor>
  <xdr:twoCellAnchor>
    <xdr:from>
      <xdr:col>1</xdr:col>
      <xdr:colOff>1905</xdr:colOff>
      <xdr:row>2133</xdr:row>
      <xdr:rowOff>110490</xdr:rowOff>
    </xdr:from>
    <xdr:to>
      <xdr:col>3</xdr:col>
      <xdr:colOff>1238250</xdr:colOff>
      <xdr:row>2144</xdr:row>
      <xdr:rowOff>34290</xdr:rowOff>
    </xdr:to>
    <xdr:sp macro="" textlink="">
      <xdr:nvSpPr>
        <xdr:cNvPr id="34" name="TextBox 33">
          <a:hlinkClick xmlns:r="http://schemas.openxmlformats.org/officeDocument/2006/relationships" r:id="rId16"/>
          <a:extLst>
            <a:ext uri="{FF2B5EF4-FFF2-40B4-BE49-F238E27FC236}">
              <a16:creationId xmlns:a16="http://schemas.microsoft.com/office/drawing/2014/main" id="{831A988B-073F-4510-B6A5-B121EC688962}"/>
            </a:ext>
          </a:extLst>
        </xdr:cNvPr>
        <xdr:cNvSpPr txBox="1"/>
      </xdr:nvSpPr>
      <xdr:spPr>
        <a:xfrm>
          <a:off x="260985" y="340339680"/>
          <a:ext cx="4772025" cy="0"/>
        </a:xfrm>
        <a:prstGeom prst="rect">
          <a:avLst/>
        </a:prstGeom>
        <a:solidFill>
          <a:srgbClr val="FFCCCC">
            <a:alpha val="30196"/>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Tahoma" panose="020B0604030504040204" pitchFamily="34" charset="0"/>
              <a:ea typeface="Tahoma" panose="020B0604030504040204" pitchFamily="34" charset="0"/>
              <a:cs typeface="Tahoma" panose="020B0604030504040204" pitchFamily="34" charset="0"/>
            </a:rPr>
            <a:t>4 types of prosecutorial</a:t>
          </a:r>
          <a:r>
            <a:rPr lang="en-US" sz="2000" b="1" baseline="0">
              <a:latin typeface="Tahoma" panose="020B0604030504040204" pitchFamily="34" charset="0"/>
              <a:ea typeface="Tahoma" panose="020B0604030504040204" pitchFamily="34" charset="0"/>
              <a:cs typeface="Tahoma" panose="020B0604030504040204" pitchFamily="34" charset="0"/>
            </a:rPr>
            <a:t> misconduct</a:t>
          </a:r>
          <a:endParaRPr lang="en-US" sz="2000" b="1">
            <a:latin typeface="Tahoma" panose="020B0604030504040204" pitchFamily="34" charset="0"/>
            <a:ea typeface="Tahoma" panose="020B0604030504040204" pitchFamily="34" charset="0"/>
            <a:cs typeface="Tahoma" panose="020B0604030504040204" pitchFamily="34" charset="0"/>
          </a:endParaRPr>
        </a:p>
        <a:p>
          <a:endParaRPr lang="en-US" sz="1100"/>
        </a:p>
        <a:p>
          <a:endParaRPr lang="en-US" sz="1100"/>
        </a:p>
        <a:p>
          <a:r>
            <a:rPr lang="en-US"/>
            <a:t>Four types of prosecutorial misconduct are offering inadmissible evidence in court, suppressing evidence from the defense, encouraging deceit from witnesses, and prosecutorial bluffing (threats or intimidation).</a:t>
          </a:r>
          <a:endParaRPr lang="en-US" sz="1100"/>
        </a:p>
      </xdr:txBody>
    </xdr:sp>
    <xdr:clientData/>
  </xdr:twoCellAnchor>
  <xdr:twoCellAnchor>
    <xdr:from>
      <xdr:col>41</xdr:col>
      <xdr:colOff>62592</xdr:colOff>
      <xdr:row>163</xdr:row>
      <xdr:rowOff>102054</xdr:rowOff>
    </xdr:from>
    <xdr:to>
      <xdr:col>58</xdr:col>
      <xdr:colOff>291192</xdr:colOff>
      <xdr:row>172</xdr:row>
      <xdr:rowOff>174171</xdr:rowOff>
    </xdr:to>
    <xdr:sp macro="" textlink="">
      <xdr:nvSpPr>
        <xdr:cNvPr id="35" name="TextBox 34">
          <a:extLst>
            <a:ext uri="{FF2B5EF4-FFF2-40B4-BE49-F238E27FC236}">
              <a16:creationId xmlns:a16="http://schemas.microsoft.com/office/drawing/2014/main" id="{73B7C2DE-0408-482A-BD4D-E7C7FD3D5D39}"/>
            </a:ext>
          </a:extLst>
        </xdr:cNvPr>
        <xdr:cNvSpPr txBox="1"/>
      </xdr:nvSpPr>
      <xdr:spPr>
        <a:xfrm>
          <a:off x="18341340" y="46004934"/>
          <a:ext cx="0" cy="2350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Involvement</a:t>
          </a:r>
          <a:r>
            <a:rPr lang="en-US" sz="1100"/>
            <a:t>:</a:t>
          </a:r>
        </a:p>
        <a:p>
          <a:endParaRPr lang="en-US" sz="1100"/>
        </a:p>
        <a:p>
          <a:r>
            <a:rPr lang="en-US" sz="1100"/>
            <a:t>alleged crime never occured</a:t>
          </a:r>
        </a:p>
        <a:p>
          <a:r>
            <a:rPr lang="en-US" sz="1100"/>
            <a:t>not</a:t>
          </a:r>
          <a:r>
            <a:rPr lang="en-US" sz="1100" baseline="0"/>
            <a:t> present during alleged incident nor played any role</a:t>
          </a:r>
        </a:p>
        <a:p>
          <a:r>
            <a:rPr lang="en-US" sz="1100" baseline="0"/>
            <a:t>present after </a:t>
          </a:r>
          <a:r>
            <a:rPr lang="en-US" sz="1100" baseline="0">
              <a:solidFill>
                <a:schemeClr val="dk1"/>
              </a:solidFill>
              <a:effectLst/>
              <a:latin typeface="+mn-lt"/>
              <a:ea typeface="+mn-ea"/>
              <a:cs typeface="+mn-cs"/>
            </a:rPr>
            <a:t>alleged</a:t>
          </a:r>
          <a:r>
            <a:rPr lang="en-US" sz="1100" baseline="0"/>
            <a:t> incident but played no role in any criminal act</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present prior to alleged incident but played no role in any criminal act</a:t>
          </a:r>
          <a:endParaRPr lang="en-US">
            <a:effectLst/>
          </a:endParaRPr>
        </a:p>
        <a:p>
          <a:r>
            <a:rPr lang="en-US" sz="1100" baseline="0">
              <a:solidFill>
                <a:schemeClr val="dk1"/>
              </a:solidFill>
              <a:effectLst/>
              <a:latin typeface="+mn-lt"/>
              <a:ea typeface="+mn-ea"/>
              <a:cs typeface="+mn-cs"/>
            </a:rPr>
            <a:t>present during alleged incident but never witnessed any criminal act</a:t>
          </a:r>
          <a:endParaRPr lang="en-US" sz="1100" baseline="0"/>
        </a:p>
        <a:p>
          <a:r>
            <a:rPr lang="en-US" sz="1100" baseline="0"/>
            <a:t>present during alleged incident but played </a:t>
          </a:r>
          <a:r>
            <a:rPr lang="en-US" sz="1100"/>
            <a:t>no role in any</a:t>
          </a:r>
          <a:r>
            <a:rPr lang="en-US" sz="1100" baseline="0"/>
            <a:t> criminal act</a:t>
          </a:r>
        </a:p>
        <a:p>
          <a:r>
            <a:rPr lang="en-US" sz="1100" baseline="0">
              <a:solidFill>
                <a:schemeClr val="dk1"/>
              </a:solidFill>
              <a:effectLst/>
              <a:latin typeface="+mn-lt"/>
              <a:ea typeface="+mn-ea"/>
              <a:cs typeface="+mn-cs"/>
            </a:rPr>
            <a:t>present during alleged incident as another but unidentified victim</a:t>
          </a:r>
          <a:endParaRPr lang="en-US" sz="1100"/>
        </a:p>
        <a:p>
          <a:r>
            <a:rPr lang="en-US" sz="1100"/>
            <a:t>played a minimal role in situation</a:t>
          </a:r>
          <a:r>
            <a:rPr lang="en-US" sz="1100" baseline="0"/>
            <a:t> in a way not explicitly criminal</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involved in assisting complainant but played no role in alleged criminal act</a:t>
          </a:r>
          <a:endParaRPr lang="en-US">
            <a:effectLst/>
          </a:endParaRPr>
        </a:p>
        <a:p>
          <a:r>
            <a:rPr lang="en-US" sz="1100" baseline="0"/>
            <a:t>entrapped by police or informant to act in way not explicitly criminal</a:t>
          </a:r>
        </a:p>
        <a:p>
          <a:r>
            <a:rPr lang="en-US" sz="1100" baseline="0"/>
            <a:t>other (of actual innocence)</a:t>
          </a:r>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a:p>
      </xdr:txBody>
    </xdr:sp>
    <xdr:clientData/>
  </xdr:twoCellAnchor>
  <xdr:twoCellAnchor>
    <xdr:from>
      <xdr:col>58</xdr:col>
      <xdr:colOff>522514</xdr:colOff>
      <xdr:row>148</xdr:row>
      <xdr:rowOff>302079</xdr:rowOff>
    </xdr:from>
    <xdr:to>
      <xdr:col>67</xdr:col>
      <xdr:colOff>127907</xdr:colOff>
      <xdr:row>159</xdr:row>
      <xdr:rowOff>130629</xdr:rowOff>
    </xdr:to>
    <xdr:sp macro="" textlink="">
      <xdr:nvSpPr>
        <xdr:cNvPr id="36" name="TextBox 35">
          <a:extLst>
            <a:ext uri="{FF2B5EF4-FFF2-40B4-BE49-F238E27FC236}">
              <a16:creationId xmlns:a16="http://schemas.microsoft.com/office/drawing/2014/main" id="{C1E73DC5-7274-4E59-8123-1811C783E4D1}"/>
            </a:ext>
          </a:extLst>
        </xdr:cNvPr>
        <xdr:cNvSpPr txBox="1"/>
      </xdr:nvSpPr>
      <xdr:spPr>
        <a:xfrm>
          <a:off x="18341340" y="42699759"/>
          <a:ext cx="0" cy="21983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Crimes you were convicted of: </a:t>
          </a:r>
        </a:p>
        <a:p>
          <a:r>
            <a:rPr lang="en-US" sz="1100"/>
            <a:t>murder</a:t>
          </a:r>
        </a:p>
        <a:p>
          <a:r>
            <a:rPr lang="en-US" sz="1100" baseline="0"/>
            <a:t>attempted murder</a:t>
          </a:r>
        </a:p>
        <a:p>
          <a:r>
            <a:rPr lang="en-US" sz="1100" baseline="0"/>
            <a:t>sexual assualt/rape</a:t>
          </a:r>
        </a:p>
        <a:p>
          <a:r>
            <a:rPr lang="en-US" sz="1100" baseline="0"/>
            <a:t>sexual assault of minor</a:t>
          </a:r>
        </a:p>
        <a:p>
          <a:r>
            <a:rPr lang="en-US" sz="1100" baseline="0"/>
            <a:t>burglary</a:t>
          </a:r>
        </a:p>
        <a:p>
          <a:r>
            <a:rPr lang="en-US" sz="1100" baseline="0"/>
            <a:t>robbery</a:t>
          </a:r>
        </a:p>
        <a:p>
          <a:r>
            <a:rPr lang="en-US" sz="1100" baseline="0"/>
            <a:t>arson</a:t>
          </a:r>
        </a:p>
        <a:p>
          <a:r>
            <a:rPr lang="en-US" sz="1100" baseline="0"/>
            <a:t>other (explain in box)</a:t>
          </a:r>
        </a:p>
      </xdr:txBody>
    </xdr:sp>
    <xdr:clientData/>
  </xdr:twoCellAnchor>
  <xdr:twoCellAnchor>
    <xdr:from>
      <xdr:col>32</xdr:col>
      <xdr:colOff>194583</xdr:colOff>
      <xdr:row>242</xdr:row>
      <xdr:rowOff>154306</xdr:rowOff>
    </xdr:from>
    <xdr:to>
      <xdr:col>38</xdr:col>
      <xdr:colOff>160020</xdr:colOff>
      <xdr:row>246</xdr:row>
      <xdr:rowOff>226696</xdr:rowOff>
    </xdr:to>
    <xdr:sp macro="" textlink="">
      <xdr:nvSpPr>
        <xdr:cNvPr id="37" name="TextBox 36">
          <a:extLst>
            <a:ext uri="{FF2B5EF4-FFF2-40B4-BE49-F238E27FC236}">
              <a16:creationId xmlns:a16="http://schemas.microsoft.com/office/drawing/2014/main" id="{F151B3DD-AA74-449B-9FBA-00EDFA5EBA48}"/>
            </a:ext>
          </a:extLst>
        </xdr:cNvPr>
        <xdr:cNvSpPr txBox="1"/>
      </xdr:nvSpPr>
      <xdr:spPr>
        <a:xfrm>
          <a:off x="18341340" y="64063246"/>
          <a:ext cx="0"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If multiple sentences: </a:t>
          </a:r>
        </a:p>
        <a:p>
          <a:r>
            <a:rPr lang="en-US" sz="1100" b="0" i="0" u="none" strike="noStrike" baseline="0">
              <a:solidFill>
                <a:schemeClr val="dk1"/>
              </a:solidFill>
              <a:latin typeface="+mn-lt"/>
              <a:ea typeface="+mn-ea"/>
              <a:cs typeface="+mn-cs"/>
            </a:rPr>
            <a:t>concurrent</a:t>
          </a:r>
        </a:p>
        <a:p>
          <a:r>
            <a:rPr lang="en-US" sz="1100" b="0" i="0" u="none" strike="noStrike" baseline="0">
              <a:solidFill>
                <a:schemeClr val="dk1"/>
              </a:solidFill>
              <a:latin typeface="+mn-lt"/>
              <a:ea typeface="+mn-ea"/>
              <a:cs typeface="+mn-cs"/>
            </a:rPr>
            <a:t>consecutive</a:t>
          </a:r>
        </a:p>
        <a:p>
          <a:endParaRPr lang="en-US" sz="1100"/>
        </a:p>
        <a:p>
          <a:endParaRPr lang="en-US" sz="1100" baseline="0"/>
        </a:p>
      </xdr:txBody>
    </xdr:sp>
    <xdr:clientData/>
  </xdr:twoCellAnchor>
  <xdr:twoCellAnchor>
    <xdr:from>
      <xdr:col>60</xdr:col>
      <xdr:colOff>323849</xdr:colOff>
      <xdr:row>150</xdr:row>
      <xdr:rowOff>42182</xdr:rowOff>
    </xdr:from>
    <xdr:to>
      <xdr:col>70</xdr:col>
      <xdr:colOff>183695</xdr:colOff>
      <xdr:row>163</xdr:row>
      <xdr:rowOff>130628</xdr:rowOff>
    </xdr:to>
    <xdr:sp macro="" textlink="">
      <xdr:nvSpPr>
        <xdr:cNvPr id="38" name="TextBox 37">
          <a:extLst>
            <a:ext uri="{FF2B5EF4-FFF2-40B4-BE49-F238E27FC236}">
              <a16:creationId xmlns:a16="http://schemas.microsoft.com/office/drawing/2014/main" id="{B399AD84-F658-4CE8-823B-E00DA7FE5C37}"/>
            </a:ext>
          </a:extLst>
        </xdr:cNvPr>
        <xdr:cNvSpPr txBox="1"/>
      </xdr:nvSpPr>
      <xdr:spPr>
        <a:xfrm>
          <a:off x="18341340" y="43041842"/>
          <a:ext cx="0" cy="29916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relation to claimant: </a:t>
          </a:r>
        </a:p>
        <a:p>
          <a:r>
            <a:rPr lang="en-US" sz="1100" b="0" i="0" u="none" strike="noStrike" baseline="0">
              <a:solidFill>
                <a:schemeClr val="dk1"/>
              </a:solidFill>
              <a:latin typeface="+mn-lt"/>
              <a:ea typeface="+mn-ea"/>
              <a:cs typeface="+mn-cs"/>
            </a:rPr>
            <a:t>[spouse at time of conviction]</a:t>
          </a:r>
        </a:p>
        <a:p>
          <a:r>
            <a:rPr lang="en-US" sz="1100" b="0" i="0" baseline="0">
              <a:solidFill>
                <a:schemeClr val="dk1"/>
              </a:solidFill>
              <a:effectLst/>
              <a:latin typeface="+mn-lt"/>
              <a:ea typeface="+mn-ea"/>
              <a:cs typeface="+mn-cs"/>
            </a:rPr>
            <a:t>trusted </a:t>
          </a:r>
          <a:r>
            <a:rPr lang="en-US" sz="1100" b="0" i="0" u="none" strike="noStrike" baseline="0">
              <a:solidFill>
                <a:schemeClr val="dk1"/>
              </a:solidFill>
              <a:latin typeface="+mn-lt"/>
              <a:ea typeface="+mn-ea"/>
              <a:cs typeface="+mn-cs"/>
            </a:rPr>
            <a:t>family member</a:t>
          </a:r>
        </a:p>
        <a:p>
          <a:r>
            <a:rPr lang="en-US" sz="1100" b="0" i="0" u="none" strike="noStrike" baseline="0">
              <a:solidFill>
                <a:schemeClr val="dk1"/>
              </a:solidFill>
              <a:latin typeface="+mn-lt"/>
              <a:ea typeface="+mn-ea"/>
              <a:cs typeface="+mn-cs"/>
            </a:rPr>
            <a:t>trusted friend </a:t>
          </a:r>
        </a:p>
        <a:p>
          <a:r>
            <a:rPr lang="en-US" sz="1100" b="0" i="0" u="none" strike="noStrike" baseline="0">
              <a:solidFill>
                <a:schemeClr val="dk1"/>
              </a:solidFill>
              <a:latin typeface="+mn-lt"/>
              <a:ea typeface="+mn-ea"/>
              <a:cs typeface="+mn-cs"/>
            </a:rPr>
            <a:t>trusted colleague</a:t>
          </a: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a:t>defense lawyer</a:t>
          </a:r>
          <a:r>
            <a:rPr lang="en-US" sz="1100" baseline="0"/>
            <a:t> at trial</a:t>
          </a:r>
        </a:p>
        <a:p>
          <a:r>
            <a:rPr lang="en-US" sz="1100" baseline="0"/>
            <a:t>defense lawyer after trial</a:t>
          </a:r>
        </a:p>
        <a:p>
          <a:r>
            <a:rPr lang="en-US" sz="1100" baseline="0"/>
            <a:t>appellate lawyer</a:t>
          </a:r>
        </a:p>
        <a:p>
          <a:r>
            <a:rPr lang="en-US" sz="1100" baseline="0"/>
            <a:t>investigative journalist</a:t>
          </a:r>
        </a:p>
        <a:p>
          <a:r>
            <a:rPr lang="en-US" sz="1100" baseline="0"/>
            <a:t>activist</a:t>
          </a:r>
        </a:p>
        <a:p>
          <a:r>
            <a:rPr lang="en-US" sz="1100" baseline="0"/>
            <a:t>Innocence Project staff/volunteer</a:t>
          </a:r>
        </a:p>
        <a:p>
          <a:r>
            <a:rPr lang="en-US" sz="1100" baseline="0"/>
            <a:t>criminal justice system victim advocate</a:t>
          </a:r>
        </a:p>
        <a:p>
          <a:r>
            <a:rPr lang="en-US" sz="1100" baseline="0"/>
            <a:t>other</a:t>
          </a:r>
          <a:endParaRPr lang="en-US" sz="1100"/>
        </a:p>
        <a:p>
          <a:endParaRPr lang="en-US" sz="1100" baseline="0"/>
        </a:p>
      </xdr:txBody>
    </xdr:sp>
    <xdr:clientData/>
  </xdr:twoCellAnchor>
  <xdr:twoCellAnchor>
    <xdr:from>
      <xdr:col>53</xdr:col>
      <xdr:colOff>297996</xdr:colOff>
      <xdr:row>160</xdr:row>
      <xdr:rowOff>32657</xdr:rowOff>
    </xdr:from>
    <xdr:to>
      <xdr:col>61</xdr:col>
      <xdr:colOff>115661</xdr:colOff>
      <xdr:row>164</xdr:row>
      <xdr:rowOff>138794</xdr:rowOff>
    </xdr:to>
    <xdr:sp macro="" textlink="">
      <xdr:nvSpPr>
        <xdr:cNvPr id="39" name="TextBox 38">
          <a:extLst>
            <a:ext uri="{FF2B5EF4-FFF2-40B4-BE49-F238E27FC236}">
              <a16:creationId xmlns:a16="http://schemas.microsoft.com/office/drawing/2014/main" id="{55775F19-AF44-4BF6-9447-573177FB5F30}"/>
            </a:ext>
          </a:extLst>
        </xdr:cNvPr>
        <xdr:cNvSpPr txBox="1"/>
      </xdr:nvSpPr>
      <xdr:spPr>
        <a:xfrm>
          <a:off x="18341340" y="45371657"/>
          <a:ext cx="0" cy="8605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language: </a:t>
          </a:r>
        </a:p>
        <a:p>
          <a:r>
            <a:rPr lang="en-US" sz="1100" b="0" i="0" u="none" strike="noStrike" baseline="0">
              <a:solidFill>
                <a:schemeClr val="dk1"/>
              </a:solidFill>
              <a:latin typeface="+mn-lt"/>
              <a:ea typeface="+mn-ea"/>
              <a:cs typeface="+mn-cs"/>
            </a:rPr>
            <a:t>English</a:t>
          </a:r>
        </a:p>
        <a:p>
          <a:r>
            <a:rPr lang="en-US" sz="1100" b="0" i="0" u="none" strike="noStrike" baseline="0">
              <a:solidFill>
                <a:schemeClr val="dk1"/>
              </a:solidFill>
              <a:latin typeface="+mn-lt"/>
              <a:ea typeface="+mn-ea"/>
              <a:cs typeface="+mn-cs"/>
            </a:rPr>
            <a:t>Spanish</a:t>
          </a:r>
        </a:p>
        <a:p>
          <a:r>
            <a:rPr lang="en-US" sz="1100" b="0" i="0" u="none" strike="noStrike" baseline="0">
              <a:solidFill>
                <a:schemeClr val="dk1"/>
              </a:solidFill>
              <a:latin typeface="+mn-lt"/>
              <a:ea typeface="+mn-ea"/>
              <a:cs typeface="+mn-cs"/>
            </a:rPr>
            <a:t>other (explain in </a:t>
          </a:r>
        </a:p>
        <a:p>
          <a:r>
            <a:rPr lang="en-US" sz="1100" b="0" i="0" u="none" strike="noStrike" baseline="0">
              <a:solidFill>
                <a:schemeClr val="dk1"/>
              </a:solidFill>
              <a:latin typeface="+mn-lt"/>
              <a:ea typeface="+mn-ea"/>
              <a:cs typeface="+mn-cs"/>
            </a:rPr>
            <a:t>box)</a:t>
          </a:r>
        </a:p>
        <a:p>
          <a:endParaRPr lang="en-US" sz="1100" b="0" i="0" u="none" strike="noStrike" baseline="0">
            <a:solidFill>
              <a:schemeClr val="dk1"/>
            </a:solidFill>
            <a:latin typeface="+mn-lt"/>
            <a:ea typeface="+mn-ea"/>
            <a:cs typeface="+mn-cs"/>
          </a:endParaRPr>
        </a:p>
        <a:p>
          <a:endParaRPr lang="en-US" sz="1100"/>
        </a:p>
        <a:p>
          <a:endParaRPr lang="en-US" sz="1100" baseline="0"/>
        </a:p>
      </xdr:txBody>
    </xdr:sp>
    <xdr:clientData/>
  </xdr:twoCellAnchor>
  <xdr:twoCellAnchor>
    <xdr:from>
      <xdr:col>0</xdr:col>
      <xdr:colOff>38099</xdr:colOff>
      <xdr:row>2361</xdr:row>
      <xdr:rowOff>38100</xdr:rowOff>
    </xdr:from>
    <xdr:to>
      <xdr:col>2</xdr:col>
      <xdr:colOff>628649</xdr:colOff>
      <xdr:row>2363</xdr:row>
      <xdr:rowOff>133350</xdr:rowOff>
    </xdr:to>
    <xdr:sp macro="" textlink="">
      <xdr:nvSpPr>
        <xdr:cNvPr id="40" name="Rectangle: Beveled 39">
          <a:hlinkClick xmlns:r="http://schemas.openxmlformats.org/officeDocument/2006/relationships" r:id="rId17"/>
          <a:extLst>
            <a:ext uri="{FF2B5EF4-FFF2-40B4-BE49-F238E27FC236}">
              <a16:creationId xmlns:a16="http://schemas.microsoft.com/office/drawing/2014/main" id="{FF685BF2-4757-4AF8-AA15-1336D296B932}"/>
            </a:ext>
          </a:extLst>
        </xdr:cNvPr>
        <xdr:cNvSpPr/>
      </xdr:nvSpPr>
      <xdr:spPr>
        <a:xfrm>
          <a:off x="38099" y="340339680"/>
          <a:ext cx="1931670" cy="0"/>
        </a:xfrm>
        <a:prstGeom prst="bevel">
          <a:avLst>
            <a:gd name="adj" fmla="val 15064"/>
          </a:avLst>
        </a:prstGeom>
        <a:gradFill flip="none" rotWithShape="1">
          <a:gsLst>
            <a:gs pos="0">
              <a:schemeClr val="accent4">
                <a:tint val="66000"/>
                <a:satMod val="160000"/>
              </a:schemeClr>
            </a:gs>
            <a:gs pos="50000">
              <a:schemeClr val="accent4">
                <a:tint val="44500"/>
                <a:satMod val="160000"/>
              </a:schemeClr>
            </a:gs>
            <a:gs pos="100000">
              <a:schemeClr val="accent4">
                <a:tint val="23500"/>
                <a:satMod val="160000"/>
              </a:schemeClr>
            </a:gs>
          </a:gsLst>
          <a:lin ang="16200000" scaled="1"/>
          <a:tileRect/>
        </a:gra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800">
              <a:solidFill>
                <a:srgbClr val="C00000"/>
              </a:solidFill>
              <a:latin typeface="Arial Black" panose="020B0A04020102020204" pitchFamily="34" charset="0"/>
            </a:rPr>
            <a:t>back to top</a:t>
          </a:r>
        </a:p>
      </xdr:txBody>
    </xdr:sp>
    <xdr:clientData/>
  </xdr:twoCellAnchor>
  <xdr:twoCellAnchor>
    <xdr:from>
      <xdr:col>33</xdr:col>
      <xdr:colOff>228600</xdr:colOff>
      <xdr:row>2389</xdr:row>
      <xdr:rowOff>114300</xdr:rowOff>
    </xdr:from>
    <xdr:to>
      <xdr:col>45</xdr:col>
      <xdr:colOff>142875</xdr:colOff>
      <xdr:row>2394</xdr:row>
      <xdr:rowOff>85725</xdr:rowOff>
    </xdr:to>
    <xdr:sp macro="" textlink="">
      <xdr:nvSpPr>
        <xdr:cNvPr id="41" name="TextBox 40">
          <a:extLst>
            <a:ext uri="{FF2B5EF4-FFF2-40B4-BE49-F238E27FC236}">
              <a16:creationId xmlns:a16="http://schemas.microsoft.com/office/drawing/2014/main" id="{657321F7-E5A6-4CED-948F-21013B02B839}"/>
            </a:ext>
          </a:extLst>
        </xdr:cNvPr>
        <xdr:cNvSpPr txBox="1"/>
      </xdr:nvSpPr>
      <xdr:spPr>
        <a:xfrm>
          <a:off x="18341340" y="3403396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gender: </a:t>
          </a:r>
        </a:p>
        <a:p>
          <a:r>
            <a:rPr lang="en-US" sz="1100" b="0" i="0" u="none" strike="noStrike" baseline="0">
              <a:solidFill>
                <a:schemeClr val="dk1"/>
              </a:solidFill>
              <a:latin typeface="+mn-lt"/>
              <a:ea typeface="+mn-ea"/>
              <a:cs typeface="+mn-cs"/>
            </a:rPr>
            <a:t>male</a:t>
          </a:r>
        </a:p>
        <a:p>
          <a:r>
            <a:rPr lang="en-US" sz="1100" b="0" i="0" u="none" strike="noStrike" baseline="0">
              <a:solidFill>
                <a:schemeClr val="dk1"/>
              </a:solidFill>
              <a:latin typeface="+mn-lt"/>
              <a:ea typeface="+mn-ea"/>
              <a:cs typeface="+mn-cs"/>
            </a:rPr>
            <a:t>female</a:t>
          </a:r>
        </a:p>
        <a:p>
          <a:r>
            <a:rPr lang="en-US" sz="1100" b="0" i="0" u="none" strike="noStrike" baseline="0">
              <a:solidFill>
                <a:schemeClr val="dk1"/>
              </a:solidFill>
              <a:latin typeface="+mn-lt"/>
              <a:ea typeface="+mn-ea"/>
              <a:cs typeface="+mn-cs"/>
            </a:rPr>
            <a:t>other (explain in box)</a:t>
          </a:r>
          <a:endParaRPr lang="en-US" sz="1100"/>
        </a:p>
        <a:p>
          <a:endParaRPr lang="en-US" sz="1100" baseline="0"/>
        </a:p>
      </xdr:txBody>
    </xdr:sp>
    <xdr:clientData/>
  </xdr:twoCellAnchor>
  <xdr:twoCellAnchor>
    <xdr:from>
      <xdr:col>39</xdr:col>
      <xdr:colOff>200025</xdr:colOff>
      <xdr:row>2405</xdr:row>
      <xdr:rowOff>57150</xdr:rowOff>
    </xdr:from>
    <xdr:to>
      <xdr:col>52</xdr:col>
      <xdr:colOff>57150</xdr:colOff>
      <xdr:row>2409</xdr:row>
      <xdr:rowOff>142875</xdr:rowOff>
    </xdr:to>
    <xdr:sp macro="" textlink="">
      <xdr:nvSpPr>
        <xdr:cNvPr id="42" name="TextBox 41">
          <a:extLst>
            <a:ext uri="{FF2B5EF4-FFF2-40B4-BE49-F238E27FC236}">
              <a16:creationId xmlns:a16="http://schemas.microsoft.com/office/drawing/2014/main" id="{4A253630-3FA7-4376-80E6-F71A0421FF96}"/>
            </a:ext>
          </a:extLst>
        </xdr:cNvPr>
        <xdr:cNvSpPr txBox="1"/>
      </xdr:nvSpPr>
      <xdr:spPr>
        <a:xfrm>
          <a:off x="18341340" y="3403396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language: </a:t>
          </a:r>
        </a:p>
        <a:p>
          <a:r>
            <a:rPr lang="en-US" sz="1100" b="0" i="0" u="none" strike="noStrike" baseline="0">
              <a:solidFill>
                <a:schemeClr val="dk1"/>
              </a:solidFill>
              <a:latin typeface="+mn-lt"/>
              <a:ea typeface="+mn-ea"/>
              <a:cs typeface="+mn-cs"/>
            </a:rPr>
            <a:t>English</a:t>
          </a:r>
        </a:p>
        <a:p>
          <a:r>
            <a:rPr lang="en-US" sz="1100" b="0" i="0" u="none" strike="noStrike" baseline="0">
              <a:solidFill>
                <a:schemeClr val="dk1"/>
              </a:solidFill>
              <a:latin typeface="+mn-lt"/>
              <a:ea typeface="+mn-ea"/>
              <a:cs typeface="+mn-cs"/>
            </a:rPr>
            <a:t>Spanish</a:t>
          </a:r>
        </a:p>
        <a:p>
          <a:r>
            <a:rPr lang="en-US" sz="1100" b="0" i="0" u="none" strike="noStrike" baseline="0">
              <a:solidFill>
                <a:schemeClr val="dk1"/>
              </a:solidFill>
              <a:latin typeface="+mn-lt"/>
              <a:ea typeface="+mn-ea"/>
              <a:cs typeface="+mn-cs"/>
            </a:rPr>
            <a:t>other (explain in </a:t>
          </a:r>
        </a:p>
        <a:p>
          <a:r>
            <a:rPr lang="en-US" sz="1100" b="0" i="0" u="none" strike="noStrike" baseline="0">
              <a:solidFill>
                <a:schemeClr val="dk1"/>
              </a:solidFill>
              <a:latin typeface="+mn-lt"/>
              <a:ea typeface="+mn-ea"/>
              <a:cs typeface="+mn-cs"/>
            </a:rPr>
            <a:t>box)</a:t>
          </a:r>
        </a:p>
        <a:p>
          <a:endParaRPr lang="en-US" sz="1100" b="0" i="0" u="none" strike="noStrike" baseline="0">
            <a:solidFill>
              <a:schemeClr val="dk1"/>
            </a:solidFill>
            <a:latin typeface="+mn-lt"/>
            <a:ea typeface="+mn-ea"/>
            <a:cs typeface="+mn-cs"/>
          </a:endParaRPr>
        </a:p>
        <a:p>
          <a:endParaRPr lang="en-US" sz="1100"/>
        </a:p>
        <a:p>
          <a:endParaRPr lang="en-US" sz="1100" baseline="0"/>
        </a:p>
      </xdr:txBody>
    </xdr:sp>
    <xdr:clientData/>
  </xdr:twoCellAnchor>
  <xdr:twoCellAnchor>
    <xdr:from>
      <xdr:col>39</xdr:col>
      <xdr:colOff>171450</xdr:colOff>
      <xdr:row>2393</xdr:row>
      <xdr:rowOff>152400</xdr:rowOff>
    </xdr:from>
    <xdr:to>
      <xdr:col>52</xdr:col>
      <xdr:colOff>28575</xdr:colOff>
      <xdr:row>2402</xdr:row>
      <xdr:rowOff>57150</xdr:rowOff>
    </xdr:to>
    <xdr:sp macro="" textlink="">
      <xdr:nvSpPr>
        <xdr:cNvPr id="43" name="TextBox 42">
          <a:extLst>
            <a:ext uri="{FF2B5EF4-FFF2-40B4-BE49-F238E27FC236}">
              <a16:creationId xmlns:a16="http://schemas.microsoft.com/office/drawing/2014/main" id="{F3A1B753-C220-42E2-9B47-915C73E9B26C}"/>
            </a:ext>
          </a:extLst>
        </xdr:cNvPr>
        <xdr:cNvSpPr txBox="1"/>
      </xdr:nvSpPr>
      <xdr:spPr>
        <a:xfrm>
          <a:off x="18341340" y="3403396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race: </a:t>
          </a:r>
        </a:p>
        <a:p>
          <a:r>
            <a:rPr lang="en-US" sz="1100" b="0" i="0" u="none" strike="noStrike" baseline="0">
              <a:solidFill>
                <a:schemeClr val="dk1"/>
              </a:solidFill>
              <a:latin typeface="+mn-lt"/>
              <a:ea typeface="+mn-ea"/>
              <a:cs typeface="+mn-cs"/>
            </a:rPr>
            <a:t>primarily white</a:t>
          </a:r>
        </a:p>
        <a:p>
          <a:r>
            <a:rPr lang="en-US" sz="1100" b="0" i="0" u="none" strike="noStrike" baseline="0">
              <a:solidFill>
                <a:schemeClr val="dk1"/>
              </a:solidFill>
              <a:latin typeface="+mn-lt"/>
              <a:ea typeface="+mn-ea"/>
              <a:cs typeface="+mn-cs"/>
            </a:rPr>
            <a:t>primarily black</a:t>
          </a:r>
        </a:p>
        <a:p>
          <a:r>
            <a:rPr lang="en-US" sz="1100" b="0" i="0" u="none" strike="noStrike" baseline="0">
              <a:solidFill>
                <a:schemeClr val="dk1"/>
              </a:solidFill>
              <a:latin typeface="+mn-lt"/>
              <a:ea typeface="+mn-ea"/>
              <a:cs typeface="+mn-cs"/>
            </a:rPr>
            <a:t>nonwhite hispanic</a:t>
          </a:r>
        </a:p>
        <a:p>
          <a:r>
            <a:rPr lang="en-US" sz="1100" b="0" i="0" u="none" strike="noStrike" baseline="0">
              <a:solidFill>
                <a:schemeClr val="dk1"/>
              </a:solidFill>
              <a:latin typeface="+mn-lt"/>
              <a:ea typeface="+mn-ea"/>
              <a:cs typeface="+mn-cs"/>
            </a:rPr>
            <a:t>other (explain in box)</a:t>
          </a:r>
          <a:endParaRPr lang="en-US" sz="1100"/>
        </a:p>
        <a:p>
          <a:endParaRPr lang="en-US" sz="1100" baseline="0"/>
        </a:p>
      </xdr:txBody>
    </xdr:sp>
    <xdr:clientData/>
  </xdr:twoCellAnchor>
  <xdr:twoCellAnchor>
    <xdr:from>
      <xdr:col>27</xdr:col>
      <xdr:colOff>95250</xdr:colOff>
      <xdr:row>2394</xdr:row>
      <xdr:rowOff>133350</xdr:rowOff>
    </xdr:from>
    <xdr:to>
      <xdr:col>39</xdr:col>
      <xdr:colOff>9525</xdr:colOff>
      <xdr:row>2401</xdr:row>
      <xdr:rowOff>95250</xdr:rowOff>
    </xdr:to>
    <xdr:sp macro="" textlink="">
      <xdr:nvSpPr>
        <xdr:cNvPr id="44" name="TextBox 43">
          <a:extLst>
            <a:ext uri="{FF2B5EF4-FFF2-40B4-BE49-F238E27FC236}">
              <a16:creationId xmlns:a16="http://schemas.microsoft.com/office/drawing/2014/main" id="{5768FFF5-2556-4D32-9A71-E725864AC967}"/>
            </a:ext>
          </a:extLst>
        </xdr:cNvPr>
        <xdr:cNvSpPr txBox="1"/>
      </xdr:nvSpPr>
      <xdr:spPr>
        <a:xfrm>
          <a:off x="18341340" y="3403396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how long knowing claimant: </a:t>
          </a:r>
        </a:p>
        <a:p>
          <a:r>
            <a:rPr lang="en-US" sz="1100" b="0" i="0" u="none" strike="noStrike" baseline="0">
              <a:solidFill>
                <a:schemeClr val="dk1"/>
              </a:solidFill>
              <a:latin typeface="+mn-lt"/>
              <a:ea typeface="+mn-ea"/>
              <a:cs typeface="+mn-cs"/>
            </a:rPr>
            <a:t>since claimant's childhood</a:t>
          </a:r>
        </a:p>
        <a:p>
          <a:r>
            <a:rPr lang="en-US" sz="1100" b="0" i="0" u="none" strike="noStrike" baseline="0">
              <a:solidFill>
                <a:schemeClr val="dk1"/>
              </a:solidFill>
              <a:latin typeface="+mn-lt"/>
              <a:ea typeface="+mn-ea"/>
              <a:cs typeface="+mn-cs"/>
            </a:rPr>
            <a:t>since before conviction</a:t>
          </a:r>
        </a:p>
        <a:p>
          <a:r>
            <a:rPr lang="en-US" sz="1100" b="0" i="0" u="none" strike="noStrike" baseline="0">
              <a:solidFill>
                <a:schemeClr val="dk1"/>
              </a:solidFill>
              <a:latin typeface="+mn-lt"/>
              <a:ea typeface="+mn-ea"/>
              <a:cs typeface="+mn-cs"/>
            </a:rPr>
            <a:t>since incarceration</a:t>
          </a:r>
        </a:p>
        <a:p>
          <a:r>
            <a:rPr lang="en-US" sz="1100" b="0" i="0" u="none" strike="noStrike" baseline="0">
              <a:solidFill>
                <a:schemeClr val="dk1"/>
              </a:solidFill>
              <a:latin typeface="+mn-lt"/>
              <a:ea typeface="+mn-ea"/>
              <a:cs typeface="+mn-cs"/>
            </a:rPr>
            <a:t>since release from incarceration</a:t>
          </a:r>
        </a:p>
        <a:p>
          <a:endParaRPr lang="en-US" sz="1100" b="0" i="0" u="none" strike="noStrike" baseline="0">
            <a:solidFill>
              <a:schemeClr val="dk1"/>
            </a:solidFill>
            <a:latin typeface="+mn-lt"/>
            <a:ea typeface="+mn-ea"/>
            <a:cs typeface="+mn-cs"/>
          </a:endParaRPr>
        </a:p>
        <a:p>
          <a:endParaRPr lang="en-US" sz="1100"/>
        </a:p>
        <a:p>
          <a:endParaRPr lang="en-US" sz="1100" baseline="0"/>
        </a:p>
      </xdr:txBody>
    </xdr:sp>
    <xdr:clientData/>
  </xdr:twoCellAnchor>
  <xdr:twoCellAnchor>
    <xdr:from>
      <xdr:col>55</xdr:col>
      <xdr:colOff>408214</xdr:colOff>
      <xdr:row>246</xdr:row>
      <xdr:rowOff>760640</xdr:rowOff>
    </xdr:from>
    <xdr:to>
      <xdr:col>63</xdr:col>
      <xdr:colOff>83002</xdr:colOff>
      <xdr:row>251</xdr:row>
      <xdr:rowOff>163286</xdr:rowOff>
    </xdr:to>
    <xdr:sp macro="" textlink="">
      <xdr:nvSpPr>
        <xdr:cNvPr id="45" name="TextBox 44">
          <a:extLst>
            <a:ext uri="{FF2B5EF4-FFF2-40B4-BE49-F238E27FC236}">
              <a16:creationId xmlns:a16="http://schemas.microsoft.com/office/drawing/2014/main" id="{14B596A7-EE54-417C-AEF3-A3732C3D89F1}"/>
            </a:ext>
          </a:extLst>
        </xdr:cNvPr>
        <xdr:cNvSpPr txBox="1"/>
      </xdr:nvSpPr>
      <xdr:spPr>
        <a:xfrm>
          <a:off x="18341340" y="65302040"/>
          <a:ext cx="0" cy="926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Co-defendant(s): </a:t>
          </a:r>
        </a:p>
        <a:p>
          <a:endParaRPr lang="en-US" sz="1100"/>
        </a:p>
        <a:p>
          <a:endParaRPr lang="en-US" sz="1100" baseline="0"/>
        </a:p>
      </xdr:txBody>
    </xdr:sp>
    <xdr:clientData/>
  </xdr:twoCellAnchor>
  <xdr:twoCellAnchor>
    <xdr:from>
      <xdr:col>58</xdr:col>
      <xdr:colOff>103413</xdr:colOff>
      <xdr:row>205</xdr:row>
      <xdr:rowOff>259897</xdr:rowOff>
    </xdr:from>
    <xdr:to>
      <xdr:col>65</xdr:col>
      <xdr:colOff>235402</xdr:colOff>
      <xdr:row>219</xdr:row>
      <xdr:rowOff>152400</xdr:rowOff>
    </xdr:to>
    <xdr:sp macro="" textlink="">
      <xdr:nvSpPr>
        <xdr:cNvPr id="46" name="TextBox 45">
          <a:extLst>
            <a:ext uri="{FF2B5EF4-FFF2-40B4-BE49-F238E27FC236}">
              <a16:creationId xmlns:a16="http://schemas.microsoft.com/office/drawing/2014/main" id="{FF1A7215-6061-4937-A96D-F00CCB60596F}"/>
            </a:ext>
          </a:extLst>
        </xdr:cNvPr>
        <xdr:cNvSpPr txBox="1"/>
      </xdr:nvSpPr>
      <xdr:spPr>
        <a:xfrm>
          <a:off x="18341340" y="57798517"/>
          <a:ext cx="0" cy="2490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Relation to complainant: </a:t>
          </a:r>
        </a:p>
        <a:p>
          <a:r>
            <a:rPr lang="en-US" sz="1100"/>
            <a:t>partner</a:t>
          </a:r>
        </a:p>
        <a:p>
          <a:r>
            <a:rPr lang="en-US" sz="1100"/>
            <a:t>family</a:t>
          </a:r>
        </a:p>
        <a:p>
          <a:r>
            <a:rPr lang="en-US" sz="1100"/>
            <a:t>close</a:t>
          </a:r>
          <a:r>
            <a:rPr lang="en-US" sz="1100" baseline="0"/>
            <a:t> </a:t>
          </a:r>
          <a:r>
            <a:rPr lang="en-US" sz="1100"/>
            <a:t>friend</a:t>
          </a:r>
        </a:p>
        <a:p>
          <a:r>
            <a:rPr lang="en-US" sz="1100"/>
            <a:t>casual</a:t>
          </a:r>
          <a:r>
            <a:rPr lang="en-US" sz="1100" baseline="0"/>
            <a:t> friend</a:t>
          </a:r>
          <a:endParaRPr lang="en-US" sz="1100"/>
        </a:p>
        <a:p>
          <a:r>
            <a:rPr lang="en-US" sz="1100"/>
            <a:t>acquaintance</a:t>
          </a:r>
        </a:p>
        <a:p>
          <a:r>
            <a:rPr lang="en-US" sz="1100"/>
            <a:t>stranger</a:t>
          </a:r>
        </a:p>
        <a:p>
          <a:endParaRPr lang="en-US" sz="1100"/>
        </a:p>
        <a:p>
          <a:r>
            <a:rPr lang="en-US" sz="1100" baseline="0"/>
            <a:t>=IF(D$110&gt;1,"NAME ","")</a:t>
          </a:r>
        </a:p>
        <a:p>
          <a:endParaRPr lang="en-US" sz="1100" baseline="0"/>
        </a:p>
        <a:p>
          <a:endParaRPr lang="en-US" sz="1100" baseline="0"/>
        </a:p>
        <a:p>
          <a:r>
            <a:rPr lang="en-US" sz="1100" baseline="0"/>
            <a:t>=IF(E$110&gt;1,"charged as?","")</a:t>
          </a:r>
        </a:p>
        <a:p>
          <a:endParaRPr lang="en-US" sz="1100" baseline="0"/>
        </a:p>
      </xdr:txBody>
    </xdr:sp>
    <xdr:clientData/>
  </xdr:twoCellAnchor>
  <xdr:twoCellAnchor>
    <xdr:from>
      <xdr:col>42</xdr:col>
      <xdr:colOff>73478</xdr:colOff>
      <xdr:row>181</xdr:row>
      <xdr:rowOff>58512</xdr:rowOff>
    </xdr:from>
    <xdr:to>
      <xdr:col>59</xdr:col>
      <xdr:colOff>29935</xdr:colOff>
      <xdr:row>186</xdr:row>
      <xdr:rowOff>87086</xdr:rowOff>
    </xdr:to>
    <xdr:sp macro="" textlink="">
      <xdr:nvSpPr>
        <xdr:cNvPr id="47" name="TextBox 46">
          <a:extLst>
            <a:ext uri="{FF2B5EF4-FFF2-40B4-BE49-F238E27FC236}">
              <a16:creationId xmlns:a16="http://schemas.microsoft.com/office/drawing/2014/main" id="{BBE2537E-A4D5-4EB8-9216-2352E49316FD}"/>
            </a:ext>
          </a:extLst>
        </xdr:cNvPr>
        <xdr:cNvSpPr txBox="1"/>
      </xdr:nvSpPr>
      <xdr:spPr>
        <a:xfrm>
          <a:off x="18341340" y="51219192"/>
          <a:ext cx="0" cy="16440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t>
          </a:r>
        </a:p>
        <a:p>
          <a:endParaRPr lang="en-US" sz="1100"/>
        </a:p>
        <a:p>
          <a:r>
            <a:rPr lang="en-US" sz="1100"/>
            <a:t>charge - innocent</a:t>
          </a:r>
          <a:endParaRPr lang="en-US" sz="1100" baseline="0"/>
        </a:p>
        <a:p>
          <a:endParaRPr lang="en-US" sz="1100" baseline="0"/>
        </a:p>
        <a:p>
          <a:r>
            <a:rPr lang="en-US" sz="1200">
              <a:solidFill>
                <a:schemeClr val="dk1"/>
              </a:solidFill>
              <a:effectLst/>
              <a:latin typeface="Abadi Extra Light" panose="020B0204020104020204" pitchFamily="34" charset="0"/>
              <a:ea typeface="+mn-ea"/>
              <a:cs typeface="+mn-cs"/>
            </a:rPr>
            <a:t>Do you know if the co-defendants also claim innocence? </a:t>
          </a:r>
        </a:p>
        <a:p>
          <a:r>
            <a:rPr lang="en-US" sz="1200">
              <a:solidFill>
                <a:schemeClr val="dk1"/>
              </a:solidFill>
              <a:effectLst/>
              <a:latin typeface="Abadi Extra Light" panose="020B0204020104020204" pitchFamily="34" charset="0"/>
              <a:ea typeface="+mn-ea"/>
              <a:cs typeface="+mn-cs"/>
            </a:rPr>
            <a:t>Do you claim to be innocent of all of the above charges? </a:t>
          </a:r>
        </a:p>
        <a:p>
          <a:r>
            <a:rPr lang="en-US" sz="1200" b="1">
              <a:solidFill>
                <a:schemeClr val="dk1"/>
              </a:solidFill>
              <a:effectLst/>
              <a:latin typeface="Abadi Extra Light" panose="020B0204020104020204" pitchFamily="34" charset="0"/>
              <a:ea typeface="+mn-ea"/>
              <a:cs typeface="+mn-cs"/>
            </a:rPr>
            <a:t>If not</a:t>
          </a:r>
          <a:r>
            <a:rPr lang="en-US" sz="1200">
              <a:solidFill>
                <a:schemeClr val="dk1"/>
              </a:solidFill>
              <a:effectLst/>
              <a:latin typeface="Abadi Extra Light" panose="020B0204020104020204" pitchFamily="34" charset="0"/>
              <a:ea typeface="+mn-ea"/>
              <a:cs typeface="+mn-cs"/>
            </a:rPr>
            <a:t>, which charges are you innocent of? </a:t>
          </a:r>
        </a:p>
        <a:p>
          <a:r>
            <a:rPr lang="en-US" sz="1200">
              <a:solidFill>
                <a:schemeClr val="dk1"/>
              </a:solidFill>
              <a:effectLst/>
              <a:latin typeface="Abadi Extra Light" panose="020B0204020104020204" pitchFamily="34" charset="0"/>
              <a:ea typeface="+mn-ea"/>
              <a:cs typeface="+mn-cs"/>
            </a:rPr>
            <a:t>Do you know who committed the crime(s) of which you are convicted? </a:t>
          </a:r>
        </a:p>
        <a:p>
          <a:r>
            <a:rPr lang="en-US" sz="1200" b="1">
              <a:solidFill>
                <a:schemeClr val="dk1"/>
              </a:solidFill>
              <a:effectLst/>
              <a:latin typeface="Abadi Extra Light" panose="020B0204020104020204" pitchFamily="34" charset="0"/>
              <a:ea typeface="+mn-ea"/>
              <a:cs typeface="+mn-cs"/>
            </a:rPr>
            <a:t>If yes</a:t>
          </a:r>
          <a:r>
            <a:rPr lang="en-US" sz="1200">
              <a:solidFill>
                <a:schemeClr val="dk1"/>
              </a:solidFill>
              <a:effectLst/>
              <a:latin typeface="Abadi Extra Light" panose="020B0204020104020204" pitchFamily="34" charset="0"/>
              <a:ea typeface="+mn-ea"/>
              <a:cs typeface="+mn-cs"/>
            </a:rPr>
            <a:t>, who? How do you know this person is the real perpetrator?</a:t>
          </a:r>
        </a:p>
        <a:p>
          <a:endParaRPr lang="en-US" sz="1100" baseline="0"/>
        </a:p>
        <a:p>
          <a:endParaRPr lang="en-US" sz="1100" baseline="0"/>
        </a:p>
        <a:p>
          <a:endParaRPr lang="en-US" sz="1100" baseline="0"/>
        </a:p>
        <a:p>
          <a:endParaRPr lang="en-US" sz="1100" baseline="0"/>
        </a:p>
        <a:p>
          <a:endParaRPr lang="en-US" sz="1100" baseline="0"/>
        </a:p>
        <a:p>
          <a:endParaRPr lang="en-US" sz="1100"/>
        </a:p>
      </xdr:txBody>
    </xdr:sp>
    <xdr:clientData/>
  </xdr:twoCellAnchor>
  <xdr:twoCellAnchor>
    <xdr:from>
      <xdr:col>53</xdr:col>
      <xdr:colOff>182335</xdr:colOff>
      <xdr:row>187</xdr:row>
      <xdr:rowOff>287112</xdr:rowOff>
    </xdr:from>
    <xdr:to>
      <xdr:col>73</xdr:col>
      <xdr:colOff>21771</xdr:colOff>
      <xdr:row>197</xdr:row>
      <xdr:rowOff>1</xdr:rowOff>
    </xdr:to>
    <xdr:sp macro="" textlink="">
      <xdr:nvSpPr>
        <xdr:cNvPr id="48" name="TextBox 47">
          <a:extLst>
            <a:ext uri="{FF2B5EF4-FFF2-40B4-BE49-F238E27FC236}">
              <a16:creationId xmlns:a16="http://schemas.microsoft.com/office/drawing/2014/main" id="{31C050FF-4BD2-4413-932F-4BC465D031FA}"/>
            </a:ext>
          </a:extLst>
        </xdr:cNvPr>
        <xdr:cNvSpPr txBox="1"/>
      </xdr:nvSpPr>
      <xdr:spPr>
        <a:xfrm>
          <a:off x="18341340" y="53253732"/>
          <a:ext cx="0" cy="25627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dk1"/>
              </a:solidFill>
              <a:effectLst/>
              <a:latin typeface="Abadi Extra Light" panose="020B0204020104020204" pitchFamily="34" charset="0"/>
              <a:ea typeface="+mn-ea"/>
              <a:cs typeface="+mn-cs"/>
            </a:rPr>
            <a:t>Do you claim to be innocent of all of the above charges? </a:t>
          </a:r>
        </a:p>
        <a:p>
          <a:r>
            <a:rPr lang="en-US" sz="1600" b="1">
              <a:solidFill>
                <a:schemeClr val="dk1"/>
              </a:solidFill>
              <a:effectLst/>
              <a:latin typeface="Abadi Extra Light" panose="020B0204020104020204" pitchFamily="34" charset="0"/>
              <a:ea typeface="+mn-ea"/>
              <a:cs typeface="+mn-cs"/>
            </a:rPr>
            <a:t>If not</a:t>
          </a:r>
          <a:r>
            <a:rPr lang="en-US" sz="1600">
              <a:solidFill>
                <a:schemeClr val="dk1"/>
              </a:solidFill>
              <a:effectLst/>
              <a:latin typeface="Abadi Extra Light" panose="020B0204020104020204" pitchFamily="34" charset="0"/>
              <a:ea typeface="+mn-ea"/>
              <a:cs typeface="+mn-cs"/>
            </a:rPr>
            <a:t>, which charges are you innocent of? </a:t>
          </a:r>
        </a:p>
        <a:p>
          <a:r>
            <a:rPr lang="en-US" sz="1600">
              <a:solidFill>
                <a:schemeClr val="dk1"/>
              </a:solidFill>
              <a:effectLst/>
              <a:latin typeface="Abadi Extra Light" panose="020B0204020104020204" pitchFamily="34" charset="0"/>
              <a:ea typeface="+mn-ea"/>
              <a:cs typeface="+mn-cs"/>
            </a:rPr>
            <a:t>Do you know who committed the crime(s) of which you are convicted? </a:t>
          </a:r>
        </a:p>
        <a:p>
          <a:r>
            <a:rPr lang="en-US" sz="1600" b="1">
              <a:solidFill>
                <a:schemeClr val="dk1"/>
              </a:solidFill>
              <a:effectLst/>
              <a:latin typeface="Abadi Extra Light" panose="020B0204020104020204" pitchFamily="34" charset="0"/>
              <a:ea typeface="+mn-ea"/>
              <a:cs typeface="+mn-cs"/>
            </a:rPr>
            <a:t>If yes</a:t>
          </a:r>
          <a:r>
            <a:rPr lang="en-US" sz="1600">
              <a:solidFill>
                <a:schemeClr val="dk1"/>
              </a:solidFill>
              <a:effectLst/>
              <a:latin typeface="Abadi Extra Light" panose="020B0204020104020204" pitchFamily="34" charset="0"/>
              <a:ea typeface="+mn-ea"/>
              <a:cs typeface="+mn-cs"/>
            </a:rPr>
            <a:t>, who? How do you know this person is the real perpetrator?</a:t>
          </a:r>
        </a:p>
        <a:p>
          <a:endParaRPr lang="en-US" sz="1100" baseline="0"/>
        </a:p>
        <a:p>
          <a:r>
            <a:rPr lang="en-US" sz="1100" baseline="0"/>
            <a:t>fully innocent</a:t>
          </a:r>
        </a:p>
        <a:p>
          <a:r>
            <a:rPr lang="en-US" sz="1100" baseline="0"/>
            <a:t>complicit but not to any illegal degree</a:t>
          </a:r>
        </a:p>
        <a:p>
          <a:r>
            <a:rPr lang="en-US" sz="1100" baseline="0"/>
            <a:t>only marginally complicit</a:t>
          </a:r>
        </a:p>
        <a:p>
          <a:r>
            <a:rPr lang="en-US" sz="1100" baseline="0"/>
            <a:t>not fully innocent</a:t>
          </a:r>
        </a:p>
        <a:p>
          <a:endParaRPr lang="en-US" sz="1100" baseline="0"/>
        </a:p>
        <a:p>
          <a:endParaRPr lang="en-US" sz="1100"/>
        </a:p>
      </xdr:txBody>
    </xdr:sp>
    <xdr:clientData/>
  </xdr:twoCellAnchor>
  <xdr:twoCellAnchor>
    <xdr:from>
      <xdr:col>35</xdr:col>
      <xdr:colOff>175260</xdr:colOff>
      <xdr:row>224</xdr:row>
      <xdr:rowOff>29120</xdr:rowOff>
    </xdr:from>
    <xdr:to>
      <xdr:col>47</xdr:col>
      <xdr:colOff>91712</xdr:colOff>
      <xdr:row>229</xdr:row>
      <xdr:rowOff>31842</xdr:rowOff>
    </xdr:to>
    <xdr:sp macro="" textlink="">
      <xdr:nvSpPr>
        <xdr:cNvPr id="49" name="TextBox 48">
          <a:extLst>
            <a:ext uri="{FF2B5EF4-FFF2-40B4-BE49-F238E27FC236}">
              <a16:creationId xmlns:a16="http://schemas.microsoft.com/office/drawing/2014/main" id="{F8BB9939-B737-4197-9AA4-1F4EAC533A10}"/>
            </a:ext>
          </a:extLst>
        </xdr:cNvPr>
        <xdr:cNvSpPr txBox="1"/>
      </xdr:nvSpPr>
      <xdr:spPr>
        <a:xfrm>
          <a:off x="18341340" y="61156760"/>
          <a:ext cx="0" cy="6961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Initial statements to police: </a:t>
          </a:r>
        </a:p>
        <a:p>
          <a:endParaRPr lang="en-US" sz="1100"/>
        </a:p>
        <a:p>
          <a:endParaRPr lang="en-US" sz="1100" baseline="0"/>
        </a:p>
      </xdr:txBody>
    </xdr:sp>
    <xdr:clientData/>
  </xdr:twoCellAnchor>
  <xdr:twoCellAnchor>
    <xdr:from>
      <xdr:col>47</xdr:col>
      <xdr:colOff>79466</xdr:colOff>
      <xdr:row>224</xdr:row>
      <xdr:rowOff>34560</xdr:rowOff>
    </xdr:from>
    <xdr:to>
      <xdr:col>62</xdr:col>
      <xdr:colOff>206828</xdr:colOff>
      <xdr:row>242</xdr:row>
      <xdr:rowOff>152399</xdr:rowOff>
    </xdr:to>
    <xdr:sp macro="" textlink="">
      <xdr:nvSpPr>
        <xdr:cNvPr id="50" name="TextBox 49">
          <a:extLst>
            <a:ext uri="{FF2B5EF4-FFF2-40B4-BE49-F238E27FC236}">
              <a16:creationId xmlns:a16="http://schemas.microsoft.com/office/drawing/2014/main" id="{D70D8A34-5FA2-413A-90DB-5C09153FB2F8}"/>
            </a:ext>
          </a:extLst>
        </xdr:cNvPr>
        <xdr:cNvSpPr txBox="1"/>
      </xdr:nvSpPr>
      <xdr:spPr>
        <a:xfrm>
          <a:off x="18341340" y="61162200"/>
          <a:ext cx="0" cy="2899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Your understanding of your statements to police: </a:t>
          </a:r>
        </a:p>
        <a:p>
          <a:r>
            <a:rPr lang="en-US" sz="1100">
              <a:solidFill>
                <a:srgbClr val="7030A0"/>
              </a:solidFill>
              <a:latin typeface="Arial Black" panose="020B0A04020102020204" pitchFamily="34" charset="0"/>
            </a:rPr>
            <a:t>[</a:t>
          </a:r>
          <a:r>
            <a:rPr lang="en-US" sz="1100" i="1">
              <a:solidFill>
                <a:srgbClr val="7030A0"/>
              </a:solidFill>
              <a:latin typeface="Arial Black" panose="020B0A04020102020204" pitchFamily="34" charset="0"/>
            </a:rPr>
            <a:t>in situ</a:t>
          </a:r>
          <a:r>
            <a:rPr lang="en-US" sz="1100" i="1" baseline="0">
              <a:solidFill>
                <a:srgbClr val="7030A0"/>
              </a:solidFill>
              <a:latin typeface="Arial Black" panose="020B0A04020102020204" pitchFamily="34" charset="0"/>
            </a:rPr>
            <a:t> </a:t>
          </a:r>
          <a:r>
            <a:rPr lang="en-US" sz="1100" baseline="0">
              <a:solidFill>
                <a:srgbClr val="7030A0"/>
              </a:solidFill>
              <a:latin typeface="Arial Black" panose="020B0A04020102020204" pitchFamily="34" charset="0"/>
            </a:rPr>
            <a:t>Impact Relating]</a:t>
          </a:r>
          <a:endParaRPr lang="en-US" sz="1100">
            <a:solidFill>
              <a:srgbClr val="7030A0"/>
            </a:solidFill>
            <a:latin typeface="Arial Black" panose="020B0A04020102020204" pitchFamily="34" charset="0"/>
          </a:endParaRPr>
        </a:p>
        <a:p>
          <a:r>
            <a:rPr lang="en-US" sz="1100" baseline="0"/>
            <a:t>asserting right to remain silent</a:t>
          </a:r>
        </a:p>
        <a:p>
          <a:r>
            <a:rPr lang="en-US" sz="1100" baseline="0"/>
            <a:t>not yet a suspect nor "person of interest"</a:t>
          </a:r>
        </a:p>
        <a:p>
          <a:r>
            <a:rPr lang="en-US" sz="1100" baseline="0"/>
            <a:t>feared arrest if wasn't openly cooperative</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providing helpful information to investigate alleged incident</a:t>
          </a:r>
          <a:endParaRPr lang="en-US">
            <a:effectLst/>
          </a:endParaRPr>
        </a:p>
        <a:p>
          <a:r>
            <a:rPr lang="en-US" sz="1100" baseline="0"/>
            <a:t>providing helpful information to investigate someone else</a:t>
          </a:r>
        </a:p>
        <a:p>
          <a:r>
            <a:rPr lang="en-US" sz="1100" baseline="0"/>
            <a:t>implicate actual perpetrator</a:t>
          </a:r>
        </a:p>
        <a:p>
          <a:r>
            <a:rPr lang="en-US" sz="1100" baseline="0"/>
            <a:t>inquire what police were investigating</a:t>
          </a:r>
        </a:p>
        <a:p>
          <a:r>
            <a:rPr lang="en-US" sz="1100" baseline="0"/>
            <a:t>inquire about a matter of law ostensibly being enforced</a:t>
          </a:r>
        </a:p>
        <a:p>
          <a:r>
            <a:rPr lang="en-US" sz="1100" baseline="0"/>
            <a:t>inquire about nature of accusation(s)</a:t>
          </a:r>
        </a:p>
        <a:p>
          <a:r>
            <a:rPr lang="en-US" sz="1100" baseline="0"/>
            <a:t>inquire who was making accusation(s)</a:t>
          </a:r>
        </a:p>
        <a:p>
          <a:r>
            <a:rPr lang="en-US" sz="1100" baseline="0"/>
            <a:t>admit being present but having no criminal role</a:t>
          </a:r>
        </a:p>
        <a:p>
          <a:r>
            <a:rPr lang="en-US" sz="1100" baseline="0"/>
            <a:t>deny being present with any criminal role</a:t>
          </a:r>
        </a:p>
        <a:p>
          <a:r>
            <a:rPr lang="en-US" sz="1100" baseline="0"/>
            <a:t>admit to involvement assumed not to be criminal</a:t>
          </a:r>
        </a:p>
        <a:p>
          <a:r>
            <a:rPr lang="en-US" sz="1100" baseline="0"/>
            <a:t>other (explain below)</a:t>
          </a:r>
        </a:p>
        <a:p>
          <a:endParaRPr lang="en-US" sz="1100" baseline="0"/>
        </a:p>
        <a:p>
          <a:endParaRPr lang="en-US" sz="1100" baseline="0"/>
        </a:p>
        <a:p>
          <a:endParaRPr lang="en-US" sz="1100" baseline="0"/>
        </a:p>
      </xdr:txBody>
    </xdr:sp>
    <xdr:clientData/>
  </xdr:twoCellAnchor>
  <xdr:twoCellAnchor>
    <xdr:from>
      <xdr:col>28</xdr:col>
      <xdr:colOff>247650</xdr:colOff>
      <xdr:row>174</xdr:row>
      <xdr:rowOff>308884</xdr:rowOff>
    </xdr:from>
    <xdr:to>
      <xdr:col>41</xdr:col>
      <xdr:colOff>10885</xdr:colOff>
      <xdr:row>178</xdr:row>
      <xdr:rowOff>370114</xdr:rowOff>
    </xdr:to>
    <xdr:sp macro="" textlink="">
      <xdr:nvSpPr>
        <xdr:cNvPr id="51" name="TextBox 50">
          <a:extLst>
            <a:ext uri="{FF2B5EF4-FFF2-40B4-BE49-F238E27FC236}">
              <a16:creationId xmlns:a16="http://schemas.microsoft.com/office/drawing/2014/main" id="{E181F625-01D3-4BB4-8DF3-CB673116964F}"/>
            </a:ext>
          </a:extLst>
        </xdr:cNvPr>
        <xdr:cNvSpPr txBox="1"/>
      </xdr:nvSpPr>
      <xdr:spPr>
        <a:xfrm>
          <a:off x="18341340" y="49252144"/>
          <a:ext cx="0" cy="1585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t>
          </a:r>
        </a:p>
        <a:p>
          <a:r>
            <a:rPr lang="en-US" sz="1100"/>
            <a:t>never </a:t>
          </a:r>
          <a:r>
            <a:rPr lang="en-US" sz="1100" strike="sngStrike" baseline="0"/>
            <a:t>offered or was </a:t>
          </a:r>
          <a:r>
            <a:rPr lang="en-US" sz="1100"/>
            <a:t>open</a:t>
          </a:r>
          <a:r>
            <a:rPr lang="en-US" sz="1100" baseline="0"/>
            <a:t> to any plea deal</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coerced into a plea deal with threats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tricked into a plea deal with lies</a:t>
          </a:r>
          <a:endParaRPr lang="en-US">
            <a:effectLst/>
          </a:endParaRPr>
        </a:p>
        <a:p>
          <a:r>
            <a:rPr lang="en-US" sz="1100"/>
            <a:t>considered plea deal if better for my loved</a:t>
          </a:r>
          <a:r>
            <a:rPr lang="en-US" sz="1100" baseline="0"/>
            <a:t> ones</a:t>
          </a:r>
          <a:endParaRPr lang="en-US" sz="1100"/>
        </a:p>
        <a:p>
          <a:r>
            <a:rPr lang="en-US" sz="1100"/>
            <a:t>willingly "plea bargained" to lesser charge</a:t>
          </a:r>
        </a:p>
        <a:p>
          <a:r>
            <a:rPr lang="en-US" sz="1100" baseline="0"/>
            <a:t>other</a:t>
          </a:r>
        </a:p>
        <a:p>
          <a:endParaRPr lang="en-US" sz="1100" baseline="0"/>
        </a:p>
        <a:p>
          <a:endParaRPr lang="en-US" sz="1100"/>
        </a:p>
      </xdr:txBody>
    </xdr:sp>
    <xdr:clientData/>
  </xdr:twoCellAnchor>
  <xdr:twoCellAnchor>
    <xdr:from>
      <xdr:col>41</xdr:col>
      <xdr:colOff>77833</xdr:colOff>
      <xdr:row>174</xdr:row>
      <xdr:rowOff>308884</xdr:rowOff>
    </xdr:from>
    <xdr:to>
      <xdr:col>53</xdr:col>
      <xdr:colOff>445225</xdr:colOff>
      <xdr:row>178</xdr:row>
      <xdr:rowOff>347254</xdr:rowOff>
    </xdr:to>
    <xdr:sp macro="" textlink="">
      <xdr:nvSpPr>
        <xdr:cNvPr id="52" name="TextBox 51">
          <a:extLst>
            <a:ext uri="{FF2B5EF4-FFF2-40B4-BE49-F238E27FC236}">
              <a16:creationId xmlns:a16="http://schemas.microsoft.com/office/drawing/2014/main" id="{6581BAE8-8C1F-41AC-BBA2-6655E527BB63}"/>
            </a:ext>
          </a:extLst>
        </xdr:cNvPr>
        <xdr:cNvSpPr txBox="1"/>
      </xdr:nvSpPr>
      <xdr:spPr>
        <a:xfrm>
          <a:off x="18341340" y="49252144"/>
          <a:ext cx="0" cy="15623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Plea bargaining</a:t>
          </a:r>
          <a:r>
            <a:rPr lang="en-US" sz="1100"/>
            <a:t>:</a:t>
          </a:r>
        </a:p>
        <a:p>
          <a:r>
            <a:rPr lang="en-US" sz="1100"/>
            <a:t>never open</a:t>
          </a:r>
          <a:r>
            <a:rPr lang="en-US" sz="1100" baseline="0"/>
            <a:t> to any plea deal</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coerced into a plea deal with threats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tricked into a plea deal with lies</a:t>
          </a:r>
          <a:endParaRPr lang="en-US">
            <a:effectLst/>
          </a:endParaRPr>
        </a:p>
        <a:p>
          <a:r>
            <a:rPr lang="en-US" sz="1100"/>
            <a:t>accepted plea deal to save others</a:t>
          </a:r>
        </a:p>
        <a:p>
          <a:r>
            <a:rPr lang="en-US" sz="1100"/>
            <a:t>willingly plea-bargained to lesser charge</a:t>
          </a:r>
        </a:p>
        <a:p>
          <a:r>
            <a:rPr lang="en-US" sz="1100" baseline="0"/>
            <a:t>other (explain below)</a:t>
          </a:r>
        </a:p>
        <a:p>
          <a:endParaRPr lang="en-US" sz="1100" baseline="0"/>
        </a:p>
        <a:p>
          <a:endParaRPr lang="en-US" sz="1100"/>
        </a:p>
      </xdr:txBody>
    </xdr:sp>
    <xdr:clientData/>
  </xdr:twoCellAnchor>
  <xdr:twoCellAnchor>
    <xdr:from>
      <xdr:col>52</xdr:col>
      <xdr:colOff>19049</xdr:colOff>
      <xdr:row>178</xdr:row>
      <xdr:rowOff>25855</xdr:rowOff>
    </xdr:from>
    <xdr:to>
      <xdr:col>64</xdr:col>
      <xdr:colOff>247649</xdr:colOff>
      <xdr:row>183</xdr:row>
      <xdr:rowOff>522515</xdr:rowOff>
    </xdr:to>
    <xdr:sp macro="" textlink="">
      <xdr:nvSpPr>
        <xdr:cNvPr id="53" name="TextBox 52">
          <a:extLst>
            <a:ext uri="{FF2B5EF4-FFF2-40B4-BE49-F238E27FC236}">
              <a16:creationId xmlns:a16="http://schemas.microsoft.com/office/drawing/2014/main" id="{5B66C680-DFCA-4B27-97A4-0E5FAA424C15}"/>
            </a:ext>
          </a:extLst>
        </xdr:cNvPr>
        <xdr:cNvSpPr txBox="1"/>
      </xdr:nvSpPr>
      <xdr:spPr>
        <a:xfrm>
          <a:off x="18341340" y="50493115"/>
          <a:ext cx="0" cy="1952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Conviction based</a:t>
          </a:r>
          <a:r>
            <a:rPr lang="en-US" sz="1100" b="1" baseline="0"/>
            <a:t> upon</a:t>
          </a:r>
          <a:r>
            <a:rPr lang="en-US" sz="1100" b="1"/>
            <a:t>:</a:t>
          </a:r>
        </a:p>
        <a:p>
          <a:endParaRPr lang="en-US" sz="1100"/>
        </a:p>
        <a:p>
          <a:r>
            <a:rPr lang="en-US" sz="1100"/>
            <a:t>admission of guilt to initial</a:t>
          </a:r>
          <a:r>
            <a:rPr lang="en-US" sz="1100" baseline="0"/>
            <a:t> charge</a:t>
          </a:r>
          <a:endParaRPr lang="en-US" sz="1100"/>
        </a:p>
        <a:p>
          <a:r>
            <a:rPr lang="en-US" sz="1100" baseline="0"/>
            <a:t>plea bargain</a:t>
          </a:r>
        </a:p>
        <a:p>
          <a:r>
            <a:rPr lang="en-US" sz="1100" baseline="0"/>
            <a:t>bench trial</a:t>
          </a:r>
        </a:p>
        <a:p>
          <a:r>
            <a:rPr lang="en-US" sz="1100" baseline="0"/>
            <a:t>jury trial</a:t>
          </a:r>
        </a:p>
        <a:p>
          <a:r>
            <a:rPr lang="en-US" sz="1100" baseline="0"/>
            <a:t>jury retrial after mistrial</a:t>
          </a:r>
        </a:p>
        <a:p>
          <a:r>
            <a:rPr lang="en-US" sz="1100" baseline="0"/>
            <a:t>other </a:t>
          </a:r>
        </a:p>
        <a:p>
          <a:endParaRPr lang="en-US" sz="1100"/>
        </a:p>
      </xdr:txBody>
    </xdr:sp>
    <xdr:clientData/>
  </xdr:twoCellAnchor>
  <xdr:twoCellAnchor>
    <xdr:from>
      <xdr:col>45</xdr:col>
      <xdr:colOff>27214</xdr:colOff>
      <xdr:row>262</xdr:row>
      <xdr:rowOff>144508</xdr:rowOff>
    </xdr:from>
    <xdr:to>
      <xdr:col>65</xdr:col>
      <xdr:colOff>127363</xdr:colOff>
      <xdr:row>268</xdr:row>
      <xdr:rowOff>182879</xdr:rowOff>
    </xdr:to>
    <xdr:sp macro="" textlink="">
      <xdr:nvSpPr>
        <xdr:cNvPr id="54" name="TextBox 53">
          <a:extLst>
            <a:ext uri="{FF2B5EF4-FFF2-40B4-BE49-F238E27FC236}">
              <a16:creationId xmlns:a16="http://schemas.microsoft.com/office/drawing/2014/main" id="{18321241-5404-4403-AC15-AC45BCA04769}"/>
            </a:ext>
          </a:extLst>
        </xdr:cNvPr>
        <xdr:cNvSpPr txBox="1"/>
      </xdr:nvSpPr>
      <xdr:spPr>
        <a:xfrm>
          <a:off x="18341340" y="68297788"/>
          <a:ext cx="0" cy="11813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Response:</a:t>
          </a:r>
        </a:p>
        <a:p>
          <a:r>
            <a:rPr lang="en-US" sz="1100"/>
            <a:t>never received</a:t>
          </a:r>
          <a:r>
            <a:rPr lang="en-US" sz="1100" baseline="0"/>
            <a:t> reply</a:t>
          </a:r>
          <a:endParaRPr lang="en-US" sz="1100"/>
        </a:p>
        <a:p>
          <a:r>
            <a:rPr lang="en-US" sz="1100"/>
            <a:t>stated</a:t>
          </a:r>
          <a:r>
            <a:rPr lang="en-US" sz="1100" baseline="0"/>
            <a:t> my case did not merit their review</a:t>
          </a:r>
        </a:p>
        <a:p>
          <a:r>
            <a:rPr lang="en-US" sz="1100"/>
            <a:t>affirmed my</a:t>
          </a:r>
          <a:r>
            <a:rPr lang="en-US" sz="1100" baseline="0"/>
            <a:t> case merited review but had to prioritize their resources for another whose liberty was more in jeopardy</a:t>
          </a:r>
        </a:p>
        <a:p>
          <a:r>
            <a:rPr lang="en-US" sz="1100" baseline="0"/>
            <a:t>other (explain in box below)</a:t>
          </a:r>
          <a:endParaRPr lang="en-US" sz="1100"/>
        </a:p>
        <a:p>
          <a:endParaRPr lang="en-US" sz="1100" baseline="0"/>
        </a:p>
      </xdr:txBody>
    </xdr:sp>
    <xdr:clientData/>
  </xdr:twoCellAnchor>
  <xdr:twoCellAnchor>
    <xdr:from>
      <xdr:col>55</xdr:col>
      <xdr:colOff>417740</xdr:colOff>
      <xdr:row>251</xdr:row>
      <xdr:rowOff>155666</xdr:rowOff>
    </xdr:from>
    <xdr:to>
      <xdr:col>63</xdr:col>
      <xdr:colOff>75111</xdr:colOff>
      <xdr:row>264</xdr:row>
      <xdr:rowOff>138522</xdr:rowOff>
    </xdr:to>
    <xdr:sp macro="" textlink="">
      <xdr:nvSpPr>
        <xdr:cNvPr id="55" name="TextBox 54">
          <a:extLst>
            <a:ext uri="{FF2B5EF4-FFF2-40B4-BE49-F238E27FC236}">
              <a16:creationId xmlns:a16="http://schemas.microsoft.com/office/drawing/2014/main" id="{4E93DA5D-F2C3-4D07-9428-63BCDBAFC961}"/>
            </a:ext>
          </a:extLst>
        </xdr:cNvPr>
        <xdr:cNvSpPr txBox="1"/>
      </xdr:nvSpPr>
      <xdr:spPr>
        <a:xfrm>
          <a:off x="18341340" y="66221066"/>
          <a:ext cx="0" cy="2451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Appeal result/relief: </a:t>
          </a:r>
        </a:p>
        <a:p>
          <a:endParaRPr lang="en-US" sz="1100" b="0" i="0" u="none" strike="noStrike" baseline="0">
            <a:solidFill>
              <a:schemeClr val="dk1"/>
            </a:solidFill>
            <a:latin typeface="+mn-lt"/>
            <a:ea typeface="+mn-ea"/>
            <a:cs typeface="+mn-cs"/>
          </a:endParaRPr>
        </a:p>
        <a:p>
          <a:r>
            <a:rPr lang="en-US" sz="1100"/>
            <a:t>affirmed all</a:t>
          </a:r>
          <a:r>
            <a:rPr lang="en-US" sz="1100" baseline="0"/>
            <a:t> convictions and sentences</a:t>
          </a:r>
          <a:endParaRPr lang="en-US" sz="1100"/>
        </a:p>
        <a:p>
          <a:r>
            <a:rPr lang="en-US" sz="1100"/>
            <a:t>affirmed all</a:t>
          </a:r>
          <a:r>
            <a:rPr lang="en-US" sz="1100" baseline="0"/>
            <a:t> convictions, threw out sentence</a:t>
          </a:r>
        </a:p>
        <a:p>
          <a:r>
            <a:rPr lang="en-US" sz="1100" baseline="0"/>
            <a:t>affirmed convictions in part, and threw out part</a:t>
          </a:r>
        </a:p>
        <a:p>
          <a:r>
            <a:rPr lang="en-US" sz="1100" baseline="0"/>
            <a:t>threw out all convictions</a:t>
          </a:r>
        </a:p>
        <a:p>
          <a:r>
            <a:rPr lang="en-US" sz="1100" baseline="0"/>
            <a:t>other (explain below)</a:t>
          </a:r>
        </a:p>
        <a:p>
          <a:endParaRPr lang="en-US" sz="1100" baseline="0"/>
        </a:p>
        <a:p>
          <a:endParaRPr lang="en-US" sz="1100"/>
        </a:p>
        <a:p>
          <a:r>
            <a:rPr lang="en-US" sz="1100"/>
            <a:t>remanded back to trial court</a:t>
          </a:r>
        </a:p>
        <a:p>
          <a:endParaRPr lang="en-US" sz="1100"/>
        </a:p>
        <a:p>
          <a:endParaRPr lang="en-US" sz="1100" baseline="0"/>
        </a:p>
      </xdr:txBody>
    </xdr:sp>
    <xdr:clientData/>
  </xdr:twoCellAnchor>
  <xdr:twoCellAnchor>
    <xdr:from>
      <xdr:col>37</xdr:col>
      <xdr:colOff>121920</xdr:colOff>
      <xdr:row>459</xdr:row>
      <xdr:rowOff>99060</xdr:rowOff>
    </xdr:from>
    <xdr:to>
      <xdr:col>44</xdr:col>
      <xdr:colOff>213360</xdr:colOff>
      <xdr:row>460</xdr:row>
      <xdr:rowOff>167640</xdr:rowOff>
    </xdr:to>
    <xdr:sp macro="" textlink="">
      <xdr:nvSpPr>
        <xdr:cNvPr id="56" name="Rectangle: Beveled 55">
          <a:hlinkClick xmlns:r="http://schemas.openxmlformats.org/officeDocument/2006/relationships" r:id="rId18"/>
          <a:extLst>
            <a:ext uri="{FF2B5EF4-FFF2-40B4-BE49-F238E27FC236}">
              <a16:creationId xmlns:a16="http://schemas.microsoft.com/office/drawing/2014/main" id="{2651F94C-2F17-4A10-A7AF-B117A7025F05}"/>
            </a:ext>
          </a:extLst>
        </xdr:cNvPr>
        <xdr:cNvSpPr/>
      </xdr:nvSpPr>
      <xdr:spPr>
        <a:xfrm>
          <a:off x="18341340" y="118879620"/>
          <a:ext cx="0" cy="24384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rgbClr val="9BFFC8"/>
              </a:solidFill>
            </a:rPr>
            <a:t>click here for support</a:t>
          </a:r>
        </a:p>
      </xdr:txBody>
    </xdr:sp>
    <xdr:clientData/>
  </xdr:twoCellAnchor>
  <xdr:twoCellAnchor>
    <xdr:from>
      <xdr:col>63</xdr:col>
      <xdr:colOff>100148</xdr:colOff>
      <xdr:row>250</xdr:row>
      <xdr:rowOff>9524</xdr:rowOff>
    </xdr:from>
    <xdr:to>
      <xdr:col>75</xdr:col>
      <xdr:colOff>178525</xdr:colOff>
      <xdr:row>261</xdr:row>
      <xdr:rowOff>37010</xdr:rowOff>
    </xdr:to>
    <xdr:sp macro="" textlink="">
      <xdr:nvSpPr>
        <xdr:cNvPr id="57" name="TextBox 56">
          <a:extLst>
            <a:ext uri="{FF2B5EF4-FFF2-40B4-BE49-F238E27FC236}">
              <a16:creationId xmlns:a16="http://schemas.microsoft.com/office/drawing/2014/main" id="{3A8C89C1-C369-42BC-B00E-EB3EB4275C3A}"/>
            </a:ext>
          </a:extLst>
        </xdr:cNvPr>
        <xdr:cNvSpPr txBox="1"/>
      </xdr:nvSpPr>
      <xdr:spPr>
        <a:xfrm>
          <a:off x="18341340" y="65884424"/>
          <a:ext cx="0" cy="21229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Sentence severity:</a:t>
          </a:r>
        </a:p>
        <a:p>
          <a:r>
            <a:rPr lang="en-US" sz="1100"/>
            <a:t>death row</a:t>
          </a:r>
        </a:p>
        <a:p>
          <a:r>
            <a:rPr lang="en-US" sz="1100"/>
            <a:t>life sentence</a:t>
          </a:r>
          <a:r>
            <a:rPr lang="en-US" sz="1100" baseline="0"/>
            <a:t> without chance for parole</a:t>
          </a:r>
        </a:p>
        <a:p>
          <a:r>
            <a:rPr lang="en-US" sz="1100" baseline="0"/>
            <a:t>life sentence with possibility of parole</a:t>
          </a:r>
        </a:p>
        <a:p>
          <a:r>
            <a:rPr lang="en-US" sz="1100" baseline="0">
              <a:solidFill>
                <a:schemeClr val="dk1"/>
              </a:solidFill>
              <a:effectLst/>
              <a:latin typeface="+mn-lt"/>
              <a:ea typeface="+mn-ea"/>
              <a:cs typeface="+mn-cs"/>
            </a:rPr>
            <a:t>lengthy </a:t>
          </a:r>
          <a:r>
            <a:rPr lang="en-US" sz="1100" baseline="0"/>
            <a:t>"trial penalty" sentence</a:t>
          </a:r>
        </a:p>
        <a:p>
          <a:r>
            <a:rPr lang="en-US" sz="1100" baseline="0"/>
            <a:t>indeterminent sentence with no set outdate</a:t>
          </a:r>
        </a:p>
        <a:p>
          <a:r>
            <a:rPr lang="en-US" sz="1100" baseline="0"/>
            <a:t>due to start next sentence after this one</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facing risk of civil commitment</a:t>
          </a:r>
          <a:endParaRPr lang="en-US">
            <a:effectLst/>
          </a:endParaRPr>
        </a:p>
        <a:p>
          <a:r>
            <a:rPr lang="en-US" sz="1100" baseline="0"/>
            <a:t>facing risk of deportation</a:t>
          </a:r>
          <a:endParaRPr lang="en-US" sz="1100"/>
        </a:p>
        <a:p>
          <a:endParaRPr lang="en-US" sz="1100" baseline="0"/>
        </a:p>
      </xdr:txBody>
    </xdr:sp>
    <xdr:clientData/>
  </xdr:twoCellAnchor>
  <xdr:twoCellAnchor>
    <xdr:from>
      <xdr:col>1</xdr:col>
      <xdr:colOff>1008381</xdr:colOff>
      <xdr:row>1773</xdr:row>
      <xdr:rowOff>33019</xdr:rowOff>
    </xdr:from>
    <xdr:to>
      <xdr:col>3</xdr:col>
      <xdr:colOff>1203109</xdr:colOff>
      <xdr:row>1791</xdr:row>
      <xdr:rowOff>84446</xdr:rowOff>
    </xdr:to>
    <xdr:sp macro="" textlink="">
      <xdr:nvSpPr>
        <xdr:cNvPr id="58" name="Text Box 8">
          <a:extLst>
            <a:ext uri="{FF2B5EF4-FFF2-40B4-BE49-F238E27FC236}">
              <a16:creationId xmlns:a16="http://schemas.microsoft.com/office/drawing/2014/main" id="{27402C9D-6962-4FC5-BE66-EF46417816DF}"/>
            </a:ext>
          </a:extLst>
        </xdr:cNvPr>
        <xdr:cNvSpPr txBox="1"/>
      </xdr:nvSpPr>
      <xdr:spPr>
        <a:xfrm rot="343004">
          <a:off x="1267461" y="336867499"/>
          <a:ext cx="3730408" cy="3206107"/>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Guilty</a:t>
          </a:r>
          <a:r>
            <a:rPr lang="en-US" sz="1100">
              <a:effectLst/>
              <a:latin typeface="+mn-lt"/>
              <a:ea typeface="+mn-ea"/>
              <a:cs typeface="+mn-cs"/>
            </a:rPr>
            <a:t> </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or innocent? I’m not talking about you,</a:t>
          </a:r>
          <a:r>
            <a:rPr lang="en-US" sz="2000" b="1" baseline="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but about them</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Who shall exonerate those who remain slow to exonerate others they falsely condemn?</a:t>
          </a:r>
        </a:p>
      </xdr:txBody>
    </xdr:sp>
    <xdr:clientData/>
  </xdr:twoCellAnchor>
  <xdr:twoCellAnchor>
    <xdr:from>
      <xdr:col>1</xdr:col>
      <xdr:colOff>68417</xdr:colOff>
      <xdr:row>1711</xdr:row>
      <xdr:rowOff>102874</xdr:rowOff>
    </xdr:from>
    <xdr:to>
      <xdr:col>4</xdr:col>
      <xdr:colOff>21609</xdr:colOff>
      <xdr:row>1720</xdr:row>
      <xdr:rowOff>100127</xdr:rowOff>
    </xdr:to>
    <xdr:sp macro="" textlink="">
      <xdr:nvSpPr>
        <xdr:cNvPr id="59" name="Text Box 8">
          <a:extLst>
            <a:ext uri="{FF2B5EF4-FFF2-40B4-BE49-F238E27FC236}">
              <a16:creationId xmlns:a16="http://schemas.microsoft.com/office/drawing/2014/main" id="{16820523-1D8A-4492-B808-93B5889FC1F6}"/>
            </a:ext>
          </a:extLst>
        </xdr:cNvPr>
        <xdr:cNvSpPr txBox="1"/>
      </xdr:nvSpPr>
      <xdr:spPr>
        <a:xfrm rot="565750">
          <a:off x="327497" y="326063614"/>
          <a:ext cx="5462452" cy="1574593"/>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"It is better that ten guilty persons </a:t>
          </a:r>
          <a:r>
            <a:rPr lang="en-US" sz="2000" b="1" spc="-2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escape than that one innocent suffer</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31</xdr:col>
      <xdr:colOff>30480</xdr:colOff>
      <xdr:row>1734</xdr:row>
      <xdr:rowOff>99060</xdr:rowOff>
    </xdr:from>
    <xdr:to>
      <xdr:col>53</xdr:col>
      <xdr:colOff>161867</xdr:colOff>
      <xdr:row>1745</xdr:row>
      <xdr:rowOff>110310</xdr:rowOff>
    </xdr:to>
    <xdr:sp macro="" textlink="">
      <xdr:nvSpPr>
        <xdr:cNvPr id="60" name="TextBox 59">
          <a:extLst>
            <a:ext uri="{FF2B5EF4-FFF2-40B4-BE49-F238E27FC236}">
              <a16:creationId xmlns:a16="http://schemas.microsoft.com/office/drawing/2014/main" id="{9C4039B9-1C8E-4526-81F0-6D49348223EF}"/>
            </a:ext>
          </a:extLst>
        </xdr:cNvPr>
        <xdr:cNvSpPr txBox="1"/>
      </xdr:nvSpPr>
      <xdr:spPr>
        <a:xfrm>
          <a:off x="18341340" y="330090780"/>
          <a:ext cx="0" cy="1946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who can access my profile:</a:t>
          </a:r>
        </a:p>
        <a:p>
          <a:r>
            <a:rPr lang="en-US" sz="1100" b="0" i="0" u="none" strike="noStrike" baseline="0">
              <a:solidFill>
                <a:schemeClr val="dk1"/>
              </a:solidFill>
              <a:effectLst/>
              <a:latin typeface="+mn-lt"/>
              <a:ea typeface="+mn-ea"/>
              <a:cs typeface="+mn-cs"/>
            </a:rPr>
            <a:t>no one yet (unpublished)</a:t>
          </a:r>
        </a:p>
        <a:p>
          <a:r>
            <a:rPr lang="en-US" sz="1100" b="0" i="0" u="none" strike="noStrike" baseline="0">
              <a:solidFill>
                <a:schemeClr val="dk1"/>
              </a:solidFill>
              <a:effectLst/>
              <a:latin typeface="+mn-lt"/>
              <a:ea typeface="+mn-ea"/>
              <a:cs typeface="+mn-cs"/>
            </a:rPr>
            <a:t>white list: only those claimant (or proxy) names</a:t>
          </a:r>
        </a:p>
        <a:p>
          <a:r>
            <a:rPr lang="en-US" sz="1100" b="0" i="0" u="none" strike="noStrike" baseline="0">
              <a:solidFill>
                <a:schemeClr val="dk1"/>
              </a:solidFill>
              <a:effectLst/>
              <a:latin typeface="+mn-lt"/>
              <a:ea typeface="+mn-ea"/>
              <a:cs typeface="+mn-cs"/>
            </a:rPr>
            <a:t>white list and by automated agree-to-terms request</a:t>
          </a:r>
        </a:p>
        <a:p>
          <a:r>
            <a:rPr lang="en-US" sz="1100" b="0" i="0" u="none" strike="noStrike" baseline="0">
              <a:solidFill>
                <a:schemeClr val="dk1"/>
              </a:solidFill>
              <a:effectLst/>
              <a:latin typeface="+mn-lt"/>
              <a:ea typeface="+mn-ea"/>
              <a:cs typeface="+mn-cs"/>
            </a:rPr>
            <a:t>white list and by personal request, pending my approval</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white list and by personal request, pending proxy approval</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white list and by personal request, pending supporter approval</a:t>
          </a:r>
          <a:endParaRPr lang="en-US">
            <a:effectLst/>
          </a:endParaRPr>
        </a:p>
        <a:p>
          <a:r>
            <a:rPr lang="en-US" sz="1100" b="0" i="0" u="none" strike="noStrike" baseline="0">
              <a:solidFill>
                <a:schemeClr val="dk1"/>
              </a:solidFill>
              <a:effectLst/>
              <a:latin typeface="+mn-lt"/>
              <a:ea typeface="+mn-ea"/>
              <a:cs typeface="+mn-cs"/>
            </a:rPr>
            <a:t>black list: exclude only those claimant (or proxy) names</a:t>
          </a:r>
        </a:p>
        <a:p>
          <a:r>
            <a:rPr lang="en-US" sz="1100" b="0" i="0" u="none" strike="noStrike" baseline="0">
              <a:solidFill>
                <a:schemeClr val="dk1"/>
              </a:solidFill>
              <a:effectLst/>
              <a:latin typeface="+mn-lt"/>
              <a:ea typeface="+mn-ea"/>
              <a:cs typeface="+mn-cs"/>
            </a:rPr>
            <a:t>open to all site registrants</a:t>
          </a:r>
        </a:p>
        <a:p>
          <a:r>
            <a:rPr lang="en-US" sz="1100" b="0" i="0" u="none" strike="noStrike" baseline="0">
              <a:solidFill>
                <a:schemeClr val="dk1"/>
              </a:solidFill>
              <a:effectLst/>
              <a:latin typeface="+mn-lt"/>
              <a:ea typeface="+mn-ea"/>
              <a:cs typeface="+mn-cs"/>
            </a:rPr>
            <a:t>open to anyone</a:t>
          </a:r>
        </a:p>
        <a:p>
          <a:endParaRPr lang="en-US">
            <a:effectLst/>
          </a:endParaRPr>
        </a:p>
        <a:p>
          <a:endParaRPr lang="en-US" sz="1100"/>
        </a:p>
      </xdr:txBody>
    </xdr:sp>
    <xdr:clientData/>
  </xdr:twoCellAnchor>
  <xdr:twoCellAnchor>
    <xdr:from>
      <xdr:col>0</xdr:col>
      <xdr:colOff>190500</xdr:colOff>
      <xdr:row>687</xdr:row>
      <xdr:rowOff>168275</xdr:rowOff>
    </xdr:from>
    <xdr:to>
      <xdr:col>1</xdr:col>
      <xdr:colOff>572135</xdr:colOff>
      <xdr:row>688</xdr:row>
      <xdr:rowOff>983615</xdr:rowOff>
    </xdr:to>
    <xdr:sp macro="" textlink="">
      <xdr:nvSpPr>
        <xdr:cNvPr id="61" name="Text Box 3">
          <a:extLst>
            <a:ext uri="{FF2B5EF4-FFF2-40B4-BE49-F238E27FC236}">
              <a16:creationId xmlns:a16="http://schemas.microsoft.com/office/drawing/2014/main" id="{C8ABEF61-C371-402B-BD20-56D88F4DC454}"/>
            </a:ext>
          </a:extLst>
        </xdr:cNvPr>
        <xdr:cNvSpPr txBox="1"/>
      </xdr:nvSpPr>
      <xdr:spPr>
        <a:xfrm>
          <a:off x="190500" y="241851815"/>
          <a:ext cx="640715" cy="100584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1384300</xdr:colOff>
      <xdr:row>688</xdr:row>
      <xdr:rowOff>4069080</xdr:rowOff>
    </xdr:from>
    <xdr:to>
      <xdr:col>4</xdr:col>
      <xdr:colOff>51435</xdr:colOff>
      <xdr:row>690</xdr:row>
      <xdr:rowOff>327660</xdr:rowOff>
    </xdr:to>
    <xdr:sp macro="" textlink="">
      <xdr:nvSpPr>
        <xdr:cNvPr id="62" name="Text Box 4">
          <a:extLst>
            <a:ext uri="{FF2B5EF4-FFF2-40B4-BE49-F238E27FC236}">
              <a16:creationId xmlns:a16="http://schemas.microsoft.com/office/drawing/2014/main" id="{876C0731-CDEB-433A-B482-41BDDBE19AA2}"/>
            </a:ext>
          </a:extLst>
        </xdr:cNvPr>
        <xdr:cNvSpPr txBox="1"/>
      </xdr:nvSpPr>
      <xdr:spPr>
        <a:xfrm>
          <a:off x="5179060" y="245943120"/>
          <a:ext cx="640715" cy="101346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198120</xdr:colOff>
      <xdr:row>639</xdr:row>
      <xdr:rowOff>8255</xdr:rowOff>
    </xdr:from>
    <xdr:to>
      <xdr:col>1</xdr:col>
      <xdr:colOff>579755</xdr:colOff>
      <xdr:row>639</xdr:row>
      <xdr:rowOff>1014095</xdr:rowOff>
    </xdr:to>
    <xdr:sp macro="" textlink="">
      <xdr:nvSpPr>
        <xdr:cNvPr id="63" name="Text Box 3">
          <a:extLst>
            <a:ext uri="{FF2B5EF4-FFF2-40B4-BE49-F238E27FC236}">
              <a16:creationId xmlns:a16="http://schemas.microsoft.com/office/drawing/2014/main" id="{35B0523C-0091-4CD0-8D46-6C042A4E37BB}"/>
            </a:ext>
          </a:extLst>
        </xdr:cNvPr>
        <xdr:cNvSpPr txBox="1"/>
      </xdr:nvSpPr>
      <xdr:spPr>
        <a:xfrm>
          <a:off x="198120" y="216324815"/>
          <a:ext cx="640715" cy="100584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1391920</xdr:colOff>
      <xdr:row>639</xdr:row>
      <xdr:rowOff>4450080</xdr:rowOff>
    </xdr:from>
    <xdr:to>
      <xdr:col>4</xdr:col>
      <xdr:colOff>59055</xdr:colOff>
      <xdr:row>641</xdr:row>
      <xdr:rowOff>327660</xdr:rowOff>
    </xdr:to>
    <xdr:sp macro="" textlink="">
      <xdr:nvSpPr>
        <xdr:cNvPr id="64" name="Text Box 4">
          <a:extLst>
            <a:ext uri="{FF2B5EF4-FFF2-40B4-BE49-F238E27FC236}">
              <a16:creationId xmlns:a16="http://schemas.microsoft.com/office/drawing/2014/main" id="{49D157D9-C7B2-4EDD-A483-C1AD8DBE7BE0}"/>
            </a:ext>
          </a:extLst>
        </xdr:cNvPr>
        <xdr:cNvSpPr txBox="1"/>
      </xdr:nvSpPr>
      <xdr:spPr>
        <a:xfrm>
          <a:off x="5186680" y="220766640"/>
          <a:ext cx="640715" cy="101346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57</xdr:col>
      <xdr:colOff>365760</xdr:colOff>
      <xdr:row>1000</xdr:row>
      <xdr:rowOff>163285</xdr:rowOff>
    </xdr:from>
    <xdr:to>
      <xdr:col>75</xdr:col>
      <xdr:colOff>185058</xdr:colOff>
      <xdr:row>1038</xdr:row>
      <xdr:rowOff>157841</xdr:rowOff>
    </xdr:to>
    <xdr:sp macro="" textlink="">
      <xdr:nvSpPr>
        <xdr:cNvPr id="65" name="Rectangle: Rounded Corners 64">
          <a:extLst>
            <a:ext uri="{FF2B5EF4-FFF2-40B4-BE49-F238E27FC236}">
              <a16:creationId xmlns:a16="http://schemas.microsoft.com/office/drawing/2014/main" id="{9A4E767D-9699-4FDD-BF9D-2E514148025C}"/>
            </a:ext>
          </a:extLst>
        </xdr:cNvPr>
        <xdr:cNvSpPr/>
      </xdr:nvSpPr>
      <xdr:spPr>
        <a:xfrm>
          <a:off x="18341340" y="29752290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400">
              <a:solidFill>
                <a:schemeClr val="tx1"/>
              </a:solidFill>
            </a:rPr>
            <a:t>calculation</a:t>
          </a:r>
          <a:r>
            <a:rPr lang="en-US" sz="1400" baseline="0">
              <a:solidFill>
                <a:schemeClr val="tx1"/>
              </a:solidFill>
            </a:rPr>
            <a:t> of situation depression from Challenging and Aspiring response data; rule out endogynous depression</a:t>
          </a:r>
        </a:p>
        <a:p>
          <a:pPr algn="l"/>
          <a:r>
            <a:rPr lang="en-US" sz="1400" baseline="0">
              <a:solidFill>
                <a:schemeClr val="tx1"/>
              </a:solidFill>
            </a:rPr>
            <a:t>Any use of antidepressants to be informed by situational depression, with antidepressants as option to remove the intensity of the pain but not to enable the etiological situation. </a:t>
          </a:r>
          <a:endParaRPr lang="en-US" sz="1100">
            <a:solidFill>
              <a:schemeClr val="tx1"/>
            </a:solidFill>
          </a:endParaRPr>
        </a:p>
      </xdr:txBody>
    </xdr:sp>
    <xdr:clientData/>
  </xdr:twoCellAnchor>
  <xdr:twoCellAnchor>
    <xdr:from>
      <xdr:col>0</xdr:col>
      <xdr:colOff>99059</xdr:colOff>
      <xdr:row>137</xdr:row>
      <xdr:rowOff>155664</xdr:rowOff>
    </xdr:from>
    <xdr:to>
      <xdr:col>5</xdr:col>
      <xdr:colOff>83819</xdr:colOff>
      <xdr:row>145</xdr:row>
      <xdr:rowOff>186144</xdr:rowOff>
    </xdr:to>
    <xdr:sp macro="" textlink="">
      <xdr:nvSpPr>
        <xdr:cNvPr id="66" name="Rectangle: Rounded Corners 65">
          <a:extLst>
            <a:ext uri="{FF2B5EF4-FFF2-40B4-BE49-F238E27FC236}">
              <a16:creationId xmlns:a16="http://schemas.microsoft.com/office/drawing/2014/main" id="{886012E1-E9AE-4AD8-8851-424BCC1F1A53}"/>
            </a:ext>
          </a:extLst>
        </xdr:cNvPr>
        <xdr:cNvSpPr/>
      </xdr:nvSpPr>
      <xdr:spPr>
        <a:xfrm>
          <a:off x="99059" y="40434984"/>
          <a:ext cx="5943600" cy="1645920"/>
        </a:xfrm>
        <a:prstGeom prst="roundRect">
          <a:avLst>
            <a:gd name="adj" fmla="val 5176"/>
          </a:avLst>
        </a:prstGeom>
        <a:solidFill>
          <a:srgbClr val="007832">
            <a:alpha val="80000"/>
          </a:srgbClr>
        </a:solidFill>
        <a:ln w="50800">
          <a:solidFill>
            <a:srgbClr val="00CC5C">
              <a:alpha val="40000"/>
            </a:srgb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2000">
              <a:latin typeface="Tahoma" panose="020B0604030504040204" pitchFamily="34" charset="0"/>
              <a:ea typeface="Tahoma" panose="020B0604030504040204" pitchFamily="34" charset="0"/>
              <a:cs typeface="Tahoma" panose="020B0604030504040204" pitchFamily="34" charset="0"/>
            </a:rPr>
            <a:t>This tool is in pilot</a:t>
          </a:r>
          <a:r>
            <a:rPr lang="en-US" sz="2000" baseline="0">
              <a:latin typeface="Tahoma" panose="020B0604030504040204" pitchFamily="34" charset="0"/>
              <a:ea typeface="Tahoma" panose="020B0604030504040204" pitchFamily="34" charset="0"/>
              <a:cs typeface="Tahoma" panose="020B0604030504040204" pitchFamily="34" charset="0"/>
            </a:rPr>
            <a:t> mode. It aims to calculate a likelihood of innocence compared to known cases of exoneration. It can be improved by feedback from each person utilizing it and receiving it. </a:t>
          </a:r>
          <a:endParaRPr lang="en-US" sz="200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39</xdr:col>
      <xdr:colOff>34833</xdr:colOff>
      <xdr:row>837</xdr:row>
      <xdr:rowOff>101235</xdr:rowOff>
    </xdr:from>
    <xdr:to>
      <xdr:col>70</xdr:col>
      <xdr:colOff>89262</xdr:colOff>
      <xdr:row>844</xdr:row>
      <xdr:rowOff>21771</xdr:rowOff>
    </xdr:to>
    <xdr:sp macro="" textlink="">
      <xdr:nvSpPr>
        <xdr:cNvPr id="67" name="Rectangle: Rounded Corners 66">
          <a:extLst>
            <a:ext uri="{FF2B5EF4-FFF2-40B4-BE49-F238E27FC236}">
              <a16:creationId xmlns:a16="http://schemas.microsoft.com/office/drawing/2014/main" id="{011BB0AF-57AA-496D-B757-A678A393EFC9}"/>
            </a:ext>
          </a:extLst>
        </xdr:cNvPr>
        <xdr:cNvSpPr/>
      </xdr:nvSpPr>
      <xdr:spPr>
        <a:xfrm>
          <a:off x="18341340" y="280486755"/>
          <a:ext cx="0" cy="2016036"/>
        </a:xfrm>
        <a:prstGeom prst="roundRect">
          <a:avLst>
            <a:gd name="adj" fmla="val 5176"/>
          </a:avLst>
        </a:prstGeom>
        <a:solidFill>
          <a:srgbClr val="F19B61">
            <a:alpha val="12157"/>
          </a:srgbClr>
        </a:solidFill>
        <a:ln w="76200">
          <a:solidFill>
            <a:srgbClr val="9BFFC8"/>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400">
              <a:solidFill>
                <a:schemeClr val="accent2">
                  <a:lumMod val="75000"/>
                </a:schemeClr>
              </a:solidFill>
            </a:rPr>
            <a:t>Despite </a:t>
          </a:r>
          <a:r>
            <a:rPr lang="en-US" sz="1400">
              <a:solidFill>
                <a:schemeClr val="accent2">
                  <a:lumMod val="75000"/>
                </a:schemeClr>
              </a:solidFill>
              <a:latin typeface="+mn-lt"/>
              <a:ea typeface="+mn-ea"/>
              <a:cs typeface="+mn-cs"/>
            </a:rPr>
            <a:t>challenging [CHALLENGING] needs, [NAME] aspires toward [ASPRING].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solidFill>
              <a:schemeClr val="accent2">
                <a:lumMod val="75000"/>
              </a:schemeClr>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accent2">
                  <a:lumMod val="75000"/>
                </a:schemeClr>
              </a:solidFill>
              <a:latin typeface="+mn-lt"/>
              <a:ea typeface="+mn-ea"/>
              <a:cs typeface="+mn-cs"/>
            </a:rPr>
            <a:t>Despite challenging [CHALLENGING] needs, [NAME] aspires toward [ASPRING]. </a:t>
          </a:r>
        </a:p>
        <a:p>
          <a:pPr algn="l"/>
          <a:endParaRPr lang="en-US" sz="1400">
            <a:solidFill>
              <a:schemeClr val="accent2">
                <a:lumMod val="75000"/>
              </a:schemeClr>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accent2">
                  <a:lumMod val="75000"/>
                </a:schemeClr>
              </a:solidFill>
              <a:latin typeface="+mn-lt"/>
              <a:ea typeface="+mn-ea"/>
              <a:cs typeface="+mn-cs"/>
            </a:rPr>
            <a:t>Despite challenging [CHALLENGING] needs, [NAME] aspires toward [ASPRING]. </a:t>
          </a:r>
        </a:p>
        <a:p>
          <a:pPr algn="l"/>
          <a:endParaRPr lang="en-US" sz="1400">
            <a:solidFill>
              <a:schemeClr val="accent2">
                <a:lumMod val="75000"/>
              </a:schemeClr>
            </a:solidFill>
          </a:endParaRPr>
        </a:p>
        <a:p>
          <a:pPr algn="l"/>
          <a:endParaRPr lang="en-US" sz="1400">
            <a:solidFill>
              <a:schemeClr val="accent2">
                <a:lumMod val="75000"/>
              </a:schemeClr>
            </a:solidFill>
          </a:endParaRPr>
        </a:p>
      </xdr:txBody>
    </xdr:sp>
    <xdr:clientData/>
  </xdr:twoCellAnchor>
  <xdr:twoCellAnchor editAs="oneCell">
    <xdr:from>
      <xdr:col>1</xdr:col>
      <xdr:colOff>170938</xdr:colOff>
      <xdr:row>1755</xdr:row>
      <xdr:rowOff>77829</xdr:rowOff>
    </xdr:from>
    <xdr:to>
      <xdr:col>3</xdr:col>
      <xdr:colOff>1942682</xdr:colOff>
      <xdr:row>1772</xdr:row>
      <xdr:rowOff>112392</xdr:rowOff>
    </xdr:to>
    <xdr:pic>
      <xdr:nvPicPr>
        <xdr:cNvPr id="68" name="Picture 67">
          <a:extLst>
            <a:ext uri="{FF2B5EF4-FFF2-40B4-BE49-F238E27FC236}">
              <a16:creationId xmlns:a16="http://schemas.microsoft.com/office/drawing/2014/main" id="{C713E252-6301-4583-A454-2F55531A87B3}"/>
            </a:ext>
          </a:extLst>
        </xdr:cNvPr>
        <xdr:cNvPicPr>
          <a:picLocks noChangeAspect="1"/>
        </xdr:cNvPicPr>
      </xdr:nvPicPr>
      <xdr:blipFill>
        <a:blip xmlns:r="http://schemas.openxmlformats.org/officeDocument/2006/relationships" r:embed="rId19"/>
        <a:stretch>
          <a:fillRect/>
        </a:stretch>
      </xdr:blipFill>
      <xdr:spPr>
        <a:xfrm rot="21406620">
          <a:off x="430018" y="333757629"/>
          <a:ext cx="5307424" cy="3013983"/>
        </a:xfrm>
        <a:prstGeom prst="rect">
          <a:avLst/>
        </a:prstGeom>
      </xdr:spPr>
    </xdr:pic>
    <xdr:clientData/>
  </xdr:twoCellAnchor>
  <xdr:twoCellAnchor>
    <xdr:from>
      <xdr:col>79</xdr:col>
      <xdr:colOff>1084</xdr:colOff>
      <xdr:row>87</xdr:row>
      <xdr:rowOff>152400</xdr:rowOff>
    </xdr:from>
    <xdr:to>
      <xdr:col>88</xdr:col>
      <xdr:colOff>13058</xdr:colOff>
      <xdr:row>97</xdr:row>
      <xdr:rowOff>38100</xdr:rowOff>
    </xdr:to>
    <xdr:sp macro="" textlink="">
      <xdr:nvSpPr>
        <xdr:cNvPr id="69" name="Arrow: Right 68">
          <a:hlinkClick xmlns:r="http://schemas.openxmlformats.org/officeDocument/2006/relationships" r:id="rId20" tooltip="&gt;&gt; click here if you could use some help with this &lt;&lt;"/>
          <a:extLst>
            <a:ext uri="{FF2B5EF4-FFF2-40B4-BE49-F238E27FC236}">
              <a16:creationId xmlns:a16="http://schemas.microsoft.com/office/drawing/2014/main" id="{946A4B8D-6089-496B-979C-65EDDE6018E7}"/>
            </a:ext>
          </a:extLst>
        </xdr:cNvPr>
        <xdr:cNvSpPr/>
      </xdr:nvSpPr>
      <xdr:spPr>
        <a:xfrm>
          <a:off x="18341340" y="30198060"/>
          <a:ext cx="0" cy="1790700"/>
        </a:xfrm>
        <a:prstGeom prst="rightArrow">
          <a:avLst>
            <a:gd name="adj1" fmla="val 100000"/>
            <a:gd name="adj2" fmla="val 10822"/>
          </a:avLst>
        </a:prstGeom>
        <a:scene3d>
          <a:camera prst="orthographicFront"/>
          <a:lightRig rig="threePt" dir="t"/>
        </a:scene3d>
        <a:sp3d>
          <a:bevelT prst="angle"/>
        </a:sp3d>
      </xdr:spPr>
      <xdr:style>
        <a:lnRef idx="0">
          <a:schemeClr val="accent2"/>
        </a:lnRef>
        <a:fillRef idx="3">
          <a:schemeClr val="accent2"/>
        </a:fillRef>
        <a:effectRef idx="3">
          <a:schemeClr val="accent2"/>
        </a:effectRef>
        <a:fontRef idx="minor">
          <a:schemeClr val="lt1"/>
        </a:fontRef>
      </xdr:style>
      <xdr:txBody>
        <a:bodyPr vertOverflow="clip" horzOverflow="clip" lIns="137160" rtlCol="0" anchor="ctr"/>
        <a:lstStyle/>
        <a:p>
          <a:pPr>
            <a:lnSpc>
              <a:spcPts val="1400"/>
            </a:lnSpc>
            <a:spcAft>
              <a:spcPts val="600"/>
            </a:spcAft>
          </a:pPr>
          <a:r>
            <a:rPr lang="en-US" sz="140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Recounting this information risks</a:t>
          </a:r>
          <a:r>
            <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 re-traumatizing those most deeply affected by it. The proxy is there for support, and we support the proxy. </a:t>
          </a:r>
          <a:endParaRPr lang="en-US" sz="1400">
            <a:effectLst>
              <a:outerShdw blurRad="50800" dist="38100" dir="2700000" algn="tl" rotWithShape="0">
                <a:prstClr val="black">
                  <a:alpha val="40000"/>
                </a:prstClr>
              </a:outerShdw>
            </a:effectLst>
            <a:latin typeface="Arial Black" panose="020B0A04020102020204" pitchFamily="34" charset="0"/>
          </a:endParaRPr>
        </a:p>
        <a:p>
          <a:pPr>
            <a:lnSpc>
              <a:spcPts val="1400"/>
            </a:lnSpc>
          </a:pPr>
          <a:r>
            <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If needing direct support to get through this, please contact us. Don't let any temporary pain stop you from receiving overdue justice. </a:t>
          </a:r>
        </a:p>
        <a:p>
          <a:pPr algn="ctr">
            <a:lnSpc>
              <a:spcPts val="1400"/>
            </a:lnSpc>
          </a:pPr>
          <a:endPar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endParaRPr>
        </a:p>
        <a:p>
          <a:pPr algn="ctr">
            <a:lnSpc>
              <a:spcPts val="1400"/>
            </a:lnSpc>
          </a:pPr>
          <a:r>
            <a:rPr lang="en-US" sz="2000" baseline="0">
              <a:ln w="3175">
                <a:solidFill>
                  <a:schemeClr val="bg1"/>
                </a:solidFill>
              </a:ln>
              <a:solidFill>
                <a:srgbClr val="FFABAD"/>
              </a:solidFill>
              <a:effectLst>
                <a:outerShdw blurRad="50800" dist="38100" dir="2700000" algn="tl" rotWithShape="0">
                  <a:prstClr val="black">
                    <a:alpha val="40000"/>
                  </a:prstClr>
                </a:outerShdw>
              </a:effectLst>
              <a:latin typeface="Arial Black" panose="020B0A04020102020204" pitchFamily="34" charset="0"/>
              <a:ea typeface="+mn-ea"/>
              <a:cs typeface="+mn-cs"/>
            </a:rPr>
            <a:t>CLICK HERE</a:t>
          </a:r>
          <a:r>
            <a:rPr lang="en-US" sz="2000" baseline="0">
              <a:solidFill>
                <a:srgbClr val="FFABAD"/>
              </a:solidFill>
              <a:effectLst>
                <a:outerShdw blurRad="50800" dist="38100" dir="2700000" algn="tl" rotWithShape="0">
                  <a:prstClr val="black">
                    <a:alpha val="40000"/>
                  </a:prstClr>
                </a:outerShdw>
              </a:effectLst>
              <a:latin typeface="Arial Black" panose="020B0A04020102020204" pitchFamily="34" charset="0"/>
              <a:ea typeface="+mn-ea"/>
              <a:cs typeface="+mn-cs"/>
            </a:rPr>
            <a:t>.</a:t>
          </a:r>
          <a:endParaRPr lang="en-US" sz="1400">
            <a:solidFill>
              <a:srgbClr val="FFABAD"/>
            </a:solidFill>
            <a:effectLst>
              <a:outerShdw blurRad="50800" dist="38100" dir="2700000" algn="tl" rotWithShape="0">
                <a:prstClr val="black">
                  <a:alpha val="40000"/>
                </a:prstClr>
              </a:outerShdw>
            </a:effectLst>
            <a:latin typeface="Arial Black" panose="020B0A04020102020204" pitchFamily="34" charset="0"/>
          </a:endParaRPr>
        </a:p>
      </xdr:txBody>
    </xdr:sp>
    <xdr:clientData/>
  </xdr:twoCellAnchor>
  <xdr:twoCellAnchor>
    <xdr:from>
      <xdr:col>1</xdr:col>
      <xdr:colOff>337144</xdr:colOff>
      <xdr:row>688</xdr:row>
      <xdr:rowOff>663397</xdr:rowOff>
    </xdr:from>
    <xdr:to>
      <xdr:col>3</xdr:col>
      <xdr:colOff>1804779</xdr:colOff>
      <xdr:row>688</xdr:row>
      <xdr:rowOff>4292129</xdr:rowOff>
    </xdr:to>
    <xdr:sp macro="" textlink="">
      <xdr:nvSpPr>
        <xdr:cNvPr id="70" name="TextBox 69">
          <a:extLst>
            <a:ext uri="{FF2B5EF4-FFF2-40B4-BE49-F238E27FC236}">
              <a16:creationId xmlns:a16="http://schemas.microsoft.com/office/drawing/2014/main" id="{783632BE-B35C-439D-A9A4-2CF849A70191}"/>
            </a:ext>
          </a:extLst>
        </xdr:cNvPr>
        <xdr:cNvSpPr txBox="1"/>
      </xdr:nvSpPr>
      <xdr:spPr>
        <a:xfrm rot="21085390">
          <a:off x="596224" y="242537437"/>
          <a:ext cx="5003315" cy="3628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No one sits above the law, yet no law sits above need. Laws exist to serve needs, but whose? </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And all needs sit equal before nature.</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moral question persists: whose needs get best served by which enforced laws? </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answer determines the level of legitimacy, the level of widely earned trust to serve these needs.</a:t>
          </a:r>
        </a:p>
      </xdr:txBody>
    </xdr:sp>
    <xdr:clientData/>
  </xdr:twoCellAnchor>
  <xdr:twoCellAnchor>
    <xdr:from>
      <xdr:col>1</xdr:col>
      <xdr:colOff>243335</xdr:colOff>
      <xdr:row>639</xdr:row>
      <xdr:rowOff>1099136</xdr:rowOff>
    </xdr:from>
    <xdr:to>
      <xdr:col>3</xdr:col>
      <xdr:colOff>1710970</xdr:colOff>
      <xdr:row>639</xdr:row>
      <xdr:rowOff>4671929</xdr:rowOff>
    </xdr:to>
    <xdr:sp macro="" textlink="">
      <xdr:nvSpPr>
        <xdr:cNvPr id="71" name="TextBox 70">
          <a:hlinkClick xmlns:r="http://schemas.openxmlformats.org/officeDocument/2006/relationships" r:id="rId21"/>
          <a:extLst>
            <a:ext uri="{FF2B5EF4-FFF2-40B4-BE49-F238E27FC236}">
              <a16:creationId xmlns:a16="http://schemas.microsoft.com/office/drawing/2014/main" id="{C796FC84-3E26-45C2-A76E-3CB3C52F5699}"/>
            </a:ext>
          </a:extLst>
        </xdr:cNvPr>
        <xdr:cNvSpPr txBox="1"/>
      </xdr:nvSpPr>
      <xdr:spPr>
        <a:xfrm rot="513505">
          <a:off x="502415" y="217415696"/>
          <a:ext cx="5003315" cy="3572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demand for professional help to review these viable claims of innocence far outstrips the meager supply.</a:t>
          </a:r>
        </a:p>
        <a:p>
          <a:endParaRPr lang="en-US" sz="24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24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Innocence Projects remain overwhelmed. We can help fill that gap.</a:t>
          </a:r>
        </a:p>
      </xdr:txBody>
    </xdr:sp>
    <xdr:clientData/>
  </xdr:twoCellAnchor>
  <xdr:twoCellAnchor>
    <xdr:from>
      <xdr:col>26</xdr:col>
      <xdr:colOff>0</xdr:colOff>
      <xdr:row>794</xdr:row>
      <xdr:rowOff>9797</xdr:rowOff>
    </xdr:from>
    <xdr:to>
      <xdr:col>26</xdr:col>
      <xdr:colOff>0</xdr:colOff>
      <xdr:row>811</xdr:row>
      <xdr:rowOff>117566</xdr:rowOff>
    </xdr:to>
    <xdr:grpSp>
      <xdr:nvGrpSpPr>
        <xdr:cNvPr id="72" name="Group 71">
          <a:extLst>
            <a:ext uri="{FF2B5EF4-FFF2-40B4-BE49-F238E27FC236}">
              <a16:creationId xmlns:a16="http://schemas.microsoft.com/office/drawing/2014/main" id="{7F2B903F-3BBD-4CBB-B982-3E07FE8A2297}"/>
            </a:ext>
          </a:extLst>
        </xdr:cNvPr>
        <xdr:cNvGrpSpPr/>
      </xdr:nvGrpSpPr>
      <xdr:grpSpPr>
        <a:xfrm>
          <a:off x="7368540" y="272272397"/>
          <a:ext cx="0" cy="3231969"/>
          <a:chOff x="18954206" y="257674654"/>
          <a:chExt cx="8586650" cy="3210198"/>
        </a:xfrm>
      </xdr:grpSpPr>
      <xdr:sp macro="" textlink="">
        <xdr:nvSpPr>
          <xdr:cNvPr id="73" name="TextBox 72">
            <a:extLst>
              <a:ext uri="{FF2B5EF4-FFF2-40B4-BE49-F238E27FC236}">
                <a16:creationId xmlns:a16="http://schemas.microsoft.com/office/drawing/2014/main" id="{ABE5A1F6-C659-4F23-A4FC-381C5EB33627}"/>
              </a:ext>
            </a:extLst>
          </xdr:cNvPr>
          <xdr:cNvSpPr txBox="1"/>
        </xdr:nvSpPr>
        <xdr:spPr>
          <a:xfrm>
            <a:off x="20367172" y="257811541"/>
            <a:ext cx="2176054" cy="20533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i="0" u="none" strike="noStrike">
                <a:solidFill>
                  <a:schemeClr val="dk1"/>
                </a:solidFill>
                <a:effectLst/>
                <a:latin typeface="+mn-lt"/>
                <a:ea typeface="+mn-ea"/>
                <a:cs typeface="+mn-cs"/>
              </a:rPr>
              <a:t>Challenging</a:t>
            </a:r>
            <a:r>
              <a:rPr lang="en-US" sz="1600" b="1" i="0" u="none" strike="noStrike" baseline="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items</a:t>
            </a: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r>
              <a:rPr lang="en-US" sz="1600" b="1" i="0" u="none" strike="noStrike">
                <a:solidFill>
                  <a:schemeClr val="dk1"/>
                </a:solidFill>
                <a:effectLst/>
                <a:latin typeface="+mn-lt"/>
                <a:ea typeface="+mn-ea"/>
                <a:cs typeface="+mn-cs"/>
              </a:rPr>
              <a:t>Aspiring</a:t>
            </a:r>
            <a:r>
              <a:rPr lang="en-US" sz="1100" b="1" i="0" baseline="0">
                <a:solidFill>
                  <a:schemeClr val="dk1"/>
                </a:solidFill>
                <a:effectLst/>
                <a:latin typeface="+mn-lt"/>
                <a:ea typeface="+mn-ea"/>
                <a:cs typeface="+mn-cs"/>
              </a:rPr>
              <a:t>:</a:t>
            </a:r>
            <a:endParaRPr lang="en-US">
              <a:effectLst/>
            </a:endParaRPr>
          </a:p>
          <a:p>
            <a:pPr eaLnBrk="1" fontAlgn="auto" latinLnBrk="0" hangingPunct="1"/>
            <a:r>
              <a:rPr lang="en-US" sz="1100">
                <a:solidFill>
                  <a:schemeClr val="dk1"/>
                </a:solidFill>
                <a:effectLst/>
                <a:latin typeface="+mn-lt"/>
                <a:ea typeface="+mn-ea"/>
                <a:cs typeface="+mn-cs"/>
              </a:rPr>
              <a:t>items</a:t>
            </a:r>
          </a:p>
          <a:p>
            <a:pPr eaLnBrk="1" fontAlgn="auto" latinLnBrk="0" hangingPunct="1"/>
            <a:endParaRPr lang="en-US">
              <a:effectLst/>
            </a:endParaRPr>
          </a:p>
          <a:p>
            <a:r>
              <a:rPr lang="en-US" sz="1600" b="1" i="0" u="none" strike="noStrike">
                <a:solidFill>
                  <a:schemeClr val="dk1"/>
                </a:solidFill>
                <a:effectLst/>
                <a:latin typeface="+mn-lt"/>
                <a:ea typeface="+mn-ea"/>
                <a:cs typeface="+mn-cs"/>
              </a:rPr>
              <a:t>Seeking</a:t>
            </a:r>
            <a:r>
              <a:rPr lang="en-US" sz="1100" b="1" i="0" baseline="0">
                <a:solidFill>
                  <a:schemeClr val="dk1"/>
                </a:solidFill>
                <a:effectLst/>
                <a:latin typeface="+mn-lt"/>
                <a:ea typeface="+mn-ea"/>
                <a:cs typeface="+mn-cs"/>
              </a:rPr>
              <a:t>:</a:t>
            </a:r>
            <a:endParaRPr lang="en-US">
              <a:effectLst/>
            </a:endParaRPr>
          </a:p>
          <a:p>
            <a:pPr eaLnBrk="1" fontAlgn="auto" latinLnBrk="0" hangingPunct="1"/>
            <a:r>
              <a:rPr lang="en-US" sz="1100">
                <a:solidFill>
                  <a:schemeClr val="dk1"/>
                </a:solidFill>
                <a:effectLst/>
                <a:latin typeface="+mn-lt"/>
                <a:ea typeface="+mn-ea"/>
                <a:cs typeface="+mn-cs"/>
              </a:rPr>
              <a:t>items</a:t>
            </a:r>
          </a:p>
          <a:p>
            <a:pPr eaLnBrk="1" fontAlgn="auto" latinLnBrk="0" hangingPunct="1"/>
            <a:endParaRPr lang="en-US">
              <a:effectLst/>
            </a:endParaRPr>
          </a:p>
          <a:p>
            <a:endParaRPr lang="en-US" sz="1100"/>
          </a:p>
        </xdr:txBody>
      </xdr:sp>
      <xdr:sp macro="" textlink="">
        <xdr:nvSpPr>
          <xdr:cNvPr id="74" name="TextBox 73">
            <a:extLst>
              <a:ext uri="{FF2B5EF4-FFF2-40B4-BE49-F238E27FC236}">
                <a16:creationId xmlns:a16="http://schemas.microsoft.com/office/drawing/2014/main" id="{2E5B0002-6D29-48A2-9B6A-B3BC0ADF1060}"/>
              </a:ext>
            </a:extLst>
          </xdr:cNvPr>
          <xdr:cNvSpPr txBox="1"/>
        </xdr:nvSpPr>
        <xdr:spPr>
          <a:xfrm>
            <a:off x="18954206" y="257674654"/>
            <a:ext cx="1521822" cy="1154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CCC impacting how:</a:t>
            </a:r>
            <a:endParaRPr lang="en-US" sz="1100" b="1"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not applicable</a:t>
            </a:r>
          </a:p>
          <a:p>
            <a:r>
              <a:rPr lang="en-US" sz="1100" b="0" i="0" u="none" strike="noStrike" baseline="0">
                <a:solidFill>
                  <a:schemeClr val="dk1"/>
                </a:solidFill>
                <a:effectLst/>
                <a:latin typeface="+mn-lt"/>
                <a:ea typeface="+mn-ea"/>
                <a:cs typeface="+mn-cs"/>
              </a:rPr>
              <a:t>temporary</a:t>
            </a:r>
          </a:p>
          <a:p>
            <a:r>
              <a:rPr lang="en-US" sz="1100" b="0" i="0" u="none" strike="noStrike" baseline="0">
                <a:solidFill>
                  <a:schemeClr val="dk1"/>
                </a:solidFill>
                <a:effectLst/>
                <a:latin typeface="+mn-lt"/>
                <a:ea typeface="+mn-ea"/>
                <a:cs typeface="+mn-cs"/>
              </a:rPr>
              <a:t>lasting</a:t>
            </a:r>
          </a:p>
          <a:p>
            <a:r>
              <a:rPr lang="en-US" sz="1100" b="0" i="0" u="none" strike="noStrike" baseline="0">
                <a:solidFill>
                  <a:schemeClr val="dk1"/>
                </a:solidFill>
                <a:effectLst/>
                <a:latin typeface="+mn-lt"/>
                <a:ea typeface="+mn-ea"/>
                <a:cs typeface="+mn-cs"/>
              </a:rPr>
              <a:t>permanent</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75" name="TextBox 74">
            <a:extLst>
              <a:ext uri="{FF2B5EF4-FFF2-40B4-BE49-F238E27FC236}">
                <a16:creationId xmlns:a16="http://schemas.microsoft.com/office/drawing/2014/main" id="{F7132FFC-778E-44A1-88D5-F5BFA835DE19}"/>
              </a:ext>
            </a:extLst>
          </xdr:cNvPr>
          <xdr:cNvSpPr txBox="1"/>
        </xdr:nvSpPr>
        <xdr:spPr>
          <a:xfrm>
            <a:off x="19173008" y="259929086"/>
            <a:ext cx="3649072" cy="955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stripped of</a:t>
            </a:r>
            <a:r>
              <a:rPr lang="en-US" sz="1100" b="1" i="0" u="none" strike="noStrike" baseline="0">
                <a:solidFill>
                  <a:schemeClr val="dk1"/>
                </a:solidFill>
                <a:effectLst/>
                <a:latin typeface="+mn-lt"/>
                <a:ea typeface="+mn-ea"/>
                <a:cs typeface="+mn-cs"/>
              </a:rPr>
              <a:t> basic civil and human rights:</a:t>
            </a:r>
          </a:p>
          <a:p>
            <a:r>
              <a:rPr lang="en-US" sz="1100" b="0" i="0" u="none" strike="noStrike" baseline="0">
                <a:solidFill>
                  <a:schemeClr val="dk1"/>
                </a:solidFill>
                <a:effectLst/>
                <a:latin typeface="+mn-lt"/>
                <a:ea typeface="+mn-ea"/>
                <a:cs typeface="+mn-cs"/>
              </a:rPr>
              <a:t>right to vote</a:t>
            </a:r>
          </a:p>
          <a:p>
            <a:r>
              <a:rPr lang="en-US" sz="1100" b="0" i="0" u="none" strike="noStrike" baseline="0">
                <a:solidFill>
                  <a:schemeClr val="dk1"/>
                </a:solidFill>
                <a:effectLst/>
                <a:latin typeface="+mn-lt"/>
                <a:ea typeface="+mn-ea"/>
                <a:cs typeface="+mn-cs"/>
              </a:rPr>
              <a:t>right to serve on juries</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legal discriminations</a:t>
            </a:r>
          </a:p>
          <a:p>
            <a:r>
              <a:rPr lang="en-US" sz="1100" b="0" i="0" u="none" strike="noStrike" baseline="0">
                <a:solidFill>
                  <a:schemeClr val="dk1"/>
                </a:solidFill>
                <a:effectLst/>
                <a:latin typeface="+mn-lt"/>
                <a:ea typeface="+mn-ea"/>
                <a:cs typeface="+mn-cs"/>
              </a:rPr>
              <a:t>employment discrimination</a:t>
            </a:r>
          </a:p>
          <a:p>
            <a:r>
              <a:rPr lang="en-US" sz="1100" b="0" i="0" u="none" strike="noStrike" baseline="0">
                <a:solidFill>
                  <a:schemeClr val="dk1"/>
                </a:solidFill>
                <a:effectLst/>
                <a:latin typeface="+mn-lt"/>
                <a:ea typeface="+mn-ea"/>
                <a:cs typeface="+mn-cs"/>
              </a:rPr>
              <a:t>housing discrimination</a:t>
            </a:r>
          </a:p>
          <a:p>
            <a:r>
              <a:rPr lang="en-US" sz="1100" b="0" i="0" u="none" strike="noStrike" baseline="0">
                <a:solidFill>
                  <a:schemeClr val="dk1"/>
                </a:solidFill>
                <a:effectLst/>
                <a:latin typeface="+mn-lt"/>
                <a:ea typeface="+mn-ea"/>
                <a:cs typeface="+mn-cs"/>
              </a:rPr>
              <a:t>access to education</a:t>
            </a:r>
          </a:p>
          <a:p>
            <a:r>
              <a:rPr lang="en-US" sz="1100" b="0" i="0" u="none" strike="noStrike" baseline="0">
                <a:solidFill>
                  <a:schemeClr val="dk1"/>
                </a:solidFill>
                <a:effectLst/>
                <a:latin typeface="+mn-lt"/>
                <a:ea typeface="+mn-ea"/>
                <a:cs typeface="+mn-cs"/>
              </a:rPr>
              <a:t>basic public benefits</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Required to register for life</a:t>
            </a:r>
          </a:p>
          <a:p>
            <a:r>
              <a:rPr lang="en-US" sz="1100" b="0" i="0" u="none" strike="noStrike" baseline="0">
                <a:solidFill>
                  <a:schemeClr val="dk1"/>
                </a:solidFill>
                <a:effectLst/>
                <a:latin typeface="+mn-lt"/>
                <a:ea typeface="+mn-ea"/>
                <a:cs typeface="+mn-cs"/>
              </a:rPr>
              <a:t>access to education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76" name="Rectangle: Rounded Corners 75">
            <a:extLst>
              <a:ext uri="{FF2B5EF4-FFF2-40B4-BE49-F238E27FC236}">
                <a16:creationId xmlns:a16="http://schemas.microsoft.com/office/drawing/2014/main" id="{0EC34C41-3FF0-44EA-BBFC-D77A502E8D75}"/>
              </a:ext>
            </a:extLst>
          </xdr:cNvPr>
          <xdr:cNvSpPr/>
        </xdr:nvSpPr>
        <xdr:spPr>
          <a:xfrm>
            <a:off x="22731547" y="257725818"/>
            <a:ext cx="1338943" cy="2291443"/>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7" name="Rectangle: Rounded Corners 76">
            <a:extLst>
              <a:ext uri="{FF2B5EF4-FFF2-40B4-BE49-F238E27FC236}">
                <a16:creationId xmlns:a16="http://schemas.microsoft.com/office/drawing/2014/main" id="{7FCB3485-5605-411F-8036-62C569678B22}"/>
              </a:ext>
            </a:extLst>
          </xdr:cNvPr>
          <xdr:cNvSpPr/>
        </xdr:nvSpPr>
        <xdr:spPr>
          <a:xfrm>
            <a:off x="25025168" y="257747589"/>
            <a:ext cx="2194560" cy="2291443"/>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8" name="TextBox 77">
            <a:extLst>
              <a:ext uri="{FF2B5EF4-FFF2-40B4-BE49-F238E27FC236}">
                <a16:creationId xmlns:a16="http://schemas.microsoft.com/office/drawing/2014/main" id="{B5878323-DBD8-4230-80D7-977389DDF809}"/>
              </a:ext>
            </a:extLst>
          </xdr:cNvPr>
          <xdr:cNvSpPr txBox="1"/>
        </xdr:nvSpPr>
        <xdr:spPr>
          <a:xfrm>
            <a:off x="24479794" y="257907336"/>
            <a:ext cx="2092233" cy="20108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parent(s)</a:t>
            </a:r>
          </a:p>
          <a:p>
            <a:r>
              <a:rPr lang="en-US" sz="1100" b="0" i="0" u="none" strike="noStrike" baseline="0">
                <a:solidFill>
                  <a:schemeClr val="dk1"/>
                </a:solidFill>
                <a:effectLst/>
                <a:latin typeface="+mn-lt"/>
                <a:ea typeface="+mn-ea"/>
                <a:cs typeface="+mn-cs"/>
              </a:rPr>
              <a:t>dependent sibling(s)</a:t>
            </a:r>
          </a:p>
          <a:p>
            <a:r>
              <a:rPr lang="en-US" sz="1100" b="0" i="0" u="none" strike="noStrike" baseline="0">
                <a:solidFill>
                  <a:schemeClr val="dk1"/>
                </a:solidFill>
                <a:effectLst/>
                <a:latin typeface="+mn-lt"/>
                <a:ea typeface="+mn-ea"/>
                <a:cs typeface="+mn-cs"/>
              </a:rPr>
              <a:t>dependent children(s)</a:t>
            </a:r>
          </a:p>
          <a:p>
            <a:r>
              <a:rPr lang="en-US" sz="1100" b="0" i="0" u="none" strike="noStrike" baseline="0">
                <a:solidFill>
                  <a:schemeClr val="dk1"/>
                </a:solidFill>
                <a:effectLst/>
                <a:latin typeface="+mn-lt"/>
                <a:ea typeface="+mn-ea"/>
                <a:cs typeface="+mn-cs"/>
              </a:rPr>
              <a:t>dependent grandchild(ren)</a:t>
            </a:r>
          </a:p>
          <a:p>
            <a:r>
              <a:rPr lang="en-US" sz="1100" b="0" i="0" u="none" strike="noStrike" baseline="0">
                <a:solidFill>
                  <a:schemeClr val="dk1"/>
                </a:solidFill>
                <a:effectLst/>
                <a:latin typeface="+mn-lt"/>
                <a:ea typeface="+mn-ea"/>
                <a:cs typeface="+mn-cs"/>
              </a:rPr>
              <a:t>dependent other(s)</a:t>
            </a:r>
          </a:p>
          <a:p>
            <a:r>
              <a:rPr lang="en-US" sz="1100" b="0" i="0" u="none" strike="noStrike" baseline="0">
                <a:solidFill>
                  <a:schemeClr val="dk1"/>
                </a:solidFill>
                <a:effectLst/>
                <a:latin typeface="+mn-lt"/>
                <a:ea typeface="+mn-ea"/>
                <a:cs typeface="+mn-cs"/>
              </a:rPr>
              <a:t>friend(s)</a:t>
            </a:r>
          </a:p>
          <a:p>
            <a:r>
              <a:rPr lang="en-US" sz="1100" b="0" i="0" u="none" strike="noStrike" baseline="0">
                <a:solidFill>
                  <a:schemeClr val="dk1"/>
                </a:solidFill>
                <a:effectLst/>
                <a:latin typeface="+mn-lt"/>
                <a:ea typeface="+mn-ea"/>
                <a:cs typeface="+mn-cs"/>
              </a:rPr>
              <a:t>employer(s)</a:t>
            </a:r>
          </a:p>
          <a:p>
            <a:r>
              <a:rPr lang="en-US" sz="1100" b="0" i="0" u="none" strike="noStrike" baseline="0">
                <a:solidFill>
                  <a:schemeClr val="dk1"/>
                </a:solidFill>
                <a:effectLst/>
                <a:latin typeface="+mn-lt"/>
                <a:ea typeface="+mn-ea"/>
                <a:cs typeface="+mn-cs"/>
              </a:rPr>
              <a:t>business partner(s)</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79" name="TextBox 78">
            <a:extLst>
              <a:ext uri="{FF2B5EF4-FFF2-40B4-BE49-F238E27FC236}">
                <a16:creationId xmlns:a16="http://schemas.microsoft.com/office/drawing/2014/main" id="{CA75A1D0-5BF2-440B-97DF-746170D9188D}"/>
              </a:ext>
            </a:extLst>
          </xdr:cNvPr>
          <xdr:cNvSpPr txBox="1"/>
        </xdr:nvSpPr>
        <xdr:spPr>
          <a:xfrm>
            <a:off x="25448623" y="258310107"/>
            <a:ext cx="2092233" cy="20032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family member(s)</a:t>
            </a:r>
          </a:p>
          <a:p>
            <a:r>
              <a:rPr lang="en-US" sz="1100" b="0" i="0" u="none" strike="noStrike" baseline="0">
                <a:solidFill>
                  <a:schemeClr val="dk1"/>
                </a:solidFill>
                <a:effectLst/>
                <a:latin typeface="+mn-lt"/>
                <a:ea typeface="+mn-ea"/>
                <a:cs typeface="+mn-cs"/>
              </a:rPr>
              <a:t>friend(s)</a:t>
            </a:r>
          </a:p>
          <a:p>
            <a:r>
              <a:rPr lang="en-US" sz="1100" b="0" i="0" u="none" strike="noStrike" baseline="0">
                <a:solidFill>
                  <a:schemeClr val="dk1"/>
                </a:solidFill>
                <a:effectLst/>
                <a:latin typeface="+mn-lt"/>
                <a:ea typeface="+mn-ea"/>
                <a:cs typeface="+mn-cs"/>
              </a:rPr>
              <a:t>family &amp; friend(s)</a:t>
            </a:r>
          </a:p>
          <a:p>
            <a:r>
              <a:rPr lang="en-US" sz="1100" b="0" i="0" u="none" strike="noStrike" baseline="0">
                <a:solidFill>
                  <a:schemeClr val="dk1"/>
                </a:solidFill>
                <a:effectLst/>
                <a:latin typeface="+mn-lt"/>
                <a:ea typeface="+mn-ea"/>
                <a:cs typeface="+mn-cs"/>
              </a:rPr>
              <a:t>coworker(s)</a:t>
            </a:r>
          </a:p>
          <a:p>
            <a:r>
              <a:rPr lang="en-US" sz="1100" b="0" i="0" u="none" strike="noStrike" baseline="0">
                <a:solidFill>
                  <a:schemeClr val="dk1"/>
                </a:solidFill>
                <a:effectLst/>
                <a:latin typeface="+mn-lt"/>
                <a:ea typeface="+mn-ea"/>
                <a:cs typeface="+mn-cs"/>
              </a:rPr>
              <a:t>employer(s)</a:t>
            </a:r>
          </a:p>
          <a:p>
            <a:r>
              <a:rPr lang="en-US" sz="1100" b="0" i="0" u="none" strike="noStrike" baseline="0">
                <a:solidFill>
                  <a:schemeClr val="dk1"/>
                </a:solidFill>
                <a:effectLst/>
                <a:latin typeface="+mn-lt"/>
                <a:ea typeface="+mn-ea"/>
                <a:cs typeface="+mn-cs"/>
              </a:rPr>
              <a:t>other(s)</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grpSp>
    <xdr:clientData/>
  </xdr:twoCellAnchor>
  <xdr:twoCellAnchor>
    <xdr:from>
      <xdr:col>62</xdr:col>
      <xdr:colOff>87085</xdr:colOff>
      <xdr:row>812</xdr:row>
      <xdr:rowOff>0</xdr:rowOff>
    </xdr:from>
    <xdr:to>
      <xdr:col>70</xdr:col>
      <xdr:colOff>130628</xdr:colOff>
      <xdr:row>820</xdr:row>
      <xdr:rowOff>0</xdr:rowOff>
    </xdr:to>
    <xdr:sp macro="" textlink="">
      <xdr:nvSpPr>
        <xdr:cNvPr id="80" name="TextBox 79">
          <a:extLst>
            <a:ext uri="{FF2B5EF4-FFF2-40B4-BE49-F238E27FC236}">
              <a16:creationId xmlns:a16="http://schemas.microsoft.com/office/drawing/2014/main" id="{22BFA97A-CDE1-435D-B92C-D27945CB4FF0}"/>
            </a:ext>
          </a:extLst>
        </xdr:cNvPr>
        <xdr:cNvSpPr txBox="1"/>
      </xdr:nvSpPr>
      <xdr:spPr>
        <a:xfrm>
          <a:off x="18341340" y="275577300"/>
          <a:ext cx="0" cy="1638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CCC impacting whom:</a:t>
          </a:r>
        </a:p>
        <a:p>
          <a:r>
            <a:rPr lang="en-US" sz="1100">
              <a:solidFill>
                <a:schemeClr val="dk1"/>
              </a:solidFill>
              <a:effectLst/>
              <a:latin typeface="+mn-lt"/>
              <a:ea typeface="+mn-ea"/>
              <a:cs typeface="+mn-cs"/>
            </a:rPr>
            <a:t>impacting everyone I know</a:t>
          </a:r>
        </a:p>
        <a:p>
          <a:r>
            <a:rPr lang="en-US" sz="1100">
              <a:solidFill>
                <a:schemeClr val="dk1"/>
              </a:solidFill>
              <a:effectLst/>
              <a:latin typeface="+mn-lt"/>
              <a:ea typeface="+mn-ea"/>
              <a:cs typeface="+mn-cs"/>
            </a:rPr>
            <a:t>impacting close friend(s)</a:t>
          </a:r>
        </a:p>
        <a:p>
          <a:r>
            <a:rPr lang="en-US" sz="1100">
              <a:solidFill>
                <a:schemeClr val="dk1"/>
              </a:solidFill>
              <a:effectLst/>
              <a:latin typeface="+mn-lt"/>
              <a:ea typeface="+mn-ea"/>
              <a:cs typeface="+mn-cs"/>
            </a:rPr>
            <a:t>impacting close friends &amp; family</a:t>
          </a:r>
        </a:p>
        <a:p>
          <a:r>
            <a:rPr lang="en-US" sz="1100">
              <a:solidFill>
                <a:schemeClr val="dk1"/>
              </a:solidFill>
              <a:effectLst/>
              <a:latin typeface="+mn-lt"/>
              <a:ea typeface="+mn-ea"/>
              <a:cs typeface="+mn-cs"/>
            </a:rPr>
            <a:t>impacting only family members</a:t>
          </a:r>
        </a:p>
        <a:p>
          <a:r>
            <a:rPr lang="en-US" sz="1100">
              <a:solidFill>
                <a:schemeClr val="dk1"/>
              </a:solidFill>
              <a:effectLst/>
              <a:latin typeface="+mn-lt"/>
              <a:ea typeface="+mn-ea"/>
              <a:cs typeface="+mn-cs"/>
            </a:rPr>
            <a:t>impacting only my (then) partner</a:t>
          </a:r>
        </a:p>
        <a:p>
          <a:r>
            <a:rPr lang="en-US" sz="1100">
              <a:solidFill>
                <a:schemeClr val="dk1"/>
              </a:solidFill>
              <a:effectLst/>
              <a:latin typeface="+mn-lt"/>
              <a:ea typeface="+mn-ea"/>
              <a:cs typeface="+mn-cs"/>
            </a:rPr>
            <a:t>impacting (then) partner &amp; kids</a:t>
          </a:r>
        </a:p>
        <a:p>
          <a:r>
            <a:rPr lang="en-US" sz="1100">
              <a:solidFill>
                <a:schemeClr val="dk1"/>
              </a:solidFill>
              <a:effectLst/>
              <a:latin typeface="+mn-lt"/>
              <a:ea typeface="+mn-ea"/>
              <a:cs typeface="+mn-cs"/>
            </a:rPr>
            <a:t>impactig only my child(ren)</a:t>
          </a:r>
        </a:p>
        <a:p>
          <a:r>
            <a:rPr lang="en-US" sz="1100">
              <a:solidFill>
                <a:schemeClr val="dk1"/>
              </a:solidFill>
              <a:effectLst/>
              <a:latin typeface="+mn-lt"/>
              <a:ea typeface="+mn-ea"/>
              <a:cs typeface="+mn-cs"/>
            </a:rPr>
            <a:t>impactig only my grandchild(ren)</a:t>
          </a:r>
          <a:endParaRPr lang="en-US" sz="1100"/>
        </a:p>
      </xdr:txBody>
    </xdr:sp>
    <xdr:clientData/>
  </xdr:twoCellAnchor>
  <xdr:twoCellAnchor>
    <xdr:from>
      <xdr:col>2</xdr:col>
      <xdr:colOff>766354</xdr:colOff>
      <xdr:row>1061</xdr:row>
      <xdr:rowOff>83820</xdr:rowOff>
    </xdr:from>
    <xdr:to>
      <xdr:col>3</xdr:col>
      <xdr:colOff>1972491</xdr:colOff>
      <xdr:row>1061</xdr:row>
      <xdr:rowOff>358140</xdr:rowOff>
    </xdr:to>
    <xdr:sp macro="" textlink="">
      <xdr:nvSpPr>
        <xdr:cNvPr id="81" name="Arrow: Up 80">
          <a:extLst>
            <a:ext uri="{FF2B5EF4-FFF2-40B4-BE49-F238E27FC236}">
              <a16:creationId xmlns:a16="http://schemas.microsoft.com/office/drawing/2014/main" id="{8F17EEEB-1F59-4170-99A7-C50E00AAE7C0}"/>
            </a:ext>
          </a:extLst>
        </xdr:cNvPr>
        <xdr:cNvSpPr/>
      </xdr:nvSpPr>
      <xdr:spPr>
        <a:xfrm>
          <a:off x="2107474" y="297606720"/>
          <a:ext cx="3659777" cy="274320"/>
        </a:xfrm>
        <a:prstGeom prst="upArrow">
          <a:avLst>
            <a:gd name="adj1" fmla="val 90284"/>
            <a:gd name="adj2" fmla="val 31349"/>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100"/>
            <a:t>If</a:t>
          </a:r>
          <a:r>
            <a:rPr lang="en-US" sz="1100" baseline="0"/>
            <a:t> officially exonerated, will you seek compensation?</a:t>
          </a:r>
          <a:endParaRPr lang="en-US" sz="1100"/>
        </a:p>
      </xdr:txBody>
    </xdr:sp>
    <xdr:clientData/>
  </xdr:twoCellAnchor>
  <xdr:twoCellAnchor>
    <xdr:from>
      <xdr:col>60</xdr:col>
      <xdr:colOff>134981</xdr:colOff>
      <xdr:row>820</xdr:row>
      <xdr:rowOff>108856</xdr:rowOff>
    </xdr:from>
    <xdr:to>
      <xdr:col>70</xdr:col>
      <xdr:colOff>97970</xdr:colOff>
      <xdr:row>837</xdr:row>
      <xdr:rowOff>32656</xdr:rowOff>
    </xdr:to>
    <xdr:sp macro="" textlink="">
      <xdr:nvSpPr>
        <xdr:cNvPr id="82" name="Text Box 1">
          <a:extLst>
            <a:ext uri="{FF2B5EF4-FFF2-40B4-BE49-F238E27FC236}">
              <a16:creationId xmlns:a16="http://schemas.microsoft.com/office/drawing/2014/main" id="{70A77900-B613-430A-9F38-A1395432F7BD}"/>
            </a:ext>
          </a:extLst>
        </xdr:cNvPr>
        <xdr:cNvSpPr txBox="1"/>
      </xdr:nvSpPr>
      <xdr:spPr>
        <a:xfrm>
          <a:off x="18341340" y="277324456"/>
          <a:ext cx="0" cy="3093720"/>
        </a:xfrm>
        <a:prstGeom prst="rect">
          <a:avLst/>
        </a:prstGeom>
        <a:solidFill>
          <a:schemeClr val="bg1">
            <a:lumMod val="95000"/>
          </a:schemeClr>
        </a:solidFill>
        <a:ln w="38100">
          <a:solidFill>
            <a:srgbClr val="D088FC"/>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Challenging: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not challenged at all</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only slightly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moderately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significantly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severely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0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Aspiring: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don't seek it nor think about it much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desire it but feel it's unlikely to happen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hope it'll happen but I can do little about it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struggle to make it happen but unsuccessfully</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feel I've reached it but not maintained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sense I can maintaine it with help like this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maintain it without help like this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0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Seeking: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not important at all right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low priority right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important but can wait for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must have it as soon as possible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increasingly consuming my focus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can't go on any further without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59</xdr:col>
      <xdr:colOff>125185</xdr:colOff>
      <xdr:row>268</xdr:row>
      <xdr:rowOff>177166</xdr:rowOff>
    </xdr:from>
    <xdr:to>
      <xdr:col>68</xdr:col>
      <xdr:colOff>217714</xdr:colOff>
      <xdr:row>274</xdr:row>
      <xdr:rowOff>52251</xdr:rowOff>
    </xdr:to>
    <xdr:sp macro="" textlink="">
      <xdr:nvSpPr>
        <xdr:cNvPr id="83" name="TextBox 82">
          <a:extLst>
            <a:ext uri="{FF2B5EF4-FFF2-40B4-BE49-F238E27FC236}">
              <a16:creationId xmlns:a16="http://schemas.microsoft.com/office/drawing/2014/main" id="{47F868FF-65D4-4E41-90DF-8E4C8A1222C4}"/>
            </a:ext>
          </a:extLst>
        </xdr:cNvPr>
        <xdr:cNvSpPr txBox="1"/>
      </xdr:nvSpPr>
      <xdr:spPr>
        <a:xfrm>
          <a:off x="18341340" y="69473446"/>
          <a:ext cx="0" cy="10028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SOR:</a:t>
          </a:r>
        </a:p>
        <a:p>
          <a:r>
            <a:rPr lang="en-US" sz="1100"/>
            <a:t>not applicable</a:t>
          </a:r>
        </a:p>
        <a:p>
          <a:r>
            <a:rPr lang="en-US" sz="1100"/>
            <a:t>already</a:t>
          </a:r>
          <a:r>
            <a:rPr lang="en-US" sz="1100" baseline="0"/>
            <a:t> removed from registry</a:t>
          </a:r>
        </a:p>
        <a:p>
          <a:r>
            <a:rPr lang="en-US" sz="1100" baseline="0"/>
            <a:t>still on registry until [CONVICTION YEAR + 20]</a:t>
          </a:r>
        </a:p>
        <a:p>
          <a:r>
            <a:rPr lang="en-US" sz="1100" baseline="0"/>
            <a:t>on registry for life</a:t>
          </a:r>
          <a:endParaRPr lang="en-US" sz="1100"/>
        </a:p>
        <a:p>
          <a:endParaRPr lang="en-US" sz="1100" baseline="0"/>
        </a:p>
      </xdr:txBody>
    </xdr:sp>
    <xdr:clientData/>
  </xdr:twoCellAnchor>
  <xdr:twoCellAnchor editAs="oneCell">
    <xdr:from>
      <xdr:col>2</xdr:col>
      <xdr:colOff>1817915</xdr:colOff>
      <xdr:row>764</xdr:row>
      <xdr:rowOff>468086</xdr:rowOff>
    </xdr:from>
    <xdr:to>
      <xdr:col>3</xdr:col>
      <xdr:colOff>1785737</xdr:colOff>
      <xdr:row>764</xdr:row>
      <xdr:rowOff>1995352</xdr:rowOff>
    </xdr:to>
    <xdr:pic>
      <xdr:nvPicPr>
        <xdr:cNvPr id="84" name="Picture 83" descr="Maps, Country, America, States, Land, Geography, Us">
          <a:hlinkClick xmlns:r="http://schemas.openxmlformats.org/officeDocument/2006/relationships" r:id="rId22"/>
          <a:extLst>
            <a:ext uri="{FF2B5EF4-FFF2-40B4-BE49-F238E27FC236}">
              <a16:creationId xmlns:a16="http://schemas.microsoft.com/office/drawing/2014/main" id="{3332D8D8-7073-47DC-B58C-F84F5C2C8B36}"/>
            </a:ext>
          </a:extLst>
        </xdr:cNvPr>
        <xdr:cNvPicPr>
          <a:picLocks noChangeAspect="1" noChangeArrowheads="1"/>
        </xdr:cNvPicPr>
      </xdr:nvPicPr>
      <xdr:blipFill>
        <a:blip xmlns:r="http://schemas.openxmlformats.org/officeDocument/2006/relationships" r:embed="rId23" cstate="print">
          <a:duotone>
            <a:schemeClr val="bg2">
              <a:shade val="45000"/>
              <a:satMod val="135000"/>
            </a:schemeClr>
            <a:prstClr val="white"/>
          </a:duotone>
          <a:extLst>
            <a:ext uri="{BEBA8EAE-BF5A-486C-A8C5-ECC9F3942E4B}">
              <a14:imgProps xmlns:a14="http://schemas.microsoft.com/office/drawing/2010/main">
                <a14:imgLayer r:embed="rId24">
                  <a14:imgEffect>
                    <a14:artisticGlowEdges/>
                  </a14:imgEffect>
                </a14:imgLayer>
              </a14:imgProps>
            </a:ext>
            <a:ext uri="{28A0092B-C50C-407E-A947-70E740481C1C}">
              <a14:useLocalDpi xmlns:a14="http://schemas.microsoft.com/office/drawing/2010/main" val="0"/>
            </a:ext>
          </a:extLst>
        </a:blip>
        <a:srcRect/>
        <a:stretch>
          <a:fillRect/>
        </a:stretch>
      </xdr:blipFill>
      <xdr:spPr bwMode="auto">
        <a:xfrm>
          <a:off x="3159035" y="264783026"/>
          <a:ext cx="2421462" cy="1527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39</xdr:col>
      <xdr:colOff>70720</xdr:colOff>
      <xdr:row>254</xdr:row>
      <xdr:rowOff>97973</xdr:rowOff>
    </xdr:from>
    <xdr:to>
      <xdr:col>45</xdr:col>
      <xdr:colOff>239486</xdr:colOff>
      <xdr:row>257</xdr:row>
      <xdr:rowOff>108859</xdr:rowOff>
    </xdr:to>
    <xdr:sp macro="" textlink="">
      <xdr:nvSpPr>
        <xdr:cNvPr id="85" name="Rectangle: Rounded Corners 84">
          <a:extLst>
            <a:ext uri="{FF2B5EF4-FFF2-40B4-BE49-F238E27FC236}">
              <a16:creationId xmlns:a16="http://schemas.microsoft.com/office/drawing/2014/main" id="{87C7A006-4794-4367-874C-C02FC5B9141E}"/>
            </a:ext>
          </a:extLst>
        </xdr:cNvPr>
        <xdr:cNvSpPr/>
      </xdr:nvSpPr>
      <xdr:spPr>
        <a:xfrm>
          <a:off x="18341340" y="66734873"/>
          <a:ext cx="0" cy="864326"/>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solidFill>
                <a:srgbClr val="D088FC"/>
              </a:solidFill>
              <a:latin typeface="+mn-lt"/>
              <a:ea typeface="+mn-ea"/>
              <a:cs typeface="+mn-cs"/>
            </a:rPr>
            <a:t>CHECK CALCULATIONS AFTER LIST OPTIONS</a:t>
          </a:r>
          <a:r>
            <a:rPr lang="en-US" sz="1600" b="1" baseline="0">
              <a:solidFill>
                <a:srgbClr val="D088FC"/>
              </a:solidFill>
              <a:latin typeface="+mn-lt"/>
              <a:ea typeface="+mn-ea"/>
              <a:cs typeface="+mn-cs"/>
            </a:rPr>
            <a:t> EDIT</a:t>
          </a:r>
          <a:endParaRPr lang="en-US" sz="1600" b="1">
            <a:solidFill>
              <a:srgbClr val="D088FC"/>
            </a:solidFill>
            <a:latin typeface="+mn-lt"/>
            <a:ea typeface="+mn-ea"/>
            <a:cs typeface="+mn-cs"/>
          </a:endParaRPr>
        </a:p>
      </xdr:txBody>
    </xdr:sp>
    <xdr:clientData/>
  </xdr:twoCellAnchor>
  <xdr:twoCellAnchor>
    <xdr:from>
      <xdr:col>0</xdr:col>
      <xdr:colOff>228600</xdr:colOff>
      <xdr:row>639</xdr:row>
      <xdr:rowOff>21771</xdr:rowOff>
    </xdr:from>
    <xdr:to>
      <xdr:col>4</xdr:col>
      <xdr:colOff>10885</xdr:colOff>
      <xdr:row>640</xdr:row>
      <xdr:rowOff>21771</xdr:rowOff>
    </xdr:to>
    <xdr:sp macro="" textlink="">
      <xdr:nvSpPr>
        <xdr:cNvPr id="86" name="Rectangle: Rounded Corners 85">
          <a:hlinkClick xmlns:r="http://schemas.openxmlformats.org/officeDocument/2006/relationships" r:id="rId25"/>
          <a:extLst>
            <a:ext uri="{FF2B5EF4-FFF2-40B4-BE49-F238E27FC236}">
              <a16:creationId xmlns:a16="http://schemas.microsoft.com/office/drawing/2014/main" id="{80BD3C33-81A0-4174-8AFE-A908CA75330B}"/>
            </a:ext>
          </a:extLst>
        </xdr:cNvPr>
        <xdr:cNvSpPr/>
      </xdr:nvSpPr>
      <xdr:spPr>
        <a:xfrm>
          <a:off x="228600" y="216338331"/>
          <a:ext cx="5550625" cy="4953000"/>
        </a:xfrm>
        <a:prstGeom prst="roundRect">
          <a:avLst>
            <a:gd name="adj" fmla="val 1556"/>
          </a:avLst>
        </a:prstGeom>
        <a:solidFill>
          <a:srgbClr val="FFE1FF">
            <a:alpha val="10196"/>
          </a:srgbClr>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900" b="1">
            <a:solidFill>
              <a:srgbClr val="FFC000"/>
            </a:solidFill>
            <a:latin typeface="Tahoma" panose="020B0604030504040204" pitchFamily="34" charset="0"/>
            <a:ea typeface="Tahoma" panose="020B0604030504040204" pitchFamily="34" charset="0"/>
            <a:cs typeface="Tahoma" panose="020B0604030504040204" pitchFamily="34" charset="0"/>
          </a:endParaRPr>
        </a:p>
        <a:p>
          <a:pPr algn="ctr"/>
          <a:r>
            <a:rPr lang="en-US" sz="1800" b="1">
              <a:solidFill>
                <a:srgbClr val="FFC000"/>
              </a:solidFill>
              <a:latin typeface="Tahoma" panose="020B0604030504040204" pitchFamily="34" charset="0"/>
              <a:ea typeface="Tahoma" panose="020B0604030504040204" pitchFamily="34" charset="0"/>
              <a:cs typeface="Tahoma" panose="020B0604030504040204" pitchFamily="34" charset="0"/>
            </a:rPr>
            <a:t>No Evidence Required</a:t>
          </a:r>
        </a:p>
      </xdr:txBody>
    </xdr:sp>
    <xdr:clientData/>
  </xdr:twoCellAnchor>
  <xdr:twoCellAnchor>
    <xdr:from>
      <xdr:col>26</xdr:col>
      <xdr:colOff>243840</xdr:colOff>
      <xdr:row>187</xdr:row>
      <xdr:rowOff>335280</xdr:rowOff>
    </xdr:from>
    <xdr:to>
      <xdr:col>31</xdr:col>
      <xdr:colOff>42456</xdr:colOff>
      <xdr:row>201</xdr:row>
      <xdr:rowOff>177437</xdr:rowOff>
    </xdr:to>
    <xdr:sp macro="" textlink="">
      <xdr:nvSpPr>
        <xdr:cNvPr id="87" name="Rectangle: Rounded Corners 86">
          <a:extLst>
            <a:ext uri="{FF2B5EF4-FFF2-40B4-BE49-F238E27FC236}">
              <a16:creationId xmlns:a16="http://schemas.microsoft.com/office/drawing/2014/main" id="{42ABC8B9-F7DC-475B-9541-36D95BE322F7}"/>
            </a:ext>
          </a:extLst>
        </xdr:cNvPr>
        <xdr:cNvSpPr/>
      </xdr:nvSpPr>
      <xdr:spPr>
        <a:xfrm>
          <a:off x="18341340" y="53301900"/>
          <a:ext cx="0" cy="3659777"/>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add to scoring calc, perhaps baseline prior to documentation boost</a:t>
          </a:r>
        </a:p>
      </xdr:txBody>
    </xdr:sp>
    <xdr:clientData/>
  </xdr:twoCellAnchor>
  <xdr:twoCellAnchor>
    <xdr:from>
      <xdr:col>26</xdr:col>
      <xdr:colOff>251460</xdr:colOff>
      <xdr:row>266</xdr:row>
      <xdr:rowOff>53341</xdr:rowOff>
    </xdr:from>
    <xdr:to>
      <xdr:col>31</xdr:col>
      <xdr:colOff>68582</xdr:colOff>
      <xdr:row>285</xdr:row>
      <xdr:rowOff>96883</xdr:rowOff>
    </xdr:to>
    <xdr:sp macro="" textlink="">
      <xdr:nvSpPr>
        <xdr:cNvPr id="88" name="Rectangle: Rounded Corners 87">
          <a:extLst>
            <a:ext uri="{FF2B5EF4-FFF2-40B4-BE49-F238E27FC236}">
              <a16:creationId xmlns:a16="http://schemas.microsoft.com/office/drawing/2014/main" id="{0C475653-1791-4061-920B-9415D8D07B8E}"/>
            </a:ext>
          </a:extLst>
        </xdr:cNvPr>
        <xdr:cNvSpPr/>
      </xdr:nvSpPr>
      <xdr:spPr>
        <a:xfrm>
          <a:off x="18341340" y="68968621"/>
          <a:ext cx="0" cy="3922122"/>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add to scoring calc, perhaps baseline prior to documentation boost</a:t>
          </a:r>
        </a:p>
      </xdr:txBody>
    </xdr:sp>
    <xdr:clientData/>
  </xdr:twoCellAnchor>
  <xdr:twoCellAnchor>
    <xdr:from>
      <xdr:col>58</xdr:col>
      <xdr:colOff>293913</xdr:colOff>
      <xdr:row>1476</xdr:row>
      <xdr:rowOff>391882</xdr:rowOff>
    </xdr:from>
    <xdr:to>
      <xdr:col>76</xdr:col>
      <xdr:colOff>141513</xdr:colOff>
      <xdr:row>1478</xdr:row>
      <xdr:rowOff>108854</xdr:rowOff>
    </xdr:to>
    <xdr:sp macro="" textlink="">
      <xdr:nvSpPr>
        <xdr:cNvPr id="89" name="Rectangle: Rounded Corners 88">
          <a:extLst>
            <a:ext uri="{FF2B5EF4-FFF2-40B4-BE49-F238E27FC236}">
              <a16:creationId xmlns:a16="http://schemas.microsoft.com/office/drawing/2014/main" id="{3A9B29EC-9589-49A1-A2F2-B02458151E3D}"/>
            </a:ext>
          </a:extLst>
        </xdr:cNvPr>
        <xdr:cNvSpPr/>
      </xdr:nvSpPr>
      <xdr:spPr>
        <a:xfrm>
          <a:off x="18341340" y="30601158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create</a:t>
          </a:r>
          <a:r>
            <a:rPr lang="en-US" sz="1600" baseline="0">
              <a:solidFill>
                <a:srgbClr val="00B050"/>
              </a:solidFill>
            </a:rPr>
            <a:t> AI target tabs, link here</a:t>
          </a:r>
          <a:endParaRPr lang="en-US" sz="1600">
            <a:solidFill>
              <a:srgbClr val="00B050"/>
            </a:solidFill>
          </a:endParaRPr>
        </a:p>
      </xdr:txBody>
    </xdr:sp>
    <xdr:clientData/>
  </xdr:twoCellAnchor>
  <xdr:twoCellAnchor>
    <xdr:from>
      <xdr:col>53</xdr:col>
      <xdr:colOff>141515</xdr:colOff>
      <xdr:row>896</xdr:row>
      <xdr:rowOff>174171</xdr:rowOff>
    </xdr:from>
    <xdr:to>
      <xdr:col>70</xdr:col>
      <xdr:colOff>43543</xdr:colOff>
      <xdr:row>903</xdr:row>
      <xdr:rowOff>130629</xdr:rowOff>
    </xdr:to>
    <xdr:sp macro="" textlink="">
      <xdr:nvSpPr>
        <xdr:cNvPr id="90" name="Rectangle: Rounded Corners 89">
          <a:extLst>
            <a:ext uri="{FF2B5EF4-FFF2-40B4-BE49-F238E27FC236}">
              <a16:creationId xmlns:a16="http://schemas.microsoft.com/office/drawing/2014/main" id="{632C4FB4-88EA-489F-AEE8-A3BDEC4EFDFB}"/>
            </a:ext>
          </a:extLst>
        </xdr:cNvPr>
        <xdr:cNvSpPr/>
      </xdr:nvSpPr>
      <xdr:spPr>
        <a:xfrm>
          <a:off x="18341340" y="29752290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follow up on displaying</a:t>
          </a:r>
          <a:r>
            <a:rPr lang="en-US" sz="1600" baseline="0">
              <a:solidFill>
                <a:srgbClr val="00B050"/>
              </a:solidFill>
            </a:rPr>
            <a:t> result for optimal impact </a:t>
          </a:r>
        </a:p>
        <a:p>
          <a:pPr algn="ctr"/>
          <a:r>
            <a:rPr lang="en-US" sz="1600" baseline="0">
              <a:solidFill>
                <a:srgbClr val="00B050"/>
              </a:solidFill>
            </a:rPr>
            <a:t>on display page above</a:t>
          </a:r>
          <a:endParaRPr lang="en-US" sz="1600">
            <a:solidFill>
              <a:srgbClr val="00B050"/>
            </a:solidFill>
          </a:endParaRPr>
        </a:p>
      </xdr:txBody>
    </xdr:sp>
    <xdr:clientData/>
  </xdr:twoCellAnchor>
  <xdr:twoCellAnchor>
    <xdr:from>
      <xdr:col>46</xdr:col>
      <xdr:colOff>195944</xdr:colOff>
      <xdr:row>901</xdr:row>
      <xdr:rowOff>35919</xdr:rowOff>
    </xdr:from>
    <xdr:to>
      <xdr:col>64</xdr:col>
      <xdr:colOff>195943</xdr:colOff>
      <xdr:row>907</xdr:row>
      <xdr:rowOff>79463</xdr:rowOff>
    </xdr:to>
    <xdr:sp macro="" textlink="">
      <xdr:nvSpPr>
        <xdr:cNvPr id="91" name="Rectangle: Rounded Corners 90">
          <a:extLst>
            <a:ext uri="{FF2B5EF4-FFF2-40B4-BE49-F238E27FC236}">
              <a16:creationId xmlns:a16="http://schemas.microsoft.com/office/drawing/2014/main" id="{4BBC60B7-7924-4DD0-9F37-42E0E186769E}"/>
            </a:ext>
          </a:extLst>
        </xdr:cNvPr>
        <xdr:cNvSpPr/>
      </xdr:nvSpPr>
      <xdr:spPr>
        <a:xfrm>
          <a:off x="18341340" y="29752290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brief instructions</a:t>
          </a:r>
          <a:r>
            <a:rPr lang="en-US" sz="1600" baseline="0">
              <a:solidFill>
                <a:srgbClr val="00B050"/>
              </a:solidFill>
            </a:rPr>
            <a:t> re depression measure </a:t>
          </a:r>
        </a:p>
        <a:p>
          <a:pPr algn="ctr"/>
          <a:r>
            <a:rPr lang="en-US" sz="1600" baseline="0">
              <a:solidFill>
                <a:srgbClr val="00B050"/>
              </a:solidFill>
            </a:rPr>
            <a:t>(for baseline, to gage progress, demonstrate succes to AI)</a:t>
          </a:r>
          <a:endParaRPr lang="en-US" sz="1600">
            <a:solidFill>
              <a:srgbClr val="00B050"/>
            </a:solidFill>
          </a:endParaRPr>
        </a:p>
      </xdr:txBody>
    </xdr:sp>
    <xdr:clientData/>
  </xdr:twoCellAnchor>
  <xdr:twoCellAnchor>
    <xdr:from>
      <xdr:col>53</xdr:col>
      <xdr:colOff>424542</xdr:colOff>
      <xdr:row>1020</xdr:row>
      <xdr:rowOff>130629</xdr:rowOff>
    </xdr:from>
    <xdr:to>
      <xdr:col>59</xdr:col>
      <xdr:colOff>-1</xdr:colOff>
      <xdr:row>1027</xdr:row>
      <xdr:rowOff>163287</xdr:rowOff>
    </xdr:to>
    <xdr:sp macro="" textlink="">
      <xdr:nvSpPr>
        <xdr:cNvPr id="92" name="Rectangle: Rounded Corners 91">
          <a:extLst>
            <a:ext uri="{FF2B5EF4-FFF2-40B4-BE49-F238E27FC236}">
              <a16:creationId xmlns:a16="http://schemas.microsoft.com/office/drawing/2014/main" id="{7190385B-6549-48EC-82EA-88E63C955F8F}"/>
            </a:ext>
          </a:extLst>
        </xdr:cNvPr>
        <xdr:cNvSpPr/>
      </xdr:nvSpPr>
      <xdr:spPr>
        <a:xfrm rot="1190838">
          <a:off x="18341340" y="29752290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i="1">
              <a:solidFill>
                <a:srgbClr val="00B050"/>
              </a:solidFill>
            </a:rPr>
            <a:t>depression = redirection</a:t>
          </a:r>
          <a:r>
            <a:rPr lang="en-US" sz="1600" i="1" baseline="0">
              <a:solidFill>
                <a:srgbClr val="00B050"/>
              </a:solidFill>
            </a:rPr>
            <a:t> </a:t>
          </a:r>
          <a:r>
            <a:rPr lang="en-US" sz="1600" baseline="0">
              <a:solidFill>
                <a:srgbClr val="00B050"/>
              </a:solidFill>
            </a:rPr>
            <a:t>reference?</a:t>
          </a:r>
          <a:endParaRPr lang="en-US" sz="1600">
            <a:solidFill>
              <a:srgbClr val="00B050"/>
            </a:solidFill>
          </a:endParaRPr>
        </a:p>
      </xdr:txBody>
    </xdr:sp>
    <xdr:clientData/>
  </xdr:twoCellAnchor>
  <xdr:twoCellAnchor>
    <xdr:from>
      <xdr:col>56</xdr:col>
      <xdr:colOff>108858</xdr:colOff>
      <xdr:row>1476</xdr:row>
      <xdr:rowOff>370114</xdr:rowOff>
    </xdr:from>
    <xdr:to>
      <xdr:col>73</xdr:col>
      <xdr:colOff>163286</xdr:colOff>
      <xdr:row>1477</xdr:row>
      <xdr:rowOff>195943</xdr:rowOff>
    </xdr:to>
    <xdr:sp macro="" textlink="">
      <xdr:nvSpPr>
        <xdr:cNvPr id="93" name="Rectangle: Rounded Corners 92">
          <a:extLst>
            <a:ext uri="{FF2B5EF4-FFF2-40B4-BE49-F238E27FC236}">
              <a16:creationId xmlns:a16="http://schemas.microsoft.com/office/drawing/2014/main" id="{2AD4B73B-42F6-4E45-95BE-85A1F5204227}"/>
            </a:ext>
          </a:extLst>
        </xdr:cNvPr>
        <xdr:cNvSpPr/>
      </xdr:nvSpPr>
      <xdr:spPr>
        <a:xfrm>
          <a:off x="18341340" y="30601158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b="1">
              <a:solidFill>
                <a:srgbClr val="00B050"/>
              </a:solidFill>
            </a:rPr>
            <a:t>summary of ROI offerings</a:t>
          </a:r>
        </a:p>
      </xdr:txBody>
    </xdr:sp>
    <xdr:clientData/>
  </xdr:twoCellAnchor>
  <xdr:twoCellAnchor>
    <xdr:from>
      <xdr:col>57</xdr:col>
      <xdr:colOff>315686</xdr:colOff>
      <xdr:row>442</xdr:row>
      <xdr:rowOff>119742</xdr:rowOff>
    </xdr:from>
    <xdr:to>
      <xdr:col>76</xdr:col>
      <xdr:colOff>54429</xdr:colOff>
      <xdr:row>460</xdr:row>
      <xdr:rowOff>21770</xdr:rowOff>
    </xdr:to>
    <xdr:sp macro="" textlink="">
      <xdr:nvSpPr>
        <xdr:cNvPr id="94" name="Rectangle: Rounded Corners 93">
          <a:extLst>
            <a:ext uri="{FF2B5EF4-FFF2-40B4-BE49-F238E27FC236}">
              <a16:creationId xmlns:a16="http://schemas.microsoft.com/office/drawing/2014/main" id="{1B75C68C-1853-4B6E-9A47-B4C834D9FBF4}"/>
            </a:ext>
          </a:extLst>
        </xdr:cNvPr>
        <xdr:cNvSpPr/>
      </xdr:nvSpPr>
      <xdr:spPr>
        <a:xfrm>
          <a:off x="18341340" y="117589662"/>
          <a:ext cx="0" cy="1387928"/>
        </a:xfrm>
        <a:prstGeom prst="roundRect">
          <a:avLst>
            <a:gd name="adj" fmla="val 26352"/>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800" b="1">
              <a:solidFill>
                <a:srgbClr val="B9FFD9"/>
              </a:solidFill>
            </a:rPr>
            <a:t>add to-do list here,</a:t>
          </a:r>
          <a:endParaRPr lang="en-US" sz="1800" b="1" baseline="0">
            <a:solidFill>
              <a:srgbClr val="B9FFD9"/>
            </a:solidFill>
          </a:endParaRPr>
        </a:p>
        <a:p>
          <a:pPr algn="ctr"/>
          <a:r>
            <a:rPr lang="en-US" sz="1800" b="1" baseline="0">
              <a:solidFill>
                <a:srgbClr val="B9FFD9"/>
              </a:solidFill>
            </a:rPr>
            <a:t>or more space for boxes above,</a:t>
          </a:r>
        </a:p>
        <a:p>
          <a:pPr algn="ctr"/>
          <a:r>
            <a:rPr lang="en-US" sz="1800" b="1" baseline="0">
              <a:solidFill>
                <a:srgbClr val="B9FFD9"/>
              </a:solidFill>
            </a:rPr>
            <a:t>or encouraging NER quote</a:t>
          </a:r>
          <a:endParaRPr lang="en-US" sz="1800" b="1">
            <a:solidFill>
              <a:srgbClr val="B9FFD9"/>
            </a:solidFill>
          </a:endParaRPr>
        </a:p>
      </xdr:txBody>
    </xdr:sp>
    <xdr:clientData/>
  </xdr:twoCellAnchor>
  <xdr:twoCellAnchor>
    <xdr:from>
      <xdr:col>50</xdr:col>
      <xdr:colOff>32657</xdr:colOff>
      <xdr:row>848</xdr:row>
      <xdr:rowOff>54429</xdr:rowOff>
    </xdr:from>
    <xdr:to>
      <xdr:col>68</xdr:col>
      <xdr:colOff>206829</xdr:colOff>
      <xdr:row>851</xdr:row>
      <xdr:rowOff>163285</xdr:rowOff>
    </xdr:to>
    <xdr:sp macro="" textlink="">
      <xdr:nvSpPr>
        <xdr:cNvPr id="95" name="Rectangle: Rounded Corners 94">
          <a:extLst>
            <a:ext uri="{FF2B5EF4-FFF2-40B4-BE49-F238E27FC236}">
              <a16:creationId xmlns:a16="http://schemas.microsoft.com/office/drawing/2014/main" id="{90EC97F4-4936-4AC3-9F10-B7749F018646}"/>
            </a:ext>
          </a:extLst>
        </xdr:cNvPr>
        <xdr:cNvSpPr/>
      </xdr:nvSpPr>
      <xdr:spPr>
        <a:xfrm>
          <a:off x="18341340" y="284249949"/>
          <a:ext cx="0" cy="863236"/>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concatenate formula, after separating</a:t>
          </a:r>
        </a:p>
      </xdr:txBody>
    </xdr:sp>
    <xdr:clientData/>
  </xdr:twoCellAnchor>
  <xdr:twoCellAnchor>
    <xdr:from>
      <xdr:col>30</xdr:col>
      <xdr:colOff>163286</xdr:colOff>
      <xdr:row>1010</xdr:row>
      <xdr:rowOff>10882</xdr:rowOff>
    </xdr:from>
    <xdr:to>
      <xdr:col>59</xdr:col>
      <xdr:colOff>293915</xdr:colOff>
      <xdr:row>1014</xdr:row>
      <xdr:rowOff>141513</xdr:rowOff>
    </xdr:to>
    <xdr:sp macro="" textlink="">
      <xdr:nvSpPr>
        <xdr:cNvPr id="96" name="Rectangle: Rounded Corners 95">
          <a:extLst>
            <a:ext uri="{FF2B5EF4-FFF2-40B4-BE49-F238E27FC236}">
              <a16:creationId xmlns:a16="http://schemas.microsoft.com/office/drawing/2014/main" id="{04D03847-23D9-45CA-919F-49D41898821C}"/>
            </a:ext>
          </a:extLst>
        </xdr:cNvPr>
        <xdr:cNvSpPr/>
      </xdr:nvSpPr>
      <xdr:spPr>
        <a:xfrm>
          <a:off x="18341340" y="297522900"/>
          <a:ext cx="0" cy="0"/>
        </a:xfrm>
        <a:prstGeom prst="roundRect">
          <a:avLst>
            <a:gd name="adj" fmla="val 5176"/>
          </a:avLst>
        </a:prstGeom>
        <a:solidFill>
          <a:srgbClr val="7CF85A">
            <a:alpha val="89804"/>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most </a:t>
          </a:r>
          <a:r>
            <a:rPr lang="en-US" sz="1600" i="0">
              <a:solidFill>
                <a:srgbClr val="501E6E"/>
              </a:solidFill>
            </a:rPr>
            <a:t>depression as </a:t>
          </a:r>
          <a:r>
            <a:rPr lang="en-US" sz="1600" i="1">
              <a:solidFill>
                <a:srgbClr val="501E6E"/>
              </a:solidFill>
            </a:rPr>
            <a:t>redirection</a:t>
          </a:r>
          <a:r>
            <a:rPr lang="en-US" sz="1600" i="0">
              <a:solidFill>
                <a:srgbClr val="501E6E"/>
              </a:solidFill>
            </a:rPr>
            <a:t>, as the body's</a:t>
          </a:r>
          <a:r>
            <a:rPr lang="en-US" sz="1600" i="0" baseline="0">
              <a:solidFill>
                <a:srgbClr val="501E6E"/>
              </a:solidFill>
            </a:rPr>
            <a:t> intuitive shift of energy away from threats to wellbeing and toward seemingly neglected parts of wellbeing</a:t>
          </a:r>
          <a:r>
            <a:rPr lang="en-US" sz="1600" i="0" baseline="0">
              <a:solidFill>
                <a:srgbClr val="00B050"/>
              </a:solidFill>
            </a:rPr>
            <a:t>.</a:t>
          </a:r>
          <a:endParaRPr lang="en-US" sz="1600" i="0">
            <a:solidFill>
              <a:srgbClr val="00B050"/>
            </a:solidFill>
          </a:endParaRPr>
        </a:p>
      </xdr:txBody>
    </xdr:sp>
    <xdr:clientData/>
  </xdr:twoCellAnchor>
  <xdr:twoCellAnchor>
    <xdr:from>
      <xdr:col>58</xdr:col>
      <xdr:colOff>195940</xdr:colOff>
      <xdr:row>1020</xdr:row>
      <xdr:rowOff>152399</xdr:rowOff>
    </xdr:from>
    <xdr:to>
      <xdr:col>80</xdr:col>
      <xdr:colOff>178523</xdr:colOff>
      <xdr:row>1029</xdr:row>
      <xdr:rowOff>76200</xdr:rowOff>
    </xdr:to>
    <xdr:sp macro="" textlink="">
      <xdr:nvSpPr>
        <xdr:cNvPr id="97" name="Rectangle: Rounded Corners 96">
          <a:extLst>
            <a:ext uri="{FF2B5EF4-FFF2-40B4-BE49-F238E27FC236}">
              <a16:creationId xmlns:a16="http://schemas.microsoft.com/office/drawing/2014/main" id="{61DA98B1-543E-4CA6-ABB6-68EF4A81E99F}"/>
            </a:ext>
          </a:extLst>
        </xdr:cNvPr>
        <xdr:cNvSpPr/>
      </xdr:nvSpPr>
      <xdr:spPr>
        <a:xfrm>
          <a:off x="18341340" y="297522900"/>
          <a:ext cx="0" cy="0"/>
        </a:xfrm>
        <a:prstGeom prst="roundRect">
          <a:avLst>
            <a:gd name="adj" fmla="val 5176"/>
          </a:avLst>
        </a:prstGeom>
        <a:solidFill>
          <a:srgbClr val="7CF85A">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most </a:t>
          </a:r>
          <a:r>
            <a:rPr lang="en-US" sz="1600" i="0">
              <a:solidFill>
                <a:srgbClr val="501E6E"/>
              </a:solidFill>
            </a:rPr>
            <a:t>depression as </a:t>
          </a:r>
          <a:r>
            <a:rPr lang="en-US" sz="1600" i="1">
              <a:solidFill>
                <a:srgbClr val="501E6E"/>
              </a:solidFill>
            </a:rPr>
            <a:t>redirection</a:t>
          </a:r>
          <a:r>
            <a:rPr lang="en-US" sz="1600" i="0">
              <a:solidFill>
                <a:srgbClr val="501E6E"/>
              </a:solidFill>
            </a:rPr>
            <a:t>, as the body</a:t>
          </a:r>
          <a:r>
            <a:rPr lang="en-US" sz="1600" i="0" baseline="0">
              <a:solidFill>
                <a:srgbClr val="501E6E"/>
              </a:solidFill>
            </a:rPr>
            <a:t> shifting energy away from </a:t>
          </a:r>
        </a:p>
        <a:p>
          <a:pPr algn="l"/>
          <a:r>
            <a:rPr lang="en-US" sz="1600" i="0" baseline="0">
              <a:solidFill>
                <a:srgbClr val="501E6E"/>
              </a:solidFill>
            </a:rPr>
            <a:t>too much effort for others, to pull greater effort toward neglected aspects of oneself. You naturally will be depressed, according to this view, when you are coerced by the law to give up being true to yourself, to your actual innocence, to your personal integrity. Together, we can turn this around.</a:t>
          </a:r>
          <a:endParaRPr lang="en-US" sz="1600" i="0">
            <a:solidFill>
              <a:srgbClr val="00B050"/>
            </a:solidFill>
          </a:endParaRPr>
        </a:p>
      </xdr:txBody>
    </xdr:sp>
    <xdr:clientData/>
  </xdr:twoCellAnchor>
  <xdr:twoCellAnchor>
    <xdr:from>
      <xdr:col>37</xdr:col>
      <xdr:colOff>54429</xdr:colOff>
      <xdr:row>1026</xdr:row>
      <xdr:rowOff>43541</xdr:rowOff>
    </xdr:from>
    <xdr:to>
      <xdr:col>51</xdr:col>
      <xdr:colOff>65315</xdr:colOff>
      <xdr:row>1029</xdr:row>
      <xdr:rowOff>43542</xdr:rowOff>
    </xdr:to>
    <xdr:sp macro="" textlink="">
      <xdr:nvSpPr>
        <xdr:cNvPr id="98" name="Rectangle: Rounded Corners 97">
          <a:extLst>
            <a:ext uri="{FF2B5EF4-FFF2-40B4-BE49-F238E27FC236}">
              <a16:creationId xmlns:a16="http://schemas.microsoft.com/office/drawing/2014/main" id="{DD33F3B2-7535-4099-9A6F-750C3ADBA97C}"/>
            </a:ext>
          </a:extLst>
        </xdr:cNvPr>
        <xdr:cNvSpPr/>
      </xdr:nvSpPr>
      <xdr:spPr>
        <a:xfrm>
          <a:off x="18341340" y="297522900"/>
          <a:ext cx="0" cy="0"/>
        </a:xfrm>
        <a:prstGeom prst="roundRect">
          <a:avLst>
            <a:gd name="adj" fmla="val 5176"/>
          </a:avLst>
        </a:prstGeom>
        <a:solidFill>
          <a:srgbClr val="7CF85A">
            <a:alpha val="89804"/>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200" i="0" baseline="0">
              <a:solidFill>
                <a:srgbClr val="501E6E"/>
              </a:solidFill>
              <a:latin typeface="Times New Roman" panose="02020603050405020304" pitchFamily="18" charset="0"/>
              <a:cs typeface="Times New Roman" panose="02020603050405020304" pitchFamily="18" charset="0"/>
            </a:rPr>
            <a:t>By </a:t>
          </a:r>
        </a:p>
        <a:p>
          <a:pPr algn="l"/>
          <a:r>
            <a:rPr lang="en-US" sz="1200" i="0" baseline="0">
              <a:solidFill>
                <a:srgbClr val="501E6E"/>
              </a:solidFill>
              <a:latin typeface="Times New Roman" panose="02020603050405020304" pitchFamily="18" charset="0"/>
              <a:cs typeface="Times New Roman" panose="02020603050405020304" pitchFamily="18" charset="0"/>
            </a:rPr>
            <a:t>Overcoming this wrongful conviction </a:t>
          </a:r>
          <a:endParaRPr lang="en-US" sz="1200" i="0">
            <a:solidFill>
              <a:srgbClr val="00B050"/>
            </a:solidFill>
            <a:latin typeface="Times New Roman" panose="02020603050405020304" pitchFamily="18" charset="0"/>
            <a:cs typeface="Times New Roman" panose="02020603050405020304" pitchFamily="18" charset="0"/>
          </a:endParaRPr>
        </a:p>
      </xdr:txBody>
    </xdr:sp>
    <xdr:clientData/>
  </xdr:twoCellAnchor>
  <xdr:twoCellAnchor>
    <xdr:from>
      <xdr:col>43</xdr:col>
      <xdr:colOff>152400</xdr:colOff>
      <xdr:row>890</xdr:row>
      <xdr:rowOff>185052</xdr:rowOff>
    </xdr:from>
    <xdr:to>
      <xdr:col>69</xdr:col>
      <xdr:colOff>232954</xdr:colOff>
      <xdr:row>895</xdr:row>
      <xdr:rowOff>239484</xdr:rowOff>
    </xdr:to>
    <xdr:sp macro="" textlink="">
      <xdr:nvSpPr>
        <xdr:cNvPr id="99" name="Rectangle: Rounded Corners 98">
          <a:extLst>
            <a:ext uri="{FF2B5EF4-FFF2-40B4-BE49-F238E27FC236}">
              <a16:creationId xmlns:a16="http://schemas.microsoft.com/office/drawing/2014/main" id="{CD5E115C-4F59-4082-ABE0-D0EFCC70FF6A}"/>
            </a:ext>
          </a:extLst>
        </xdr:cNvPr>
        <xdr:cNvSpPr/>
      </xdr:nvSpPr>
      <xdr:spPr>
        <a:xfrm>
          <a:off x="18341340" y="297522900"/>
          <a:ext cx="0" cy="0"/>
        </a:xfrm>
        <a:prstGeom prst="roundRect">
          <a:avLst>
            <a:gd name="adj" fmla="val 5176"/>
          </a:avLst>
        </a:prstGeom>
        <a:solidFill>
          <a:srgbClr val="7CF85A">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anxiety as a natural response to handling the overwhelming challenges of a wrongful conviction, or any criminal conviction of a dubious nature. If the full weight of the state crashed down upon you like a pile of bricks, each a trusted lie, wouldn't you be anxious? Together, we can turn this around.</a:t>
          </a:r>
          <a:endParaRPr lang="en-US" sz="1600" i="0">
            <a:solidFill>
              <a:srgbClr val="00B050"/>
            </a:solidFill>
          </a:endParaRPr>
        </a:p>
      </xdr:txBody>
    </xdr:sp>
    <xdr:clientData/>
  </xdr:twoCellAnchor>
  <xdr:twoCellAnchor>
    <xdr:from>
      <xdr:col>39</xdr:col>
      <xdr:colOff>217714</xdr:colOff>
      <xdr:row>475</xdr:row>
      <xdr:rowOff>566059</xdr:rowOff>
    </xdr:from>
    <xdr:to>
      <xdr:col>58</xdr:col>
      <xdr:colOff>472439</xdr:colOff>
      <xdr:row>476</xdr:row>
      <xdr:rowOff>537756</xdr:rowOff>
    </xdr:to>
    <xdr:sp macro="" textlink="">
      <xdr:nvSpPr>
        <xdr:cNvPr id="100" name="Rectangle: Rounded Corners 99">
          <a:extLst>
            <a:ext uri="{FF2B5EF4-FFF2-40B4-BE49-F238E27FC236}">
              <a16:creationId xmlns:a16="http://schemas.microsoft.com/office/drawing/2014/main" id="{B6944C35-2C86-4FAD-A775-2A57BE7E652E}"/>
            </a:ext>
          </a:extLst>
        </xdr:cNvPr>
        <xdr:cNvSpPr/>
      </xdr:nvSpPr>
      <xdr:spPr>
        <a:xfrm>
          <a:off x="18341340" y="128406799"/>
          <a:ext cx="0" cy="543197"/>
        </a:xfrm>
        <a:prstGeom prst="roundRect">
          <a:avLst>
            <a:gd name="adj" fmla="val 50000"/>
          </a:avLst>
        </a:prstGeom>
        <a:solidFill>
          <a:srgbClr val="B9FFD9">
            <a:alpha val="20000"/>
          </a:srgbClr>
        </a:solidFill>
        <a:ln w="76200">
          <a:solidFill>
            <a:srgbClr val="D088FC"/>
          </a:solidFill>
        </a:ln>
        <a:effectLst>
          <a:glow rad="152400">
            <a:srgbClr val="D088FC">
              <a:alpha val="25000"/>
            </a:srgbClr>
          </a:glow>
          <a:outerShdw blurRad="50800" dist="38100" dir="2700000" algn="tl"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52% of exonerations involve government misconduct</a:t>
          </a:r>
        </a:p>
      </xdr:txBody>
    </xdr:sp>
    <xdr:clientData/>
  </xdr:twoCellAnchor>
  <xdr:twoCellAnchor>
    <xdr:from>
      <xdr:col>43</xdr:col>
      <xdr:colOff>87083</xdr:colOff>
      <xdr:row>242</xdr:row>
      <xdr:rowOff>119745</xdr:rowOff>
    </xdr:from>
    <xdr:to>
      <xdr:col>61</xdr:col>
      <xdr:colOff>185056</xdr:colOff>
      <xdr:row>246</xdr:row>
      <xdr:rowOff>337459</xdr:rowOff>
    </xdr:to>
    <xdr:sp macro="" textlink="">
      <xdr:nvSpPr>
        <xdr:cNvPr id="101" name="Rectangle: Rounded Corners 100">
          <a:extLst>
            <a:ext uri="{FF2B5EF4-FFF2-40B4-BE49-F238E27FC236}">
              <a16:creationId xmlns:a16="http://schemas.microsoft.com/office/drawing/2014/main" id="{4F37CDAB-7FFA-46C3-B590-DDD0553F10E9}"/>
            </a:ext>
          </a:extLst>
        </xdr:cNvPr>
        <xdr:cNvSpPr/>
      </xdr:nvSpPr>
      <xdr:spPr>
        <a:xfrm>
          <a:off x="18341340" y="64028685"/>
          <a:ext cx="0" cy="850174"/>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 hispanic</a:t>
          </a:r>
          <a:r>
            <a:rPr lang="en-US" sz="1600" b="1" baseline="0">
              <a:solidFill>
                <a:srgbClr val="D088FC"/>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a:t>
          </a:r>
          <a:r>
            <a:rPr lang="en-US" sz="1600" b="1" baseline="0">
              <a:solidFill>
                <a:srgbClr val="D088FC"/>
              </a:solidFill>
              <a:latin typeface="+mn-lt"/>
              <a:ea typeface="+mn-ea"/>
              <a:cs typeface="+mn-cs"/>
            </a:rPr>
            <a:t> (i.e., black)</a:t>
          </a:r>
          <a:r>
            <a:rPr lang="en-US" sz="1600" b="1">
              <a:solidFill>
                <a:srgbClr val="D088FC"/>
              </a:solidFill>
              <a:latin typeface="+mn-lt"/>
              <a:ea typeface="+mn-ea"/>
              <a:cs typeface="+mn-cs"/>
            </a:rPr>
            <a:t> with complementary factors = x4</a:t>
          </a:r>
        </a:p>
        <a:p>
          <a:pPr algn="l"/>
          <a:endParaRPr lang="en-US" sz="1600" b="1">
            <a:solidFill>
              <a:srgbClr val="D088FC"/>
            </a:solidFill>
            <a:latin typeface="+mn-lt"/>
            <a:ea typeface="+mn-ea"/>
            <a:cs typeface="+mn-cs"/>
          </a:endParaRPr>
        </a:p>
      </xdr:txBody>
    </xdr:sp>
    <xdr:clientData/>
  </xdr:twoCellAnchor>
  <xdr:twoCellAnchor>
    <xdr:from>
      <xdr:col>42</xdr:col>
      <xdr:colOff>185056</xdr:colOff>
      <xdr:row>476</xdr:row>
      <xdr:rowOff>1643745</xdr:rowOff>
    </xdr:from>
    <xdr:to>
      <xdr:col>60</xdr:col>
      <xdr:colOff>156753</xdr:colOff>
      <xdr:row>476</xdr:row>
      <xdr:rowOff>2192385</xdr:rowOff>
    </xdr:to>
    <xdr:sp macro="" textlink="">
      <xdr:nvSpPr>
        <xdr:cNvPr id="102" name="Rectangle: Rounded Corners 101">
          <a:hlinkClick xmlns:r="http://schemas.openxmlformats.org/officeDocument/2006/relationships" r:id="rId26"/>
          <a:extLst>
            <a:ext uri="{FF2B5EF4-FFF2-40B4-BE49-F238E27FC236}">
              <a16:creationId xmlns:a16="http://schemas.microsoft.com/office/drawing/2014/main" id="{55EC4863-CE7B-42BF-AAFC-A2F7183B9BE1}"/>
            </a:ext>
          </a:extLst>
        </xdr:cNvPr>
        <xdr:cNvSpPr/>
      </xdr:nvSpPr>
      <xdr:spPr>
        <a:xfrm>
          <a:off x="18341340" y="130055985"/>
          <a:ext cx="0" cy="5486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52% of exonerations involve government misconduct</a:t>
          </a:r>
        </a:p>
      </xdr:txBody>
    </xdr:sp>
    <xdr:clientData/>
  </xdr:twoCellAnchor>
  <xdr:twoCellAnchor>
    <xdr:from>
      <xdr:col>36</xdr:col>
      <xdr:colOff>168640</xdr:colOff>
      <xdr:row>1476</xdr:row>
      <xdr:rowOff>112573</xdr:rowOff>
    </xdr:from>
    <xdr:to>
      <xdr:col>50</xdr:col>
      <xdr:colOff>87087</xdr:colOff>
      <xdr:row>1477</xdr:row>
      <xdr:rowOff>326570</xdr:rowOff>
    </xdr:to>
    <xdr:sp macro="" textlink="">
      <xdr:nvSpPr>
        <xdr:cNvPr id="103" name="TextBox 102">
          <a:extLst>
            <a:ext uri="{FF2B5EF4-FFF2-40B4-BE49-F238E27FC236}">
              <a16:creationId xmlns:a16="http://schemas.microsoft.com/office/drawing/2014/main" id="{3680EB03-4FBE-45CE-AB5B-78F9B2E12512}"/>
            </a:ext>
          </a:extLst>
        </xdr:cNvPr>
        <xdr:cNvSpPr txBox="1"/>
      </xdr:nvSpPr>
      <xdr:spPr>
        <a:xfrm>
          <a:off x="18341340" y="306011580"/>
          <a:ext cx="0" cy="0"/>
        </a:xfrm>
        <a:prstGeom prst="rect">
          <a:avLst/>
        </a:prstGeom>
        <a:solidFill>
          <a:srgbClr val="B9FFD9"/>
        </a:solidFill>
        <a:ln w="19050" cmpd="sng">
          <a:solidFill>
            <a:srgbClr val="7CF85A"/>
          </a:solidFill>
        </a:ln>
        <a:effectLst>
          <a:innerShdw blurRad="63500" dist="50800" dir="27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notify options</a:t>
          </a:r>
          <a:r>
            <a:rPr lang="en-US" sz="1400" b="1" i="0" u="none" strike="noStrike" baseline="0">
              <a:solidFill>
                <a:schemeClr val="dk1"/>
              </a:solidFill>
              <a:effectLst/>
              <a:latin typeface="+mn-lt"/>
              <a:ea typeface="+mn-ea"/>
              <a:cs typeface="+mn-cs"/>
            </a:rPr>
            <a:t>:</a:t>
          </a:r>
        </a:p>
        <a:p>
          <a:r>
            <a:rPr lang="en-US" sz="1400" b="0" i="0" u="none" strike="noStrike" baseline="0">
              <a:solidFill>
                <a:schemeClr val="dk1"/>
              </a:solidFill>
              <a:effectLst/>
              <a:latin typeface="+mn-lt"/>
              <a:ea typeface="+mn-ea"/>
              <a:cs typeface="+mn-cs"/>
            </a:rPr>
            <a:t>DIY: send notification yourself [FREE]</a:t>
          </a:r>
        </a:p>
        <a:p>
          <a:r>
            <a:rPr lang="en-US" sz="1400" b="0" i="0" u="none" strike="noStrike" baseline="0">
              <a:solidFill>
                <a:schemeClr val="dk1"/>
              </a:solidFill>
              <a:effectLst/>
              <a:latin typeface="+mn-lt"/>
              <a:ea typeface="+mn-ea"/>
              <a:cs typeface="+mn-cs"/>
            </a:rPr>
            <a:t>We send notification on your behalf [$5]</a:t>
          </a:r>
        </a:p>
        <a:p>
          <a:r>
            <a:rPr lang="en-US" sz="1400" b="0" i="0" u="none" strike="noStrike" baseline="0">
              <a:solidFill>
                <a:schemeClr val="dk1"/>
              </a:solidFill>
              <a:effectLst/>
              <a:latin typeface="+mn-lt"/>
              <a:ea typeface="+mn-ea"/>
              <a:cs typeface="+mn-cs"/>
            </a:rPr>
            <a:t>We 1st contact then notify them [$15]</a:t>
          </a:r>
        </a:p>
        <a:p>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a:p>
      </xdr:txBody>
    </xdr:sp>
    <xdr:clientData/>
  </xdr:twoCellAnchor>
  <xdr:twoCellAnchor>
    <xdr:from>
      <xdr:col>53</xdr:col>
      <xdr:colOff>364581</xdr:colOff>
      <xdr:row>1476</xdr:row>
      <xdr:rowOff>373831</xdr:rowOff>
    </xdr:from>
    <xdr:to>
      <xdr:col>62</xdr:col>
      <xdr:colOff>163285</xdr:colOff>
      <xdr:row>1479</xdr:row>
      <xdr:rowOff>32657</xdr:rowOff>
    </xdr:to>
    <xdr:sp macro="" textlink="">
      <xdr:nvSpPr>
        <xdr:cNvPr id="104" name="TextBox 103">
          <a:extLst>
            <a:ext uri="{FF2B5EF4-FFF2-40B4-BE49-F238E27FC236}">
              <a16:creationId xmlns:a16="http://schemas.microsoft.com/office/drawing/2014/main" id="{B3B76A9A-A8B6-4929-82E0-678DBF086354}"/>
            </a:ext>
          </a:extLst>
        </xdr:cNvPr>
        <xdr:cNvSpPr txBox="1"/>
      </xdr:nvSpPr>
      <xdr:spPr>
        <a:xfrm>
          <a:off x="18341340" y="306011580"/>
          <a:ext cx="0" cy="0"/>
        </a:xfrm>
        <a:prstGeom prst="rect">
          <a:avLst/>
        </a:prstGeom>
        <a:solidFill>
          <a:srgbClr val="B9FFD9"/>
        </a:solidFill>
        <a:ln w="19050" cmpd="sng">
          <a:solidFill>
            <a:srgbClr val="7CF85A"/>
          </a:solidFill>
        </a:ln>
        <a:effectLst>
          <a:innerShdw blurRad="63500" dist="50800" dir="27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notify options</a:t>
          </a:r>
          <a:r>
            <a:rPr lang="en-US" sz="1400" b="1" i="0" u="none" strike="noStrike" baseline="0">
              <a:solidFill>
                <a:schemeClr val="dk1"/>
              </a:solidFill>
              <a:effectLst/>
              <a:latin typeface="+mn-lt"/>
              <a:ea typeface="+mn-ea"/>
              <a:cs typeface="+mn-cs"/>
            </a:rPr>
            <a:t>:</a:t>
          </a:r>
        </a:p>
        <a:p>
          <a:r>
            <a:rPr lang="en-US" sz="1400" b="0" i="0" u="none" strike="noStrike" baseline="0">
              <a:solidFill>
                <a:schemeClr val="dk1"/>
              </a:solidFill>
              <a:effectLst/>
              <a:latin typeface="+mn-lt"/>
              <a:ea typeface="+mn-ea"/>
              <a:cs typeface="+mn-cs"/>
            </a:rPr>
            <a:t>DIY: send notification yourself [FREE]</a:t>
          </a:r>
        </a:p>
        <a:p>
          <a:r>
            <a:rPr lang="en-US" sz="1400" b="0" i="0" u="none" strike="noStrike" baseline="0">
              <a:solidFill>
                <a:schemeClr val="dk1"/>
              </a:solidFill>
              <a:effectLst/>
              <a:latin typeface="+mn-lt"/>
              <a:ea typeface="+mn-ea"/>
              <a:cs typeface="+mn-cs"/>
            </a:rPr>
            <a:t>We send notification on your behalf [$5]</a:t>
          </a:r>
        </a:p>
        <a:p>
          <a:r>
            <a:rPr lang="en-US" sz="1400" b="0" i="0" u="none" strike="noStrike" baseline="0">
              <a:solidFill>
                <a:schemeClr val="dk1"/>
              </a:solidFill>
              <a:effectLst/>
              <a:latin typeface="+mn-lt"/>
              <a:ea typeface="+mn-ea"/>
              <a:cs typeface="+mn-cs"/>
            </a:rPr>
            <a:t>We qualify then notify them [$15]</a:t>
          </a:r>
        </a:p>
        <a:p>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a:p>
      </xdr:txBody>
    </xdr:sp>
    <xdr:clientData/>
  </xdr:twoCellAnchor>
  <xdr:twoCellAnchor>
    <xdr:from>
      <xdr:col>76</xdr:col>
      <xdr:colOff>41367</xdr:colOff>
      <xdr:row>58</xdr:row>
      <xdr:rowOff>336369</xdr:rowOff>
    </xdr:from>
    <xdr:to>
      <xdr:col>85</xdr:col>
      <xdr:colOff>423455</xdr:colOff>
      <xdr:row>62</xdr:row>
      <xdr:rowOff>770708</xdr:rowOff>
    </xdr:to>
    <xdr:sp macro="" textlink="">
      <xdr:nvSpPr>
        <xdr:cNvPr id="105" name="Rectangle: Rounded Corners 104">
          <a:extLst>
            <a:ext uri="{FF2B5EF4-FFF2-40B4-BE49-F238E27FC236}">
              <a16:creationId xmlns:a16="http://schemas.microsoft.com/office/drawing/2014/main" id="{43E671C4-3ECC-4048-89F0-2325911C7A2F}"/>
            </a:ext>
          </a:extLst>
        </xdr:cNvPr>
        <xdr:cNvSpPr/>
      </xdr:nvSpPr>
      <xdr:spPr>
        <a:xfrm>
          <a:off x="18341340" y="22708689"/>
          <a:ext cx="0" cy="2080259"/>
        </a:xfrm>
        <a:prstGeom prst="roundRect">
          <a:avLst>
            <a:gd name="adj" fmla="val 5176"/>
          </a:avLst>
        </a:prstGeom>
        <a:solidFill>
          <a:srgbClr val="F19B61">
            <a:alpha val="12157"/>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r"/>
          <a:r>
            <a:rPr lang="en-US" sz="1800" b="1">
              <a:solidFill>
                <a:srgbClr val="00B050"/>
              </a:solidFill>
              <a:latin typeface="+mn-lt"/>
              <a:ea typeface="+mn-ea"/>
              <a:cs typeface="+mn-cs"/>
            </a:rPr>
            <a:t>create</a:t>
          </a:r>
          <a:r>
            <a:rPr lang="en-US" sz="1200" b="1"/>
            <a:t> </a:t>
          </a:r>
          <a:r>
            <a:rPr lang="en-US" sz="1800" b="1">
              <a:solidFill>
                <a:srgbClr val="00B050"/>
              </a:solidFill>
              <a:latin typeface="+mn-lt"/>
              <a:ea typeface="+mn-ea"/>
              <a:cs typeface="+mn-cs"/>
            </a:rPr>
            <a:t>new </a:t>
          </a:r>
        </a:p>
        <a:p>
          <a:pPr algn="r"/>
          <a:r>
            <a:rPr lang="en-US" sz="1800" b="1">
              <a:solidFill>
                <a:srgbClr val="00B050"/>
              </a:solidFill>
              <a:latin typeface="+mn-lt"/>
              <a:ea typeface="+mn-ea"/>
              <a:cs typeface="+mn-cs"/>
            </a:rPr>
            <a:t>section here for </a:t>
          </a:r>
        </a:p>
        <a:p>
          <a:pPr algn="r"/>
          <a:r>
            <a:rPr lang="en-US" sz="1800" b="1">
              <a:solidFill>
                <a:srgbClr val="00B050"/>
              </a:solidFill>
              <a:latin typeface="+mn-lt"/>
              <a:ea typeface="+mn-ea"/>
              <a:cs typeface="+mn-cs"/>
            </a:rPr>
            <a:t>INSTRUCTIONS </a:t>
          </a:r>
        </a:p>
        <a:p>
          <a:pPr algn="r"/>
          <a:r>
            <a:rPr lang="en-US" sz="1800" b="1">
              <a:solidFill>
                <a:srgbClr val="00B050"/>
              </a:solidFill>
              <a:latin typeface="+mn-lt"/>
              <a:ea typeface="+mn-ea"/>
              <a:cs typeface="+mn-cs"/>
            </a:rPr>
            <a:t>and AVAILABLE</a:t>
          </a:r>
        </a:p>
        <a:p>
          <a:pPr algn="r"/>
          <a:r>
            <a:rPr lang="en-US" sz="1800" b="1">
              <a:solidFill>
                <a:srgbClr val="00B050"/>
              </a:solidFill>
              <a:latin typeface="+mn-lt"/>
              <a:ea typeface="+mn-ea"/>
              <a:cs typeface="+mn-cs"/>
            </a:rPr>
            <a:t> SUPPORT</a:t>
          </a:r>
        </a:p>
      </xdr:txBody>
    </xdr:sp>
    <xdr:clientData/>
  </xdr:twoCellAnchor>
  <xdr:twoCellAnchor>
    <xdr:from>
      <xdr:col>33</xdr:col>
      <xdr:colOff>228600</xdr:colOff>
      <xdr:row>187</xdr:row>
      <xdr:rowOff>228602</xdr:rowOff>
    </xdr:from>
    <xdr:to>
      <xdr:col>49</xdr:col>
      <xdr:colOff>163285</xdr:colOff>
      <xdr:row>191</xdr:row>
      <xdr:rowOff>32657</xdr:rowOff>
    </xdr:to>
    <xdr:sp macro="" textlink="">
      <xdr:nvSpPr>
        <xdr:cNvPr id="106" name="Rectangle: Rounded Corners 105">
          <a:hlinkClick xmlns:r="http://schemas.openxmlformats.org/officeDocument/2006/relationships" r:id="rId27"/>
          <a:extLst>
            <a:ext uri="{FF2B5EF4-FFF2-40B4-BE49-F238E27FC236}">
              <a16:creationId xmlns:a16="http://schemas.microsoft.com/office/drawing/2014/main" id="{8CD6B931-98FA-40FA-A28B-E1220A80E73F}"/>
            </a:ext>
          </a:extLst>
        </xdr:cNvPr>
        <xdr:cNvSpPr/>
      </xdr:nvSpPr>
      <xdr:spPr>
        <a:xfrm>
          <a:off x="18341340" y="53195222"/>
          <a:ext cx="0" cy="1328055"/>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50% of murder exonerations involve blacks convicted</a:t>
          </a:r>
          <a:r>
            <a:rPr lang="en-US" sz="1600" baseline="0">
              <a:solidFill>
                <a:srgbClr val="501E6E"/>
              </a:solidFill>
            </a:rPr>
            <a:t> of killing a white person, despite blacks r</a:t>
          </a:r>
          <a:r>
            <a:rPr lang="en-US" sz="1600">
              <a:solidFill>
                <a:srgbClr val="501E6E"/>
              </a:solidFill>
            </a:rPr>
            <a:t>epresenting only 13% of the population</a:t>
          </a:r>
        </a:p>
      </xdr:txBody>
    </xdr:sp>
    <xdr:clientData/>
  </xdr:twoCellAnchor>
  <xdr:twoCellAnchor>
    <xdr:from>
      <xdr:col>1</xdr:col>
      <xdr:colOff>385354</xdr:colOff>
      <xdr:row>144</xdr:row>
      <xdr:rowOff>152402</xdr:rowOff>
    </xdr:from>
    <xdr:to>
      <xdr:col>3</xdr:col>
      <xdr:colOff>1695994</xdr:colOff>
      <xdr:row>146</xdr:row>
      <xdr:rowOff>114302</xdr:rowOff>
    </xdr:to>
    <xdr:sp macro="" textlink="">
      <xdr:nvSpPr>
        <xdr:cNvPr id="107" name="Rectangle: Rounded Corners 106">
          <a:hlinkClick xmlns:r="http://schemas.openxmlformats.org/officeDocument/2006/relationships" r:id="rId28" tooltip="click to contact author online"/>
          <a:extLst>
            <a:ext uri="{FF2B5EF4-FFF2-40B4-BE49-F238E27FC236}">
              <a16:creationId xmlns:a16="http://schemas.microsoft.com/office/drawing/2014/main" id="{585CDF30-3EB7-4DDF-8873-3D7066E32635}"/>
            </a:ext>
          </a:extLst>
        </xdr:cNvPr>
        <xdr:cNvSpPr/>
      </xdr:nvSpPr>
      <xdr:spPr>
        <a:xfrm>
          <a:off x="644434" y="41871902"/>
          <a:ext cx="4846320" cy="36576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click here to contact me with your feedback to </a:t>
          </a:r>
          <a:r>
            <a:rPr lang="en-US" sz="1600" baseline="0">
              <a:solidFill>
                <a:srgbClr val="501E6E"/>
              </a:solidFill>
            </a:rPr>
            <a:t>this tool</a:t>
          </a:r>
          <a:endParaRPr lang="en-US" sz="1600">
            <a:solidFill>
              <a:srgbClr val="501E6E"/>
            </a:solidFill>
          </a:endParaRPr>
        </a:p>
      </xdr:txBody>
    </xdr:sp>
    <xdr:clientData/>
  </xdr:twoCellAnchor>
  <xdr:twoCellAnchor>
    <xdr:from>
      <xdr:col>72</xdr:col>
      <xdr:colOff>185058</xdr:colOff>
      <xdr:row>1198</xdr:row>
      <xdr:rowOff>133895</xdr:rowOff>
    </xdr:from>
    <xdr:to>
      <xdr:col>85</xdr:col>
      <xdr:colOff>315685</xdr:colOff>
      <xdr:row>1249</xdr:row>
      <xdr:rowOff>0</xdr:rowOff>
    </xdr:to>
    <xdr:sp macro="" textlink="">
      <xdr:nvSpPr>
        <xdr:cNvPr id="108" name="Rectangle: Rounded Corners 107">
          <a:extLst>
            <a:ext uri="{FF2B5EF4-FFF2-40B4-BE49-F238E27FC236}">
              <a16:creationId xmlns:a16="http://schemas.microsoft.com/office/drawing/2014/main" id="{2A7B657A-7755-47D9-A61F-2B1E94C712DF}"/>
            </a:ext>
          </a:extLst>
        </xdr:cNvPr>
        <xdr:cNvSpPr/>
      </xdr:nvSpPr>
      <xdr:spPr>
        <a:xfrm>
          <a:off x="18341340" y="306011580"/>
          <a:ext cx="0" cy="0"/>
        </a:xfrm>
        <a:prstGeom prst="roundRect">
          <a:avLst>
            <a:gd name="adj" fmla="val 5176"/>
          </a:avLst>
        </a:prstGeom>
        <a:solidFill>
          <a:srgbClr val="E2B5FD">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600">
            <a:solidFill>
              <a:srgbClr val="00B050"/>
            </a:solidFill>
          </a:endParaRPr>
        </a:p>
        <a:p>
          <a:pPr algn="l"/>
          <a:r>
            <a:rPr lang="en-US" sz="1600">
              <a:solidFill>
                <a:srgbClr val="00B050"/>
              </a:solidFill>
            </a:rPr>
            <a:t>S</a:t>
          </a:r>
          <a:r>
            <a:rPr lang="en-US" sz="1600" baseline="0">
              <a:solidFill>
                <a:srgbClr val="00B050"/>
              </a:solidFill>
            </a:rPr>
            <a:t>upporter name [FIRST] [LAST]	knows felony/claim</a:t>
          </a:r>
        </a:p>
        <a:p>
          <a:pPr algn="l"/>
          <a:r>
            <a:rPr lang="en-US" sz="1600" baseline="0">
              <a:solidFill>
                <a:srgbClr val="00B050"/>
              </a:solidFill>
            </a:rPr>
            <a:t>Email address		relation to claimant</a:t>
          </a:r>
        </a:p>
        <a:p>
          <a:pPr algn="l"/>
          <a:endParaRPr lang="en-US" sz="1600" baseline="0">
            <a:solidFill>
              <a:srgbClr val="00B050"/>
            </a:solidFill>
          </a:endParaRPr>
        </a:p>
        <a:p>
          <a:pPr algn="l"/>
          <a:r>
            <a:rPr lang="en-US" sz="1600" baseline="0">
              <a:solidFill>
                <a:srgbClr val="00B050"/>
              </a:solidFill>
            </a:rPr>
            <a:t>Invitation sent [DATE] 	Response [LIST OF OPTIONS, from hard </a:t>
          </a:r>
          <a:r>
            <a:rPr lang="en-US" sz="1600" i="1" baseline="0">
              <a:solidFill>
                <a:srgbClr val="00B050"/>
              </a:solidFill>
            </a:rPr>
            <a:t>no</a:t>
          </a:r>
          <a:r>
            <a:rPr lang="en-US" sz="1600" baseline="0">
              <a:solidFill>
                <a:srgbClr val="00B050"/>
              </a:solidFill>
            </a:rPr>
            <a:t> to enthusiastic </a:t>
          </a:r>
          <a:r>
            <a:rPr lang="en-US" sz="1600" i="1" baseline="0">
              <a:solidFill>
                <a:srgbClr val="00B050"/>
              </a:solidFill>
            </a:rPr>
            <a:t>yes</a:t>
          </a:r>
          <a:r>
            <a:rPr lang="en-US" sz="1600" baseline="0">
              <a:solidFill>
                <a:srgbClr val="00B050"/>
              </a:solidFill>
            </a:rPr>
            <a:t>]</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aseline="0">
              <a:solidFill>
                <a:srgbClr val="00B050"/>
              </a:solidFill>
              <a:latin typeface="+mn-lt"/>
              <a:ea typeface="+mn-ea"/>
              <a:cs typeface="+mn-cs"/>
            </a:rPr>
            <a:t>Thank you note sent: [DATE]	Pledge: </a:t>
          </a:r>
        </a:p>
        <a:p>
          <a:pPr algn="l"/>
          <a:endParaRPr lang="en-US" sz="1600" baseline="0">
            <a:solidFill>
              <a:srgbClr val="00B050"/>
            </a:solidFill>
            <a:latin typeface="+mn-lt"/>
            <a:ea typeface="+mn-ea"/>
            <a:cs typeface="+mn-cs"/>
          </a:endParaRPr>
        </a:p>
        <a:p>
          <a:pPr algn="l"/>
          <a:r>
            <a:rPr lang="en-US" sz="1600" baseline="0">
              <a:solidFill>
                <a:srgbClr val="00B050"/>
              </a:solidFill>
            </a:rPr>
            <a:t>Contribution terms [linked from supporter # tab]</a:t>
          </a:r>
        </a:p>
        <a:p>
          <a:pPr algn="l"/>
          <a:r>
            <a:rPr lang="en-US" sz="1600" baseline="0">
              <a:solidFill>
                <a:srgbClr val="00B050"/>
              </a:solidFill>
            </a:rPr>
            <a:t>Frequency limit: </a:t>
          </a:r>
        </a:p>
        <a:p>
          <a:pPr algn="l"/>
          <a:r>
            <a:rPr lang="en-US" sz="1600" baseline="0">
              <a:solidFill>
                <a:srgbClr val="00B050"/>
              </a:solidFill>
            </a:rPr>
            <a:t>Minimum: 	</a:t>
          </a:r>
        </a:p>
        <a:p>
          <a:pPr algn="l"/>
          <a:r>
            <a:rPr lang="en-US" sz="1600" baseline="0">
              <a:solidFill>
                <a:srgbClr val="00B050"/>
              </a:solidFill>
            </a:rPr>
            <a:t>Maximum per [week/month]: </a:t>
          </a:r>
        </a:p>
        <a:p>
          <a:pPr algn="l"/>
          <a:r>
            <a:rPr lang="en-US" sz="1600" baseline="0">
              <a:solidFill>
                <a:srgbClr val="00B050"/>
              </a:solidFill>
            </a:rPr>
            <a:t>Contribution split: </a:t>
          </a:r>
        </a:p>
        <a:p>
          <a:pPr algn="l"/>
          <a:endParaRPr lang="en-US" sz="1600" baseline="0">
            <a:solidFill>
              <a:srgbClr val="00B050"/>
            </a:solidFill>
          </a:endParaRPr>
        </a:p>
        <a:p>
          <a:pPr algn="ctr"/>
          <a:endParaRPr lang="en-US" sz="1600" baseline="0">
            <a:solidFill>
              <a:srgbClr val="00B050"/>
            </a:solidFill>
          </a:endParaRPr>
        </a:p>
      </xdr:txBody>
    </xdr:sp>
    <xdr:clientData/>
  </xdr:twoCellAnchor>
  <xdr:twoCellAnchor>
    <xdr:from>
      <xdr:col>0</xdr:col>
      <xdr:colOff>205740</xdr:colOff>
      <xdr:row>1124</xdr:row>
      <xdr:rowOff>38100</xdr:rowOff>
    </xdr:from>
    <xdr:to>
      <xdr:col>4</xdr:col>
      <xdr:colOff>15240</xdr:colOff>
      <xdr:row>1137</xdr:row>
      <xdr:rowOff>45720</xdr:rowOff>
    </xdr:to>
    <xdr:sp macro="" textlink="">
      <xdr:nvSpPr>
        <xdr:cNvPr id="109" name="TextBox 108">
          <a:hlinkClick xmlns:r="http://schemas.openxmlformats.org/officeDocument/2006/relationships" r:id="rId29" tooltip="click to go to &quot;K. Notifying&quot; section"/>
          <a:extLst>
            <a:ext uri="{FF2B5EF4-FFF2-40B4-BE49-F238E27FC236}">
              <a16:creationId xmlns:a16="http://schemas.microsoft.com/office/drawing/2014/main" id="{A86FEC12-D7D3-43AD-B3CB-AF008D0E1B83}"/>
            </a:ext>
          </a:extLst>
        </xdr:cNvPr>
        <xdr:cNvSpPr txBox="1"/>
      </xdr:nvSpPr>
      <xdr:spPr>
        <a:xfrm>
          <a:off x="205740" y="306011580"/>
          <a:ext cx="5577840" cy="0"/>
        </a:xfrm>
        <a:prstGeom prst="rect">
          <a:avLst/>
        </a:prstGeom>
        <a:solidFill>
          <a:srgbClr val="D7FFF0"/>
        </a:solid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200">
              <a:solidFill>
                <a:schemeClr val="dk1"/>
              </a:solidFill>
              <a:effectLst/>
              <a:latin typeface="Times New Roman" panose="02020603050405020304" pitchFamily="18" charset="0"/>
              <a:ea typeface="+mn-ea"/>
              <a:cs typeface="Times New Roman" panose="02020603050405020304" pitchFamily="18" charset="0"/>
            </a:rPr>
            <a:t>You have the option to </a:t>
          </a:r>
          <a:r>
            <a:rPr lang="en-US" sz="1200" b="1">
              <a:solidFill>
                <a:schemeClr val="dk1"/>
              </a:solidFill>
              <a:effectLst/>
              <a:latin typeface="Times New Roman" panose="02020603050405020304" pitchFamily="18" charset="0"/>
              <a:ea typeface="+mn-ea"/>
              <a:cs typeface="Times New Roman" panose="02020603050405020304" pitchFamily="18" charset="0"/>
            </a:rPr>
            <a:t>Do It Yourself </a:t>
          </a:r>
          <a:r>
            <a:rPr lang="en-US" sz="1200">
              <a:solidFill>
                <a:schemeClr val="dk1"/>
              </a:solidFill>
              <a:effectLst/>
              <a:latin typeface="Times New Roman" panose="02020603050405020304" pitchFamily="18" charset="0"/>
              <a:ea typeface="+mn-ea"/>
              <a:cs typeface="Times New Roman" panose="02020603050405020304" pitchFamily="18" charset="0"/>
            </a:rPr>
            <a:t>and go it alone. Fill out this form,</a:t>
          </a:r>
          <a:r>
            <a:rPr lang="en-US" sz="1200" baseline="0">
              <a:solidFill>
                <a:schemeClr val="dk1"/>
              </a:solidFill>
              <a:effectLst/>
              <a:latin typeface="Times New Roman" panose="02020603050405020304" pitchFamily="18" charset="0"/>
              <a:ea typeface="+mn-ea"/>
              <a:cs typeface="Times New Roman" panose="02020603050405020304" pitchFamily="18" charset="0"/>
            </a:rPr>
            <a:t> and use it to notify employers, landlords and debt collectors of your highly estimated innocence. You locate the co</a:t>
          </a:r>
          <a:r>
            <a:rPr lang="en-US" sz="1200">
              <a:solidFill>
                <a:schemeClr val="dk1"/>
              </a:solidFill>
              <a:effectLst/>
              <a:latin typeface="Times New Roman" panose="02020603050405020304" pitchFamily="18" charset="0"/>
              <a:ea typeface="+mn-ea"/>
              <a:cs typeface="Times New Roman" panose="02020603050405020304" pitchFamily="18" charset="0"/>
            </a:rPr>
            <a:t>ntact information yourself and</a:t>
          </a:r>
          <a:r>
            <a:rPr lang="en-US" sz="1200" baseline="0">
              <a:solidFill>
                <a:schemeClr val="dk1"/>
              </a:solidFill>
              <a:effectLst/>
              <a:latin typeface="Times New Roman" panose="02020603050405020304" pitchFamily="18" charset="0"/>
              <a:ea typeface="+mn-ea"/>
              <a:cs typeface="Times New Roman" panose="02020603050405020304" pitchFamily="18" charset="0"/>
            </a:rPr>
            <a:t> then send the notifications, using the steps above.</a:t>
          </a:r>
        </a:p>
        <a:p>
          <a:endParaRPr lang="en-US" sz="1200" baseline="0">
            <a:solidFill>
              <a:schemeClr val="dk1"/>
            </a:solidFill>
            <a:effectLst/>
            <a:latin typeface="Times New Roman" panose="02020603050405020304" pitchFamily="18" charset="0"/>
            <a:ea typeface="+mn-ea"/>
            <a:cs typeface="Times New Roman" panose="02020603050405020304" pitchFamily="18" charset="0"/>
          </a:endParaRPr>
        </a:p>
        <a:p>
          <a:pPr algn="l"/>
          <a:r>
            <a:rPr lang="en-US" sz="1200" baseline="0">
              <a:solidFill>
                <a:schemeClr val="dk1"/>
              </a:solidFill>
              <a:effectLst/>
              <a:latin typeface="Times New Roman" panose="02020603050405020304" pitchFamily="18" charset="0"/>
              <a:ea typeface="+mn-ea"/>
              <a:cs typeface="Times New Roman" panose="02020603050405020304" pitchFamily="18" charset="0"/>
            </a:rPr>
            <a:t>First, fill in the information in the </a:t>
          </a:r>
          <a:r>
            <a:rPr lang="en-US" sz="1200" b="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Notifying</a:t>
          </a:r>
          <a:r>
            <a:rPr lang="en-US" sz="1200" baseline="0">
              <a:solidFill>
                <a:schemeClr val="dk1"/>
              </a:solidFill>
              <a:effectLst/>
              <a:latin typeface="Times New Roman" panose="02020603050405020304" pitchFamily="18" charset="0"/>
              <a:ea typeface="+mn-ea"/>
              <a:cs typeface="Times New Roman" panose="02020603050405020304" pitchFamily="18" charset="0"/>
            </a:rPr>
            <a:t> section below (K). Information you enter there automatically creates each notification in the "AI0#" tabs. Review each created notification, make sure it says what you need it to say. </a:t>
          </a:r>
        </a:p>
        <a:p>
          <a:endParaRPr lang="en-US" sz="1200" baseline="0">
            <a:solidFill>
              <a:schemeClr val="dk1"/>
            </a:solidFill>
            <a:effectLst/>
            <a:latin typeface="Times New Roman" panose="02020603050405020304" pitchFamily="18" charset="0"/>
            <a:ea typeface="+mn-ea"/>
            <a:cs typeface="Times New Roman" panose="02020603050405020304" pitchFamily="18" charset="0"/>
          </a:endParaRPr>
        </a:p>
        <a:p>
          <a:r>
            <a:rPr lang="en-US" sz="1200" baseline="0">
              <a:solidFill>
                <a:schemeClr val="dk1"/>
              </a:solidFill>
              <a:effectLst/>
              <a:latin typeface="Times New Roman" panose="02020603050405020304" pitchFamily="18" charset="0"/>
              <a:ea typeface="+mn-ea"/>
              <a:cs typeface="Times New Roman" panose="02020603050405020304" pitchFamily="18" charset="0"/>
            </a:rPr>
            <a:t>If your estimated score is relatively high, this may be all you need. If not, we strongly recommend the </a:t>
          </a:r>
          <a:r>
            <a:rPr lang="en-US" sz="1200" b="1" baseline="0">
              <a:solidFill>
                <a:schemeClr val="dk1"/>
              </a:solidFill>
              <a:effectLst/>
              <a:latin typeface="Times New Roman" panose="02020603050405020304" pitchFamily="18" charset="0"/>
              <a:ea typeface="+mn-ea"/>
              <a:cs typeface="Times New Roman" panose="02020603050405020304" pitchFamily="18" charset="0"/>
            </a:rPr>
            <a:t>plan</a:t>
          </a:r>
          <a:r>
            <a:rPr lang="en-US" sz="1200" baseline="0">
              <a:solidFill>
                <a:schemeClr val="dk1"/>
              </a:solidFill>
              <a:effectLst/>
              <a:latin typeface="Times New Roman" panose="02020603050405020304" pitchFamily="18" charset="0"/>
              <a:ea typeface="+mn-ea"/>
              <a:cs typeface="Times New Roman" panose="02020603050405020304" pitchFamily="18" charset="0"/>
            </a:rPr>
            <a:t>. FREE to start, we work with you to attact support. That support helps cover the costs, and share in some of the benefits. Learn about it more below.</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205740</xdr:colOff>
      <xdr:row>1147</xdr:row>
      <xdr:rowOff>15240</xdr:rowOff>
    </xdr:from>
    <xdr:to>
      <xdr:col>4</xdr:col>
      <xdr:colOff>15240</xdr:colOff>
      <xdr:row>1191</xdr:row>
      <xdr:rowOff>0</xdr:rowOff>
    </xdr:to>
    <xdr:sp macro="" textlink="">
      <xdr:nvSpPr>
        <xdr:cNvPr id="110" name="TextBox 109">
          <a:extLst>
            <a:ext uri="{FF2B5EF4-FFF2-40B4-BE49-F238E27FC236}">
              <a16:creationId xmlns:a16="http://schemas.microsoft.com/office/drawing/2014/main" id="{6321EB62-466F-458B-8E23-764532F11604}"/>
            </a:ext>
          </a:extLst>
        </xdr:cNvPr>
        <xdr:cNvSpPr txBox="1"/>
      </xdr:nvSpPr>
      <xdr:spPr>
        <a:xfrm>
          <a:off x="205740" y="306011580"/>
          <a:ext cx="5577840" cy="0"/>
        </a:xfrm>
        <a:prstGeom prst="rect">
          <a:avLst/>
        </a:prstGeom>
        <a:no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Plan</a:t>
          </a:r>
          <a:r>
            <a:rPr lang="en-US" sz="1600" b="1">
              <a:ln>
                <a:noFill/>
              </a:ln>
              <a:noFill/>
              <a:effectLst/>
              <a:latin typeface="Tahoma" panose="020B0604030504040204" pitchFamily="34" charset="0"/>
              <a:ea typeface="Tahoma" panose="020B0604030504040204" pitchFamily="34" charset="0"/>
              <a:cs typeface="Tahoma" panose="020B0604030504040204" pitchFamily="34" charset="0"/>
            </a:rPr>
            <a:t> </a:t>
          </a:r>
          <a:r>
            <a:rPr lang="en-US" sz="16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rPr>
            <a:t>start for Free</a:t>
          </a:r>
          <a:endParaRPr lang="en-US" sz="11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Tragically, wrongful convictions destroy one’s credibility. Once accused, your protests of innocence sound self-serving as if avoiding responsibility. You know perfectly well that’s not the </a:t>
          </a:r>
          <a:r>
            <a:rPr lang="en-US" sz="1200" baseline="0">
              <a:solidFill>
                <a:schemeClr val="dk1"/>
              </a:solidFill>
              <a:effectLst/>
              <a:latin typeface="Times New Roman" panose="02020603050405020304" pitchFamily="18" charset="0"/>
              <a:ea typeface="+mn-ea"/>
              <a:cs typeface="Times New Roman" panose="02020603050405020304" pitchFamily="18" charset="0"/>
            </a:rPr>
            <a:t>case.</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Wrongful convictions also undermine earning capacity. An unearned felony robs one of eaerned income potential, to afford needed services. Talk about injustice!</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This service provides a way for overcoming both!</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The</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r>
            <a:rPr lang="en-US" sz="1200" b="1" baseline="0">
              <a:solidFill>
                <a:schemeClr val="dk1"/>
              </a:solidFill>
              <a:effectLst/>
              <a:latin typeface="Times New Roman" panose="02020603050405020304" pitchFamily="18" charset="0"/>
              <a:ea typeface="+mn-ea"/>
              <a:cs typeface="Times New Roman" panose="02020603050405020304" pitchFamily="18" charset="0"/>
            </a:rPr>
            <a:t>Plan</a:t>
          </a:r>
          <a:r>
            <a:rPr lang="en-US" sz="1200" baseline="0">
              <a:solidFill>
                <a:schemeClr val="dk1"/>
              </a:solidFill>
              <a:effectLst/>
              <a:latin typeface="Times New Roman" panose="02020603050405020304" pitchFamily="18" charset="0"/>
              <a:ea typeface="+mn-ea"/>
              <a:cs typeface="Times New Roman" panose="02020603050405020304" pitchFamily="18" charset="0"/>
            </a:rPr>
            <a:t> has you, t</a:t>
          </a:r>
          <a:r>
            <a:rPr lang="en-US" sz="1200">
              <a:solidFill>
                <a:schemeClr val="dk1"/>
              </a:solidFill>
              <a:effectLst/>
              <a:latin typeface="Times New Roman" panose="02020603050405020304" pitchFamily="18" charset="0"/>
              <a:ea typeface="+mn-ea"/>
              <a:cs typeface="Times New Roman" panose="02020603050405020304" pitchFamily="18" charset="0"/>
            </a:rPr>
            <a:t>he wrongly convicted, build up a support team for both the social capital to demonstrate your innocence </a:t>
          </a:r>
          <a:r>
            <a:rPr lang="en-US" sz="1200" i="1">
              <a:solidFill>
                <a:schemeClr val="dk1"/>
              </a:solidFill>
              <a:effectLst/>
              <a:latin typeface="Times New Roman" panose="02020603050405020304" pitchFamily="18" charset="0"/>
              <a:ea typeface="+mn-ea"/>
              <a:cs typeface="Times New Roman" panose="02020603050405020304" pitchFamily="18" charset="0"/>
            </a:rPr>
            <a:t>and</a:t>
          </a:r>
          <a:r>
            <a:rPr lang="en-US" sz="1200">
              <a:solidFill>
                <a:schemeClr val="dk1"/>
              </a:solidFill>
              <a:effectLst/>
              <a:latin typeface="Times New Roman" panose="02020603050405020304" pitchFamily="18" charset="0"/>
              <a:ea typeface="+mn-ea"/>
              <a:cs typeface="Times New Roman" panose="02020603050405020304" pitchFamily="18" charset="0"/>
            </a:rPr>
            <a:t> to help share in the costs and returns in needed services. Services like this one. At least that’s how it stands right now.</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Together, we'll:</a:t>
          </a:r>
        </a:p>
        <a:p>
          <a:r>
            <a:rPr lang="en-US" sz="1200">
              <a:solidFill>
                <a:schemeClr val="dk1"/>
              </a:solidFill>
              <a:effectLst/>
              <a:latin typeface="Times New Roman" panose="02020603050405020304" pitchFamily="18" charset="0"/>
              <a:ea typeface="+mn-ea"/>
              <a:cs typeface="Times New Roman" panose="02020603050405020304" pitchFamily="18" charset="0"/>
            </a:rPr>
            <a:t>1.  spot your most pressing needs, </a:t>
          </a:r>
        </a:p>
        <a:p>
          <a:r>
            <a:rPr lang="en-US" sz="1200">
              <a:solidFill>
                <a:schemeClr val="dk1"/>
              </a:solidFill>
              <a:effectLst/>
              <a:latin typeface="Times New Roman" panose="02020603050405020304" pitchFamily="18" charset="0"/>
              <a:ea typeface="+mn-ea"/>
              <a:cs typeface="Times New Roman" panose="02020603050405020304" pitchFamily="18" charset="0"/>
            </a:rPr>
            <a:t>2.  draft a plan to fit your situation, and to best serve your specific needs,</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3.  build the support necessary to meet</a:t>
          </a:r>
          <a:r>
            <a:rPr lang="en-US" sz="1200" baseline="0">
              <a:solidFill>
                <a:schemeClr val="dk1"/>
              </a:solidFill>
              <a:effectLst/>
              <a:latin typeface="Times New Roman" panose="02020603050405020304" pitchFamily="18" charset="0"/>
              <a:ea typeface="+mn-ea"/>
              <a:cs typeface="Times New Roman" panose="02020603050405020304" pitchFamily="18" charset="0"/>
            </a:rPr>
            <a:t> those needs,</a:t>
          </a:r>
          <a:r>
            <a:rPr lang="en-US" sz="1200">
              <a:solidFill>
                <a:schemeClr val="dk1"/>
              </a:solidFill>
              <a:effectLst/>
              <a:latin typeface="Times New Roman" panose="02020603050405020304" pitchFamily="18" charset="0"/>
              <a:ea typeface="+mn-ea"/>
              <a:cs typeface="Times New Roman" panose="02020603050405020304" pitchFamily="18" charset="0"/>
            </a:rPr>
            <a:t> to finally</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4.  compel others to respond to these neglected needs in mutually beneficial ways. </a:t>
          </a: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r>
            <a:rPr lang="en-US" sz="1400" b="1">
              <a:solidFill>
                <a:schemeClr val="dk1"/>
              </a:solidFill>
              <a:effectLst/>
              <a:latin typeface="+mn-lt"/>
              <a:ea typeface="+mn-ea"/>
              <a:cs typeface="Times New Roman" panose="02020603050405020304" pitchFamily="18" charset="0"/>
            </a:rPr>
            <a:t>Step 1</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Together,</a:t>
          </a:r>
          <a:r>
            <a:rPr lang="en-US" sz="1200" baseline="0">
              <a:solidFill>
                <a:schemeClr val="dk1"/>
              </a:solidFill>
              <a:effectLst/>
              <a:latin typeface="Times New Roman" panose="02020603050405020304" pitchFamily="18" charset="0"/>
              <a:ea typeface="+mn-ea"/>
              <a:cs typeface="Times New Roman" panose="02020603050405020304" pitchFamily="18" charset="0"/>
            </a:rPr>
            <a:t> we get our foot in the door. We compel notified employers, landlords and/or debt collectors to take notice of the unkind impact they are having on you. To avoid the risk of bad publicity, we expect them to respond.</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We start out by exchanging messages through email. Our first exchange is FREE. We invite you to name a "proxy" who can support you through this process. Someone you can trust as you risk reliving this painful past.</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The next email exchange only costs you and your proxy $5. If we agree this process is a good fit for you, you will start building a support team. You invite each one using the supporter tabs, much like the notification tabs. As the value of this service to you rises, they bear the increased costs--and share in some of its rewards.</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Eventually, we shift to group video-chat ($100 each). Each dollar invested gets tracked. If your support team finds it's worth it, why not others? We will use that to persuade others to invest in you as well.</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Your rebuilt life will become an attractive investment. If an employer passes you over, we can make sure their competitors will see your re-emerging value.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2</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If we reach step two, we convince</a:t>
          </a:r>
          <a:r>
            <a:rPr lang="en-US" sz="1200" baseline="0">
              <a:solidFill>
                <a:schemeClr val="dk1"/>
              </a:solidFill>
              <a:effectLst/>
              <a:latin typeface="Times New Roman" panose="02020603050405020304" pitchFamily="18" charset="0"/>
              <a:ea typeface="+mn-ea"/>
              <a:cs typeface="Times New Roman" panose="02020603050405020304" pitchFamily="18" charset="0"/>
            </a:rPr>
            <a:t> the notified parties to start investing in your rebuilt life. To not only hire you or rent to you or negotiate debt with you, but to actively see you do better. Why would they willingly invest in you? By then, we will make it hard for them to say 'no'. </a:t>
          </a: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34</xdr:col>
      <xdr:colOff>121920</xdr:colOff>
      <xdr:row>1120</xdr:row>
      <xdr:rowOff>106680</xdr:rowOff>
    </xdr:from>
    <xdr:to>
      <xdr:col>57</xdr:col>
      <xdr:colOff>53340</xdr:colOff>
      <xdr:row>1144</xdr:row>
      <xdr:rowOff>121920</xdr:rowOff>
    </xdr:to>
    <xdr:sp macro="" textlink="">
      <xdr:nvSpPr>
        <xdr:cNvPr id="111" name="TextBox 110">
          <a:extLst>
            <a:ext uri="{FF2B5EF4-FFF2-40B4-BE49-F238E27FC236}">
              <a16:creationId xmlns:a16="http://schemas.microsoft.com/office/drawing/2014/main" id="{018365BB-3EA5-44A5-8E48-22DF87AAA233}"/>
            </a:ext>
          </a:extLst>
        </xdr:cNvPr>
        <xdr:cNvSpPr txBox="1"/>
      </xdr:nvSpPr>
      <xdr:spPr>
        <a:xfrm>
          <a:off x="18341340" y="306011580"/>
          <a:ext cx="0" cy="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Times New Roman" panose="02020603050405020304" pitchFamily="18" charset="0"/>
            </a:rPr>
            <a:t>Step 1</a:t>
          </a:r>
        </a:p>
        <a:p>
          <a:r>
            <a:rPr lang="en-US" sz="1100">
              <a:solidFill>
                <a:schemeClr val="dk1"/>
              </a:solidFill>
              <a:effectLst/>
              <a:latin typeface="Times New Roman" panose="02020603050405020304" pitchFamily="18" charset="0"/>
              <a:ea typeface="+mn-ea"/>
              <a:cs typeface="Times New Roman" panose="02020603050405020304" pitchFamily="18" charset="0"/>
            </a:rPr>
            <a:t>Text-based</a:t>
          </a:r>
          <a:r>
            <a:rPr lang="en-US" sz="1100" baseline="0">
              <a:solidFill>
                <a:schemeClr val="dk1"/>
              </a:solidFill>
              <a:effectLst/>
              <a:latin typeface="Times New Roman" panose="02020603050405020304" pitchFamily="18" charset="0"/>
              <a:ea typeface="+mn-ea"/>
              <a:cs typeface="Times New Roman" panose="02020603050405020304" pitchFamily="18" charset="0"/>
            </a:rPr>
            <a:t> interactions.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Name someone to serve as your proxy, someone you can trust to serve your needs when you cannot be fully present. For prisoners,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For those out of prison, but still in some form of monitored custody,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For those beyond state custody, </a:t>
          </a:r>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2</a:t>
          </a:r>
        </a:p>
        <a:p>
          <a:r>
            <a:rPr lang="en-US" sz="1100">
              <a:solidFill>
                <a:schemeClr val="dk1"/>
              </a:solidFill>
              <a:effectLst/>
              <a:latin typeface="Times New Roman" panose="02020603050405020304" pitchFamily="18" charset="0"/>
              <a:ea typeface="+mn-ea"/>
              <a:cs typeface="Times New Roman" panose="02020603050405020304" pitchFamily="18" charset="0"/>
            </a:rPr>
            <a:t>Video-conferencing</a:t>
          </a:r>
          <a:r>
            <a:rPr lang="en-US" sz="1100" baseline="0">
              <a:solidFill>
                <a:schemeClr val="dk1"/>
              </a:solidFill>
              <a:effectLst/>
              <a:latin typeface="Times New Roman" panose="02020603050405020304" pitchFamily="18" charset="0"/>
              <a:ea typeface="+mn-ea"/>
              <a:cs typeface="Times New Roman" panose="02020603050405020304" pitchFamily="18" charset="0"/>
            </a:rPr>
            <a:t> group support.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impact engaging, options array</a:t>
          </a:r>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3</a:t>
          </a:r>
        </a:p>
      </xdr:txBody>
    </xdr:sp>
    <xdr:clientData/>
  </xdr:twoCellAnchor>
  <xdr:twoCellAnchor>
    <xdr:from>
      <xdr:col>0</xdr:col>
      <xdr:colOff>198120</xdr:colOff>
      <xdr:row>1137</xdr:row>
      <xdr:rowOff>167640</xdr:rowOff>
    </xdr:from>
    <xdr:to>
      <xdr:col>4</xdr:col>
      <xdr:colOff>7620</xdr:colOff>
      <xdr:row>1146</xdr:row>
      <xdr:rowOff>45720</xdr:rowOff>
    </xdr:to>
    <xdr:sp macro="" textlink="">
      <xdr:nvSpPr>
        <xdr:cNvPr id="112" name="TextBox 111">
          <a:extLst>
            <a:ext uri="{FF2B5EF4-FFF2-40B4-BE49-F238E27FC236}">
              <a16:creationId xmlns:a16="http://schemas.microsoft.com/office/drawing/2014/main" id="{67998C99-8160-495A-BE0D-5CACC785919B}"/>
            </a:ext>
          </a:extLst>
        </xdr:cNvPr>
        <xdr:cNvSpPr txBox="1"/>
      </xdr:nvSpPr>
      <xdr:spPr>
        <a:xfrm>
          <a:off x="198120" y="306011580"/>
          <a:ext cx="5577840" cy="0"/>
        </a:xfrm>
        <a:prstGeom prst="rect">
          <a:avLst/>
        </a:prstGeom>
        <a:solidFill>
          <a:srgbClr val="B9FFD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B050"/>
              </a:solidFill>
              <a:effectLst/>
              <a:latin typeface="+mn-lt"/>
              <a:ea typeface="+mn-ea"/>
              <a:cs typeface="Times New Roman" panose="02020603050405020304" pitchFamily="18" charset="0"/>
            </a:rPr>
            <a:t>Benefits of going with the </a:t>
          </a:r>
          <a:r>
            <a:rPr lang="en-US" sz="1600" b="1">
              <a:solidFill>
                <a:schemeClr val="dk1"/>
              </a:solidFill>
              <a:effectLst/>
              <a:latin typeface="+mn-lt"/>
              <a:ea typeface="+mn-ea"/>
              <a:cs typeface="Times New Roman" panose="02020603050405020304" pitchFamily="18" charset="0"/>
            </a:rPr>
            <a:t>Plan</a:t>
          </a:r>
          <a:endParaRPr lang="en-US" sz="1400" b="1">
            <a:solidFill>
              <a:schemeClr val="dk1"/>
            </a:solidFill>
            <a:effectLst/>
            <a:latin typeface="+mn-lt"/>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r>
            <a:rPr lang="en-US" sz="1200">
              <a:solidFill>
                <a:schemeClr val="dk1"/>
              </a:solidFill>
              <a:effectLst/>
              <a:latin typeface="Times New Roman" panose="02020603050405020304" pitchFamily="18" charset="0"/>
              <a:ea typeface="+mn-ea"/>
              <a:cs typeface="Times New Roman" panose="02020603050405020304" pitchFamily="18" charset="0"/>
            </a:rPr>
            <a:t>own your data</a:t>
          </a:r>
        </a:p>
        <a:p>
          <a:r>
            <a:rPr lang="en-US" sz="1200">
              <a:solidFill>
                <a:schemeClr val="dk1"/>
              </a:solidFill>
              <a:effectLst/>
              <a:latin typeface="Times New Roman" panose="02020603050405020304" pitchFamily="18" charset="0"/>
              <a:ea typeface="+mn-ea"/>
              <a:cs typeface="Times New Roman" panose="02020603050405020304" pitchFamily="18" charset="0"/>
            </a:rPr>
            <a:t>-- improve your marketable value</a:t>
          </a:r>
        </a:p>
        <a:p>
          <a:r>
            <a:rPr lang="en-US" sz="1200">
              <a:solidFill>
                <a:schemeClr val="dk1"/>
              </a:solidFill>
              <a:effectLst/>
              <a:latin typeface="Times New Roman" panose="02020603050405020304" pitchFamily="18" charset="0"/>
              <a:ea typeface="+mn-ea"/>
              <a:cs typeface="Times New Roman" panose="02020603050405020304" pitchFamily="18" charset="0"/>
            </a:rPr>
            <a:t>-- receive engaging support from others who believe</a:t>
          </a:r>
          <a:r>
            <a:rPr lang="en-US" sz="1200" baseline="0">
              <a:solidFill>
                <a:schemeClr val="dk1"/>
              </a:solidFill>
              <a:effectLst/>
              <a:latin typeface="Times New Roman" panose="02020603050405020304" pitchFamily="18" charset="0"/>
              <a:ea typeface="+mn-ea"/>
              <a:cs typeface="Times New Roman" panose="02020603050405020304" pitchFamily="18" charset="0"/>
            </a:rPr>
            <a:t> you are innocent</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 disover</a:t>
          </a:r>
          <a:r>
            <a:rPr lang="en-US" sz="1200" baseline="0">
              <a:solidFill>
                <a:schemeClr val="dk1"/>
              </a:solidFill>
              <a:effectLst/>
              <a:latin typeface="Times New Roman" panose="02020603050405020304" pitchFamily="18" charset="0"/>
              <a:ea typeface="+mn-ea"/>
              <a:cs typeface="Times New Roman" panose="02020603050405020304" pitchFamily="18" charset="0"/>
            </a:rPr>
            <a:t> capacities you never knew you had</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 find opportunties to earn doing what you passionatley enjoy doing for others</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 learn to make life happen (rather than let life happen to you)</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39</xdr:col>
      <xdr:colOff>30480</xdr:colOff>
      <xdr:row>864</xdr:row>
      <xdr:rowOff>320040</xdr:rowOff>
    </xdr:from>
    <xdr:to>
      <xdr:col>59</xdr:col>
      <xdr:colOff>175260</xdr:colOff>
      <xdr:row>870</xdr:row>
      <xdr:rowOff>3886200</xdr:rowOff>
    </xdr:to>
    <xdr:sp macro="" textlink="">
      <xdr:nvSpPr>
        <xdr:cNvPr id="113" name="TextBox 112">
          <a:extLst>
            <a:ext uri="{FF2B5EF4-FFF2-40B4-BE49-F238E27FC236}">
              <a16:creationId xmlns:a16="http://schemas.microsoft.com/office/drawing/2014/main" id="{B1B9BEA7-A801-49BA-B049-3C8A6888F100}"/>
            </a:ext>
          </a:extLst>
        </xdr:cNvPr>
        <xdr:cNvSpPr txBox="1"/>
      </xdr:nvSpPr>
      <xdr:spPr>
        <a:xfrm>
          <a:off x="18341340" y="289483800"/>
          <a:ext cx="0" cy="5204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mn-lt"/>
              <a:ea typeface="+mn-ea"/>
              <a:cs typeface="+mn-cs"/>
            </a:rPr>
            <a:t>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A neighborhood child drew curious, peeping into Janet’s window to gawk at what she called the "man with lipstick." When caught not being home on time, the child leveled bizarre claims of sex abuse unbecoming from a child. Exposed to porn?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The child then dragged Steph into her transphobic accusations. The child claimed Steph posed with her as if she, the young child, was stabbing Steph in the chest with a butter knife. She claimed this was to scare her from talking to police, that we would say she was the aggressor. Unbelievable? Not if you already believe trans people are subhuman.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Child testimonies back then were often coached. Trans people were easily vilified. Since no corroborating evidence was necessary back then to convict for sexual misconduct, both transwomen were wrongly convicted and sentenced to long terms in men’s prisons, where Steph’s transgender sibling and codefendant died in 2001.</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 </a:t>
          </a:r>
          <a:endParaRPr lang="en-US" sz="900"/>
        </a:p>
      </xdr:txBody>
    </xdr:sp>
    <xdr:clientData/>
  </xdr:twoCellAnchor>
  <xdr:twoCellAnchor>
    <xdr:from>
      <xdr:col>34</xdr:col>
      <xdr:colOff>163830</xdr:colOff>
      <xdr:row>870</xdr:row>
      <xdr:rowOff>4259580</xdr:rowOff>
    </xdr:from>
    <xdr:to>
      <xdr:col>53</xdr:col>
      <xdr:colOff>367665</xdr:colOff>
      <xdr:row>870</xdr:row>
      <xdr:rowOff>4558665</xdr:rowOff>
    </xdr:to>
    <xdr:sp macro="" textlink="">
      <xdr:nvSpPr>
        <xdr:cNvPr id="114" name="Rectangle: Beveled 113">
          <a:extLst>
            <a:ext uri="{FF2B5EF4-FFF2-40B4-BE49-F238E27FC236}">
              <a16:creationId xmlns:a16="http://schemas.microsoft.com/office/drawing/2014/main" id="{1BAC0773-528A-44DA-B954-694FA12E3600}"/>
            </a:ext>
          </a:extLst>
        </xdr:cNvPr>
        <xdr:cNvSpPr/>
      </xdr:nvSpPr>
      <xdr:spPr>
        <a:xfrm>
          <a:off x="18341340" y="295061640"/>
          <a:ext cx="0" cy="299085"/>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124370</xdr:colOff>
      <xdr:row>879</xdr:row>
      <xdr:rowOff>65586</xdr:rowOff>
    </xdr:from>
    <xdr:to>
      <xdr:col>53</xdr:col>
      <xdr:colOff>178798</xdr:colOff>
      <xdr:row>881</xdr:row>
      <xdr:rowOff>276225</xdr:rowOff>
    </xdr:to>
    <xdr:sp macro="" textlink="">
      <xdr:nvSpPr>
        <xdr:cNvPr id="115" name="Rectangle: Rounded Corners 114">
          <a:extLst>
            <a:ext uri="{FF2B5EF4-FFF2-40B4-BE49-F238E27FC236}">
              <a16:creationId xmlns:a16="http://schemas.microsoft.com/office/drawing/2014/main" id="{971D74F6-717C-429D-8FD8-76350EF50829}"/>
            </a:ext>
          </a:extLst>
        </xdr:cNvPr>
        <xdr:cNvSpPr/>
      </xdr:nvSpPr>
      <xdr:spPr>
        <a:xfrm>
          <a:off x="18341340" y="297291306"/>
          <a:ext cx="0" cy="231594"/>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here</a:t>
          </a:r>
        </a:p>
      </xdr:txBody>
    </xdr:sp>
    <xdr:clientData/>
  </xdr:twoCellAnchor>
  <xdr:twoCellAnchor>
    <xdr:from>
      <xdr:col>30</xdr:col>
      <xdr:colOff>124370</xdr:colOff>
      <xdr:row>876</xdr:row>
      <xdr:rowOff>137976</xdr:rowOff>
    </xdr:from>
    <xdr:to>
      <xdr:col>53</xdr:col>
      <xdr:colOff>178798</xdr:colOff>
      <xdr:row>879</xdr:row>
      <xdr:rowOff>64770</xdr:rowOff>
    </xdr:to>
    <xdr:sp macro="" textlink="">
      <xdr:nvSpPr>
        <xdr:cNvPr id="116" name="Rectangle: Rounded Corners 115">
          <a:extLst>
            <a:ext uri="{FF2B5EF4-FFF2-40B4-BE49-F238E27FC236}">
              <a16:creationId xmlns:a16="http://schemas.microsoft.com/office/drawing/2014/main" id="{526BE226-405C-4F81-B1B4-97F702DD6C27}"/>
            </a:ext>
          </a:extLst>
        </xdr:cNvPr>
        <xdr:cNvSpPr/>
      </xdr:nvSpPr>
      <xdr:spPr>
        <a:xfrm>
          <a:off x="18341340" y="296776956"/>
          <a:ext cx="0" cy="513534"/>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here</a:t>
          </a:r>
        </a:p>
      </xdr:txBody>
    </xdr:sp>
    <xdr:clientData/>
  </xdr:twoCellAnchor>
  <xdr:twoCellAnchor>
    <xdr:from>
      <xdr:col>0</xdr:col>
      <xdr:colOff>7620</xdr:colOff>
      <xdr:row>27</xdr:row>
      <xdr:rowOff>144780</xdr:rowOff>
    </xdr:from>
    <xdr:to>
      <xdr:col>1</xdr:col>
      <xdr:colOff>15240</xdr:colOff>
      <xdr:row>27</xdr:row>
      <xdr:rowOff>441960</xdr:rowOff>
    </xdr:to>
    <xdr:sp macro="" textlink="">
      <xdr:nvSpPr>
        <xdr:cNvPr id="117" name="Arrow: Down 116">
          <a:hlinkClick xmlns:r="http://schemas.openxmlformats.org/officeDocument/2006/relationships" r:id="rId30" tooltip="FLIPSIDE entry"/>
          <a:extLst>
            <a:ext uri="{FF2B5EF4-FFF2-40B4-BE49-F238E27FC236}">
              <a16:creationId xmlns:a16="http://schemas.microsoft.com/office/drawing/2014/main" id="{7C64F727-9D8F-48B2-B120-C80845AF9B61}"/>
            </a:ext>
          </a:extLst>
        </xdr:cNvPr>
        <xdr:cNvSpPr/>
      </xdr:nvSpPr>
      <xdr:spPr>
        <a:xfrm>
          <a:off x="7620" y="733806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247650</xdr:colOff>
      <xdr:row>35</xdr:row>
      <xdr:rowOff>85725</xdr:rowOff>
    </xdr:from>
    <xdr:to>
      <xdr:col>3</xdr:col>
      <xdr:colOff>1933575</xdr:colOff>
      <xdr:row>41</xdr:row>
      <xdr:rowOff>206253</xdr:rowOff>
    </xdr:to>
    <xdr:sp macro="" textlink="">
      <xdr:nvSpPr>
        <xdr:cNvPr id="118" name="Text Box 4">
          <a:extLst>
            <a:ext uri="{FF2B5EF4-FFF2-40B4-BE49-F238E27FC236}">
              <a16:creationId xmlns:a16="http://schemas.microsoft.com/office/drawing/2014/main" id="{D9022541-2489-4566-BF06-8B597B3566FA}"/>
            </a:ext>
          </a:extLst>
        </xdr:cNvPr>
        <xdr:cNvSpPr txBox="1"/>
      </xdr:nvSpPr>
      <xdr:spPr>
        <a:xfrm rot="21480000">
          <a:off x="247650" y="14403705"/>
          <a:ext cx="5480685" cy="2200788"/>
        </a:xfrm>
        <a:prstGeom prst="rect">
          <a:avLst/>
        </a:prstGeom>
        <a:solidFill>
          <a:srgbClr val="FF85FF"/>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2400"/>
            </a:lnSpc>
            <a:spcBef>
              <a:spcPts val="0"/>
            </a:spcBef>
            <a:spcAft>
              <a:spcPts val="0"/>
            </a:spcAft>
            <a:tabLst>
              <a:tab pos="3200400" algn="r"/>
            </a:tabLst>
          </a:pP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t>
          </a: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We know without doubt </a:t>
          </a:r>
          <a:b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that the vast majority of </a:t>
          </a:r>
          <a:b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2000" b="1" u="none" strike="noStrike">
              <a:ln w="3175" cap="rnd" cmpd="sng" algn="ctr">
                <a:solidFill>
                  <a:srgbClr val="7030A0"/>
                </a:solidFill>
                <a:prstDash val="solid"/>
                <a:bevel/>
              </a:ln>
              <a:solidFill>
                <a:srgbClr val="FFFF00"/>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innocent defendants</a:t>
          </a:r>
          <a:r>
            <a:rPr lang="en-US" sz="2000" b="1" u="none" strike="noStrike">
              <a:ln w="3175" cap="rnd" cmpd="sng" algn="ctr">
                <a:solidFill>
                  <a:srgbClr val="7030A0"/>
                </a:solidFill>
                <a:prstDash val="solid"/>
                <a:bevel/>
              </a:ln>
              <a:solidFill>
                <a:srgbClr val="70AD47"/>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70AD47"/>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who are </a:t>
          </a:r>
          <a:r>
            <a:rPr lang="en-US" sz="1600" b="1" u="none" strike="noStrike">
              <a:ln w="3175" cap="rnd" cmpd="sng" algn="ctr">
                <a:solidFill>
                  <a:srgbClr val="7030A0"/>
                </a:solidFill>
                <a:prstDash val="solid"/>
                <a:bevel/>
              </a:ln>
              <a:solidFill>
                <a:schemeClr val="tx1"/>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convicted</a:t>
          </a: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of crimes</a:t>
          </a:r>
          <a:r>
            <a:rPr lang="en-US" sz="1600" b="1" u="none" strike="noStrike">
              <a:ln w="3175" cap="rnd" cmpd="sng" algn="ctr">
                <a:solidFill>
                  <a:srgbClr val="7030A0"/>
                </a:solidFill>
                <a:prstDash val="solid"/>
                <a:bevel/>
              </a:ln>
              <a:solidFill>
                <a:srgbClr val="B9FFD9"/>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B9FFD9"/>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800" b="1" u="none" strike="noStrike">
              <a:ln w="3175" cap="rnd" cmpd="sng" algn="ctr">
                <a:solidFill>
                  <a:srgbClr val="7030A0"/>
                </a:solidFill>
                <a:prstDash val="solid"/>
                <a:bevel/>
              </a:ln>
              <a:solidFill>
                <a:srgbClr val="FF7C80"/>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are never identified and cleared</a:t>
          </a: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outerShdw blurRad="50800" dist="38100" dir="2700000" algn="tl" rotWithShape="0">
                <a:prstClr val="black">
                  <a:alpha val="40000"/>
                </a:prstClr>
              </a:outerShdw>
            </a:effectLst>
            <a:latin typeface="Georgia" panose="02040502050405020303" pitchFamily="18" charset="0"/>
            <a:ea typeface="Calibri" panose="020F0502020204030204" pitchFamily="34" charset="0"/>
            <a:cs typeface="Times New Roman" panose="02020603050405020304" pitchFamily="18" charset="0"/>
          </a:endParaRPr>
        </a:p>
        <a:p>
          <a:pPr marL="685800" marR="349250" indent="-228600" algn="ctr">
            <a:lnSpc>
              <a:spcPts val="1400"/>
            </a:lnSpc>
            <a:spcBef>
              <a:spcPts val="600"/>
            </a:spcBef>
            <a:spcAft>
              <a:spcPts val="0"/>
            </a:spcAft>
            <a:tabLst>
              <a:tab pos="3200400" algn="r"/>
            </a:tabLst>
          </a:pPr>
          <a:r>
            <a:rPr lang="en-US" sz="1050">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Samuel R. Gross, </a:t>
          </a:r>
          <a:r>
            <a:rPr lang="en-US" sz="1050" i="1">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NRE</a:t>
          </a:r>
          <a:endParaRPr lang="en-US" sz="105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1493520</xdr:colOff>
      <xdr:row>1191</xdr:row>
      <xdr:rowOff>68579</xdr:rowOff>
    </xdr:from>
    <xdr:to>
      <xdr:col>3</xdr:col>
      <xdr:colOff>1783080</xdr:colOff>
      <xdr:row>1193</xdr:row>
      <xdr:rowOff>175259</xdr:rowOff>
    </xdr:to>
    <xdr:sp macro="" textlink="">
      <xdr:nvSpPr>
        <xdr:cNvPr id="119" name="Rectangle: Beveled 118">
          <a:extLst>
            <a:ext uri="{FF2B5EF4-FFF2-40B4-BE49-F238E27FC236}">
              <a16:creationId xmlns:a16="http://schemas.microsoft.com/office/drawing/2014/main" id="{0C8ED6C8-558F-4288-9E2B-BDD8157B7DA6}"/>
            </a:ext>
          </a:extLst>
        </xdr:cNvPr>
        <xdr:cNvSpPr/>
      </xdr:nvSpPr>
      <xdr:spPr>
        <a:xfrm>
          <a:off x="2834640" y="306011580"/>
          <a:ext cx="2743200" cy="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LEARN MORE...</a:t>
          </a:r>
        </a:p>
      </xdr:txBody>
    </xdr:sp>
    <xdr:clientData/>
  </xdr:twoCellAnchor>
  <xdr:twoCellAnchor>
    <xdr:from>
      <xdr:col>35</xdr:col>
      <xdr:colOff>116953</xdr:colOff>
      <xdr:row>874</xdr:row>
      <xdr:rowOff>101194</xdr:rowOff>
    </xdr:from>
    <xdr:to>
      <xdr:col>57</xdr:col>
      <xdr:colOff>291396</xdr:colOff>
      <xdr:row>877</xdr:row>
      <xdr:rowOff>106927</xdr:rowOff>
    </xdr:to>
    <xdr:sp macro="" textlink="">
      <xdr:nvSpPr>
        <xdr:cNvPr id="120" name="Rectangle: Rounded Corners 119">
          <a:extLst>
            <a:ext uri="{FF2B5EF4-FFF2-40B4-BE49-F238E27FC236}">
              <a16:creationId xmlns:a16="http://schemas.microsoft.com/office/drawing/2014/main" id="{E4CD7662-834B-4DA8-8F40-E4B068105010}"/>
            </a:ext>
          </a:extLst>
        </xdr:cNvPr>
        <xdr:cNvSpPr/>
      </xdr:nvSpPr>
      <xdr:spPr>
        <a:xfrm>
          <a:off x="18341340" y="296389654"/>
          <a:ext cx="0" cy="531513"/>
        </a:xfrm>
        <a:prstGeom prst="roundRect">
          <a:avLst>
            <a:gd name="adj" fmla="val 5176"/>
          </a:avLst>
        </a:prstGeom>
        <a:solidFill>
          <a:srgbClr val="FFFF00">
            <a:alpha val="74902"/>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3600" b="1">
              <a:solidFill>
                <a:srgbClr val="00B050"/>
              </a:solidFill>
              <a:effectLst>
                <a:outerShdw blurRad="50800" dist="38100" dir="2700000" algn="tl" rotWithShape="0">
                  <a:prstClr val="black">
                    <a:alpha val="40000"/>
                  </a:prstClr>
                </a:outerShdw>
              </a:effectLst>
            </a:rPr>
            <a:t>UNDER CONSTRUCTION</a:t>
          </a:r>
        </a:p>
      </xdr:txBody>
    </xdr:sp>
    <xdr:clientData/>
  </xdr:twoCellAnchor>
  <xdr:twoCellAnchor>
    <xdr:from>
      <xdr:col>51</xdr:col>
      <xdr:colOff>7620</xdr:colOff>
      <xdr:row>97</xdr:row>
      <xdr:rowOff>160020</xdr:rowOff>
    </xdr:from>
    <xdr:to>
      <xdr:col>58</xdr:col>
      <xdr:colOff>342900</xdr:colOff>
      <xdr:row>122</xdr:row>
      <xdr:rowOff>121920</xdr:rowOff>
    </xdr:to>
    <xdr:sp macro="" textlink="">
      <xdr:nvSpPr>
        <xdr:cNvPr id="121" name="Rectangle: Rounded Corners 120">
          <a:extLst>
            <a:ext uri="{FF2B5EF4-FFF2-40B4-BE49-F238E27FC236}">
              <a16:creationId xmlns:a16="http://schemas.microsoft.com/office/drawing/2014/main" id="{40DD13F5-45EE-468D-AE97-2D21512CBA0E}"/>
            </a:ext>
          </a:extLst>
        </xdr:cNvPr>
        <xdr:cNvSpPr/>
      </xdr:nvSpPr>
      <xdr:spPr>
        <a:xfrm>
          <a:off x="18341340" y="32110680"/>
          <a:ext cx="0" cy="5288280"/>
        </a:xfrm>
        <a:prstGeom prst="roundRect">
          <a:avLst>
            <a:gd name="adj" fmla="val 5176"/>
          </a:avLst>
        </a:prstGeom>
        <a:solidFill>
          <a:srgbClr val="ED65AC">
            <a:alpha val="90980"/>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a:solidFill>
                <a:srgbClr val="00B050"/>
              </a:solidFill>
            </a:rPr>
            <a:t>A</a:t>
          </a:r>
          <a:r>
            <a:rPr lang="en-US" sz="1600" baseline="0">
              <a:solidFill>
                <a:srgbClr val="00B050"/>
              </a:solidFill>
            </a:rPr>
            <a:t> 	A149:F295</a:t>
          </a:r>
        </a:p>
        <a:p>
          <a:pPr algn="l"/>
          <a:r>
            <a:rPr lang="en-US" sz="1600" baseline="0">
              <a:solidFill>
                <a:srgbClr val="00B050"/>
              </a:solidFill>
            </a:rPr>
            <a:t>B 	A296:F461</a:t>
          </a:r>
        </a:p>
        <a:p>
          <a:pPr algn="l"/>
          <a:r>
            <a:rPr lang="en-US" sz="1600" baseline="0">
              <a:solidFill>
                <a:srgbClr val="00B050"/>
              </a:solidFill>
            </a:rPr>
            <a:t>C1	A462:F496</a:t>
          </a:r>
        </a:p>
        <a:p>
          <a:pPr algn="l"/>
          <a:r>
            <a:rPr lang="en-US" sz="1600" baseline="0">
              <a:solidFill>
                <a:srgbClr val="00B050"/>
              </a:solidFill>
            </a:rPr>
            <a:t>C2	A497:F530</a:t>
          </a:r>
        </a:p>
        <a:p>
          <a:pPr algn="l"/>
          <a:r>
            <a:rPr lang="en-US" sz="1600" baseline="0">
              <a:solidFill>
                <a:srgbClr val="00B050"/>
              </a:solidFill>
            </a:rPr>
            <a:t>C3	A531:F564</a:t>
          </a:r>
        </a:p>
        <a:p>
          <a:pPr algn="l"/>
          <a:r>
            <a:rPr lang="en-US" sz="1600" baseline="0">
              <a:solidFill>
                <a:srgbClr val="00B050"/>
              </a:solidFill>
            </a:rPr>
            <a:t>C4	A565:F598</a:t>
          </a:r>
        </a:p>
        <a:p>
          <a:pPr algn="l"/>
          <a:r>
            <a:rPr lang="en-US" sz="1600" baseline="0">
              <a:solidFill>
                <a:srgbClr val="00B050"/>
              </a:solidFill>
            </a:rPr>
            <a:t>C5	A599:F641</a:t>
          </a:r>
        </a:p>
        <a:p>
          <a:pPr algn="l"/>
          <a:r>
            <a:rPr lang="en-US" sz="1600" baseline="0">
              <a:solidFill>
                <a:srgbClr val="00B050"/>
              </a:solidFill>
            </a:rPr>
            <a:t>C6	A642:F680</a:t>
          </a:r>
        </a:p>
        <a:p>
          <a:pPr algn="l"/>
          <a:r>
            <a:rPr lang="en-US" sz="1600" baseline="0">
              <a:solidFill>
                <a:srgbClr val="00B050"/>
              </a:solidFill>
            </a:rPr>
            <a:t>C7	A681:F690</a:t>
          </a:r>
        </a:p>
        <a:p>
          <a:pPr algn="l"/>
          <a:r>
            <a:rPr lang="en-US" sz="1600" baseline="0">
              <a:solidFill>
                <a:srgbClr val="00B050"/>
              </a:solidFill>
            </a:rPr>
            <a:t>C8	A691:F718</a:t>
          </a:r>
        </a:p>
        <a:p>
          <a:pPr algn="l"/>
          <a:r>
            <a:rPr lang="en-US" sz="1600">
              <a:solidFill>
                <a:srgbClr val="00B050"/>
              </a:solidFill>
            </a:rPr>
            <a:t>D	A719:F747</a:t>
          </a:r>
        </a:p>
        <a:p>
          <a:pPr algn="l"/>
          <a:r>
            <a:rPr lang="en-US" sz="1600">
              <a:solidFill>
                <a:srgbClr val="00B050"/>
              </a:solidFill>
            </a:rPr>
            <a:t>E	A748:F824</a:t>
          </a:r>
        </a:p>
        <a:p>
          <a:pPr algn="l"/>
          <a:r>
            <a:rPr lang="en-US" sz="1600">
              <a:solidFill>
                <a:srgbClr val="00B050"/>
              </a:solidFill>
            </a:rPr>
            <a:t>F	A825:F867</a:t>
          </a:r>
        </a:p>
        <a:p>
          <a:pPr algn="l"/>
          <a:r>
            <a:rPr lang="en-US" sz="1600">
              <a:solidFill>
                <a:srgbClr val="00B050"/>
              </a:solidFill>
            </a:rPr>
            <a:t>G	A868:F1047</a:t>
          </a:r>
        </a:p>
        <a:p>
          <a:pPr algn="l"/>
          <a:r>
            <a:rPr lang="en-US" sz="1600">
              <a:solidFill>
                <a:srgbClr val="00B050"/>
              </a:solidFill>
            </a:rPr>
            <a:t>H	A1048:F1089</a:t>
          </a:r>
        </a:p>
        <a:p>
          <a:pPr algn="l"/>
          <a:r>
            <a:rPr lang="en-US" sz="1600">
              <a:solidFill>
                <a:srgbClr val="00B050"/>
              </a:solidFill>
            </a:rPr>
            <a:t>I	A1090:F1181</a:t>
          </a:r>
        </a:p>
        <a:p>
          <a:pPr algn="l"/>
          <a:r>
            <a:rPr lang="en-US" sz="1600">
              <a:solidFill>
                <a:srgbClr val="00B050"/>
              </a:solidFill>
            </a:rPr>
            <a:t>J	A1182:F1461</a:t>
          </a:r>
        </a:p>
        <a:p>
          <a:pPr algn="l"/>
          <a:r>
            <a:rPr lang="en-US" sz="1600">
              <a:solidFill>
                <a:srgbClr val="00B050"/>
              </a:solidFill>
            </a:rPr>
            <a:t>K	A1462:F1535</a:t>
          </a:r>
        </a:p>
        <a:p>
          <a:pPr algn="l"/>
          <a:r>
            <a:rPr lang="en-US" sz="1600">
              <a:solidFill>
                <a:srgbClr val="00B050"/>
              </a:solidFill>
            </a:rPr>
            <a:t>L	A1536:F1582</a:t>
          </a:r>
        </a:p>
        <a:p>
          <a:pPr algn="l"/>
          <a:r>
            <a:rPr lang="en-US" sz="1600">
              <a:solidFill>
                <a:srgbClr val="00B050"/>
              </a:solidFill>
            </a:rPr>
            <a:t>M	A1583:F1629</a:t>
          </a:r>
        </a:p>
      </xdr:txBody>
    </xdr:sp>
    <xdr:clientData/>
  </xdr:twoCellAnchor>
  <xdr:twoCellAnchor>
    <xdr:from>
      <xdr:col>0</xdr:col>
      <xdr:colOff>0</xdr:colOff>
      <xdr:row>847</xdr:row>
      <xdr:rowOff>426720</xdr:rowOff>
    </xdr:from>
    <xdr:to>
      <xdr:col>1</xdr:col>
      <xdr:colOff>15240</xdr:colOff>
      <xdr:row>850</xdr:row>
      <xdr:rowOff>167640</xdr:rowOff>
    </xdr:to>
    <xdr:sp macro="" textlink="">
      <xdr:nvSpPr>
        <xdr:cNvPr id="122" name="Arrow: Up 121">
          <a:hlinkClick xmlns:r="http://schemas.openxmlformats.org/officeDocument/2006/relationships" r:id="rId31" tooltip="HIGHLIGHTS displayed above"/>
          <a:extLst>
            <a:ext uri="{FF2B5EF4-FFF2-40B4-BE49-F238E27FC236}">
              <a16:creationId xmlns:a16="http://schemas.microsoft.com/office/drawing/2014/main" id="{195C1392-330B-43CE-B253-EB1B8B711266}"/>
            </a:ext>
          </a:extLst>
        </xdr:cNvPr>
        <xdr:cNvSpPr/>
      </xdr:nvSpPr>
      <xdr:spPr>
        <a:xfrm>
          <a:off x="0" y="28418028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7620</xdr:colOff>
      <xdr:row>15</xdr:row>
      <xdr:rowOff>30480</xdr:rowOff>
    </xdr:from>
    <xdr:to>
      <xdr:col>1</xdr:col>
      <xdr:colOff>15240</xdr:colOff>
      <xdr:row>16</xdr:row>
      <xdr:rowOff>121920</xdr:rowOff>
    </xdr:to>
    <xdr:sp macro="" textlink="">
      <xdr:nvSpPr>
        <xdr:cNvPr id="123" name="Arrow: Down 122">
          <a:hlinkClick xmlns:r="http://schemas.openxmlformats.org/officeDocument/2006/relationships" r:id="rId32" tooltip="HIGHLIGHTS entry"/>
          <a:extLst>
            <a:ext uri="{FF2B5EF4-FFF2-40B4-BE49-F238E27FC236}">
              <a16:creationId xmlns:a16="http://schemas.microsoft.com/office/drawing/2014/main" id="{57BAC86B-E906-44C7-8ADA-261D9FDC76CD}"/>
            </a:ext>
          </a:extLst>
        </xdr:cNvPr>
        <xdr:cNvSpPr/>
      </xdr:nvSpPr>
      <xdr:spPr>
        <a:xfrm>
          <a:off x="7620" y="435102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844</xdr:row>
      <xdr:rowOff>7620</xdr:rowOff>
    </xdr:from>
    <xdr:to>
      <xdr:col>1</xdr:col>
      <xdr:colOff>15240</xdr:colOff>
      <xdr:row>844</xdr:row>
      <xdr:rowOff>693420</xdr:rowOff>
    </xdr:to>
    <xdr:sp macro="" textlink="">
      <xdr:nvSpPr>
        <xdr:cNvPr id="124" name="Arrow: Up 123">
          <a:hlinkClick xmlns:r="http://schemas.openxmlformats.org/officeDocument/2006/relationships" r:id="rId33" tooltip="SYNOPSIS displayed above"/>
          <a:extLst>
            <a:ext uri="{FF2B5EF4-FFF2-40B4-BE49-F238E27FC236}">
              <a16:creationId xmlns:a16="http://schemas.microsoft.com/office/drawing/2014/main" id="{C84E1C67-DF47-4EAC-A010-EE803051ED5E}"/>
            </a:ext>
          </a:extLst>
        </xdr:cNvPr>
        <xdr:cNvSpPr/>
      </xdr:nvSpPr>
      <xdr:spPr>
        <a:xfrm>
          <a:off x="0" y="28248864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editAs="oneCell">
    <xdr:from>
      <xdr:col>3</xdr:col>
      <xdr:colOff>518813</xdr:colOff>
      <xdr:row>129</xdr:row>
      <xdr:rowOff>27265</xdr:rowOff>
    </xdr:from>
    <xdr:to>
      <xdr:col>3</xdr:col>
      <xdr:colOff>1890413</xdr:colOff>
      <xdr:row>137</xdr:row>
      <xdr:rowOff>179014</xdr:rowOff>
    </xdr:to>
    <xdr:pic>
      <xdr:nvPicPr>
        <xdr:cNvPr id="125" name="Picture 124">
          <a:hlinkClick xmlns:r="http://schemas.openxmlformats.org/officeDocument/2006/relationships" r:id="rId34" tooltip="PDF online about collateral consequences of criminal convictions"/>
          <a:extLst>
            <a:ext uri="{FF2B5EF4-FFF2-40B4-BE49-F238E27FC236}">
              <a16:creationId xmlns:a16="http://schemas.microsoft.com/office/drawing/2014/main" id="{EEE926D3-C7BE-4E28-842C-2F6359577997}"/>
            </a:ext>
          </a:extLst>
        </xdr:cNvPr>
        <xdr:cNvPicPr>
          <a:picLocks noChangeAspect="1"/>
        </xdr:cNvPicPr>
      </xdr:nvPicPr>
      <xdr:blipFill rotWithShape="1">
        <a:blip xmlns:r="http://schemas.openxmlformats.org/officeDocument/2006/relationships" r:embed="rId35"/>
        <a:srcRect l="25795" t="14594" r="38951" b="4655"/>
        <a:stretch/>
      </xdr:blipFill>
      <xdr:spPr>
        <a:xfrm rot="330951">
          <a:off x="4313573" y="38691145"/>
          <a:ext cx="1371600" cy="176718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76201</xdr:colOff>
      <xdr:row>1191</xdr:row>
      <xdr:rowOff>22860</xdr:rowOff>
    </xdr:from>
    <xdr:to>
      <xdr:col>3</xdr:col>
      <xdr:colOff>1828801</xdr:colOff>
      <xdr:row>1193</xdr:row>
      <xdr:rowOff>174444</xdr:rowOff>
    </xdr:to>
    <xdr:sp macro="" textlink="">
      <xdr:nvSpPr>
        <xdr:cNvPr id="126" name="Rectangle: Rounded Corners 125">
          <a:extLst>
            <a:ext uri="{FF2B5EF4-FFF2-40B4-BE49-F238E27FC236}">
              <a16:creationId xmlns:a16="http://schemas.microsoft.com/office/drawing/2014/main" id="{2BAA7E52-9361-47A1-AAF5-D829515B2152}"/>
            </a:ext>
          </a:extLst>
        </xdr:cNvPr>
        <xdr:cNvSpPr/>
      </xdr:nvSpPr>
      <xdr:spPr>
        <a:xfrm>
          <a:off x="335281" y="306011580"/>
          <a:ext cx="528828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2000">
              <a:solidFill>
                <a:srgbClr val="00B050"/>
              </a:solidFill>
              <a:effectLst>
                <a:outerShdw blurRad="50800" dist="38100" dir="2700000" algn="tl" rotWithShape="0">
                  <a:prstClr val="black">
                    <a:alpha val="40000"/>
                  </a:prstClr>
                </a:outerShdw>
              </a:effectLst>
            </a:rPr>
            <a:t>UNDER CONSTRUCTION</a:t>
          </a:r>
        </a:p>
      </xdr:txBody>
    </xdr:sp>
    <xdr:clientData/>
  </xdr:twoCellAnchor>
  <xdr:twoCellAnchor>
    <xdr:from>
      <xdr:col>1</xdr:col>
      <xdr:colOff>30480</xdr:colOff>
      <xdr:row>1198</xdr:row>
      <xdr:rowOff>510540</xdr:rowOff>
    </xdr:from>
    <xdr:to>
      <xdr:col>1</xdr:col>
      <xdr:colOff>716280</xdr:colOff>
      <xdr:row>1200</xdr:row>
      <xdr:rowOff>53340</xdr:rowOff>
    </xdr:to>
    <xdr:sp macro="" textlink="">
      <xdr:nvSpPr>
        <xdr:cNvPr id="127" name="Callout: Down Arrow 126">
          <a:hlinkClick xmlns:r="http://schemas.openxmlformats.org/officeDocument/2006/relationships" r:id="rId36" tooltip="CLICK on each &quot;Supporter #&quot; to go to that supporter tab"/>
          <a:extLst>
            <a:ext uri="{FF2B5EF4-FFF2-40B4-BE49-F238E27FC236}">
              <a16:creationId xmlns:a16="http://schemas.microsoft.com/office/drawing/2014/main" id="{88FD52E9-BE1E-48F6-BE95-712211018AAE}"/>
            </a:ext>
          </a:extLst>
        </xdr:cNvPr>
        <xdr:cNvSpPr/>
      </xdr:nvSpPr>
      <xdr:spPr>
        <a:xfrm>
          <a:off x="289560" y="306011580"/>
          <a:ext cx="685800" cy="0"/>
        </a:xfrm>
        <a:prstGeom prst="downArrowCallout">
          <a:avLst>
            <a:gd name="adj1" fmla="val 15909"/>
            <a:gd name="adj2" fmla="val 25000"/>
            <a:gd name="adj3" fmla="val 25000"/>
            <a:gd name="adj4" fmla="val 64977"/>
          </a:avLst>
        </a:prstGeom>
        <a:solidFill>
          <a:schemeClr val="accent6">
            <a:alpha val="50000"/>
          </a:schemeClr>
        </a:solidFill>
        <a:ln>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050" b="1"/>
            <a:t>CLICK</a:t>
          </a:r>
          <a:r>
            <a:rPr lang="en-US" sz="1050" b="1" baseline="0"/>
            <a:t> to go to tab</a:t>
          </a:r>
          <a:endParaRPr lang="en-US" sz="1050" b="1"/>
        </a:p>
      </xdr:txBody>
    </xdr:sp>
    <xdr:clientData/>
  </xdr:twoCellAnchor>
  <xdr:twoCellAnchor>
    <xdr:from>
      <xdr:col>26</xdr:col>
      <xdr:colOff>251460</xdr:colOff>
      <xdr:row>154</xdr:row>
      <xdr:rowOff>91441</xdr:rowOff>
    </xdr:from>
    <xdr:to>
      <xdr:col>31</xdr:col>
      <xdr:colOff>50076</xdr:colOff>
      <xdr:row>168</xdr:row>
      <xdr:rowOff>53341</xdr:rowOff>
    </xdr:to>
    <xdr:sp macro="" textlink="">
      <xdr:nvSpPr>
        <xdr:cNvPr id="128" name="Rectangle: Rounded Corners 127">
          <a:extLst>
            <a:ext uri="{FF2B5EF4-FFF2-40B4-BE49-F238E27FC236}">
              <a16:creationId xmlns:a16="http://schemas.microsoft.com/office/drawing/2014/main" id="{9AD38CB7-718B-45D3-909A-0FEE94D6ED4F}"/>
            </a:ext>
          </a:extLst>
        </xdr:cNvPr>
        <xdr:cNvSpPr/>
      </xdr:nvSpPr>
      <xdr:spPr>
        <a:xfrm>
          <a:off x="18341340" y="43906441"/>
          <a:ext cx="0" cy="293370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add to scoring calc, perhaps baseline prior to documentation boost</a:t>
          </a:r>
        </a:p>
      </xdr:txBody>
    </xdr:sp>
    <xdr:clientData/>
  </xdr:twoCellAnchor>
  <xdr:twoCellAnchor>
    <xdr:from>
      <xdr:col>28</xdr:col>
      <xdr:colOff>0</xdr:colOff>
      <xdr:row>2120</xdr:row>
      <xdr:rowOff>0</xdr:rowOff>
    </xdr:from>
    <xdr:to>
      <xdr:col>49</xdr:col>
      <xdr:colOff>213360</xdr:colOff>
      <xdr:row>2142</xdr:row>
      <xdr:rowOff>91440</xdr:rowOff>
    </xdr:to>
    <xdr:sp macro="" textlink="">
      <xdr:nvSpPr>
        <xdr:cNvPr id="130" name="TextBox 129">
          <a:extLst>
            <a:ext uri="{FF2B5EF4-FFF2-40B4-BE49-F238E27FC236}">
              <a16:creationId xmlns:a16="http://schemas.microsoft.com/office/drawing/2014/main" id="{532E4FBF-C811-491B-BE5A-30EBFEFA12B5}"/>
            </a:ext>
          </a:extLst>
        </xdr:cNvPr>
        <xdr:cNvSpPr txBox="1"/>
      </xdr:nvSpPr>
      <xdr:spPr>
        <a:xfrm>
          <a:off x="18341340" y="3403396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Central to this </a:t>
          </a:r>
          <a:r>
            <a:rPr lang="en-US" sz="1100" i="1">
              <a:solidFill>
                <a:schemeClr val="dk1"/>
              </a:solidFill>
              <a:effectLst/>
              <a:latin typeface="+mn-lt"/>
              <a:ea typeface="+mn-ea"/>
              <a:cs typeface="+mn-cs"/>
            </a:rPr>
            <a:t>competitive legitimacy</a:t>
          </a:r>
          <a:r>
            <a:rPr lang="en-US" sz="1100">
              <a:solidFill>
                <a:schemeClr val="dk1"/>
              </a:solidFill>
              <a:effectLst/>
              <a:latin typeface="+mn-lt"/>
              <a:ea typeface="+mn-ea"/>
              <a:cs typeface="+mn-cs"/>
            </a:rPr>
            <a:t> approach is the question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the adversarial justice system can be trusted to correct its own history of errors, </a:t>
          </a:r>
        </a:p>
        <a:p>
          <a:r>
            <a:rPr lang="en-US" sz="1100">
              <a:solidFill>
                <a:schemeClr val="dk1"/>
              </a:solidFill>
              <a:effectLst/>
              <a:latin typeface="+mn-lt"/>
              <a:ea typeface="+mn-ea"/>
              <a:cs typeface="+mn-cs"/>
            </a:rPr>
            <a:t>to correct current errors within statistically tolerable margins, </a:t>
          </a:r>
        </a:p>
        <a:p>
          <a:r>
            <a:rPr lang="en-US" sz="1100">
              <a:solidFill>
                <a:schemeClr val="dk1"/>
              </a:solidFill>
              <a:effectLst/>
              <a:latin typeface="+mn-lt"/>
              <a:ea typeface="+mn-ea"/>
              <a:cs typeface="+mn-cs"/>
            </a:rPr>
            <a:t>can acknowledge the damage these errors contribute not only to the individuals and their loved ones but to the social fabric itself, </a:t>
          </a:r>
        </a:p>
        <a:p>
          <a:r>
            <a:rPr lang="en-US" sz="1100">
              <a:solidFill>
                <a:schemeClr val="dk1"/>
              </a:solidFill>
              <a:effectLst/>
              <a:latin typeface="+mn-lt"/>
              <a:ea typeface="+mn-ea"/>
              <a:cs typeface="+mn-cs"/>
            </a:rPr>
            <a:t>properly compensate the exonerated, </a:t>
          </a:r>
        </a:p>
        <a:p>
          <a:r>
            <a:rPr lang="en-US" sz="1100">
              <a:solidFill>
                <a:schemeClr val="dk1"/>
              </a:solidFill>
              <a:effectLst/>
              <a:latin typeface="+mn-lt"/>
              <a:ea typeface="+mn-ea"/>
              <a:cs typeface="+mn-cs"/>
            </a:rPr>
            <a:t>can keep pace correcting wrongful convictions, can honestly acknowledge any conflicts of interests and perverse incentives reinforcing the pattern of errors, </a:t>
          </a:r>
        </a:p>
        <a:p>
          <a:r>
            <a:rPr lang="en-US" sz="1100">
              <a:solidFill>
                <a:schemeClr val="dk1"/>
              </a:solidFill>
              <a:effectLst/>
              <a:latin typeface="+mn-lt"/>
              <a:ea typeface="+mn-ea"/>
              <a:cs typeface="+mn-cs"/>
            </a:rPr>
            <a:t>identify and address patterns of structural or even interpersonal racism and other xenophobias inherent in the culture of policing (including quick-decisions with lethal outcomes),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among other things necessary for healthy functioning.</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benefit from popular</a:t>
          </a:r>
          <a:r>
            <a:rPr lang="en-US" sz="1100" baseline="0">
              <a:solidFill>
                <a:schemeClr val="dk1"/>
              </a:solidFill>
              <a:effectLst/>
              <a:latin typeface="+mn-lt"/>
              <a:ea typeface="+mn-ea"/>
              <a:cs typeface="+mn-cs"/>
            </a:rPr>
            <a:t> misbelief that all prisoners claim innocence and that police rarely make mistakes; Would you make an official correction to correct the record? If not, count that against your legitimacy.</a:t>
          </a: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a:p>
      </xdr:txBody>
    </xdr:sp>
    <xdr:clientData/>
  </xdr:twoCellAnchor>
  <xdr:twoCellAnchor>
    <xdr:from>
      <xdr:col>52</xdr:col>
      <xdr:colOff>45720</xdr:colOff>
      <xdr:row>2119</xdr:row>
      <xdr:rowOff>137160</xdr:rowOff>
    </xdr:from>
    <xdr:to>
      <xdr:col>68</xdr:col>
      <xdr:colOff>251460</xdr:colOff>
      <xdr:row>2130</xdr:row>
      <xdr:rowOff>38100</xdr:rowOff>
    </xdr:to>
    <xdr:sp macro="" textlink="">
      <xdr:nvSpPr>
        <xdr:cNvPr id="131" name="TextBox 130">
          <a:extLst>
            <a:ext uri="{FF2B5EF4-FFF2-40B4-BE49-F238E27FC236}">
              <a16:creationId xmlns:a16="http://schemas.microsoft.com/office/drawing/2014/main" id="{1BB98914-0B00-4D7F-9073-9F90DE7FAD37}"/>
            </a:ext>
          </a:extLst>
        </xdr:cNvPr>
        <xdr:cNvSpPr txBox="1"/>
      </xdr:nvSpPr>
      <xdr:spPr>
        <a:xfrm>
          <a:off x="18341340" y="3403396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Central to this </a:t>
          </a:r>
          <a:r>
            <a:rPr lang="en-US" sz="1100" i="1">
              <a:solidFill>
                <a:schemeClr val="dk1"/>
              </a:solidFill>
              <a:effectLst/>
              <a:latin typeface="+mn-lt"/>
              <a:ea typeface="+mn-ea"/>
              <a:cs typeface="+mn-cs"/>
            </a:rPr>
            <a:t>competitive legitimacy</a:t>
          </a:r>
          <a:r>
            <a:rPr lang="en-US" sz="1100">
              <a:solidFill>
                <a:schemeClr val="dk1"/>
              </a:solidFill>
              <a:effectLst/>
              <a:latin typeface="+mn-lt"/>
              <a:ea typeface="+mn-ea"/>
              <a:cs typeface="+mn-cs"/>
            </a:rPr>
            <a:t> approach is the question if the adversarial justice system can be trusted to correct its own history of errors, to correct current errors within statistically tolerable margins, can acknowledge the damage these errors contribute not only to the individuals and their loved ones but to the social fabric itself, properly compensate the exonerated, can keep pace correcting wrongful convictions, can honestly acknowledge any conflicts of interests and perverse incentives reinforcing the pattern of errors, identify and address patterns of structural or even interpersonal racism and other xenophobias inherent in the culture of policing (including quick-decisions with lethal outcomes), among other things necessary for healthy functioning.</a:t>
          </a:r>
          <a:endParaRPr lang="en-US" sz="1100"/>
        </a:p>
      </xdr:txBody>
    </xdr:sp>
    <xdr:clientData/>
  </xdr:twoCellAnchor>
  <xdr:twoCellAnchor>
    <xdr:from>
      <xdr:col>70</xdr:col>
      <xdr:colOff>0</xdr:colOff>
      <xdr:row>1557</xdr:row>
      <xdr:rowOff>0</xdr:rowOff>
    </xdr:from>
    <xdr:to>
      <xdr:col>83</xdr:col>
      <xdr:colOff>268877</xdr:colOff>
      <xdr:row>1594</xdr:row>
      <xdr:rowOff>70756</xdr:rowOff>
    </xdr:to>
    <xdr:sp macro="" textlink="">
      <xdr:nvSpPr>
        <xdr:cNvPr id="132" name="Rectangle: Rounded Corners 131">
          <a:extLst>
            <a:ext uri="{FF2B5EF4-FFF2-40B4-BE49-F238E27FC236}">
              <a16:creationId xmlns:a16="http://schemas.microsoft.com/office/drawing/2014/main" id="{38F59DD6-091A-4ED8-9ED9-3F4D064871DF}"/>
            </a:ext>
          </a:extLst>
        </xdr:cNvPr>
        <xdr:cNvSpPr/>
      </xdr:nvSpPr>
      <xdr:spPr>
        <a:xfrm>
          <a:off x="18341340" y="30601158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a:p>
          <a:pPr algn="ctr"/>
          <a:r>
            <a:rPr lang="en-US" sz="2000" b="1">
              <a:solidFill>
                <a:srgbClr val="00B050"/>
              </a:solidFill>
              <a:latin typeface="+mn-lt"/>
              <a:ea typeface="+mn-ea"/>
              <a:cs typeface="+mn-cs"/>
            </a:rPr>
            <a:t>concluding instructions</a:t>
          </a:r>
        </a:p>
        <a:p>
          <a:pPr algn="l"/>
          <a:endParaRPr lang="en-US" sz="1100"/>
        </a:p>
        <a:p>
          <a:pPr algn="l"/>
          <a:endParaRPr lang="en-US" sz="1100"/>
        </a:p>
        <a:p>
          <a:pPr algn="l"/>
          <a:r>
            <a:rPr lang="en-US" sz="1200">
              <a:solidFill>
                <a:schemeClr val="tx1"/>
              </a:solidFill>
            </a:rPr>
            <a:t>Save this file.</a:t>
          </a:r>
          <a:r>
            <a:rPr lang="en-US" sz="1200" baseline="0">
              <a:solidFill>
                <a:schemeClr val="tx1"/>
              </a:solidFill>
            </a:rPr>
            <a:t> Then send a copy to valuerelating@gmail.com.</a:t>
          </a:r>
        </a:p>
        <a:p>
          <a:pPr algn="l"/>
          <a:endParaRPr lang="en-US" sz="1200">
            <a:solidFill>
              <a:schemeClr val="tx1"/>
            </a:solidFill>
          </a:endParaRPr>
        </a:p>
        <a:p>
          <a:pPr algn="l"/>
          <a:endParaRPr lang="en-US" sz="1200">
            <a:solidFill>
              <a:schemeClr val="tx1"/>
            </a:solidFill>
          </a:endParaRPr>
        </a:p>
        <a:p>
          <a:pPr algn="l"/>
          <a:r>
            <a:rPr lang="en-US" sz="1200">
              <a:solidFill>
                <a:schemeClr val="tx1"/>
              </a:solidFill>
            </a:rPr>
            <a:t>Go to [NOTIFIED]</a:t>
          </a:r>
          <a:r>
            <a:rPr lang="en-US" sz="1200" baseline="0">
              <a:solidFill>
                <a:schemeClr val="tx1"/>
              </a:solidFill>
            </a:rPr>
            <a:t> tab. Once there, save as PDF.</a:t>
          </a:r>
        </a:p>
        <a:p>
          <a:pPr algn="l"/>
          <a:endParaRPr lang="en-US" sz="1200" baseline="0">
            <a:solidFill>
              <a:schemeClr val="tx1"/>
            </a:solidFill>
          </a:endParaRPr>
        </a:p>
        <a:p>
          <a:pPr algn="l"/>
          <a:endParaRPr lang="en-US" sz="1100"/>
        </a:p>
      </xdr:txBody>
    </xdr:sp>
    <xdr:clientData/>
  </xdr:twoCellAnchor>
  <xdr:twoCellAnchor>
    <xdr:from>
      <xdr:col>71</xdr:col>
      <xdr:colOff>69667</xdr:colOff>
      <xdr:row>1557</xdr:row>
      <xdr:rowOff>104502</xdr:rowOff>
    </xdr:from>
    <xdr:to>
      <xdr:col>84</xdr:col>
      <xdr:colOff>195941</xdr:colOff>
      <xdr:row>1578</xdr:row>
      <xdr:rowOff>58782</xdr:rowOff>
    </xdr:to>
    <xdr:sp macro="" textlink="">
      <xdr:nvSpPr>
        <xdr:cNvPr id="133" name="TextBox 132">
          <a:extLst>
            <a:ext uri="{FF2B5EF4-FFF2-40B4-BE49-F238E27FC236}">
              <a16:creationId xmlns:a16="http://schemas.microsoft.com/office/drawing/2014/main" id="{F03A014C-CC9A-47EF-8DF7-5013593D5516}"/>
            </a:ext>
          </a:extLst>
        </xdr:cNvPr>
        <xdr:cNvSpPr txBox="1"/>
      </xdr:nvSpPr>
      <xdr:spPr>
        <a:xfrm>
          <a:off x="18341340" y="306011580"/>
          <a:ext cx="0" cy="0"/>
        </a:xfrm>
        <a:prstGeom prst="rect">
          <a:avLst/>
        </a:prstGeom>
        <a:gradFill>
          <a:gsLst>
            <a:gs pos="0">
              <a:schemeClr val="accent1">
                <a:lumMod val="5000"/>
                <a:lumOff val="95000"/>
                <a:alpha val="95000"/>
              </a:schemeClr>
            </a:gs>
            <a:gs pos="50000">
              <a:schemeClr val="bg1">
                <a:alpha val="85000"/>
              </a:schemeClr>
            </a:gs>
            <a:gs pos="100000">
              <a:schemeClr val="bg1">
                <a:alpha val="95000"/>
              </a:schemeClr>
            </a:gs>
          </a:gsLst>
          <a:lin ang="5400000" scaled="1"/>
        </a:gradFill>
        <a:ln w="19050" cmpd="dbl">
          <a:solidFill>
            <a:srgbClr val="7CF85A">
              <a:alpha val="50000"/>
            </a:srgb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a:ln>
                <a:solidFill>
                  <a:srgbClr val="FFFFFF"/>
                </a:solidFill>
              </a:ln>
              <a:solidFill>
                <a:srgbClr val="00B050"/>
              </a:solidFill>
              <a:effectLst>
                <a:glow rad="38100">
                  <a:schemeClr val="accent6">
                    <a:satMod val="175000"/>
                    <a:alpha val="90000"/>
                  </a:schemeClr>
                </a:glow>
              </a:effectLst>
              <a:uLnTx/>
              <a:uFillTx/>
              <a:latin typeface="Tahoma" panose="020B0604030504040204" pitchFamily="34" charset="0"/>
              <a:ea typeface="Tahoma" panose="020B0604030504040204" pitchFamily="34" charset="0"/>
              <a:cs typeface="Tahoma" panose="020B0604030504040204" pitchFamily="34" charset="0"/>
            </a:rPr>
            <a:t>Terms of Service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 agree to share this profile of yours with </a:t>
          </a:r>
          <a:r>
            <a:rPr kumimoji="0" lang="en-US" sz="1100" b="1" i="0" u="none" strike="noStrike" kern="0" cap="none" spc="0" normalizeH="0" baseline="0" noProof="0">
              <a:ln>
                <a:noFill/>
              </a:ln>
              <a:solidFill>
                <a:prstClr val="black"/>
              </a:solidFill>
              <a:effectLst/>
              <a:uLnTx/>
              <a:uFillTx/>
              <a:latin typeface="+mn-lt"/>
              <a:ea typeface="+mn-ea"/>
              <a:cs typeface="+mn-cs"/>
            </a:rPr>
            <a:t>Value Relating </a:t>
          </a:r>
          <a:r>
            <a:rPr kumimoji="0" lang="en-US" sz="1100" b="0" i="0" u="none" strike="noStrike" kern="0" cap="none" spc="0" normalizeH="0" baseline="0" noProof="0">
              <a:ln>
                <a:noFill/>
              </a:ln>
              <a:solidFill>
                <a:prstClr val="black"/>
              </a:solidFill>
              <a:effectLst/>
              <a:uLnTx/>
              <a:uFillTx/>
              <a:latin typeface="+mn-lt"/>
              <a:ea typeface="+mn-ea"/>
              <a:cs typeface="+mn-cs"/>
            </a:rPr>
            <a:t>for the exclusive purpose of serving your needs, and for any other purpose you agree to prior to Value Relating using it.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Your support team initially consists of your proxy, or key supporter, and a primary support provider (PSP) from Value Relating. You build your support as you invite supporters to help cover the costs of this service to you and can provide you with essential emotional supports.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As your team grows, </a:t>
          </a:r>
          <a:r>
            <a:rPr kumimoji="0" lang="en-US" sz="1100" b="1" i="0" u="none" strike="noStrike" kern="0" cap="none" spc="0" normalizeH="0" baseline="0" noProof="0">
              <a:ln>
                <a:noFill/>
              </a:ln>
              <a:solidFill>
                <a:prstClr val="black"/>
              </a:solidFill>
              <a:effectLst/>
              <a:uLnTx/>
              <a:uFillTx/>
              <a:latin typeface="+mn-lt"/>
              <a:ea typeface="+mn-ea"/>
              <a:cs typeface="+mn-cs"/>
            </a:rPr>
            <a:t>Value Relating</a:t>
          </a:r>
          <a:r>
            <a:rPr kumimoji="0" lang="en-US" sz="1100" b="0" i="0" u="none" strike="noStrike" kern="0" cap="none" spc="0" normalizeH="0" baseline="0" noProof="0">
              <a:ln>
                <a:noFill/>
              </a:ln>
              <a:solidFill>
                <a:prstClr val="black"/>
              </a:solidFill>
              <a:effectLst/>
              <a:uLnTx/>
              <a:uFillTx/>
              <a:latin typeface="+mn-lt"/>
              <a:ea typeface="+mn-ea"/>
              <a:cs typeface="+mn-cs"/>
            </a:rPr>
            <a:t> adds a secondary support provider (SSP) to help with the growing work load (logistics, answering questions, keeping records up to date). This SSP could eventually move up to the PSP position.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Option 1</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 agree to the above terms and you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endParaRPr lang="en-US" sz="1100"/>
        </a:p>
      </xdr:txBody>
    </xdr:sp>
    <xdr:clientData/>
  </xdr:twoCellAnchor>
  <xdr:twoCellAnchor>
    <xdr:from>
      <xdr:col>76</xdr:col>
      <xdr:colOff>47745</xdr:colOff>
      <xdr:row>64</xdr:row>
      <xdr:rowOff>142243</xdr:rowOff>
    </xdr:from>
    <xdr:to>
      <xdr:col>85</xdr:col>
      <xdr:colOff>442896</xdr:colOff>
      <xdr:row>70</xdr:row>
      <xdr:rowOff>78017</xdr:rowOff>
    </xdr:to>
    <xdr:sp macro="" textlink="">
      <xdr:nvSpPr>
        <xdr:cNvPr id="134" name="Rectangle: Rounded Corners 133">
          <a:extLst>
            <a:ext uri="{FF2B5EF4-FFF2-40B4-BE49-F238E27FC236}">
              <a16:creationId xmlns:a16="http://schemas.microsoft.com/office/drawing/2014/main" id="{3FD84FD7-1D7E-48B3-A472-D53CC437338F}"/>
            </a:ext>
          </a:extLst>
        </xdr:cNvPr>
        <xdr:cNvSpPr/>
      </xdr:nvSpPr>
      <xdr:spPr>
        <a:xfrm>
          <a:off x="18341340" y="25425403"/>
          <a:ext cx="0" cy="1269274"/>
        </a:xfrm>
        <a:prstGeom prst="roundRect">
          <a:avLst>
            <a:gd name="adj" fmla="val 5176"/>
          </a:avLst>
        </a:prstGeom>
        <a:solidFill>
          <a:srgbClr val="F19B61">
            <a:alpha val="12157"/>
          </a:srgbClr>
        </a:solidFill>
        <a:ln w="38100">
          <a:solidFill>
            <a:srgbClr val="6B2894"/>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r"/>
          <a:r>
            <a:rPr lang="en-US" sz="1800" b="1" baseline="0">
              <a:solidFill>
                <a:srgbClr val="00B050"/>
              </a:solidFill>
              <a:latin typeface="+mn-lt"/>
              <a:ea typeface="+mn-ea"/>
              <a:cs typeface="+mn-cs"/>
            </a:rPr>
            <a:t>FREE route</a:t>
          </a:r>
          <a:br>
            <a:rPr lang="en-US" sz="1800" b="1" baseline="0">
              <a:solidFill>
                <a:srgbClr val="00B050"/>
              </a:solidFill>
              <a:latin typeface="+mn-lt"/>
              <a:ea typeface="+mn-ea"/>
              <a:cs typeface="+mn-cs"/>
            </a:rPr>
          </a:br>
          <a:r>
            <a:rPr lang="en-US" sz="1800" b="1" baseline="0">
              <a:solidFill>
                <a:srgbClr val="00B050"/>
              </a:solidFill>
              <a:latin typeface="+mn-lt"/>
              <a:ea typeface="+mn-ea"/>
              <a:cs typeface="+mn-cs"/>
            </a:rPr>
            <a:t>but not </a:t>
          </a:r>
          <a:br>
            <a:rPr lang="en-US" sz="1800" b="1" baseline="0">
              <a:solidFill>
                <a:srgbClr val="00B050"/>
              </a:solidFill>
              <a:latin typeface="+mn-lt"/>
              <a:ea typeface="+mn-ea"/>
              <a:cs typeface="+mn-cs"/>
            </a:rPr>
          </a:br>
          <a:r>
            <a:rPr lang="en-US" sz="1800" b="1" baseline="0">
              <a:solidFill>
                <a:srgbClr val="00B050"/>
              </a:solidFill>
              <a:latin typeface="+mn-lt"/>
              <a:ea typeface="+mn-ea"/>
              <a:cs typeface="+mn-cs"/>
            </a:rPr>
            <a:t>recommended</a:t>
          </a:r>
        </a:p>
        <a:p>
          <a:pPr algn="r"/>
          <a:r>
            <a:rPr lang="en-US" sz="1800" b="1" baseline="0">
              <a:solidFill>
                <a:srgbClr val="00B050"/>
              </a:solidFill>
              <a:latin typeface="+mn-lt"/>
              <a:ea typeface="+mn-ea"/>
              <a:cs typeface="+mn-cs"/>
            </a:rPr>
            <a:t>for low scores</a:t>
          </a:r>
          <a:endParaRPr lang="en-US" sz="1800" b="1">
            <a:solidFill>
              <a:srgbClr val="00B050"/>
            </a:solidFill>
            <a:latin typeface="+mn-lt"/>
            <a:ea typeface="+mn-ea"/>
            <a:cs typeface="+mn-cs"/>
          </a:endParaRPr>
        </a:p>
      </xdr:txBody>
    </xdr:sp>
    <xdr:clientData/>
  </xdr:twoCellAnchor>
  <xdr:twoCellAnchor>
    <xdr:from>
      <xdr:col>76</xdr:col>
      <xdr:colOff>55365</xdr:colOff>
      <xdr:row>71</xdr:row>
      <xdr:rowOff>107409</xdr:rowOff>
    </xdr:from>
    <xdr:to>
      <xdr:col>85</xdr:col>
      <xdr:colOff>450516</xdr:colOff>
      <xdr:row>77</xdr:row>
      <xdr:rowOff>43183</xdr:rowOff>
    </xdr:to>
    <xdr:sp macro="" textlink="">
      <xdr:nvSpPr>
        <xdr:cNvPr id="135" name="Rectangle: Rounded Corners 134">
          <a:extLst>
            <a:ext uri="{FF2B5EF4-FFF2-40B4-BE49-F238E27FC236}">
              <a16:creationId xmlns:a16="http://schemas.microsoft.com/office/drawing/2014/main" id="{A545F5E2-B95B-4255-B496-FD720C70519F}"/>
            </a:ext>
          </a:extLst>
        </xdr:cNvPr>
        <xdr:cNvSpPr/>
      </xdr:nvSpPr>
      <xdr:spPr>
        <a:xfrm>
          <a:off x="18341340" y="26914569"/>
          <a:ext cx="0" cy="1269274"/>
        </a:xfrm>
        <a:prstGeom prst="roundRect">
          <a:avLst>
            <a:gd name="adj" fmla="val 5176"/>
          </a:avLst>
        </a:prstGeom>
        <a:solidFill>
          <a:srgbClr val="F19B61">
            <a:alpha val="12157"/>
          </a:srgbClr>
        </a:solidFill>
        <a:ln w="38100">
          <a:solidFill>
            <a:srgbClr val="6B2894"/>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r"/>
          <a:r>
            <a:rPr lang="en-US" sz="1800" b="1">
              <a:solidFill>
                <a:srgbClr val="00B050"/>
              </a:solidFill>
              <a:latin typeface="+mn-lt"/>
              <a:ea typeface="+mn-ea"/>
              <a:cs typeface="+mn-cs"/>
            </a:rPr>
            <a:t>Only $5 to</a:t>
          </a:r>
        </a:p>
        <a:p>
          <a:pPr algn="r"/>
          <a:r>
            <a:rPr lang="en-US" sz="1800" b="1">
              <a:solidFill>
                <a:srgbClr val="00B050"/>
              </a:solidFill>
              <a:latin typeface="+mn-lt"/>
              <a:ea typeface="+mn-ea"/>
              <a:cs typeface="+mn-cs"/>
            </a:rPr>
            <a:t>start,</a:t>
          </a:r>
          <a:r>
            <a:rPr lang="en-US" sz="1800" b="1" baseline="0">
              <a:solidFill>
                <a:srgbClr val="00B050"/>
              </a:solidFill>
              <a:latin typeface="+mn-lt"/>
              <a:ea typeface="+mn-ea"/>
              <a:cs typeface="+mn-cs"/>
            </a:rPr>
            <a:t> potential</a:t>
          </a:r>
        </a:p>
        <a:p>
          <a:pPr algn="r"/>
          <a:r>
            <a:rPr lang="en-US" sz="1800" b="1" baseline="0">
              <a:solidFill>
                <a:srgbClr val="00B050"/>
              </a:solidFill>
              <a:latin typeface="+mn-lt"/>
              <a:ea typeface="+mn-ea"/>
              <a:cs typeface="+mn-cs"/>
            </a:rPr>
            <a:t>to earn far</a:t>
          </a:r>
        </a:p>
        <a:p>
          <a:pPr algn="r"/>
          <a:r>
            <a:rPr lang="en-US" sz="1800" b="1" baseline="0">
              <a:solidFill>
                <a:srgbClr val="00B050"/>
              </a:solidFill>
              <a:latin typeface="+mn-lt"/>
              <a:ea typeface="+mn-ea"/>
              <a:cs typeface="+mn-cs"/>
            </a:rPr>
            <a:t>more in return</a:t>
          </a:r>
          <a:endParaRPr lang="en-US" sz="1800" b="1">
            <a:solidFill>
              <a:srgbClr val="00B050"/>
            </a:solidFill>
            <a:latin typeface="+mn-lt"/>
            <a:ea typeface="+mn-ea"/>
            <a:cs typeface="+mn-cs"/>
          </a:endParaRPr>
        </a:p>
      </xdr:txBody>
    </xdr:sp>
    <xdr:clientData/>
  </xdr:twoCellAnchor>
  <xdr:twoCellAnchor>
    <xdr:from>
      <xdr:col>76</xdr:col>
      <xdr:colOff>55365</xdr:colOff>
      <xdr:row>78</xdr:row>
      <xdr:rowOff>130269</xdr:rowOff>
    </xdr:from>
    <xdr:to>
      <xdr:col>85</xdr:col>
      <xdr:colOff>450516</xdr:colOff>
      <xdr:row>85</xdr:row>
      <xdr:rowOff>66043</xdr:rowOff>
    </xdr:to>
    <xdr:sp macro="" textlink="">
      <xdr:nvSpPr>
        <xdr:cNvPr id="136" name="Rectangle: Rounded Corners 135">
          <a:extLst>
            <a:ext uri="{FF2B5EF4-FFF2-40B4-BE49-F238E27FC236}">
              <a16:creationId xmlns:a16="http://schemas.microsoft.com/office/drawing/2014/main" id="{BD7E611F-3422-458D-B7C6-EB1E2165154F}"/>
            </a:ext>
          </a:extLst>
        </xdr:cNvPr>
        <xdr:cNvSpPr/>
      </xdr:nvSpPr>
      <xdr:spPr>
        <a:xfrm>
          <a:off x="18341340" y="28461429"/>
          <a:ext cx="0" cy="1269274"/>
        </a:xfrm>
        <a:prstGeom prst="roundRect">
          <a:avLst>
            <a:gd name="adj" fmla="val 5176"/>
          </a:avLst>
        </a:prstGeom>
        <a:solidFill>
          <a:srgbClr val="F19B61">
            <a:alpha val="12157"/>
          </a:srgbClr>
        </a:solidFill>
        <a:ln w="38100">
          <a:solidFill>
            <a:srgbClr val="6B2894"/>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r"/>
          <a:r>
            <a:rPr lang="en-US" sz="1800" b="1">
              <a:solidFill>
                <a:srgbClr val="00B050"/>
              </a:solidFill>
              <a:latin typeface="+mn-lt"/>
              <a:ea typeface="+mn-ea"/>
              <a:cs typeface="+mn-cs"/>
            </a:rPr>
            <a:t>If get in a bind</a:t>
          </a:r>
        </a:p>
        <a:p>
          <a:pPr algn="r"/>
          <a:r>
            <a:rPr lang="en-US" sz="1800" b="1">
              <a:solidFill>
                <a:srgbClr val="00B050"/>
              </a:solidFill>
              <a:latin typeface="+mn-lt"/>
              <a:ea typeface="+mn-ea"/>
              <a:cs typeface="+mn-cs"/>
            </a:rPr>
            <a:t>then come back</a:t>
          </a:r>
        </a:p>
        <a:p>
          <a:pPr algn="r"/>
          <a:r>
            <a:rPr lang="en-US" sz="1800" b="1">
              <a:solidFill>
                <a:srgbClr val="00B050"/>
              </a:solidFill>
              <a:latin typeface="+mn-lt"/>
              <a:ea typeface="+mn-ea"/>
              <a:cs typeface="+mn-cs"/>
            </a:rPr>
            <a:t>and</a:t>
          </a:r>
          <a:r>
            <a:rPr lang="en-US" sz="1800" b="1" baseline="0">
              <a:solidFill>
                <a:srgbClr val="00B050"/>
              </a:solidFill>
              <a:latin typeface="+mn-lt"/>
              <a:ea typeface="+mn-ea"/>
              <a:cs typeface="+mn-cs"/>
            </a:rPr>
            <a:t> see what we </a:t>
          </a:r>
        </a:p>
        <a:p>
          <a:pPr algn="r"/>
          <a:r>
            <a:rPr lang="en-US" sz="1800" b="1" baseline="0">
              <a:solidFill>
                <a:srgbClr val="00B050"/>
              </a:solidFill>
              <a:latin typeface="+mn-lt"/>
              <a:ea typeface="+mn-ea"/>
              <a:cs typeface="+mn-cs"/>
            </a:rPr>
            <a:t>can do for you</a:t>
          </a:r>
          <a:endParaRPr lang="en-US" sz="1800" b="1">
            <a:solidFill>
              <a:srgbClr val="00B050"/>
            </a:solidFill>
            <a:latin typeface="+mn-lt"/>
            <a:ea typeface="+mn-ea"/>
            <a:cs typeface="+mn-cs"/>
          </a:endParaRPr>
        </a:p>
      </xdr:txBody>
    </xdr:sp>
    <xdr:clientData/>
  </xdr:twoCellAnchor>
  <xdr:twoCellAnchor>
    <xdr:from>
      <xdr:col>77</xdr:col>
      <xdr:colOff>65162</xdr:colOff>
      <xdr:row>66</xdr:row>
      <xdr:rowOff>74748</xdr:rowOff>
    </xdr:from>
    <xdr:to>
      <xdr:col>82</xdr:col>
      <xdr:colOff>454870</xdr:colOff>
      <xdr:row>71</xdr:row>
      <xdr:rowOff>22497</xdr:rowOff>
    </xdr:to>
    <xdr:sp macro="" textlink="">
      <xdr:nvSpPr>
        <xdr:cNvPr id="137" name="Rectangle: Rounded Corners 136">
          <a:hlinkClick xmlns:r="http://schemas.openxmlformats.org/officeDocument/2006/relationships" r:id="rId37"/>
          <a:extLst>
            <a:ext uri="{FF2B5EF4-FFF2-40B4-BE49-F238E27FC236}">
              <a16:creationId xmlns:a16="http://schemas.microsoft.com/office/drawing/2014/main" id="{FAE4AC91-2110-4015-857B-A374A381350B}"/>
            </a:ext>
          </a:extLst>
        </xdr:cNvPr>
        <xdr:cNvSpPr/>
      </xdr:nvSpPr>
      <xdr:spPr>
        <a:xfrm>
          <a:off x="18341340" y="25929408"/>
          <a:ext cx="0" cy="900249"/>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Do</a:t>
          </a:r>
          <a:r>
            <a:rPr lang="en-US" sz="1400" b="1" baseline="0">
              <a:solidFill>
                <a:srgbClr val="B9FFD9"/>
              </a:solidFill>
            </a:rPr>
            <a:t> It Yourself </a:t>
          </a:r>
          <a:r>
            <a:rPr lang="en-US" sz="1400" baseline="0">
              <a:solidFill>
                <a:srgbClr val="B9FFD9"/>
              </a:solidFill>
            </a:rPr>
            <a:t>for </a:t>
          </a:r>
          <a:r>
            <a:rPr lang="en-US" sz="1400" baseline="0">
              <a:solidFill>
                <a:srgbClr val="B9FFD9"/>
              </a:solidFill>
              <a:effectLst>
                <a:glow rad="139700">
                  <a:schemeClr val="accent6">
                    <a:satMod val="175000"/>
                    <a:alpha val="40000"/>
                  </a:schemeClr>
                </a:glow>
              </a:effectLst>
            </a:rPr>
            <a:t>free</a:t>
          </a:r>
          <a:r>
            <a:rPr lang="en-US" sz="1400" baseline="0">
              <a:solidFill>
                <a:srgbClr val="B9FFD9"/>
              </a:solidFill>
            </a:rPr>
            <a:t>. With a high estimate of innocence, you may not need our help.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start your DIY option.</a:t>
          </a:r>
          <a:endParaRPr lang="en-US" sz="1400">
            <a:solidFill>
              <a:srgbClr val="B9FFD9"/>
            </a:solidFill>
          </a:endParaRPr>
        </a:p>
      </xdr:txBody>
    </xdr:sp>
    <xdr:clientData/>
  </xdr:twoCellAnchor>
  <xdr:twoCellAnchor>
    <xdr:from>
      <xdr:col>77</xdr:col>
      <xdr:colOff>65162</xdr:colOff>
      <xdr:row>73</xdr:row>
      <xdr:rowOff>85634</xdr:rowOff>
    </xdr:from>
    <xdr:to>
      <xdr:col>82</xdr:col>
      <xdr:colOff>454870</xdr:colOff>
      <xdr:row>78</xdr:row>
      <xdr:rowOff>33383</xdr:rowOff>
    </xdr:to>
    <xdr:sp macro="" textlink="">
      <xdr:nvSpPr>
        <xdr:cNvPr id="138" name="Rectangle: Rounded Corners 137">
          <a:extLst>
            <a:ext uri="{FF2B5EF4-FFF2-40B4-BE49-F238E27FC236}">
              <a16:creationId xmlns:a16="http://schemas.microsoft.com/office/drawing/2014/main" id="{0E4DBFD4-D084-4A2D-ACA5-6526ED314558}"/>
            </a:ext>
          </a:extLst>
        </xdr:cNvPr>
        <xdr:cNvSpPr/>
      </xdr:nvSpPr>
      <xdr:spPr>
        <a:xfrm>
          <a:off x="18341340" y="27464294"/>
          <a:ext cx="0" cy="900249"/>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Receive Support </a:t>
          </a:r>
          <a:r>
            <a:rPr lang="en-US" sz="1400" b="0" baseline="0">
              <a:solidFill>
                <a:srgbClr val="B9FFD9"/>
              </a:solidFill>
            </a:rPr>
            <a:t>starting for</a:t>
          </a:r>
          <a:r>
            <a:rPr lang="en-US" sz="1400" baseline="0">
              <a:solidFill>
                <a:srgbClr val="B9FFD9"/>
              </a:solidFill>
            </a:rPr>
            <a:t> </a:t>
          </a:r>
          <a:r>
            <a:rPr lang="en-US" sz="1400" baseline="0">
              <a:solidFill>
                <a:srgbClr val="B9FFD9"/>
              </a:solidFill>
              <a:effectLst>
                <a:glow rad="139700">
                  <a:schemeClr val="accent6">
                    <a:satMod val="175000"/>
                    <a:alpha val="40000"/>
                  </a:schemeClr>
                </a:glow>
              </a:effectLst>
            </a:rPr>
            <a:t>$5</a:t>
          </a:r>
          <a:r>
            <a:rPr lang="en-US" sz="1400" baseline="0">
              <a:solidFill>
                <a:srgbClr val="B9FFD9"/>
              </a:solidFill>
            </a:rPr>
            <a:t>. You've already been through hell. Let us take you to heaven.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learn more.</a:t>
          </a:r>
          <a:endParaRPr lang="en-US" sz="1400">
            <a:solidFill>
              <a:srgbClr val="B9FFD9"/>
            </a:solidFill>
          </a:endParaRPr>
        </a:p>
      </xdr:txBody>
    </xdr:sp>
    <xdr:clientData/>
  </xdr:twoCellAnchor>
  <xdr:twoCellAnchor>
    <xdr:from>
      <xdr:col>77</xdr:col>
      <xdr:colOff>65162</xdr:colOff>
      <xdr:row>81</xdr:row>
      <xdr:rowOff>85635</xdr:rowOff>
    </xdr:from>
    <xdr:to>
      <xdr:col>82</xdr:col>
      <xdr:colOff>454870</xdr:colOff>
      <xdr:row>86</xdr:row>
      <xdr:rowOff>33383</xdr:rowOff>
    </xdr:to>
    <xdr:sp macro="" textlink="">
      <xdr:nvSpPr>
        <xdr:cNvPr id="139" name="Rectangle: Rounded Corners 138">
          <a:extLst>
            <a:ext uri="{FF2B5EF4-FFF2-40B4-BE49-F238E27FC236}">
              <a16:creationId xmlns:a16="http://schemas.microsoft.com/office/drawing/2014/main" id="{45D7C86D-ACF4-4667-A69B-C90B96191EE0}"/>
            </a:ext>
          </a:extLst>
        </xdr:cNvPr>
        <xdr:cNvSpPr/>
      </xdr:nvSpPr>
      <xdr:spPr>
        <a:xfrm>
          <a:off x="18341340" y="28988295"/>
          <a:ext cx="0" cy="900248"/>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If you find the</a:t>
          </a:r>
          <a:r>
            <a:rPr lang="en-US" sz="1400" baseline="0">
              <a:solidFill>
                <a:srgbClr val="B9FFD9"/>
              </a:solidFill>
            </a:rPr>
            <a:t> </a:t>
          </a:r>
          <a:r>
            <a:rPr lang="en-US" sz="1400" baseline="0">
              <a:solidFill>
                <a:srgbClr val="B9FFD9"/>
              </a:solidFill>
              <a:effectLst>
                <a:glow rad="139700">
                  <a:schemeClr val="accent6">
                    <a:satMod val="175000"/>
                    <a:alpha val="40000"/>
                  </a:schemeClr>
                </a:glow>
              </a:effectLst>
            </a:rPr>
            <a:t>free</a:t>
          </a:r>
          <a:r>
            <a:rPr lang="en-US" sz="1400" baseline="0">
              <a:solidFill>
                <a:srgbClr val="B9FFD9"/>
              </a:solidFill>
            </a:rPr>
            <a:t> route frustrating, give this support route a try.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learn how.</a:t>
          </a:r>
          <a:endParaRPr lang="en-US" sz="1400">
            <a:solidFill>
              <a:srgbClr val="B9FFD9"/>
            </a:solidFill>
          </a:endParaRPr>
        </a:p>
      </xdr:txBody>
    </xdr:sp>
    <xdr:clientData/>
  </xdr:twoCellAnchor>
  <xdr:twoCellAnchor>
    <xdr:from>
      <xdr:col>87</xdr:col>
      <xdr:colOff>36858</xdr:colOff>
      <xdr:row>78</xdr:row>
      <xdr:rowOff>178166</xdr:rowOff>
    </xdr:from>
    <xdr:to>
      <xdr:col>93</xdr:col>
      <xdr:colOff>402618</xdr:colOff>
      <xdr:row>82</xdr:row>
      <xdr:rowOff>25764</xdr:rowOff>
    </xdr:to>
    <xdr:sp macro="" textlink="">
      <xdr:nvSpPr>
        <xdr:cNvPr id="140" name="Rectangle: Rounded Corners 139">
          <a:extLst>
            <a:ext uri="{FF2B5EF4-FFF2-40B4-BE49-F238E27FC236}">
              <a16:creationId xmlns:a16="http://schemas.microsoft.com/office/drawing/2014/main" id="{073C904E-31E2-4C48-AD39-ED710D4F24E0}"/>
            </a:ext>
          </a:extLst>
        </xdr:cNvPr>
        <xdr:cNvSpPr/>
      </xdr:nvSpPr>
      <xdr:spPr>
        <a:xfrm>
          <a:off x="18341340" y="28509326"/>
          <a:ext cx="0" cy="609598"/>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dropdown</a:t>
          </a:r>
          <a:r>
            <a:rPr lang="en-US" sz="1600" baseline="0">
              <a:solidFill>
                <a:srgbClr val="501E6E"/>
              </a:solidFill>
            </a:rPr>
            <a:t> list of main crime</a:t>
          </a:r>
          <a:endParaRPr lang="en-US" sz="1600">
            <a:solidFill>
              <a:srgbClr val="501E6E"/>
            </a:solidFill>
          </a:endParaRPr>
        </a:p>
      </xdr:txBody>
    </xdr:sp>
    <xdr:clientData/>
  </xdr:twoCellAnchor>
  <xdr:twoCellAnchor>
    <xdr:from>
      <xdr:col>0</xdr:col>
      <xdr:colOff>121920</xdr:colOff>
      <xdr:row>65</xdr:row>
      <xdr:rowOff>144780</xdr:rowOff>
    </xdr:from>
    <xdr:to>
      <xdr:col>5</xdr:col>
      <xdr:colOff>106680</xdr:colOff>
      <xdr:row>82</xdr:row>
      <xdr:rowOff>29845</xdr:rowOff>
    </xdr:to>
    <xdr:sp macro="" textlink="">
      <xdr:nvSpPr>
        <xdr:cNvPr id="141" name="Text Box 1">
          <a:extLst>
            <a:ext uri="{FF2B5EF4-FFF2-40B4-BE49-F238E27FC236}">
              <a16:creationId xmlns:a16="http://schemas.microsoft.com/office/drawing/2014/main" id="{36C807CF-90C7-4799-BB88-497F31B18D5A}"/>
            </a:ext>
          </a:extLst>
        </xdr:cNvPr>
        <xdr:cNvSpPr txBox="1"/>
      </xdr:nvSpPr>
      <xdr:spPr>
        <a:xfrm>
          <a:off x="121920" y="25808940"/>
          <a:ext cx="5943600" cy="331406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Wrongful convictions run the gamut from totally innocent to complicated involvement. From convicted of a heinous sex crime that never occurred to complex situations where a child dies and the grieving mother is implicated by discredited forensic science of burn patterns.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The business of addressing damages from interpersonal violence is serious business. The sledgehammer approach to many crime investigations suggest “criminal justice” is more criminal than justice. Tunnel vision, confirmation bias, emotionally charged investigations, tainted interviewing and other routines practices ensures wrongful convictions likely occur at a faster pace than currently being cleared by the same process committing these egregious errors.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Can the same conflicted process repeatedly creating damaging mistakes continue to be trusted as the exclusive means to correct such egregious errors? This alternative puts that question to the test. Which would you prefer? Keep pitting human beings against each other from the untested faith as a way to find truth and justice? Or address all the needs involved in each conflict. This “need-response” alternative dares to serve as a better option than the disappointing legal process.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114300</xdr:colOff>
      <xdr:row>101</xdr:row>
      <xdr:rowOff>114300</xdr:rowOff>
    </xdr:from>
    <xdr:to>
      <xdr:col>5</xdr:col>
      <xdr:colOff>99060</xdr:colOff>
      <xdr:row>104</xdr:row>
      <xdr:rowOff>15240</xdr:rowOff>
    </xdr:to>
    <xdr:sp macro="" textlink="">
      <xdr:nvSpPr>
        <xdr:cNvPr id="142" name="Text Box 1">
          <a:extLst>
            <a:ext uri="{FF2B5EF4-FFF2-40B4-BE49-F238E27FC236}">
              <a16:creationId xmlns:a16="http://schemas.microsoft.com/office/drawing/2014/main" id="{37722DBC-AEA2-4B4F-BDE2-F0043636820C}"/>
            </a:ext>
          </a:extLst>
        </xdr:cNvPr>
        <xdr:cNvSpPr txBox="1"/>
      </xdr:nvSpPr>
      <xdr:spPr>
        <a:xfrm>
          <a:off x="114300" y="32826960"/>
          <a:ext cx="5943600" cy="91440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Welcome to </a:t>
          </a:r>
          <a:r>
            <a:rPr lang="en-US" sz="1200" b="1">
              <a:effectLst/>
              <a:latin typeface="Cambria Math" panose="02040503050406030204" pitchFamily="18" charset="0"/>
              <a:ea typeface="Calibri" panose="020F0502020204030204" pitchFamily="34" charset="0"/>
              <a:cs typeface="Times New Roman" panose="02020603050405020304" pitchFamily="18" charset="0"/>
            </a:rPr>
            <a:t>competitive legitimacy</a:t>
          </a:r>
          <a:r>
            <a:rPr lang="en-US" sz="1200">
              <a:effectLst/>
              <a:latin typeface="Cambria Math" panose="02040503050406030204" pitchFamily="18" charset="0"/>
              <a:ea typeface="Calibri" panose="020F0502020204030204" pitchFamily="34" charset="0"/>
              <a:cs typeface="Times New Roman" panose="02020603050405020304" pitchFamily="18" charset="0"/>
            </a:rPr>
            <a:t>, which incentivizes alternatives to addressing a common need and awards those most effective in resolving such needs. Competitive legitimacy is a tool of need-response, which applies anankelogy, the new social science for the study and better understanding of many needs. Welcome to this experiment to resolve needs using a fresh understanding of affected justice needs.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190500</xdr:colOff>
      <xdr:row>1103</xdr:row>
      <xdr:rowOff>0</xdr:rowOff>
    </xdr:from>
    <xdr:to>
      <xdr:col>4</xdr:col>
      <xdr:colOff>182880</xdr:colOff>
      <xdr:row>1103</xdr:row>
      <xdr:rowOff>0</xdr:rowOff>
    </xdr:to>
    <xdr:grpSp>
      <xdr:nvGrpSpPr>
        <xdr:cNvPr id="143" name="Group 142">
          <a:extLst>
            <a:ext uri="{FF2B5EF4-FFF2-40B4-BE49-F238E27FC236}">
              <a16:creationId xmlns:a16="http://schemas.microsoft.com/office/drawing/2014/main" id="{39A8BFCA-7672-405A-B0EC-CAECA771A87B}"/>
            </a:ext>
          </a:extLst>
        </xdr:cNvPr>
        <xdr:cNvGrpSpPr/>
      </xdr:nvGrpSpPr>
      <xdr:grpSpPr>
        <a:xfrm>
          <a:off x="190500" y="306034440"/>
          <a:ext cx="5760720" cy="0"/>
          <a:chOff x="175260" y="30243780"/>
          <a:chExt cx="5760720" cy="3241675"/>
        </a:xfrm>
      </xdr:grpSpPr>
      <xdr:pic>
        <xdr:nvPicPr>
          <xdr:cNvPr id="144" name="Picture 143">
            <a:extLst>
              <a:ext uri="{FF2B5EF4-FFF2-40B4-BE49-F238E27FC236}">
                <a16:creationId xmlns:a16="http://schemas.microsoft.com/office/drawing/2014/main" id="{F6115195-CC7A-4ED1-8B62-4318B844483F}"/>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5260" y="30243780"/>
            <a:ext cx="5760720" cy="3241675"/>
          </a:xfrm>
          <a:prstGeom prst="rect">
            <a:avLst/>
          </a:prstGeom>
        </xdr:spPr>
      </xdr:pic>
      <xdr:grpSp>
        <xdr:nvGrpSpPr>
          <xdr:cNvPr id="145" name="skewed toward error 1 - WC">
            <a:extLst>
              <a:ext uri="{FF2B5EF4-FFF2-40B4-BE49-F238E27FC236}">
                <a16:creationId xmlns:a16="http://schemas.microsoft.com/office/drawing/2014/main" id="{BA42A6B7-5E50-411F-8BC3-5E379B792D79}"/>
              </a:ext>
            </a:extLst>
          </xdr:cNvPr>
          <xdr:cNvGrpSpPr>
            <a:grpSpLocks noChangeAspect="1"/>
          </xdr:cNvGrpSpPr>
        </xdr:nvGrpSpPr>
        <xdr:grpSpPr>
          <a:xfrm>
            <a:off x="487679" y="31623000"/>
            <a:ext cx="5120640" cy="1352222"/>
            <a:chOff x="696686" y="2909506"/>
            <a:chExt cx="10847614" cy="2864558"/>
          </a:xfrm>
        </xdr:grpSpPr>
        <xdr:sp macro="" textlink="">
          <xdr:nvSpPr>
            <xdr:cNvPr id="146" name="left curve">
              <a:extLst>
                <a:ext uri="{FF2B5EF4-FFF2-40B4-BE49-F238E27FC236}">
                  <a16:creationId xmlns:a16="http://schemas.microsoft.com/office/drawing/2014/main" id="{35485B33-9E1A-49EE-8B89-1FECD4D95D04}"/>
                </a:ext>
              </a:extLst>
            </xdr:cNvPr>
            <xdr:cNvSpPr/>
          </xdr:nvSpPr>
          <xdr:spPr>
            <a:xfrm>
              <a:off x="696686" y="2909506"/>
              <a:ext cx="7132320" cy="2775081"/>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0125"/>
                <a:gd name="connsiteX1" fmla="*/ 1228898 w 5486400"/>
                <a:gd name="connsiteY1" fmla="*/ 2651760 h 2870125"/>
                <a:gd name="connsiteX2" fmla="*/ 2492887 w 5486400"/>
                <a:gd name="connsiteY2" fmla="*/ 1898667 h 2870125"/>
                <a:gd name="connsiteX3" fmla="*/ 3276280 w 5486400"/>
                <a:gd name="connsiteY3" fmla="*/ 716280 h 2870125"/>
                <a:gd name="connsiteX4" fmla="*/ 4152900 w 5486400"/>
                <a:gd name="connsiteY4" fmla="*/ 152400 h 2870125"/>
                <a:gd name="connsiteX5" fmla="*/ 5486400 w 5486400"/>
                <a:gd name="connsiteY5" fmla="*/ 0 h 2870125"/>
                <a:gd name="connsiteX0" fmla="*/ 0 w 5486400"/>
                <a:gd name="connsiteY0" fmla="*/ 2849880 h 2870125"/>
                <a:gd name="connsiteX1" fmla="*/ 1228898 w 5486400"/>
                <a:gd name="connsiteY1" fmla="*/ 2651760 h 2870125"/>
                <a:gd name="connsiteX2" fmla="*/ 2492887 w 5486400"/>
                <a:gd name="connsiteY2" fmla="*/ 1898667 h 2870125"/>
                <a:gd name="connsiteX3" fmla="*/ 3495146 w 5486400"/>
                <a:gd name="connsiteY3" fmla="*/ 862940 h 2870125"/>
                <a:gd name="connsiteX4" fmla="*/ 4152900 w 5486400"/>
                <a:gd name="connsiteY4" fmla="*/ 152400 h 2870125"/>
                <a:gd name="connsiteX5" fmla="*/ 5486400 w 5486400"/>
                <a:gd name="connsiteY5" fmla="*/ 0 h 2870125"/>
                <a:gd name="connsiteX0" fmla="*/ 0 w 5486400"/>
                <a:gd name="connsiteY0" fmla="*/ 2853418 h 2873663"/>
                <a:gd name="connsiteX1" fmla="*/ 1228898 w 5486400"/>
                <a:gd name="connsiteY1" fmla="*/ 2655298 h 2873663"/>
                <a:gd name="connsiteX2" fmla="*/ 2492887 w 5486400"/>
                <a:gd name="connsiteY2" fmla="*/ 1902205 h 2873663"/>
                <a:gd name="connsiteX3" fmla="*/ 3495146 w 5486400"/>
                <a:gd name="connsiteY3" fmla="*/ 866478 h 2873663"/>
                <a:gd name="connsiteX4" fmla="*/ 4514871 w 5486400"/>
                <a:gd name="connsiteY4" fmla="*/ 99531 h 2873663"/>
                <a:gd name="connsiteX5" fmla="*/ 5486400 w 5486400"/>
                <a:gd name="connsiteY5" fmla="*/ 3538 h 2873663"/>
                <a:gd name="connsiteX0" fmla="*/ 0 w 5486400"/>
                <a:gd name="connsiteY0" fmla="*/ 2855764 h 2876009"/>
                <a:gd name="connsiteX1" fmla="*/ 1228898 w 5486400"/>
                <a:gd name="connsiteY1" fmla="*/ 2657644 h 2876009"/>
                <a:gd name="connsiteX2" fmla="*/ 2492887 w 5486400"/>
                <a:gd name="connsiteY2" fmla="*/ 1904551 h 2876009"/>
                <a:gd name="connsiteX3" fmla="*/ 3520400 w 5486400"/>
                <a:gd name="connsiteY3" fmla="*/ 913951 h 2876009"/>
                <a:gd name="connsiteX4" fmla="*/ 4514871 w 5486400"/>
                <a:gd name="connsiteY4" fmla="*/ 101877 h 2876009"/>
                <a:gd name="connsiteX5" fmla="*/ 5486400 w 5486400"/>
                <a:gd name="connsiteY5" fmla="*/ 5884 h 28760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6009">
                  <a:moveTo>
                    <a:pt x="0" y="2855764"/>
                  </a:moveTo>
                  <a:cubicBezTo>
                    <a:pt x="276225" y="2922439"/>
                    <a:pt x="813417" y="2816180"/>
                    <a:pt x="1228898" y="2657644"/>
                  </a:cubicBezTo>
                  <a:cubicBezTo>
                    <a:pt x="1644379" y="2499108"/>
                    <a:pt x="2110970" y="2195167"/>
                    <a:pt x="2492887" y="1904551"/>
                  </a:cubicBezTo>
                  <a:cubicBezTo>
                    <a:pt x="2874804" y="1613935"/>
                    <a:pt x="3183403" y="1214397"/>
                    <a:pt x="3520400" y="913951"/>
                  </a:cubicBezTo>
                  <a:cubicBezTo>
                    <a:pt x="3857397" y="613505"/>
                    <a:pt x="4187204" y="253221"/>
                    <a:pt x="4514871" y="101877"/>
                  </a:cubicBezTo>
                  <a:cubicBezTo>
                    <a:pt x="4842538" y="-49467"/>
                    <a:pt x="4999990" y="15409"/>
                    <a:pt x="5486400" y="5884"/>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sp macro="" textlink="">
          <xdr:nvSpPr>
            <xdr:cNvPr id="147" name="right curve">
              <a:extLst>
                <a:ext uri="{FF2B5EF4-FFF2-40B4-BE49-F238E27FC236}">
                  <a16:creationId xmlns:a16="http://schemas.microsoft.com/office/drawing/2014/main" id="{0CF2AE41-6461-44DA-9750-9F2A8BFFCBBF}"/>
                </a:ext>
              </a:extLst>
            </xdr:cNvPr>
            <xdr:cNvSpPr/>
          </xdr:nvSpPr>
          <xdr:spPr>
            <a:xfrm flipH="1">
              <a:off x="7791450" y="2918813"/>
              <a:ext cx="3752850" cy="2770064"/>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21072 w 5486400"/>
                <a:gd name="connsiteY4" fmla="*/ 22009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3898274 w 5486400"/>
                <a:gd name="connsiteY4" fmla="*/ 231372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2639714 w 5486400"/>
                <a:gd name="connsiteY3" fmla="*/ 817815 h 2873869"/>
                <a:gd name="connsiteX4" fmla="*/ 3898274 w 5486400"/>
                <a:gd name="connsiteY4" fmla="*/ 231372 h 2873869"/>
                <a:gd name="connsiteX5" fmla="*/ 5486400 w 5486400"/>
                <a:gd name="connsiteY5" fmla="*/ 0 h 2873869"/>
                <a:gd name="connsiteX0" fmla="*/ 0 w 5486400"/>
                <a:gd name="connsiteY0" fmla="*/ 2849880 h 2872210"/>
                <a:gd name="connsiteX1" fmla="*/ 1228898 w 5486400"/>
                <a:gd name="connsiteY1" fmla="*/ 2651760 h 2872210"/>
                <a:gd name="connsiteX2" fmla="*/ 1719790 w 5486400"/>
                <a:gd name="connsiteY2" fmla="*/ 1785851 h 2872210"/>
                <a:gd name="connsiteX3" fmla="*/ 2639714 w 5486400"/>
                <a:gd name="connsiteY3" fmla="*/ 817815 h 2872210"/>
                <a:gd name="connsiteX4" fmla="*/ 3898274 w 5486400"/>
                <a:gd name="connsiteY4" fmla="*/ 231372 h 2872210"/>
                <a:gd name="connsiteX5" fmla="*/ 5486400 w 5486400"/>
                <a:gd name="connsiteY5" fmla="*/ 0 h 2872210"/>
                <a:gd name="connsiteX0" fmla="*/ 0 w 5486400"/>
                <a:gd name="connsiteY0" fmla="*/ 2849880 h 2870810"/>
                <a:gd name="connsiteX1" fmla="*/ 990185 w 5486400"/>
                <a:gd name="connsiteY1" fmla="*/ 2640478 h 2870810"/>
                <a:gd name="connsiteX2" fmla="*/ 1719790 w 5486400"/>
                <a:gd name="connsiteY2" fmla="*/ 1785851 h 2870810"/>
                <a:gd name="connsiteX3" fmla="*/ 2639714 w 5486400"/>
                <a:gd name="connsiteY3" fmla="*/ 817815 h 2870810"/>
                <a:gd name="connsiteX4" fmla="*/ 3898274 w 5486400"/>
                <a:gd name="connsiteY4" fmla="*/ 231372 h 2870810"/>
                <a:gd name="connsiteX5" fmla="*/ 5486400 w 5486400"/>
                <a:gd name="connsiteY5" fmla="*/ 0 h 2870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0810">
                  <a:moveTo>
                    <a:pt x="0" y="2849880"/>
                  </a:moveTo>
                  <a:cubicBezTo>
                    <a:pt x="276225" y="2916555"/>
                    <a:pt x="703553" y="2817816"/>
                    <a:pt x="990185" y="2640478"/>
                  </a:cubicBezTo>
                  <a:cubicBezTo>
                    <a:pt x="1276817" y="2463140"/>
                    <a:pt x="1444868" y="2089628"/>
                    <a:pt x="1719790" y="1785851"/>
                  </a:cubicBezTo>
                  <a:cubicBezTo>
                    <a:pt x="1994712" y="1482074"/>
                    <a:pt x="2276633" y="1076895"/>
                    <a:pt x="2639714" y="817815"/>
                  </a:cubicBezTo>
                  <a:cubicBezTo>
                    <a:pt x="3002795" y="558735"/>
                    <a:pt x="3423826" y="367674"/>
                    <a:pt x="3898274" y="231372"/>
                  </a:cubicBezTo>
                  <a:cubicBezTo>
                    <a:pt x="4372722" y="95070"/>
                    <a:pt x="4999990" y="9525"/>
                    <a:pt x="5486400" y="0"/>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cxnSp macro="">
          <xdr:nvCxnSpPr>
            <xdr:cNvPr id="148" name="bottom">
              <a:extLst>
                <a:ext uri="{FF2B5EF4-FFF2-40B4-BE49-F238E27FC236}">
                  <a16:creationId xmlns:a16="http://schemas.microsoft.com/office/drawing/2014/main" id="{F5B10E42-1263-49B7-94A0-3085520498EF}"/>
                </a:ext>
              </a:extLst>
            </xdr:cNvPr>
            <xdr:cNvCxnSpPr>
              <a:cxnSpLocks/>
            </xdr:cNvCxnSpPr>
          </xdr:nvCxnSpPr>
          <xdr:spPr>
            <a:xfrm>
              <a:off x="696686" y="5771619"/>
              <a:ext cx="10847614" cy="0"/>
            </a:xfrm>
            <a:prstGeom prst="line">
              <a:avLst/>
            </a:prstGeom>
            <a:ln w="28575">
              <a:solidFill>
                <a:srgbClr val="E20000">
                  <a:alpha val="69804"/>
                </a:srgbClr>
              </a:solidFill>
            </a:ln>
          </xdr:spPr>
          <xdr:style>
            <a:lnRef idx="1">
              <a:schemeClr val="accent1"/>
            </a:lnRef>
            <a:fillRef idx="0">
              <a:schemeClr val="accent1"/>
            </a:fillRef>
            <a:effectRef idx="0">
              <a:schemeClr val="accent1"/>
            </a:effectRef>
            <a:fontRef idx="minor">
              <a:schemeClr val="tx1"/>
            </a:fontRef>
          </xdr:style>
        </xdr:cxnSp>
        <xdr:cxnSp macro="">
          <xdr:nvCxnSpPr>
            <xdr:cNvPr id="149" name="dotted center">
              <a:extLst>
                <a:ext uri="{FF2B5EF4-FFF2-40B4-BE49-F238E27FC236}">
                  <a16:creationId xmlns:a16="http://schemas.microsoft.com/office/drawing/2014/main" id="{DF179C33-E1F0-4705-8845-E93E2B372C74}"/>
                </a:ext>
              </a:extLst>
            </xdr:cNvPr>
            <xdr:cNvCxnSpPr/>
          </xdr:nvCxnSpPr>
          <xdr:spPr>
            <a:xfrm>
              <a:off x="7018566" y="2944405"/>
              <a:ext cx="0" cy="2829659"/>
            </a:xfrm>
            <a:prstGeom prst="line">
              <a:avLst/>
            </a:prstGeom>
            <a:ln w="28575">
              <a:solidFill>
                <a:srgbClr val="E20000">
                  <a:alpha val="69804"/>
                </a:srgbClr>
              </a:solidFill>
              <a:prstDash val="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28</xdr:col>
      <xdr:colOff>133894</xdr:colOff>
      <xdr:row>146</xdr:row>
      <xdr:rowOff>121922</xdr:rowOff>
    </xdr:from>
    <xdr:to>
      <xdr:col>43</xdr:col>
      <xdr:colOff>251460</xdr:colOff>
      <xdr:row>149</xdr:row>
      <xdr:rowOff>76200</xdr:rowOff>
    </xdr:to>
    <xdr:sp macro="" textlink="">
      <xdr:nvSpPr>
        <xdr:cNvPr id="150" name="Rectangle: Rounded Corners 149">
          <a:hlinkClick xmlns:r="http://schemas.openxmlformats.org/officeDocument/2006/relationships" r:id="rId27"/>
          <a:extLst>
            <a:ext uri="{FF2B5EF4-FFF2-40B4-BE49-F238E27FC236}">
              <a16:creationId xmlns:a16="http://schemas.microsoft.com/office/drawing/2014/main" id="{D580BFE3-06C1-4C40-B75B-2E897472423B}"/>
            </a:ext>
          </a:extLst>
        </xdr:cNvPr>
        <xdr:cNvSpPr/>
      </xdr:nvSpPr>
      <xdr:spPr>
        <a:xfrm>
          <a:off x="18341340" y="42245282"/>
          <a:ext cx="0" cy="609598"/>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race of victim</a:t>
          </a:r>
        </a:p>
      </xdr:txBody>
    </xdr:sp>
    <xdr:clientData/>
  </xdr:twoCellAnchor>
  <xdr:twoCellAnchor>
    <xdr:from>
      <xdr:col>27</xdr:col>
      <xdr:colOff>44564</xdr:colOff>
      <xdr:row>719</xdr:row>
      <xdr:rowOff>145902</xdr:rowOff>
    </xdr:from>
    <xdr:to>
      <xdr:col>42</xdr:col>
      <xdr:colOff>161174</xdr:colOff>
      <xdr:row>729</xdr:row>
      <xdr:rowOff>174568</xdr:rowOff>
    </xdr:to>
    <xdr:sp macro="" textlink="">
      <xdr:nvSpPr>
        <xdr:cNvPr id="151" name="TextBox 150">
          <a:extLst>
            <a:ext uri="{FF2B5EF4-FFF2-40B4-BE49-F238E27FC236}">
              <a16:creationId xmlns:a16="http://schemas.microsoft.com/office/drawing/2014/main" id="{37CE7D64-7099-452E-865D-465B946F9DAB}"/>
            </a:ext>
          </a:extLst>
        </xdr:cNvPr>
        <xdr:cNvSpPr txBox="1"/>
      </xdr:nvSpPr>
      <xdr:spPr>
        <a:xfrm>
          <a:off x="18341340" y="255583542"/>
          <a:ext cx="0" cy="1918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hestitancy</a:t>
          </a:r>
          <a:r>
            <a:rPr lang="en-US" sz="1100" b="1" i="0" u="none" strike="noStrike" baseline="0">
              <a:solidFill>
                <a:schemeClr val="dk1"/>
              </a:solidFill>
              <a:effectLst/>
              <a:latin typeface="+mn-lt"/>
              <a:ea typeface="+mn-ea"/>
              <a:cs typeface="+mn-cs"/>
            </a:rPr>
            <a:t> to trust or seek legal recourse:</a:t>
          </a:r>
        </a:p>
        <a:p>
          <a:r>
            <a:rPr lang="en-US" sz="1100" b="0" i="0" u="none" strike="noStrike" baseline="0">
              <a:solidFill>
                <a:schemeClr val="dk1"/>
              </a:solidFill>
              <a:effectLst/>
              <a:latin typeface="+mn-lt"/>
              <a:ea typeface="+mn-ea"/>
              <a:cs typeface="+mn-cs"/>
            </a:rPr>
            <a:t>fear of retraumatization</a:t>
          </a:r>
        </a:p>
        <a:p>
          <a:r>
            <a:rPr lang="en-US" sz="1100" b="0" i="0" u="none" strike="noStrike" baseline="0">
              <a:solidFill>
                <a:schemeClr val="dk1"/>
              </a:solidFill>
              <a:effectLst/>
              <a:latin typeface="+mn-lt"/>
              <a:ea typeface="+mn-ea"/>
              <a:cs typeface="+mn-cs"/>
            </a:rPr>
            <a:t>struggled with depression</a:t>
          </a:r>
        </a:p>
        <a:p>
          <a:r>
            <a:rPr lang="en-US" sz="1100" b="0" i="0" u="none" strike="noStrike" baseline="0">
              <a:solidFill>
                <a:schemeClr val="dk1"/>
              </a:solidFill>
              <a:effectLst/>
              <a:latin typeface="+mn-lt"/>
              <a:ea typeface="+mn-ea"/>
              <a:cs typeface="+mn-cs"/>
            </a:rPr>
            <a:t>fear of dismissiveness; low priority</a:t>
          </a:r>
        </a:p>
        <a:p>
          <a:r>
            <a:rPr lang="en-US" sz="1100" b="0" i="0" u="none" strike="noStrike" baseline="0">
              <a:solidFill>
                <a:schemeClr val="dk1"/>
              </a:solidFill>
              <a:effectLst/>
              <a:latin typeface="+mn-lt"/>
              <a:ea typeface="+mn-ea"/>
              <a:cs typeface="+mn-cs"/>
            </a:rPr>
            <a:t>anxiety  from trusting same process creating egregious error</a:t>
          </a:r>
        </a:p>
        <a:p>
          <a:r>
            <a:rPr lang="en-US" sz="1100" b="0" i="0" u="none" strike="noStrike" baseline="0">
              <a:solidFill>
                <a:schemeClr val="dk1"/>
              </a:solidFill>
              <a:effectLst/>
              <a:latin typeface="+mn-lt"/>
              <a:ea typeface="+mn-ea"/>
              <a:cs typeface="+mn-cs"/>
            </a:rPr>
            <a:t>anxiety from extremely slow process of court review</a:t>
          </a:r>
        </a:p>
        <a:p>
          <a:r>
            <a:rPr lang="en-US" sz="1100" b="0" i="0" u="none" strike="noStrike" baseline="0">
              <a:solidFill>
                <a:schemeClr val="dk1"/>
              </a:solidFill>
              <a:effectLst/>
              <a:latin typeface="+mn-lt"/>
              <a:ea typeface="+mn-ea"/>
              <a:cs typeface="+mn-cs"/>
            </a:rPr>
            <a:t>anxiety from prosecutor resisting admission of being wrong</a:t>
          </a:r>
        </a:p>
        <a:p>
          <a:r>
            <a:rPr lang="en-US" sz="1100" b="0" i="0" u="none" strike="noStrike" baseline="0">
              <a:solidFill>
                <a:schemeClr val="dk1"/>
              </a:solidFill>
              <a:effectLst/>
              <a:latin typeface="+mn-lt"/>
              <a:ea typeface="+mn-ea"/>
              <a:cs typeface="+mn-cs"/>
            </a:rPr>
            <a:t>anxiety from being denied review/reversal by technicality</a:t>
          </a:r>
        </a:p>
        <a:p>
          <a:r>
            <a:rPr lang="en-US" sz="1100" b="0" i="0" u="none" strike="noStrike" baseline="0">
              <a:solidFill>
                <a:schemeClr val="dk1"/>
              </a:solidFill>
              <a:effectLst/>
              <a:latin typeface="+mn-lt"/>
              <a:ea typeface="+mn-ea"/>
              <a:cs typeface="+mn-cs"/>
            </a:rPr>
            <a:t>disillusioned with process (no longer seeking exoneration)</a:t>
          </a:r>
        </a:p>
        <a:p>
          <a:r>
            <a:rPr lang="en-US" sz="1100" b="0" i="0" u="none" strike="noStrike" baseline="0">
              <a:solidFill>
                <a:schemeClr val="dk1"/>
              </a:solidFill>
              <a:effectLst/>
              <a:latin typeface="+mn-lt"/>
              <a:ea typeface="+mn-ea"/>
              <a:cs typeface="+mn-cs"/>
            </a:rPr>
            <a:t>conflict of interest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1</xdr:col>
      <xdr:colOff>205740</xdr:colOff>
      <xdr:row>1745</xdr:row>
      <xdr:rowOff>7620</xdr:rowOff>
    </xdr:from>
    <xdr:to>
      <xdr:col>3</xdr:col>
      <xdr:colOff>1668295</xdr:colOff>
      <xdr:row>1754</xdr:row>
      <xdr:rowOff>92750</xdr:rowOff>
    </xdr:to>
    <xdr:sp macro="" textlink="">
      <xdr:nvSpPr>
        <xdr:cNvPr id="152" name="TextBox 151">
          <a:extLst>
            <a:ext uri="{FF2B5EF4-FFF2-40B4-BE49-F238E27FC236}">
              <a16:creationId xmlns:a16="http://schemas.microsoft.com/office/drawing/2014/main" id="{462ED0C2-16F2-435C-A154-594E37039F7A}"/>
            </a:ext>
          </a:extLst>
        </xdr:cNvPr>
        <xdr:cNvSpPr txBox="1"/>
      </xdr:nvSpPr>
      <xdr:spPr>
        <a:xfrm rot="387988">
          <a:off x="464820" y="331934820"/>
          <a:ext cx="4998235" cy="1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chemeClr val="accent2">
                  <a:lumMod val="60000"/>
                  <a:lumOff val="40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It is now easier for the accused to admit their human imperfections than for police and prosecutors to humbly and honestly admit theirs.</a:t>
          </a:r>
        </a:p>
      </xdr:txBody>
    </xdr:sp>
    <xdr:clientData/>
  </xdr:twoCellAnchor>
  <xdr:twoCellAnchor>
    <xdr:from>
      <xdr:col>1</xdr:col>
      <xdr:colOff>213360</xdr:colOff>
      <xdr:row>1745</xdr:row>
      <xdr:rowOff>22860</xdr:rowOff>
    </xdr:from>
    <xdr:to>
      <xdr:col>3</xdr:col>
      <xdr:colOff>1675915</xdr:colOff>
      <xdr:row>1754</xdr:row>
      <xdr:rowOff>107990</xdr:rowOff>
    </xdr:to>
    <xdr:sp macro="" textlink="">
      <xdr:nvSpPr>
        <xdr:cNvPr id="153" name="TextBox 152">
          <a:extLst>
            <a:ext uri="{FF2B5EF4-FFF2-40B4-BE49-F238E27FC236}">
              <a16:creationId xmlns:a16="http://schemas.microsoft.com/office/drawing/2014/main" id="{2448C262-E7D1-48B4-B8C2-14C3EAD03FAA}"/>
            </a:ext>
          </a:extLst>
        </xdr:cNvPr>
        <xdr:cNvSpPr txBox="1"/>
      </xdr:nvSpPr>
      <xdr:spPr>
        <a:xfrm rot="387988">
          <a:off x="472440" y="331950060"/>
          <a:ext cx="4998235" cy="1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It is now easier for the accused to admit their human imperfections than for police and prosecutors to humbly and honestly admit theirs.</a:t>
          </a:r>
        </a:p>
      </xdr:txBody>
    </xdr:sp>
    <xdr:clientData/>
  </xdr:twoCellAnchor>
  <xdr:twoCellAnchor>
    <xdr:from>
      <xdr:col>26</xdr:col>
      <xdr:colOff>0</xdr:colOff>
      <xdr:row>717</xdr:row>
      <xdr:rowOff>24675</xdr:rowOff>
    </xdr:from>
    <xdr:to>
      <xdr:col>26</xdr:col>
      <xdr:colOff>0</xdr:colOff>
      <xdr:row>745</xdr:row>
      <xdr:rowOff>144780</xdr:rowOff>
    </xdr:to>
    <xdr:grpSp>
      <xdr:nvGrpSpPr>
        <xdr:cNvPr id="154" name="Group 153">
          <a:extLst>
            <a:ext uri="{FF2B5EF4-FFF2-40B4-BE49-F238E27FC236}">
              <a16:creationId xmlns:a16="http://schemas.microsoft.com/office/drawing/2014/main" id="{82D033C6-8171-4064-A7F4-34600D0A53BF}"/>
            </a:ext>
          </a:extLst>
        </xdr:cNvPr>
        <xdr:cNvGrpSpPr/>
      </xdr:nvGrpSpPr>
      <xdr:grpSpPr>
        <a:xfrm>
          <a:off x="7368540" y="254898435"/>
          <a:ext cx="0" cy="5804625"/>
          <a:chOff x="10157459" y="255066075"/>
          <a:chExt cx="6972301" cy="5804625"/>
        </a:xfrm>
      </xdr:grpSpPr>
      <xdr:sp macro="" textlink="">
        <xdr:nvSpPr>
          <xdr:cNvPr id="155" name="TextBox 154">
            <a:extLst>
              <a:ext uri="{FF2B5EF4-FFF2-40B4-BE49-F238E27FC236}">
                <a16:creationId xmlns:a16="http://schemas.microsoft.com/office/drawing/2014/main" id="{32440487-0D00-4EB8-88E1-B2A25460D56B}"/>
              </a:ext>
            </a:extLst>
          </xdr:cNvPr>
          <xdr:cNvSpPr txBox="1"/>
        </xdr:nvSpPr>
        <xdr:spPr>
          <a:xfrm>
            <a:off x="12877799" y="25506607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1 denied review</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never heard back from them</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convinced of your innocence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case lacks adequate documents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do not handle this type of case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prioritizing assistance to others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other</a:t>
            </a:r>
            <a:endParaRPr lang="en-US" sz="1100">
              <a:latin typeface="Times New Roman" panose="02020603050405020304" pitchFamily="18" charset="0"/>
              <a:cs typeface="Times New Roman" panose="02020603050405020304" pitchFamily="18" charset="0"/>
            </a:endParaRPr>
          </a:p>
        </xdr:txBody>
      </xdr:sp>
      <xdr:sp macro="" textlink="">
        <xdr:nvSpPr>
          <xdr:cNvPr id="156" name="TextBox 155">
            <a:extLst>
              <a:ext uri="{FF2B5EF4-FFF2-40B4-BE49-F238E27FC236}">
                <a16:creationId xmlns:a16="http://schemas.microsoft.com/office/drawing/2014/main" id="{A48F8C6E-BFC4-49D6-97D8-4F4078967930}"/>
              </a:ext>
            </a:extLst>
          </xdr:cNvPr>
          <xdr:cNvSpPr txBox="1"/>
        </xdr:nvSpPr>
        <xdr:spPr>
          <a:xfrm>
            <a:off x="15041879" y="25890655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8 disillusioned with process</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at all and eager to try again</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somewhat but hanging on to hope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increasingly disapppointed</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tempted to give up trying</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fully disillusioned, gave up hope</a:t>
            </a:r>
            <a:endParaRPr lang="en-US" sz="1100">
              <a:latin typeface="Times New Roman" panose="02020603050405020304" pitchFamily="18" charset="0"/>
              <a:cs typeface="Times New Roman" panose="02020603050405020304" pitchFamily="18" charset="0"/>
            </a:endParaRPr>
          </a:p>
        </xdr:txBody>
      </xdr:sp>
      <xdr:sp macro="" textlink="">
        <xdr:nvSpPr>
          <xdr:cNvPr id="157" name="TextBox 156">
            <a:extLst>
              <a:ext uri="{FF2B5EF4-FFF2-40B4-BE49-F238E27FC236}">
                <a16:creationId xmlns:a16="http://schemas.microsoft.com/office/drawing/2014/main" id="{B7142F0C-5876-4C92-AB6B-2C8535B48C03}"/>
              </a:ext>
            </a:extLst>
          </xdr:cNvPr>
          <xdr:cNvSpPr txBox="1"/>
        </xdr:nvSpPr>
        <xdr:spPr>
          <a:xfrm>
            <a:off x="12877799" y="256353855"/>
            <a:ext cx="2087881" cy="13012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2 retraumatization risk</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trauma or risk of trauma</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losing some focus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reliving the nightmare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shutting down entirely</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complicating the damage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lethal damage, suicide</a:t>
            </a:r>
          </a:p>
        </xdr:txBody>
      </xdr:sp>
      <xdr:sp macro="" textlink="">
        <xdr:nvSpPr>
          <xdr:cNvPr id="158" name="TextBox 157">
            <a:extLst>
              <a:ext uri="{FF2B5EF4-FFF2-40B4-BE49-F238E27FC236}">
                <a16:creationId xmlns:a16="http://schemas.microsoft.com/office/drawing/2014/main" id="{2FE51694-AC5C-46E1-83F4-DFA27FD1EAEE}"/>
              </a:ext>
            </a:extLst>
          </xdr:cNvPr>
          <xdr:cNvSpPr txBox="1"/>
        </xdr:nvSpPr>
        <xdr:spPr>
          <a:xfrm>
            <a:off x="12870179" y="2577178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3 depression</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none linked to legal-jud.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moderate level linkable to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often feel de-energized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routinely immobilized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constantly incapacitated by it</a:t>
            </a:r>
          </a:p>
          <a:p>
            <a:endParaRPr lang="en-US" sz="1100">
              <a:latin typeface="Times New Roman" panose="02020603050405020304" pitchFamily="18" charset="0"/>
              <a:cs typeface="Times New Roman" panose="02020603050405020304" pitchFamily="18" charset="0"/>
            </a:endParaRPr>
          </a:p>
        </xdr:txBody>
      </xdr:sp>
      <xdr:sp macro="" textlink="">
        <xdr:nvSpPr>
          <xdr:cNvPr id="159" name="TextBox 158">
            <a:extLst>
              <a:ext uri="{FF2B5EF4-FFF2-40B4-BE49-F238E27FC236}">
                <a16:creationId xmlns:a16="http://schemas.microsoft.com/office/drawing/2014/main" id="{2A14D20D-340D-41FF-A4D8-4ABA4038C50B}"/>
              </a:ext>
            </a:extLst>
          </xdr:cNvPr>
          <xdr:cNvSpPr txBox="1"/>
        </xdr:nvSpPr>
        <xdr:spPr>
          <a:xfrm>
            <a:off x="15034259" y="25506607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5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worried it may take years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concerned it may take many years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worried it may take decades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afraid justice will come too late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terrified justice will never come </a:t>
            </a:r>
            <a:endParaRPr lang="en-US" sz="1100">
              <a:latin typeface="Times New Roman" panose="02020603050405020304" pitchFamily="18" charset="0"/>
              <a:cs typeface="Times New Roman" panose="02020603050405020304" pitchFamily="18" charset="0"/>
            </a:endParaRPr>
          </a:p>
        </xdr:txBody>
      </xdr:sp>
      <xdr:sp macro="" textlink="">
        <xdr:nvSpPr>
          <xdr:cNvPr id="160" name="TextBox 159">
            <a:extLst>
              <a:ext uri="{FF2B5EF4-FFF2-40B4-BE49-F238E27FC236}">
                <a16:creationId xmlns:a16="http://schemas.microsoft.com/office/drawing/2014/main" id="{C68421DC-3D6D-4F11-89FB-575CF29450C1}"/>
              </a:ext>
            </a:extLst>
          </xdr:cNvPr>
          <xdr:cNvSpPr txBox="1"/>
        </xdr:nvSpPr>
        <xdr:spPr>
          <a:xfrm>
            <a:off x="12870179" y="2590132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4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anxiety trusting court process</a:t>
            </a:r>
          </a:p>
          <a:p>
            <a:r>
              <a:rPr lang="en-US" sz="1100">
                <a:latin typeface="Times New Roman" panose="02020603050405020304" pitchFamily="18" charset="0"/>
                <a:cs typeface="Times New Roman" panose="02020603050405020304" pitchFamily="18" charset="0"/>
              </a:rPr>
              <a:t>slightly</a:t>
            </a:r>
            <a:r>
              <a:rPr lang="en-US" sz="1100" baseline="0">
                <a:latin typeface="Times New Roman" panose="02020603050405020304" pitchFamily="18" charset="0"/>
                <a:cs typeface="Times New Roman" panose="02020603050405020304" pitchFamily="18" charset="0"/>
              </a:rPr>
              <a:t> wary of trusting courts</a:t>
            </a:r>
          </a:p>
          <a:p>
            <a:r>
              <a:rPr lang="en-US" sz="1100" baseline="0">
                <a:latin typeface="Times New Roman" panose="02020603050405020304" pitchFamily="18" charset="0"/>
                <a:cs typeface="Times New Roman" panose="02020603050405020304" pitchFamily="18" charset="0"/>
              </a:rPr>
              <a:t>worried process will go poorly</a:t>
            </a:r>
          </a:p>
          <a:p>
            <a:r>
              <a:rPr lang="en-US" sz="1100" baseline="0">
                <a:latin typeface="Times New Roman" panose="02020603050405020304" pitchFamily="18" charset="0"/>
                <a:cs typeface="Times New Roman" panose="02020603050405020304" pitchFamily="18" charset="0"/>
              </a:rPr>
              <a:t>afraid courts cannot face its errors</a:t>
            </a:r>
          </a:p>
          <a:p>
            <a:r>
              <a:rPr lang="en-US" sz="1100" baseline="0">
                <a:latin typeface="Times New Roman" panose="02020603050405020304" pitchFamily="18" charset="0"/>
                <a:cs typeface="Times New Roman" panose="02020603050405020304" pitchFamily="18" charset="0"/>
              </a:rPr>
              <a:t>terrified having to rely on courts</a:t>
            </a:r>
          </a:p>
        </xdr:txBody>
      </xdr:sp>
      <xdr:sp macro="" textlink="">
        <xdr:nvSpPr>
          <xdr:cNvPr id="161" name="TextBox 160">
            <a:extLst>
              <a:ext uri="{FF2B5EF4-FFF2-40B4-BE49-F238E27FC236}">
                <a16:creationId xmlns:a16="http://schemas.microsoft.com/office/drawing/2014/main" id="{003D6DD6-254C-4F39-BB56-D7F2314D6A8E}"/>
              </a:ext>
            </a:extLst>
          </xdr:cNvPr>
          <xdr:cNvSpPr txBox="1"/>
        </xdr:nvSpPr>
        <xdr:spPr>
          <a:xfrm>
            <a:off x="15026639" y="25762639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7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anxiety being out of the loop</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some vulnerability to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manipulated by the process </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controlled by the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paralyzed by the process</a:t>
            </a:r>
            <a:endParaRPr lang="en-US" sz="1100">
              <a:latin typeface="Times New Roman" panose="02020603050405020304" pitchFamily="18" charset="0"/>
              <a:cs typeface="Times New Roman" panose="02020603050405020304" pitchFamily="18" charset="0"/>
            </a:endParaRPr>
          </a:p>
        </xdr:txBody>
      </xdr:sp>
      <xdr:sp macro="" textlink="">
        <xdr:nvSpPr>
          <xdr:cNvPr id="162" name="TextBox 161">
            <a:extLst>
              <a:ext uri="{FF2B5EF4-FFF2-40B4-BE49-F238E27FC236}">
                <a16:creationId xmlns:a16="http://schemas.microsoft.com/office/drawing/2014/main" id="{02F0864D-F934-4D3B-BD0B-2FE047A9F376}"/>
              </a:ext>
            </a:extLst>
          </xdr:cNvPr>
          <xdr:cNvSpPr txBox="1"/>
        </xdr:nvSpPr>
        <xdr:spPr>
          <a:xfrm>
            <a:off x="15026639" y="2563462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6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worried at all about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slightly concerned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worried about innoconce deniers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afraid of their conflicts of interest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fear judiciary opposes full justice</a:t>
            </a:r>
            <a:endParaRPr lang="en-US" sz="1100">
              <a:latin typeface="Times New Roman" panose="02020603050405020304" pitchFamily="18" charset="0"/>
              <a:cs typeface="Times New Roman" panose="02020603050405020304" pitchFamily="18" charset="0"/>
            </a:endParaRPr>
          </a:p>
        </xdr:txBody>
      </xdr:sp>
      <xdr:sp macro="" textlink="">
        <xdr:nvSpPr>
          <xdr:cNvPr id="163" name="TextBox 162">
            <a:extLst>
              <a:ext uri="{FF2B5EF4-FFF2-40B4-BE49-F238E27FC236}">
                <a16:creationId xmlns:a16="http://schemas.microsoft.com/office/drawing/2014/main" id="{4DB9FAAA-BBDC-4FBE-AE78-FC1E9C3F67C4}"/>
              </a:ext>
            </a:extLst>
          </xdr:cNvPr>
          <xdr:cNvSpPr txBox="1"/>
        </xdr:nvSpPr>
        <xdr:spPr>
          <a:xfrm>
            <a:off x="10157459" y="259638075"/>
            <a:ext cx="2087881" cy="1232625"/>
          </a:xfrm>
          <a:prstGeom prst="rect">
            <a:avLst/>
          </a:prstGeom>
          <a:solidFill>
            <a:schemeClr val="accent6">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1 denied review</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never heard back from them</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convinced of your innocence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case lacks adequate documents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do not handle your type of case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prioritizing assistance to others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other</a:t>
            </a:r>
            <a:endParaRPr lang="en-US" sz="1100">
              <a:latin typeface="Times New Roman" panose="02020603050405020304" pitchFamily="18" charset="0"/>
              <a:cs typeface="Times New Roman" panose="02020603050405020304" pitchFamily="18" charset="0"/>
            </a:endParaRPr>
          </a:p>
        </xdr:txBody>
      </xdr:sp>
    </xdr:grpSp>
    <xdr:clientData/>
  </xdr:twoCellAnchor>
  <xdr:twoCellAnchor>
    <xdr:from>
      <xdr:col>29</xdr:col>
      <xdr:colOff>0</xdr:colOff>
      <xdr:row>756</xdr:row>
      <xdr:rowOff>0</xdr:rowOff>
    </xdr:from>
    <xdr:to>
      <xdr:col>50</xdr:col>
      <xdr:colOff>100216</xdr:colOff>
      <xdr:row>759</xdr:row>
      <xdr:rowOff>166518</xdr:rowOff>
    </xdr:to>
    <xdr:sp macro="" textlink="">
      <xdr:nvSpPr>
        <xdr:cNvPr id="164" name="TextBox 163">
          <a:extLst>
            <a:ext uri="{FF2B5EF4-FFF2-40B4-BE49-F238E27FC236}">
              <a16:creationId xmlns:a16="http://schemas.microsoft.com/office/drawing/2014/main" id="{8A40015F-1818-4126-A0C5-C3F9BDBECEFF}"/>
            </a:ext>
          </a:extLst>
        </xdr:cNvPr>
        <xdr:cNvSpPr txBox="1"/>
      </xdr:nvSpPr>
      <xdr:spPr>
        <a:xfrm>
          <a:off x="18341340" y="262653780"/>
          <a:ext cx="0" cy="738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Painful</a:t>
          </a:r>
          <a:r>
            <a:rPr lang="en-US" sz="1100" b="1" i="0" u="none" strike="noStrike" baseline="0">
              <a:solidFill>
                <a:schemeClr val="dk1"/>
              </a:solidFill>
              <a:effectLst/>
              <a:latin typeface="+mn-lt"/>
              <a:ea typeface="+mn-ea"/>
              <a:cs typeface="+mn-cs"/>
            </a:rPr>
            <a:t> experiences with the adversarial legal-judicial system helps account for the estimated high volume of unexonerated innocent. This tool exists independent of the judiciary and can either complement it or compete with it. </a:t>
          </a:r>
        </a:p>
        <a:p>
          <a:endParaRPr lang="en-US" sz="1100" b="1" i="0" u="none" strike="noStrike" baseline="0">
            <a:solidFill>
              <a:schemeClr val="dk1"/>
            </a:solidFill>
            <a:effectLst/>
            <a:latin typeface="+mn-lt"/>
            <a:ea typeface="+mn-ea"/>
            <a:cs typeface="+mn-cs"/>
          </a:endParaRPr>
        </a:p>
        <a:p>
          <a:r>
            <a:rPr lang="en-US">
              <a:effectLst/>
            </a:rPr>
            <a:t>legitimacy</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EIT option</a:t>
          </a:r>
        </a:p>
        <a:p>
          <a:endParaRPr lang="en-US" sz="1100"/>
        </a:p>
      </xdr:txBody>
    </xdr:sp>
    <xdr:clientData/>
  </xdr:twoCellAnchor>
  <xdr:twoCellAnchor>
    <xdr:from>
      <xdr:col>0</xdr:col>
      <xdr:colOff>100363</xdr:colOff>
      <xdr:row>1648</xdr:row>
      <xdr:rowOff>4662</xdr:rowOff>
    </xdr:from>
    <xdr:to>
      <xdr:col>5</xdr:col>
      <xdr:colOff>13097</xdr:colOff>
      <xdr:row>1660</xdr:row>
      <xdr:rowOff>50466</xdr:rowOff>
    </xdr:to>
    <xdr:sp macro="" textlink="">
      <xdr:nvSpPr>
        <xdr:cNvPr id="165" name="Text Box 12">
          <a:extLst>
            <a:ext uri="{FF2B5EF4-FFF2-40B4-BE49-F238E27FC236}">
              <a16:creationId xmlns:a16="http://schemas.microsoft.com/office/drawing/2014/main" id="{CBBC5118-CEB8-4165-8129-E2E13F81D275}"/>
            </a:ext>
          </a:extLst>
        </xdr:cNvPr>
        <xdr:cNvSpPr txBox="1"/>
      </xdr:nvSpPr>
      <xdr:spPr>
        <a:xfrm rot="21221143">
          <a:off x="100363" y="314916402"/>
          <a:ext cx="5871574" cy="2148924"/>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In this present</a:t>
          </a:r>
          <a:r>
            <a:rPr lang="en-US" sz="18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crisis, to paraphrase Ronald Reagan, the criminal justice system is not the solution to the problem. The criminal justice system is the problem.</a:t>
          </a:r>
          <a:endParaRPr lang="en-US" sz="16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96582</xdr:colOff>
      <xdr:row>1663</xdr:row>
      <xdr:rowOff>19533</xdr:rowOff>
    </xdr:from>
    <xdr:to>
      <xdr:col>5</xdr:col>
      <xdr:colOff>9316</xdr:colOff>
      <xdr:row>1676</xdr:row>
      <xdr:rowOff>46490</xdr:rowOff>
    </xdr:to>
    <xdr:sp macro="" textlink="">
      <xdr:nvSpPr>
        <xdr:cNvPr id="166" name="Text Box 12">
          <a:extLst>
            <a:ext uri="{FF2B5EF4-FFF2-40B4-BE49-F238E27FC236}">
              <a16:creationId xmlns:a16="http://schemas.microsoft.com/office/drawing/2014/main" id="{336A3F59-B413-413C-BD4B-E6E02CC5962B}"/>
            </a:ext>
          </a:extLst>
        </xdr:cNvPr>
        <xdr:cNvSpPr txBox="1"/>
      </xdr:nvSpPr>
      <xdr:spPr>
        <a:xfrm rot="328490">
          <a:off x="96582" y="317560173"/>
          <a:ext cx="5871574" cy="2305337"/>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It is difficult to get either side to see the adversarial system’s conflict of interest, to paraphrase Sinclair Lewis, when their power depends on them not seeing it.</a:t>
          </a:r>
        </a:p>
      </xdr:txBody>
    </xdr:sp>
    <xdr:clientData/>
  </xdr:twoCellAnchor>
  <xdr:twoCellAnchor>
    <xdr:from>
      <xdr:col>0</xdr:col>
      <xdr:colOff>146320</xdr:colOff>
      <xdr:row>1678</xdr:row>
      <xdr:rowOff>79589</xdr:rowOff>
    </xdr:from>
    <xdr:to>
      <xdr:col>5</xdr:col>
      <xdr:colOff>59054</xdr:colOff>
      <xdr:row>1693</xdr:row>
      <xdr:rowOff>19647</xdr:rowOff>
    </xdr:to>
    <xdr:sp macro="" textlink="">
      <xdr:nvSpPr>
        <xdr:cNvPr id="167" name="Text Box 12">
          <a:extLst>
            <a:ext uri="{FF2B5EF4-FFF2-40B4-BE49-F238E27FC236}">
              <a16:creationId xmlns:a16="http://schemas.microsoft.com/office/drawing/2014/main" id="{9100C55E-4AC6-457C-B7D0-C3360ED2A02F}"/>
            </a:ext>
          </a:extLst>
        </xdr:cNvPr>
        <xdr:cNvSpPr txBox="1"/>
      </xdr:nvSpPr>
      <xdr:spPr>
        <a:xfrm rot="21221143">
          <a:off x="146320" y="320249129"/>
          <a:ext cx="5871574" cy="2568958"/>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The adversarial system</a:t>
          </a:r>
          <a:r>
            <a:rPr lang="en-US" sz="18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divides human beings into winners and losers of a court battle. It anchors objectified human beings to untested beliefs. Meanwwhile, the many lives it impacts remains anchored to painful reality.</a:t>
          </a:r>
          <a:endPar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1945640</xdr:colOff>
      <xdr:row>105</xdr:row>
      <xdr:rowOff>53340</xdr:rowOff>
    </xdr:from>
    <xdr:to>
      <xdr:col>2</xdr:col>
      <xdr:colOff>2264981</xdr:colOff>
      <xdr:row>105</xdr:row>
      <xdr:rowOff>259080</xdr:rowOff>
    </xdr:to>
    <xdr:sp macro="" textlink="">
      <xdr:nvSpPr>
        <xdr:cNvPr id="2" name="Rectangle 1">
          <a:hlinkClick xmlns:r="http://schemas.openxmlformats.org/officeDocument/2006/relationships" r:id="rId1" tooltip="Case information"/>
          <a:extLst>
            <a:ext uri="{FF2B5EF4-FFF2-40B4-BE49-F238E27FC236}">
              <a16:creationId xmlns:a16="http://schemas.microsoft.com/office/drawing/2014/main" id="{DCAF42A7-242B-4F5F-8EB3-BA25D2D02DC0}"/>
            </a:ext>
          </a:extLst>
        </xdr:cNvPr>
        <xdr:cNvSpPr/>
      </xdr:nvSpPr>
      <xdr:spPr>
        <a:xfrm>
          <a:off x="3279140" y="33987740"/>
          <a:ext cx="319341" cy="205740"/>
        </a:xfrm>
        <a:prstGeom prst="rect">
          <a:avLst/>
        </a:prstGeom>
        <a:solidFill>
          <a:srgbClr val="EAE3D2"/>
        </a:solidFill>
        <a:ln w="19050">
          <a:noFill/>
        </a:ln>
        <a:effectLst>
          <a:outerShdw blurRad="63500" sx="102000" sy="102000" algn="ctr"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indent="0" algn="ctr"/>
          <a:r>
            <a:rPr lang="en-US" sz="1400">
              <a:solidFill>
                <a:sysClr val="windowText" lastClr="000000"/>
              </a:solidFill>
              <a:latin typeface="Arial Black" panose="020B0A04020102020204" pitchFamily="34" charset="0"/>
              <a:ea typeface="+mn-ea"/>
              <a:cs typeface="+mn-cs"/>
            </a:rPr>
            <a:t>A</a:t>
          </a:r>
        </a:p>
      </xdr:txBody>
    </xdr:sp>
    <xdr:clientData/>
  </xdr:twoCellAnchor>
  <xdr:twoCellAnchor>
    <xdr:from>
      <xdr:col>2</xdr:col>
      <xdr:colOff>2269700</xdr:colOff>
      <xdr:row>105</xdr:row>
      <xdr:rowOff>53340</xdr:rowOff>
    </xdr:from>
    <xdr:to>
      <xdr:col>3</xdr:col>
      <xdr:colOff>137941</xdr:colOff>
      <xdr:row>105</xdr:row>
      <xdr:rowOff>259080</xdr:rowOff>
    </xdr:to>
    <xdr:sp macro="" textlink="">
      <xdr:nvSpPr>
        <xdr:cNvPr id="3" name="Rectangle 2">
          <a:hlinkClick xmlns:r="http://schemas.openxmlformats.org/officeDocument/2006/relationships" r:id="rId2" tooltip="Documentation for verfication"/>
          <a:extLst>
            <a:ext uri="{FF2B5EF4-FFF2-40B4-BE49-F238E27FC236}">
              <a16:creationId xmlns:a16="http://schemas.microsoft.com/office/drawing/2014/main" id="{0CEE87FE-0B64-40AA-9D3B-7374142B2D0A}"/>
            </a:ext>
          </a:extLst>
        </xdr:cNvPr>
        <xdr:cNvSpPr/>
      </xdr:nvSpPr>
      <xdr:spPr>
        <a:xfrm>
          <a:off x="3603200" y="33987740"/>
          <a:ext cx="319341" cy="205740"/>
        </a:xfrm>
        <a:prstGeom prst="rect">
          <a:avLst/>
        </a:prstGeom>
        <a:solidFill>
          <a:schemeClr val="accent1">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B</a:t>
          </a:r>
        </a:p>
      </xdr:txBody>
    </xdr:sp>
    <xdr:clientData/>
  </xdr:twoCellAnchor>
  <xdr:twoCellAnchor>
    <xdr:from>
      <xdr:col>3</xdr:col>
      <xdr:colOff>150279</xdr:colOff>
      <xdr:row>105</xdr:row>
      <xdr:rowOff>53340</xdr:rowOff>
    </xdr:from>
    <xdr:to>
      <xdr:col>3</xdr:col>
      <xdr:colOff>469620</xdr:colOff>
      <xdr:row>105</xdr:row>
      <xdr:rowOff>259080</xdr:rowOff>
    </xdr:to>
    <xdr:sp macro="" textlink="">
      <xdr:nvSpPr>
        <xdr:cNvPr id="4" name="Rectangle 3">
          <a:hlinkClick xmlns:r="http://schemas.openxmlformats.org/officeDocument/2006/relationships" r:id="rId3" tooltip="Factors in your wrongful conviction"/>
          <a:extLst>
            <a:ext uri="{FF2B5EF4-FFF2-40B4-BE49-F238E27FC236}">
              <a16:creationId xmlns:a16="http://schemas.microsoft.com/office/drawing/2014/main" id="{6AAF48E3-FBE5-4618-83EE-A42CBBE80B7F}"/>
            </a:ext>
          </a:extLst>
        </xdr:cNvPr>
        <xdr:cNvSpPr/>
      </xdr:nvSpPr>
      <xdr:spPr>
        <a:xfrm>
          <a:off x="3934879" y="33987740"/>
          <a:ext cx="319341" cy="205740"/>
        </a:xfrm>
        <a:prstGeom prst="rect">
          <a:avLst/>
        </a:prstGeom>
        <a:solidFill>
          <a:srgbClr val="FFC0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C</a:t>
          </a:r>
        </a:p>
      </xdr:txBody>
    </xdr:sp>
    <xdr:clientData/>
  </xdr:twoCellAnchor>
  <xdr:twoCellAnchor>
    <xdr:from>
      <xdr:col>3</xdr:col>
      <xdr:colOff>474339</xdr:colOff>
      <xdr:row>105</xdr:row>
      <xdr:rowOff>53340</xdr:rowOff>
    </xdr:from>
    <xdr:to>
      <xdr:col>3</xdr:col>
      <xdr:colOff>793680</xdr:colOff>
      <xdr:row>105</xdr:row>
      <xdr:rowOff>259080</xdr:rowOff>
    </xdr:to>
    <xdr:sp macro="" textlink="">
      <xdr:nvSpPr>
        <xdr:cNvPr id="5" name="Rectangle 4">
          <a:hlinkClick xmlns:r="http://schemas.openxmlformats.org/officeDocument/2006/relationships" r:id="rId4" tooltip="Requests &amp; responses for exoneration help"/>
          <a:extLst>
            <a:ext uri="{FF2B5EF4-FFF2-40B4-BE49-F238E27FC236}">
              <a16:creationId xmlns:a16="http://schemas.microsoft.com/office/drawing/2014/main" id="{3B3E7426-D2D6-4A4C-A9B1-5DB3096862A1}"/>
            </a:ext>
          </a:extLst>
        </xdr:cNvPr>
        <xdr:cNvSpPr/>
      </xdr:nvSpPr>
      <xdr:spPr>
        <a:xfrm>
          <a:off x="4258939" y="33987740"/>
          <a:ext cx="319341" cy="205740"/>
        </a:xfrm>
        <a:prstGeom prst="rect">
          <a:avLst/>
        </a:prstGeom>
        <a:solidFill>
          <a:schemeClr val="accent4">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D</a:t>
          </a:r>
        </a:p>
      </xdr:txBody>
    </xdr:sp>
    <xdr:clientData/>
  </xdr:twoCellAnchor>
  <xdr:twoCellAnchor>
    <xdr:from>
      <xdr:col>3</xdr:col>
      <xdr:colOff>798399</xdr:colOff>
      <xdr:row>105</xdr:row>
      <xdr:rowOff>53340</xdr:rowOff>
    </xdr:from>
    <xdr:to>
      <xdr:col>3</xdr:col>
      <xdr:colOff>1117740</xdr:colOff>
      <xdr:row>105</xdr:row>
      <xdr:rowOff>259080</xdr:rowOff>
    </xdr:to>
    <xdr:sp macro="" textlink="">
      <xdr:nvSpPr>
        <xdr:cNvPr id="6" name="Rectangle 5">
          <a:hlinkClick xmlns:r="http://schemas.openxmlformats.org/officeDocument/2006/relationships" r:id="rId5" tooltip="Collateral consequences of conviction"/>
          <a:extLst>
            <a:ext uri="{FF2B5EF4-FFF2-40B4-BE49-F238E27FC236}">
              <a16:creationId xmlns:a16="http://schemas.microsoft.com/office/drawing/2014/main" id="{3ADCCA2C-C07D-4819-81FD-968121732402}"/>
            </a:ext>
          </a:extLst>
        </xdr:cNvPr>
        <xdr:cNvSpPr/>
      </xdr:nvSpPr>
      <xdr:spPr>
        <a:xfrm>
          <a:off x="4582999" y="33987740"/>
          <a:ext cx="319341" cy="205740"/>
        </a:xfrm>
        <a:prstGeom prst="rect">
          <a:avLst/>
        </a:prstGeom>
        <a:solidFill>
          <a:srgbClr val="FFFF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E</a:t>
          </a:r>
        </a:p>
      </xdr:txBody>
    </xdr:sp>
    <xdr:clientData/>
  </xdr:twoCellAnchor>
  <xdr:twoCellAnchor>
    <xdr:from>
      <xdr:col>3</xdr:col>
      <xdr:colOff>1131046</xdr:colOff>
      <xdr:row>105</xdr:row>
      <xdr:rowOff>53340</xdr:rowOff>
    </xdr:from>
    <xdr:to>
      <xdr:col>3</xdr:col>
      <xdr:colOff>1450387</xdr:colOff>
      <xdr:row>105</xdr:row>
      <xdr:rowOff>259080</xdr:rowOff>
    </xdr:to>
    <xdr:sp macro="" textlink="">
      <xdr:nvSpPr>
        <xdr:cNvPr id="7" name="Rectangle 6">
          <a:hlinkClick xmlns:r="http://schemas.openxmlformats.org/officeDocument/2006/relationships" r:id="rId6" tooltip="Claimant narrative"/>
          <a:extLst>
            <a:ext uri="{FF2B5EF4-FFF2-40B4-BE49-F238E27FC236}">
              <a16:creationId xmlns:a16="http://schemas.microsoft.com/office/drawing/2014/main" id="{D00E69FD-6BAB-416A-9DCF-89A04CCB3B42}"/>
            </a:ext>
          </a:extLst>
        </xdr:cNvPr>
        <xdr:cNvSpPr/>
      </xdr:nvSpPr>
      <xdr:spPr>
        <a:xfrm>
          <a:off x="4925806" y="33901380"/>
          <a:ext cx="319341" cy="205740"/>
        </a:xfrm>
        <a:prstGeom prst="rect">
          <a:avLst/>
        </a:prstGeom>
        <a:solidFill>
          <a:srgbClr val="B9FFD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F</a:t>
          </a:r>
        </a:p>
      </xdr:txBody>
    </xdr:sp>
    <xdr:clientData/>
  </xdr:twoCellAnchor>
  <xdr:twoCellAnchor>
    <xdr:from>
      <xdr:col>3</xdr:col>
      <xdr:colOff>1455105</xdr:colOff>
      <xdr:row>105</xdr:row>
      <xdr:rowOff>53340</xdr:rowOff>
    </xdr:from>
    <xdr:to>
      <xdr:col>3</xdr:col>
      <xdr:colOff>1776260</xdr:colOff>
      <xdr:row>105</xdr:row>
      <xdr:rowOff>259080</xdr:rowOff>
    </xdr:to>
    <xdr:sp macro="" textlink="">
      <xdr:nvSpPr>
        <xdr:cNvPr id="8" name="Rectangle 7">
          <a:hlinkClick xmlns:r="http://schemas.openxmlformats.org/officeDocument/2006/relationships" r:id="rId7" tooltip="Compensation"/>
          <a:extLst>
            <a:ext uri="{FF2B5EF4-FFF2-40B4-BE49-F238E27FC236}">
              <a16:creationId xmlns:a16="http://schemas.microsoft.com/office/drawing/2014/main" id="{A6118C2A-36EF-4A4E-AAFE-5D649E392898}"/>
            </a:ext>
          </a:extLst>
        </xdr:cNvPr>
        <xdr:cNvSpPr/>
      </xdr:nvSpPr>
      <xdr:spPr>
        <a:xfrm>
          <a:off x="5249865" y="33901380"/>
          <a:ext cx="321155" cy="205740"/>
        </a:xfrm>
        <a:prstGeom prst="rect">
          <a:avLst/>
        </a:prstGeom>
        <a:solidFill>
          <a:srgbClr val="FFE1FF"/>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G</a:t>
          </a:r>
        </a:p>
      </xdr:txBody>
    </xdr:sp>
    <xdr:clientData/>
  </xdr:twoCellAnchor>
  <xdr:twoCellAnchor>
    <xdr:from>
      <xdr:col>3</xdr:col>
      <xdr:colOff>1781946</xdr:colOff>
      <xdr:row>105</xdr:row>
      <xdr:rowOff>53340</xdr:rowOff>
    </xdr:from>
    <xdr:to>
      <xdr:col>4</xdr:col>
      <xdr:colOff>132787</xdr:colOff>
      <xdr:row>105</xdr:row>
      <xdr:rowOff>259080</xdr:rowOff>
    </xdr:to>
    <xdr:sp macro="" textlink="">
      <xdr:nvSpPr>
        <xdr:cNvPr id="9" name="Rectangle 8">
          <a:hlinkClick xmlns:r="http://schemas.openxmlformats.org/officeDocument/2006/relationships" r:id="rId8" tooltip="You're not alone"/>
          <a:extLst>
            <a:ext uri="{FF2B5EF4-FFF2-40B4-BE49-F238E27FC236}">
              <a16:creationId xmlns:a16="http://schemas.microsoft.com/office/drawing/2014/main" id="{69117608-6CCE-4B1E-A843-1118B04C2FAC}"/>
            </a:ext>
          </a:extLst>
        </xdr:cNvPr>
        <xdr:cNvSpPr/>
      </xdr:nvSpPr>
      <xdr:spPr>
        <a:xfrm>
          <a:off x="5576706" y="33901380"/>
          <a:ext cx="324421" cy="205740"/>
        </a:xfrm>
        <a:prstGeom prst="rect">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H</a:t>
          </a:r>
        </a:p>
      </xdr:txBody>
    </xdr:sp>
    <xdr:clientData/>
  </xdr:twoCellAnchor>
  <xdr:twoCellAnchor>
    <xdr:from>
      <xdr:col>0</xdr:col>
      <xdr:colOff>7620</xdr:colOff>
      <xdr:row>13</xdr:row>
      <xdr:rowOff>137160</xdr:rowOff>
    </xdr:from>
    <xdr:to>
      <xdr:col>1</xdr:col>
      <xdr:colOff>15240</xdr:colOff>
      <xdr:row>13</xdr:row>
      <xdr:rowOff>434340</xdr:rowOff>
    </xdr:to>
    <xdr:sp macro="" textlink="">
      <xdr:nvSpPr>
        <xdr:cNvPr id="13" name="Arrow: Down 12">
          <a:hlinkClick xmlns:r="http://schemas.openxmlformats.org/officeDocument/2006/relationships" r:id="rId9" tooltip="SYNOPSIS entry"/>
          <a:extLst>
            <a:ext uri="{FF2B5EF4-FFF2-40B4-BE49-F238E27FC236}">
              <a16:creationId xmlns:a16="http://schemas.microsoft.com/office/drawing/2014/main" id="{DC749384-B668-453A-9B23-37E751F69470}"/>
            </a:ext>
          </a:extLst>
        </xdr:cNvPr>
        <xdr:cNvSpPr/>
      </xdr:nvSpPr>
      <xdr:spPr>
        <a:xfrm>
          <a:off x="7620" y="319278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7620</xdr:colOff>
      <xdr:row>32</xdr:row>
      <xdr:rowOff>144780</xdr:rowOff>
    </xdr:from>
    <xdr:to>
      <xdr:col>1</xdr:col>
      <xdr:colOff>15240</xdr:colOff>
      <xdr:row>32</xdr:row>
      <xdr:rowOff>441960</xdr:rowOff>
    </xdr:to>
    <xdr:sp macro="" textlink="">
      <xdr:nvSpPr>
        <xdr:cNvPr id="14" name="Arrow: Down 13">
          <a:hlinkClick xmlns:r="http://schemas.openxmlformats.org/officeDocument/2006/relationships" r:id="rId10" tooltip="SUMMARY entry"/>
          <a:extLst>
            <a:ext uri="{FF2B5EF4-FFF2-40B4-BE49-F238E27FC236}">
              <a16:creationId xmlns:a16="http://schemas.microsoft.com/office/drawing/2014/main" id="{EA501C6E-5408-4778-906D-1D38C648AF42}"/>
            </a:ext>
          </a:extLst>
        </xdr:cNvPr>
        <xdr:cNvSpPr/>
      </xdr:nvSpPr>
      <xdr:spPr>
        <a:xfrm>
          <a:off x="7620" y="894588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860</xdr:row>
      <xdr:rowOff>373380</xdr:rowOff>
    </xdr:from>
    <xdr:to>
      <xdr:col>1</xdr:col>
      <xdr:colOff>15240</xdr:colOff>
      <xdr:row>861</xdr:row>
      <xdr:rowOff>678180</xdr:rowOff>
    </xdr:to>
    <xdr:sp macro="" textlink="">
      <xdr:nvSpPr>
        <xdr:cNvPr id="15" name="Arrow: Up 14">
          <a:hlinkClick xmlns:r="http://schemas.openxmlformats.org/officeDocument/2006/relationships" r:id="rId11" tooltip="FLIPSIDE displayed above"/>
          <a:extLst>
            <a:ext uri="{FF2B5EF4-FFF2-40B4-BE49-F238E27FC236}">
              <a16:creationId xmlns:a16="http://schemas.microsoft.com/office/drawing/2014/main" id="{A6814A27-5660-4388-B0DA-102B12F132FB}"/>
            </a:ext>
          </a:extLst>
        </xdr:cNvPr>
        <xdr:cNvSpPr/>
      </xdr:nvSpPr>
      <xdr:spPr>
        <a:xfrm>
          <a:off x="0" y="28732734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0</xdr:colOff>
      <xdr:row>870</xdr:row>
      <xdr:rowOff>0</xdr:rowOff>
    </xdr:from>
    <xdr:to>
      <xdr:col>1</xdr:col>
      <xdr:colOff>15240</xdr:colOff>
      <xdr:row>870</xdr:row>
      <xdr:rowOff>685800</xdr:rowOff>
    </xdr:to>
    <xdr:sp macro="" textlink="">
      <xdr:nvSpPr>
        <xdr:cNvPr id="16" name="Arrow: Up 15">
          <a:hlinkClick xmlns:r="http://schemas.openxmlformats.org/officeDocument/2006/relationships" r:id="rId12" tooltip="SUMMARY displayed above"/>
          <a:extLst>
            <a:ext uri="{FF2B5EF4-FFF2-40B4-BE49-F238E27FC236}">
              <a16:creationId xmlns:a16="http://schemas.microsoft.com/office/drawing/2014/main" id="{7096B8CC-CF64-4292-AAD1-3123A4279712}"/>
            </a:ext>
          </a:extLst>
        </xdr:cNvPr>
        <xdr:cNvSpPr/>
      </xdr:nvSpPr>
      <xdr:spPr>
        <a:xfrm>
          <a:off x="0" y="29066490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98331</xdr:colOff>
      <xdr:row>1698</xdr:row>
      <xdr:rowOff>28423</xdr:rowOff>
    </xdr:from>
    <xdr:to>
      <xdr:col>5</xdr:col>
      <xdr:colOff>11065</xdr:colOff>
      <xdr:row>1708</xdr:row>
      <xdr:rowOff>127915</xdr:rowOff>
    </xdr:to>
    <xdr:sp macro="" textlink="">
      <xdr:nvSpPr>
        <xdr:cNvPr id="17" name="Text Box 12">
          <a:extLst>
            <a:ext uri="{FF2B5EF4-FFF2-40B4-BE49-F238E27FC236}">
              <a16:creationId xmlns:a16="http://schemas.microsoft.com/office/drawing/2014/main" id="{7E66855D-EC3F-4C4C-86BB-ADA24C68AEC5}"/>
            </a:ext>
          </a:extLst>
        </xdr:cNvPr>
        <xdr:cNvSpPr txBox="1"/>
      </xdr:nvSpPr>
      <xdr:spPr>
        <a:xfrm rot="21221143">
          <a:off x="98331" y="323520283"/>
          <a:ext cx="5871574" cy="1852092"/>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20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Whether law</a:t>
          </a:r>
          <a:r>
            <a:rPr lang="en-US" sz="20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breaker or law enforcer</a:t>
          </a:r>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indulging your need at another's expense lets you become the evil you fear in others.</a:t>
          </a:r>
        </a:p>
      </xdr:txBody>
    </xdr:sp>
    <xdr:clientData/>
  </xdr:twoCellAnchor>
  <xdr:twoCellAnchor>
    <xdr:from>
      <xdr:col>0</xdr:col>
      <xdr:colOff>45720</xdr:colOff>
      <xdr:row>1793</xdr:row>
      <xdr:rowOff>0</xdr:rowOff>
    </xdr:from>
    <xdr:to>
      <xdr:col>3</xdr:col>
      <xdr:colOff>1737360</xdr:colOff>
      <xdr:row>1793</xdr:row>
      <xdr:rowOff>0</xdr:rowOff>
    </xdr:to>
    <xdr:grpSp>
      <xdr:nvGrpSpPr>
        <xdr:cNvPr id="19" name="Group 18">
          <a:extLst>
            <a:ext uri="{FF2B5EF4-FFF2-40B4-BE49-F238E27FC236}">
              <a16:creationId xmlns:a16="http://schemas.microsoft.com/office/drawing/2014/main" id="{3D153407-BC3F-437D-A6BB-8FF3A80C3E94}"/>
            </a:ext>
          </a:extLst>
        </xdr:cNvPr>
        <xdr:cNvGrpSpPr/>
      </xdr:nvGrpSpPr>
      <xdr:grpSpPr>
        <a:xfrm>
          <a:off x="45720" y="340339680"/>
          <a:ext cx="5486400" cy="0"/>
          <a:chOff x="45720" y="340583520"/>
          <a:chExt cx="5486400" cy="6762750"/>
        </a:xfrm>
      </xdr:grpSpPr>
      <xdr:pic>
        <xdr:nvPicPr>
          <xdr:cNvPr id="20" name="Ronald Reagan">
            <a:extLst>
              <a:ext uri="{FF2B5EF4-FFF2-40B4-BE49-F238E27FC236}">
                <a16:creationId xmlns:a16="http://schemas.microsoft.com/office/drawing/2014/main" id="{34FE2EE0-191A-4F05-87C0-7097F4EA563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5720" y="340583520"/>
            <a:ext cx="5410200" cy="6762750"/>
          </a:xfrm>
          <a:prstGeom prst="rect">
            <a:avLst/>
          </a:prstGeom>
        </xdr:spPr>
      </xdr:pic>
      <xdr:sp macro="" textlink="">
        <xdr:nvSpPr>
          <xdr:cNvPr id="21" name="TextBox 20">
            <a:extLst>
              <a:ext uri="{FF2B5EF4-FFF2-40B4-BE49-F238E27FC236}">
                <a16:creationId xmlns:a16="http://schemas.microsoft.com/office/drawing/2014/main" id="{EF1CBE78-7CA2-4B5D-9AF6-CED8EC07E130}"/>
              </a:ext>
            </a:extLst>
          </xdr:cNvPr>
          <xdr:cNvSpPr txBox="1"/>
        </xdr:nvSpPr>
        <xdr:spPr>
          <a:xfrm>
            <a:off x="68580" y="341779860"/>
            <a:ext cx="2255520" cy="3497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ts val="2400"/>
              </a:lnSpc>
              <a:spcBef>
                <a:spcPts val="0"/>
              </a:spcBef>
              <a:spcAft>
                <a:spcPts val="0"/>
              </a:spcAft>
              <a:buClrTx/>
              <a:buSzTx/>
              <a:buFontTx/>
              <a:buNone/>
              <a:tabLst/>
              <a:defRPr/>
            </a:pP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panose="020B0604020202020204" pitchFamily="34" charset="0"/>
                <a:ea typeface="+mn-ea"/>
                <a:cs typeface="Arial" panose="020B0604020202020204" pitchFamily="34" charset="0"/>
              </a:rPr>
              <a:t>          </a:t>
            </a:r>
            <a:r>
              <a:rPr lang="en-US" sz="1800" b="1"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panose="020B0604020202020204" pitchFamily="34" charset="0"/>
                <a:ea typeface="+mn-ea"/>
                <a:cs typeface="Arial" panose="020B0604020202020204" pitchFamily="34" charset="0"/>
              </a:rPr>
              <a:t>  </a:t>
            </a: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"In this present crisis,"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to paraphrase Ronald Reagan,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"the </a:t>
            </a:r>
            <a:r>
              <a:rPr lang="en-US" sz="1800" b="1">
                <a:ln>
                  <a:solidFill>
                    <a:schemeClr val="tx1"/>
                  </a:solidFill>
                </a:ln>
                <a:solidFill>
                  <a:srgbClr val="FFABAD"/>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criminal justice system</a:t>
            </a:r>
            <a:r>
              <a:rPr lang="en-US" sz="1800" b="1" baseline="0">
                <a:ln>
                  <a:solidFill>
                    <a:schemeClr val="tx1"/>
                  </a:solidFill>
                </a:ln>
                <a:solidFill>
                  <a:srgbClr val="FFABAD"/>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spc="-100"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is not the solution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to the problem.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The </a:t>
            </a:r>
            <a:r>
              <a:rPr lang="en-US" sz="1800" b="1">
                <a:ln>
                  <a:solidFill>
                    <a:schemeClr val="tx1"/>
                  </a:solidFill>
                </a:ln>
                <a:solidFill>
                  <a:srgbClr val="FFABAD"/>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criminal justice system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i="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is</a:t>
            </a: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 the problem."</a:t>
            </a:r>
            <a:endParaRPr lang="en-US" sz="180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cs typeface="Arial" panose="020B0604020202020204" pitchFamily="34" charset="0"/>
            </a:endParaRPr>
          </a:p>
        </xdr:txBody>
      </xdr:sp>
      <xdr:sp macro="" textlink="">
        <xdr:nvSpPr>
          <xdr:cNvPr id="22" name="TextBox 21">
            <a:extLst>
              <a:ext uri="{FF2B5EF4-FFF2-40B4-BE49-F238E27FC236}">
                <a16:creationId xmlns:a16="http://schemas.microsoft.com/office/drawing/2014/main" id="{66CD3A95-344D-46EE-A320-643B750B268E}"/>
              </a:ext>
            </a:extLst>
          </xdr:cNvPr>
          <xdr:cNvSpPr txBox="1"/>
        </xdr:nvSpPr>
        <xdr:spPr>
          <a:xfrm>
            <a:off x="53340" y="340629240"/>
            <a:ext cx="5478780" cy="1219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The </a:t>
            </a:r>
            <a:r>
              <a:rPr lang="en-US" sz="1800" b="1">
                <a:ln>
                  <a:solidFill>
                    <a:schemeClr val="tx1"/>
                  </a:solidFill>
                </a:ln>
                <a:solidFill>
                  <a:srgbClr val="FFABAD"/>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criminal justice system </a:t>
            </a: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finds itself in a crisis by being that part of </a:t>
            </a:r>
            <a:r>
              <a:rPr lang="en-US" sz="2000" b="1" spc="-100"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government</a:t>
            </a:r>
            <a:r>
              <a:rPr lang="en-US" sz="20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 </a:t>
            </a: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with far more power than accountability. </a:t>
            </a:r>
          </a:p>
        </xdr:txBody>
      </xdr:sp>
      <xdr:sp macro="" textlink="">
        <xdr:nvSpPr>
          <xdr:cNvPr id="23" name="TextBox 22">
            <a:extLst>
              <a:ext uri="{FF2B5EF4-FFF2-40B4-BE49-F238E27FC236}">
                <a16:creationId xmlns:a16="http://schemas.microsoft.com/office/drawing/2014/main" id="{E39FC3D5-CC3D-4415-95CA-8BADE5F0B5F9}"/>
              </a:ext>
            </a:extLst>
          </xdr:cNvPr>
          <xdr:cNvSpPr txBox="1"/>
        </xdr:nvSpPr>
        <xdr:spPr>
          <a:xfrm>
            <a:off x="91440" y="345239340"/>
            <a:ext cx="5067300" cy="1127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1800" b="1" spc="-100"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Its </a:t>
            </a:r>
            <a:r>
              <a:rPr lang="en-US" sz="1800" b="1" spc="-100" baseline="0">
                <a:ln>
                  <a:solidFill>
                    <a:schemeClr val="tx1"/>
                  </a:solidFill>
                </a:ln>
                <a:solidFill>
                  <a:srgbClr val="FFABAD"/>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adversarial system </a:t>
            </a:r>
            <a:r>
              <a:rPr lang="en-US" sz="1800" b="1" spc="-100"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gets anchored in untested beliefs, while the lives it impacts remains anchored painfully to reality.</a:t>
            </a:r>
          </a:p>
        </xdr:txBody>
      </xdr:sp>
      <xdr:sp macro="" textlink="">
        <xdr:nvSpPr>
          <xdr:cNvPr id="24" name="TextBox 23">
            <a:extLst>
              <a:ext uri="{FF2B5EF4-FFF2-40B4-BE49-F238E27FC236}">
                <a16:creationId xmlns:a16="http://schemas.microsoft.com/office/drawing/2014/main" id="{00EF4292-C50F-4284-9BF6-AA5CE9FA05B0}"/>
              </a:ext>
            </a:extLst>
          </xdr:cNvPr>
          <xdr:cNvSpPr txBox="1"/>
        </xdr:nvSpPr>
        <xdr:spPr>
          <a:xfrm>
            <a:off x="91440" y="346344240"/>
            <a:ext cx="5265420" cy="777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1800" b="1" spc="-100"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Reality is what happens when your beliefs have you looking the other way.</a:t>
            </a:r>
          </a:p>
        </xdr:txBody>
      </xdr:sp>
    </xdr:grpSp>
    <xdr:clientData/>
  </xdr:twoCellAnchor>
  <xdr:twoCellAnchor>
    <xdr:from>
      <xdr:col>35</xdr:col>
      <xdr:colOff>125334</xdr:colOff>
      <xdr:row>55</xdr:row>
      <xdr:rowOff>152976</xdr:rowOff>
    </xdr:from>
    <xdr:to>
      <xdr:col>58</xdr:col>
      <xdr:colOff>227667</xdr:colOff>
      <xdr:row>58</xdr:row>
      <xdr:rowOff>454479</xdr:rowOff>
    </xdr:to>
    <xdr:sp macro="" textlink="">
      <xdr:nvSpPr>
        <xdr:cNvPr id="25" name="Text Box 4">
          <a:extLst>
            <a:ext uri="{FF2B5EF4-FFF2-40B4-BE49-F238E27FC236}">
              <a16:creationId xmlns:a16="http://schemas.microsoft.com/office/drawing/2014/main" id="{7E60BDD9-0A71-4D05-A5B3-3581AE766003}"/>
            </a:ext>
          </a:extLst>
        </xdr:cNvPr>
        <xdr:cNvSpPr txBox="1"/>
      </xdr:nvSpPr>
      <xdr:spPr>
        <a:xfrm>
          <a:off x="18341340" y="21321336"/>
          <a:ext cx="0" cy="1505463"/>
        </a:xfrm>
        <a:prstGeom prst="rect">
          <a:avLst/>
        </a:prstGeom>
        <a:solidFill>
          <a:srgbClr val="FFE1FF">
            <a:alpha val="85098"/>
          </a:srgbClr>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2800"/>
            </a:lnSpc>
            <a:spcBef>
              <a:spcPts val="0"/>
            </a:spcBef>
            <a:spcAft>
              <a:spcPts val="0"/>
            </a:spcAft>
            <a:tabLst>
              <a:tab pos="3200400" algn="r"/>
            </a:tabLst>
          </a:pP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We know without doubt that the vast majority of </a:t>
          </a:r>
          <a:r>
            <a:rPr lang="en-US" sz="1600" b="1" u="none" strike="noStrike">
              <a:ln w="3175" cap="rnd" cmpd="sng" algn="ctr">
                <a:solidFill>
                  <a:srgbClr val="7030A0"/>
                </a:solidFill>
                <a:prstDash val="solid"/>
                <a:bevel/>
              </a:ln>
              <a:solidFill>
                <a:srgbClr val="FFFF00"/>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innocent defendants</a:t>
          </a:r>
          <a:r>
            <a:rPr lang="en-US" sz="1600" b="1" u="none" strike="noStrike">
              <a:ln w="3175" cap="rnd" cmpd="sng" algn="ctr">
                <a:solidFill>
                  <a:srgbClr val="7030A0"/>
                </a:solidFill>
                <a:prstDash val="solid"/>
                <a:bevel/>
              </a:ln>
              <a:solidFill>
                <a:srgbClr val="70AD47"/>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who are </a:t>
          </a:r>
          <a:r>
            <a:rPr lang="en-US" sz="1600" b="1" u="none" strike="noStrike">
              <a:ln w="3175" cap="rnd" cmpd="sng" algn="ctr">
                <a:solidFill>
                  <a:srgbClr val="7030A0"/>
                </a:solidFill>
                <a:prstDash val="solid"/>
                <a:bevel/>
              </a:ln>
              <a:solidFill>
                <a:schemeClr val="tx1"/>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convicted</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of crimes</a:t>
          </a:r>
          <a:r>
            <a:rPr lang="en-US" sz="1600" b="1" u="none" strike="noStrike">
              <a:ln w="3175" cap="rnd" cmpd="sng" algn="ctr">
                <a:solidFill>
                  <a:srgbClr val="7030A0"/>
                </a:solidFill>
                <a:prstDash val="solid"/>
                <a:bevel/>
              </a:ln>
              <a:solidFill>
                <a:srgbClr val="B9FFD9"/>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B9FFD9"/>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800" b="1" u="none" strike="noStrike">
              <a:ln w="3175" cap="rnd" cmpd="sng" algn="ctr">
                <a:solidFill>
                  <a:srgbClr val="7030A0"/>
                </a:solidFill>
                <a:prstDash val="solid"/>
                <a:bevel/>
              </a:ln>
              <a:solidFill>
                <a:srgbClr val="FF7C80"/>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are never identified and cleared</a:t>
          </a: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a:p>
          <a:pPr marL="685800" marR="349250" indent="-228600" algn="ctr">
            <a:lnSpc>
              <a:spcPts val="1400"/>
            </a:lnSpc>
            <a:spcBef>
              <a:spcPts val="600"/>
            </a:spcBef>
            <a:spcAft>
              <a:spcPts val="0"/>
            </a:spcAft>
            <a:tabLst>
              <a:tab pos="3200400" algn="r"/>
            </a:tabLst>
          </a:pPr>
          <a:r>
            <a:rPr lang="en-US" sz="1050">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Samuel R. Gross, </a:t>
          </a:r>
          <a:r>
            <a:rPr lang="en-US" sz="1050" i="1">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NRE</a:t>
          </a:r>
          <a:endParaRPr lang="en-US" sz="105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763269</xdr:colOff>
      <xdr:row>1732</xdr:row>
      <xdr:rowOff>24766</xdr:rowOff>
    </xdr:from>
    <xdr:to>
      <xdr:col>4</xdr:col>
      <xdr:colOff>156844</xdr:colOff>
      <xdr:row>1741</xdr:row>
      <xdr:rowOff>17146</xdr:rowOff>
    </xdr:to>
    <xdr:sp macro="" textlink="">
      <xdr:nvSpPr>
        <xdr:cNvPr id="26" name="Text Box 9">
          <a:extLst>
            <a:ext uri="{FF2B5EF4-FFF2-40B4-BE49-F238E27FC236}">
              <a16:creationId xmlns:a16="http://schemas.microsoft.com/office/drawing/2014/main" id="{4DEA2726-59AE-433C-BE1B-6B41BF14D382}"/>
            </a:ext>
          </a:extLst>
        </xdr:cNvPr>
        <xdr:cNvSpPr txBox="1"/>
      </xdr:nvSpPr>
      <xdr:spPr>
        <a:xfrm rot="582896">
          <a:off x="2104389" y="329475466"/>
          <a:ext cx="3820795" cy="1569720"/>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nSpc>
              <a:spcPts val="3200"/>
            </a:lnSpc>
            <a:spcBef>
              <a:spcPts val="0"/>
            </a:spcBef>
            <a:spcAft>
              <a:spcPts val="0"/>
            </a:spcAft>
            <a:tabLst>
              <a:tab pos="3200400" algn="r"/>
            </a:tabLst>
          </a:pPr>
          <a:r>
            <a:rPr lang="en-US" sz="18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What often gets categorized as justice is no justice at all.</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228599</xdr:colOff>
      <xdr:row>1723</xdr:row>
      <xdr:rowOff>167641</xdr:rowOff>
    </xdr:from>
    <xdr:to>
      <xdr:col>3</xdr:col>
      <xdr:colOff>1920239</xdr:colOff>
      <xdr:row>1732</xdr:row>
      <xdr:rowOff>160021</xdr:rowOff>
    </xdr:to>
    <xdr:sp macro="" textlink="">
      <xdr:nvSpPr>
        <xdr:cNvPr id="27" name="Text Box 7">
          <a:extLst>
            <a:ext uri="{FF2B5EF4-FFF2-40B4-BE49-F238E27FC236}">
              <a16:creationId xmlns:a16="http://schemas.microsoft.com/office/drawing/2014/main" id="{E4CEBA9F-8AD0-4AE3-BC05-A27AE68B4317}"/>
            </a:ext>
          </a:extLst>
        </xdr:cNvPr>
        <xdr:cNvSpPr txBox="1"/>
      </xdr:nvSpPr>
      <xdr:spPr>
        <a:xfrm rot="21249537">
          <a:off x="228599" y="328041001"/>
          <a:ext cx="5486400" cy="1569720"/>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nSpc>
              <a:spcPts val="3200"/>
            </a:lnSpc>
            <a:spcBef>
              <a:spcPts val="0"/>
            </a:spcBef>
            <a:spcAft>
              <a:spcPts val="0"/>
            </a:spcAft>
            <a:tabLst>
              <a:tab pos="3200400" algn="r"/>
            </a:tabLst>
          </a:pPr>
          <a:r>
            <a:rPr lang="en-US" sz="18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Any unfairness in the process for justice rarely results in the fairness of justice</a:t>
          </a:r>
          <a:r>
            <a:rPr lang="en-US" sz="1800" b="1" u="sng">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27</xdr:col>
      <xdr:colOff>45719</xdr:colOff>
      <xdr:row>714</xdr:row>
      <xdr:rowOff>489495</xdr:rowOff>
    </xdr:from>
    <xdr:to>
      <xdr:col>42</xdr:col>
      <xdr:colOff>165100</xdr:colOff>
      <xdr:row>719</xdr:row>
      <xdr:rowOff>55881</xdr:rowOff>
    </xdr:to>
    <xdr:sp macro="" textlink="">
      <xdr:nvSpPr>
        <xdr:cNvPr id="28" name="TextBox 27">
          <a:extLst>
            <a:ext uri="{FF2B5EF4-FFF2-40B4-BE49-F238E27FC236}">
              <a16:creationId xmlns:a16="http://schemas.microsoft.com/office/drawing/2014/main" id="{0E73FF3F-71E0-459F-AB45-BFC864564E92}"/>
            </a:ext>
          </a:extLst>
        </xdr:cNvPr>
        <xdr:cNvSpPr txBox="1"/>
      </xdr:nvSpPr>
      <xdr:spPr>
        <a:xfrm>
          <a:off x="18646139" y="254220255"/>
          <a:ext cx="4005581" cy="12732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Request</a:t>
          </a:r>
          <a:r>
            <a:rPr lang="en-US" sz="1100" b="1" i="0" u="none" strike="noStrike" baseline="0">
              <a:solidFill>
                <a:schemeClr val="dk1"/>
              </a:solidFill>
              <a:effectLst/>
              <a:latin typeface="+mn-lt"/>
              <a:ea typeface="+mn-ea"/>
              <a:cs typeface="+mn-cs"/>
            </a:rPr>
            <a:t> not honored:</a:t>
          </a:r>
        </a:p>
        <a:p>
          <a:r>
            <a:rPr lang="en-US" sz="1100" b="0" i="0" u="none" strike="noStrike" baseline="0">
              <a:solidFill>
                <a:schemeClr val="dk1"/>
              </a:solidFill>
              <a:effectLst/>
              <a:latin typeface="+mn-lt"/>
              <a:ea typeface="+mn-ea"/>
              <a:cs typeface="+mn-cs"/>
            </a:rPr>
            <a:t>Prioritizing assistance to claimants on death row</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life sentance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long sentences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still in prison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61</xdr:col>
      <xdr:colOff>268876</xdr:colOff>
      <xdr:row>713</xdr:row>
      <xdr:rowOff>117565</xdr:rowOff>
    </xdr:from>
    <xdr:to>
      <xdr:col>74</xdr:col>
      <xdr:colOff>207917</xdr:colOff>
      <xdr:row>714</xdr:row>
      <xdr:rowOff>1763486</xdr:rowOff>
    </xdr:to>
    <xdr:sp macro="" textlink="">
      <xdr:nvSpPr>
        <xdr:cNvPr id="29" name="TextBox 28">
          <a:extLst>
            <a:ext uri="{FF2B5EF4-FFF2-40B4-BE49-F238E27FC236}">
              <a16:creationId xmlns:a16="http://schemas.microsoft.com/office/drawing/2014/main" id="{6763825F-D08D-47EE-8BF4-9D004BAB9512}"/>
            </a:ext>
          </a:extLst>
        </xdr:cNvPr>
        <xdr:cNvSpPr txBox="1"/>
      </xdr:nvSpPr>
      <xdr:spPr>
        <a:xfrm>
          <a:off x="18341340" y="253673065"/>
          <a:ext cx="0" cy="822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review URL</a:t>
          </a:r>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link does not work</a:t>
          </a:r>
        </a:p>
        <a:p>
          <a:r>
            <a:rPr lang="en-US" sz="1100" b="0" i="0" u="none" strike="noStrike" baseline="0">
              <a:solidFill>
                <a:schemeClr val="dk1"/>
              </a:solidFill>
              <a:effectLst/>
              <a:latin typeface="+mn-lt"/>
              <a:ea typeface="+mn-ea"/>
              <a:cs typeface="+mn-cs"/>
            </a:rPr>
            <a:t>link works unreliably</a:t>
          </a:r>
        </a:p>
        <a:p>
          <a:r>
            <a:rPr lang="en-US" sz="1100" b="0" i="0" u="none" strike="noStrike" baseline="0">
              <a:solidFill>
                <a:schemeClr val="dk1"/>
              </a:solidFill>
              <a:effectLst/>
              <a:latin typeface="+mn-lt"/>
              <a:ea typeface="+mn-ea"/>
              <a:cs typeface="+mn-cs"/>
            </a:rPr>
            <a:t>link works, document(s) not found</a:t>
          </a:r>
        </a:p>
        <a:p>
          <a:r>
            <a:rPr lang="en-US" sz="1100" b="0" i="0" u="none" strike="noStrike" baseline="0">
              <a:solidFill>
                <a:schemeClr val="dk1"/>
              </a:solidFill>
              <a:effectLst/>
              <a:latin typeface="+mn-lt"/>
              <a:ea typeface="+mn-ea"/>
              <a:cs typeface="+mn-cs"/>
            </a:rPr>
            <a:t>link works, some of document(s) found</a:t>
          </a:r>
        </a:p>
        <a:p>
          <a:r>
            <a:rPr lang="en-US" sz="1100" b="0" i="0" u="none" strike="noStrike" baseline="0">
              <a:solidFill>
                <a:schemeClr val="dk1"/>
              </a:solidFill>
              <a:effectLst/>
              <a:latin typeface="+mn-lt"/>
              <a:ea typeface="+mn-ea"/>
              <a:cs typeface="+mn-cs"/>
            </a:rPr>
            <a:t>link works, all of document(s) found</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39</xdr:col>
      <xdr:colOff>76200</xdr:colOff>
      <xdr:row>727</xdr:row>
      <xdr:rowOff>21771</xdr:rowOff>
    </xdr:from>
    <xdr:to>
      <xdr:col>39</xdr:col>
      <xdr:colOff>250372</xdr:colOff>
      <xdr:row>727</xdr:row>
      <xdr:rowOff>67490</xdr:rowOff>
    </xdr:to>
    <xdr:sp macro="" textlink="">
      <xdr:nvSpPr>
        <xdr:cNvPr id="30" name="TextBox 29">
          <a:extLst>
            <a:ext uri="{FF2B5EF4-FFF2-40B4-BE49-F238E27FC236}">
              <a16:creationId xmlns:a16="http://schemas.microsoft.com/office/drawing/2014/main" id="{D4DD450F-D516-44CD-BBCC-218058DDB258}"/>
            </a:ext>
          </a:extLst>
        </xdr:cNvPr>
        <xdr:cNvSpPr txBox="1"/>
      </xdr:nvSpPr>
      <xdr:spPr>
        <a:xfrm>
          <a:off x="18341340" y="256968171"/>
          <a:ext cx="0"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57</xdr:col>
      <xdr:colOff>18507</xdr:colOff>
      <xdr:row>791</xdr:row>
      <xdr:rowOff>139337</xdr:rowOff>
    </xdr:from>
    <xdr:to>
      <xdr:col>61</xdr:col>
      <xdr:colOff>261257</xdr:colOff>
      <xdr:row>791</xdr:row>
      <xdr:rowOff>1077686</xdr:rowOff>
    </xdr:to>
    <xdr:sp macro="" textlink="">
      <xdr:nvSpPr>
        <xdr:cNvPr id="31" name="TextBox 30">
          <a:extLst>
            <a:ext uri="{FF2B5EF4-FFF2-40B4-BE49-F238E27FC236}">
              <a16:creationId xmlns:a16="http://schemas.microsoft.com/office/drawing/2014/main" id="{9D2FFA81-9B43-4DD1-8493-84546872354D}"/>
            </a:ext>
          </a:extLst>
        </xdr:cNvPr>
        <xdr:cNvSpPr txBox="1"/>
      </xdr:nvSpPr>
      <xdr:spPr>
        <a:xfrm>
          <a:off x="18341340" y="270938897"/>
          <a:ext cx="0" cy="816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options:</a:t>
          </a:r>
          <a:endParaRPr lang="en-US" sz="1100" b="1"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during incarceration</a:t>
          </a:r>
        </a:p>
        <a:p>
          <a:r>
            <a:rPr lang="en-US" sz="1100" b="0" i="0" u="none" strike="noStrike" baseline="0">
              <a:solidFill>
                <a:schemeClr val="dk1"/>
              </a:solidFill>
              <a:effectLst/>
              <a:latin typeface="+mn-lt"/>
              <a:ea typeface="+mn-ea"/>
              <a:cs typeface="+mn-cs"/>
            </a:rPr>
            <a:t>since incarceration</a:t>
          </a:r>
        </a:p>
        <a:p>
          <a:r>
            <a:rPr lang="en-US" sz="1100" b="0" i="0" u="none" strike="noStrike" baseline="0">
              <a:solidFill>
                <a:schemeClr val="dk1"/>
              </a:solidFill>
              <a:effectLst/>
              <a:latin typeface="+mn-lt"/>
              <a:ea typeface="+mn-ea"/>
              <a:cs typeface="+mn-cs"/>
            </a:rPr>
            <a:t>during and since incarceration</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editAs="oneCell">
    <xdr:from>
      <xdr:col>0</xdr:col>
      <xdr:colOff>257767</xdr:colOff>
      <xdr:row>764</xdr:row>
      <xdr:rowOff>397328</xdr:rowOff>
    </xdr:from>
    <xdr:to>
      <xdr:col>2</xdr:col>
      <xdr:colOff>1335932</xdr:colOff>
      <xdr:row>764</xdr:row>
      <xdr:rowOff>1924594</xdr:rowOff>
    </xdr:to>
    <xdr:pic>
      <xdr:nvPicPr>
        <xdr:cNvPr id="32" name="Picture 31" descr="Maps, Country, America, States, Land, Geography, Us">
          <a:hlinkClick xmlns:r="http://schemas.openxmlformats.org/officeDocument/2006/relationships" r:id="rId14" tooltip="Clicking on map takes you to a website listing collateral consequences by state."/>
          <a:extLst>
            <a:ext uri="{FF2B5EF4-FFF2-40B4-BE49-F238E27FC236}">
              <a16:creationId xmlns:a16="http://schemas.microsoft.com/office/drawing/2014/main" id="{38DA604F-15B6-48B7-A99F-BF521F4D6E7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57767" y="264575108"/>
          <a:ext cx="2419285" cy="1527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83</xdr:col>
      <xdr:colOff>223067</xdr:colOff>
      <xdr:row>1195</xdr:row>
      <xdr:rowOff>284025</xdr:rowOff>
    </xdr:from>
    <xdr:to>
      <xdr:col>87</xdr:col>
      <xdr:colOff>240846</xdr:colOff>
      <xdr:row>1249</xdr:row>
      <xdr:rowOff>0</xdr:rowOff>
    </xdr:to>
    <xdr:sp macro="" textlink="">
      <xdr:nvSpPr>
        <xdr:cNvPr id="33" name="TextBox 32">
          <a:extLst>
            <a:ext uri="{FF2B5EF4-FFF2-40B4-BE49-F238E27FC236}">
              <a16:creationId xmlns:a16="http://schemas.microsoft.com/office/drawing/2014/main" id="{D2D0BFD8-6A10-4077-B64E-57FE1EEBFED2}"/>
            </a:ext>
          </a:extLst>
        </xdr:cNvPr>
        <xdr:cNvSpPr txBox="1"/>
      </xdr:nvSpPr>
      <xdr:spPr>
        <a:xfrm>
          <a:off x="18341340" y="30587442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how know</a:t>
          </a:r>
          <a:r>
            <a:rPr lang="en-US" sz="1100" b="1" i="0" u="none" strike="noStrike" baseline="0">
              <a:solidFill>
                <a:schemeClr val="dk1"/>
              </a:solidFill>
              <a:effectLst/>
              <a:latin typeface="+mn-lt"/>
              <a:ea typeface="+mn-ea"/>
              <a:cs typeface="+mn-cs"/>
            </a:rPr>
            <a:t> each other:</a:t>
          </a:r>
        </a:p>
        <a:p>
          <a:r>
            <a:rPr lang="en-US" sz="1100" b="0" i="0" u="none" strike="noStrike" baseline="0">
              <a:solidFill>
                <a:schemeClr val="dk1"/>
              </a:solidFill>
              <a:effectLst/>
              <a:latin typeface="+mn-lt"/>
              <a:ea typeface="+mn-ea"/>
              <a:cs typeface="+mn-cs"/>
            </a:rPr>
            <a:t>family</a:t>
          </a:r>
        </a:p>
        <a:p>
          <a:r>
            <a:rPr lang="en-US" sz="1100" b="0" i="0" u="none" strike="noStrike" baseline="0">
              <a:solidFill>
                <a:schemeClr val="dk1"/>
              </a:solidFill>
              <a:effectLst/>
              <a:latin typeface="+mn-lt"/>
              <a:ea typeface="+mn-ea"/>
              <a:cs typeface="+mn-cs"/>
            </a:rPr>
            <a:t>friend</a:t>
          </a:r>
        </a:p>
        <a:p>
          <a:r>
            <a:rPr lang="en-US" sz="1100" b="0" i="0" u="none" strike="noStrike" baseline="0">
              <a:solidFill>
                <a:schemeClr val="dk1"/>
              </a:solidFill>
              <a:effectLst/>
              <a:latin typeface="+mn-lt"/>
              <a:ea typeface="+mn-ea"/>
              <a:cs typeface="+mn-cs"/>
            </a:rPr>
            <a:t>work/school colleague</a:t>
          </a:r>
        </a:p>
        <a:p>
          <a:r>
            <a:rPr lang="en-US" sz="1100" b="0" i="0" u="none" strike="noStrike" baseline="0">
              <a:solidFill>
                <a:schemeClr val="dk1"/>
              </a:solidFill>
              <a:effectLst/>
              <a:latin typeface="+mn-lt"/>
              <a:ea typeface="+mn-ea"/>
              <a:cs typeface="+mn-cs"/>
            </a:rPr>
            <a:t>casual acquaintance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professional acquaintance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social media only</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by referral only</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do not personally know (yet)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other</a:t>
          </a:r>
          <a:endParaRPr lang="en-US">
            <a:effectLst/>
          </a:endParaRPr>
        </a:p>
        <a:p>
          <a:endParaRPr lang="en-US" sz="1100" b="0" i="0" u="none" strike="noStrike" baseline="0">
            <a:solidFill>
              <a:schemeClr val="dk1"/>
            </a:solidFill>
            <a:effectLst/>
            <a:latin typeface="+mn-lt"/>
            <a:ea typeface="+mn-ea"/>
            <a:cs typeface="+mn-cs"/>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0</xdr:col>
      <xdr:colOff>16328</xdr:colOff>
      <xdr:row>2061</xdr:row>
      <xdr:rowOff>149134</xdr:rowOff>
    </xdr:from>
    <xdr:to>
      <xdr:col>3</xdr:col>
      <xdr:colOff>1652452</xdr:colOff>
      <xdr:row>2075</xdr:row>
      <xdr:rowOff>4354</xdr:rowOff>
    </xdr:to>
    <xdr:sp macro="" textlink="">
      <xdr:nvSpPr>
        <xdr:cNvPr id="34" name="TextBox 33">
          <a:extLst>
            <a:ext uri="{FF2B5EF4-FFF2-40B4-BE49-F238E27FC236}">
              <a16:creationId xmlns:a16="http://schemas.microsoft.com/office/drawing/2014/main" id="{6B812DC0-4C04-46BF-A723-6DD1F7539DF4}"/>
            </a:ext>
          </a:extLst>
        </xdr:cNvPr>
        <xdr:cNvSpPr txBox="1"/>
      </xdr:nvSpPr>
      <xdr:spPr>
        <a:xfrm>
          <a:off x="16328" y="340149180"/>
          <a:ext cx="543088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1800" b="1">
              <a:solidFill>
                <a:sysClr val="windowText" lastClr="000000"/>
              </a:solidFill>
              <a:effectLst>
                <a:glow rad="25400">
                  <a:schemeClr val="bg1"/>
                </a:glow>
                <a:outerShdw dist="38100" dir="2400000" algn="tl" rotWithShape="0">
                  <a:srgbClr val="000000"/>
                </a:outerShdw>
              </a:effectLst>
              <a:latin typeface="Arial Black" panose="020B0A04020102020204" pitchFamily="34" charset="0"/>
              <a:ea typeface="+mn-ea"/>
              <a:cs typeface="Arial" panose="020B0604020202020204" pitchFamily="34" charset="0"/>
            </a:rPr>
            <a:t>Prosecutors are essentially accountable</a:t>
          </a:r>
          <a:r>
            <a:rPr lang="en-US" sz="1800" b="1" baseline="0">
              <a:solidFill>
                <a:sysClr val="windowText" lastClr="000000"/>
              </a:solidFill>
              <a:effectLst>
                <a:glow rad="25400">
                  <a:schemeClr val="bg1"/>
                </a:glow>
                <a:outerShdw dist="38100" dir="2400000" algn="tl" rotWithShape="0">
                  <a:srgbClr val="000000"/>
                </a:outerShdw>
              </a:effectLst>
              <a:latin typeface="Arial Black" panose="020B0A04020102020204" pitchFamily="34" charset="0"/>
              <a:ea typeface="+mn-ea"/>
              <a:cs typeface="Arial" panose="020B0604020202020204" pitchFamily="34" charset="0"/>
            </a:rPr>
            <a:t> to no one. They enjoy immunities, </a:t>
          </a:r>
          <a:endParaRPr lang="en-US" sz="1800" b="1">
            <a:solidFill>
              <a:sysClr val="windowText" lastClr="000000"/>
            </a:solidFill>
            <a:effectLst>
              <a:glow rad="25400">
                <a:schemeClr val="bg1"/>
              </a:glow>
              <a:outerShdw dist="38100" dir="2400000" algn="tl" rotWithShape="0">
                <a:srgbClr val="000000"/>
              </a:outerShdw>
            </a:effectLst>
            <a:latin typeface="Arial Black" panose="020B0A04020102020204" pitchFamily="34" charset="0"/>
            <a:ea typeface="+mn-ea"/>
            <a:cs typeface="Arial" panose="020B0604020202020204" pitchFamily="34" charset="0"/>
          </a:endParaRPr>
        </a:p>
      </xdr:txBody>
    </xdr:sp>
    <xdr:clientData/>
  </xdr:twoCellAnchor>
  <xdr:twoCellAnchor>
    <xdr:from>
      <xdr:col>46</xdr:col>
      <xdr:colOff>190500</xdr:colOff>
      <xdr:row>1558</xdr:row>
      <xdr:rowOff>116408</xdr:rowOff>
    </xdr:from>
    <xdr:to>
      <xdr:col>64</xdr:col>
      <xdr:colOff>196931</xdr:colOff>
      <xdr:row>1580</xdr:row>
      <xdr:rowOff>28574</xdr:rowOff>
    </xdr:to>
    <xdr:sp macro="" textlink="">
      <xdr:nvSpPr>
        <xdr:cNvPr id="35" name="TextBox 34">
          <a:extLst>
            <a:ext uri="{FF2B5EF4-FFF2-40B4-BE49-F238E27FC236}">
              <a16:creationId xmlns:a16="http://schemas.microsoft.com/office/drawing/2014/main" id="{08CB0000-D482-49FD-8096-1BDD9E6BF65B}"/>
            </a:ext>
          </a:extLst>
        </xdr:cNvPr>
        <xdr:cNvSpPr txBox="1"/>
      </xdr:nvSpPr>
      <xdr:spPr>
        <a:xfrm>
          <a:off x="18341340" y="30587442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how know</a:t>
          </a:r>
          <a:r>
            <a:rPr lang="en-US" sz="1100" b="1" i="0" u="none" strike="noStrike" baseline="0">
              <a:solidFill>
                <a:schemeClr val="dk1"/>
              </a:solidFill>
              <a:effectLst/>
              <a:latin typeface="+mn-lt"/>
              <a:ea typeface="+mn-ea"/>
              <a:cs typeface="+mn-cs"/>
            </a:rPr>
            <a:t> each other:</a:t>
          </a:r>
        </a:p>
        <a:p>
          <a:r>
            <a:rPr lang="en-US" sz="1100" b="0" i="0" u="none" strike="noStrike" baseline="0">
              <a:solidFill>
                <a:schemeClr val="dk1"/>
              </a:solidFill>
              <a:effectLst/>
              <a:latin typeface="+mn-lt"/>
              <a:ea typeface="+mn-ea"/>
              <a:cs typeface="+mn-cs"/>
            </a:rPr>
            <a:t>I pledge my reputation that I have no personal relation with claimant or their supporters</a:t>
          </a:r>
        </a:p>
        <a:p>
          <a:r>
            <a:rPr lang="en-US" sz="1100" b="0" i="0" u="none" strike="noStrike" baseline="0">
              <a:solidFill>
                <a:schemeClr val="dk1"/>
              </a:solidFill>
              <a:effectLst/>
              <a:latin typeface="+mn-lt"/>
              <a:ea typeface="+mn-ea"/>
              <a:cs typeface="+mn-cs"/>
            </a:rPr>
            <a:t>I pledge my </a:t>
          </a:r>
          <a:r>
            <a:rPr lang="en-US" sz="1100" b="0" i="0" baseline="0">
              <a:solidFill>
                <a:schemeClr val="dk1"/>
              </a:solidFill>
              <a:effectLst/>
              <a:latin typeface="+mn-lt"/>
              <a:ea typeface="+mn-ea"/>
              <a:cs typeface="+mn-cs"/>
            </a:rPr>
            <a:t>reputation</a:t>
          </a:r>
          <a:r>
            <a:rPr lang="en-US" sz="1100" b="0" i="0" u="none" strike="noStrike" baseline="0">
              <a:solidFill>
                <a:schemeClr val="dk1"/>
              </a:solidFill>
              <a:effectLst/>
              <a:latin typeface="+mn-lt"/>
              <a:ea typeface="+mn-ea"/>
              <a:cs typeface="+mn-cs"/>
            </a:rPr>
            <a:t> that I have only a professional relation with claimant through: ____</a:t>
          </a:r>
        </a:p>
        <a:p>
          <a:r>
            <a:rPr lang="en-US" sz="1100" b="0" i="0" u="none" strike="noStrike" baseline="0">
              <a:solidFill>
                <a:schemeClr val="dk1"/>
              </a:solidFill>
              <a:effectLst/>
              <a:latin typeface="+mn-lt"/>
              <a:ea typeface="+mn-ea"/>
              <a:cs typeface="+mn-cs"/>
            </a:rPr>
            <a:t>I pledge my </a:t>
          </a:r>
          <a:r>
            <a:rPr lang="en-US" sz="1100" b="0" i="0" baseline="0">
              <a:solidFill>
                <a:schemeClr val="dk1"/>
              </a:solidFill>
              <a:effectLst/>
              <a:latin typeface="+mn-lt"/>
              <a:ea typeface="+mn-ea"/>
              <a:cs typeface="+mn-cs"/>
            </a:rPr>
            <a:t>reputation</a:t>
          </a:r>
          <a:r>
            <a:rPr lang="en-US" sz="1100" b="0" i="0" u="none" strike="noStrike" baseline="0">
              <a:solidFill>
                <a:schemeClr val="dk1"/>
              </a:solidFill>
              <a:effectLst/>
              <a:latin typeface="+mn-lt"/>
              <a:ea typeface="+mn-ea"/>
              <a:cs typeface="+mn-cs"/>
            </a:rPr>
            <a:t> that I only know claimant through a common contact</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I was involved in the claimant's prosecution in some extent</a:t>
          </a:r>
        </a:p>
        <a:p>
          <a:r>
            <a:rPr lang="en-US" sz="1100" b="0" i="0" u="none" strike="noStrike" baseline="0">
              <a:solidFill>
                <a:schemeClr val="dk1"/>
              </a:solidFill>
              <a:effectLst/>
              <a:latin typeface="+mn-lt"/>
              <a:ea typeface="+mn-ea"/>
              <a:cs typeface="+mn-cs"/>
            </a:rPr>
            <a:t>I am a member of the criminal justice system never involved in this case</a:t>
          </a:r>
        </a:p>
        <a:p>
          <a:r>
            <a:rPr lang="en-US" sz="1100" b="0" i="0" u="none" strike="noStrike" baseline="0">
              <a:solidFill>
                <a:schemeClr val="dk1"/>
              </a:solidFill>
              <a:effectLst/>
              <a:latin typeface="+mn-lt"/>
              <a:ea typeface="+mn-ea"/>
              <a:cs typeface="+mn-cs"/>
            </a:rPr>
            <a:t>I personally know victim that led to claimant's indictment and conviction</a:t>
          </a:r>
        </a:p>
        <a:p>
          <a:r>
            <a:rPr lang="en-US" sz="1100" b="0" i="0" u="none" strike="noStrike" baseline="0">
              <a:solidFill>
                <a:schemeClr val="dk1"/>
              </a:solidFill>
              <a:effectLst/>
              <a:latin typeface="+mn-lt"/>
              <a:ea typeface="+mn-ea"/>
              <a:cs typeface="+mn-cs"/>
            </a:rPr>
            <a:t>I am the complainant behind claimant's indictment and conviction</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 I am fully independent and do not personally know claimant or any listed supporter ]]</a:t>
          </a:r>
        </a:p>
        <a:p>
          <a:r>
            <a:rPr lang="en-US" sz="1100" b="1" i="0" u="none" strike="noStrike" baseline="0">
              <a:solidFill>
                <a:schemeClr val="dk1"/>
              </a:solidFill>
              <a:effectLst/>
              <a:latin typeface="+mn-lt"/>
              <a:ea typeface="+mn-ea"/>
              <a:cs typeface="+mn-cs"/>
            </a:rPr>
            <a:t>I do not personally know claimant nor any listed supporters nor previously involved in this case</a:t>
          </a:r>
        </a:p>
        <a:p>
          <a:r>
            <a:rPr lang="en-US" sz="1100" b="0" i="0" u="none" strike="noStrike" baseline="0">
              <a:solidFill>
                <a:schemeClr val="dk1"/>
              </a:solidFill>
              <a:effectLst/>
              <a:latin typeface="+mn-lt"/>
              <a:ea typeface="+mn-ea"/>
              <a:cs typeface="+mn-cs"/>
            </a:rPr>
            <a:t>[ I am fully independent and accountable to the professional entity identified below ]</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I personally know proxy or one or more of claimant's listed supporters</a:t>
          </a:r>
        </a:p>
        <a:p>
          <a:r>
            <a:rPr lang="en-US" sz="1100" b="0" i="0" u="none" strike="noStrike" baseline="0">
              <a:solidFill>
                <a:schemeClr val="dk1"/>
              </a:solidFill>
              <a:effectLst/>
              <a:latin typeface="+mn-lt"/>
              <a:ea typeface="+mn-ea"/>
              <a:cs typeface="+mn-cs"/>
            </a:rPr>
            <a:t>I personally know claimant but I am not (yet) a listed supporter</a:t>
          </a:r>
        </a:p>
        <a:p>
          <a:r>
            <a:rPr lang="en-US" sz="1100" b="0" i="0" u="none" strike="noStrike" baseline="0">
              <a:solidFill>
                <a:schemeClr val="dk1"/>
              </a:solidFill>
              <a:effectLst/>
              <a:latin typeface="+mn-lt"/>
              <a:ea typeface="+mn-ea"/>
              <a:cs typeface="+mn-cs"/>
            </a:rPr>
            <a:t>I am one of claimant's listed supporters</a:t>
          </a:r>
        </a:p>
        <a:p>
          <a:r>
            <a:rPr lang="en-US" sz="1100" b="0" i="0" u="none" strike="noStrike" baseline="0">
              <a:solidFill>
                <a:schemeClr val="dk1"/>
              </a:solidFill>
              <a:effectLst/>
              <a:latin typeface="+mn-lt"/>
              <a:ea typeface="+mn-ea"/>
              <a:cs typeface="+mn-cs"/>
            </a:rPr>
            <a:t>I am claimant's proxy supporter</a:t>
          </a:r>
        </a:p>
        <a:p>
          <a:r>
            <a:rPr lang="en-US" sz="1100" b="0" i="0" u="none" strike="noStrike" baseline="0">
              <a:solidFill>
                <a:schemeClr val="dk1"/>
              </a:solidFill>
              <a:effectLst/>
              <a:latin typeface="+mn-lt"/>
              <a:ea typeface="+mn-ea"/>
              <a:cs typeface="+mn-cs"/>
            </a:rPr>
            <a:t>I am the claimant</a:t>
          </a:r>
        </a:p>
        <a:p>
          <a:r>
            <a:rPr lang="en-US" sz="1100" b="0" i="0" u="none" strike="noStrike" baseline="0">
              <a:solidFill>
                <a:schemeClr val="dk1"/>
              </a:solidFill>
              <a:effectLst/>
              <a:latin typeface="+mn-lt"/>
              <a:ea typeface="+mn-ea"/>
              <a:cs typeface="+mn-cs"/>
            </a:rPr>
            <a:t>Other: _____</a:t>
          </a:r>
          <a:endParaRPr lang="en-US">
            <a:effectLst/>
          </a:endParaRPr>
        </a:p>
        <a:p>
          <a:endParaRPr lang="en-US" sz="1100" b="0" i="0" u="none" strike="noStrike" baseline="0">
            <a:solidFill>
              <a:schemeClr val="dk1"/>
            </a:solidFill>
            <a:effectLst/>
            <a:latin typeface="+mn-lt"/>
            <a:ea typeface="+mn-ea"/>
            <a:cs typeface="+mn-cs"/>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0</xdr:col>
      <xdr:colOff>238125</xdr:colOff>
      <xdr:row>2119</xdr:row>
      <xdr:rowOff>160020</xdr:rowOff>
    </xdr:from>
    <xdr:to>
      <xdr:col>3</xdr:col>
      <xdr:colOff>1259205</xdr:colOff>
      <xdr:row>2130</xdr:row>
      <xdr:rowOff>80010</xdr:rowOff>
    </xdr:to>
    <xdr:sp macro="" textlink="">
      <xdr:nvSpPr>
        <xdr:cNvPr id="37" name="TextBox 36">
          <a:extLst>
            <a:ext uri="{FF2B5EF4-FFF2-40B4-BE49-F238E27FC236}">
              <a16:creationId xmlns:a16="http://schemas.microsoft.com/office/drawing/2014/main" id="{21F2D186-F24B-4381-94C5-9E81BB8FFDD7}"/>
            </a:ext>
          </a:extLst>
        </xdr:cNvPr>
        <xdr:cNvSpPr txBox="1"/>
      </xdr:nvSpPr>
      <xdr:spPr>
        <a:xfrm>
          <a:off x="238125" y="340149180"/>
          <a:ext cx="4815840" cy="0"/>
        </a:xfrm>
        <a:prstGeom prst="rect">
          <a:avLst/>
        </a:prstGeom>
        <a:solidFill>
          <a:srgbClr val="FFCCCC">
            <a:alpha val="30196"/>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Tahoma" panose="020B0604030504040204" pitchFamily="34" charset="0"/>
              <a:ea typeface="Tahoma" panose="020B0604030504040204" pitchFamily="34" charset="0"/>
              <a:cs typeface="Tahoma" panose="020B0604030504040204" pitchFamily="34" charset="0"/>
            </a:rPr>
            <a:t>innocence denier</a:t>
          </a:r>
        </a:p>
        <a:p>
          <a:r>
            <a:rPr lang="en-US" sz="2000" b="1">
              <a:latin typeface="Tahoma" panose="020B0604030504040204" pitchFamily="34" charset="0"/>
              <a:ea typeface="Tahoma" panose="020B0604030504040204" pitchFamily="34" charset="0"/>
              <a:cs typeface="Tahoma" panose="020B0604030504040204" pitchFamily="34" charset="0"/>
            </a:rPr>
            <a:t>innocence consciousness</a:t>
          </a:r>
        </a:p>
        <a:p>
          <a:endParaRPr lang="en-US" sz="1100"/>
        </a:p>
      </xdr:txBody>
    </xdr:sp>
    <xdr:clientData/>
  </xdr:twoCellAnchor>
  <xdr:twoCellAnchor>
    <xdr:from>
      <xdr:col>1</xdr:col>
      <xdr:colOff>723900</xdr:colOff>
      <xdr:row>2125</xdr:row>
      <xdr:rowOff>20955</xdr:rowOff>
    </xdr:from>
    <xdr:to>
      <xdr:col>4</xdr:col>
      <xdr:colOff>32385</xdr:colOff>
      <xdr:row>2135</xdr:row>
      <xdr:rowOff>120015</xdr:rowOff>
    </xdr:to>
    <xdr:sp macro="" textlink="">
      <xdr:nvSpPr>
        <xdr:cNvPr id="38" name="TextBox 37">
          <a:extLst>
            <a:ext uri="{FF2B5EF4-FFF2-40B4-BE49-F238E27FC236}">
              <a16:creationId xmlns:a16="http://schemas.microsoft.com/office/drawing/2014/main" id="{6FCEAE61-889C-452B-8882-28EECA34153D}"/>
            </a:ext>
          </a:extLst>
        </xdr:cNvPr>
        <xdr:cNvSpPr txBox="1"/>
      </xdr:nvSpPr>
      <xdr:spPr>
        <a:xfrm>
          <a:off x="982980" y="340149180"/>
          <a:ext cx="4817745" cy="0"/>
        </a:xfrm>
        <a:prstGeom prst="rect">
          <a:avLst/>
        </a:prstGeom>
        <a:solidFill>
          <a:srgbClr val="FFCCCC">
            <a:alpha val="30196"/>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Tahoma" panose="020B0604030504040204" pitchFamily="34" charset="0"/>
              <a:ea typeface="Tahoma" panose="020B0604030504040204" pitchFamily="34" charset="0"/>
              <a:cs typeface="Tahoma" panose="020B0604030504040204" pitchFamily="34" charset="0"/>
            </a:rPr>
            <a:t>incentivized conviction rates?</a:t>
          </a:r>
        </a:p>
        <a:p>
          <a:endParaRPr lang="en-US" sz="1100"/>
        </a:p>
        <a:p>
          <a:endParaRPr lang="en-US" sz="1100"/>
        </a:p>
        <a:p>
          <a:r>
            <a:rPr lang="en-US"/>
            <a:t>Four types of prosecutorial misconduct are offering inadmissible evidence in court, suppressing evidence from the defense, encouraging deceit from witnesses, and prosecutorial bluffing (threats or intimidation).</a:t>
          </a:r>
          <a:endParaRPr lang="en-US" sz="1100"/>
        </a:p>
      </xdr:txBody>
    </xdr:sp>
    <xdr:clientData/>
  </xdr:twoCellAnchor>
  <xdr:twoCellAnchor>
    <xdr:from>
      <xdr:col>1</xdr:col>
      <xdr:colOff>1905</xdr:colOff>
      <xdr:row>2133</xdr:row>
      <xdr:rowOff>110490</xdr:rowOff>
    </xdr:from>
    <xdr:to>
      <xdr:col>3</xdr:col>
      <xdr:colOff>1238250</xdr:colOff>
      <xdr:row>2144</xdr:row>
      <xdr:rowOff>34290</xdr:rowOff>
    </xdr:to>
    <xdr:sp macro="" textlink="">
      <xdr:nvSpPr>
        <xdr:cNvPr id="39" name="TextBox 38">
          <a:hlinkClick xmlns:r="http://schemas.openxmlformats.org/officeDocument/2006/relationships" r:id="rId16"/>
          <a:extLst>
            <a:ext uri="{FF2B5EF4-FFF2-40B4-BE49-F238E27FC236}">
              <a16:creationId xmlns:a16="http://schemas.microsoft.com/office/drawing/2014/main" id="{1C63EB42-4F9A-4842-94FA-3CAE2FB51BCE}"/>
            </a:ext>
          </a:extLst>
        </xdr:cNvPr>
        <xdr:cNvSpPr txBox="1"/>
      </xdr:nvSpPr>
      <xdr:spPr>
        <a:xfrm>
          <a:off x="260985" y="340149180"/>
          <a:ext cx="4772025" cy="0"/>
        </a:xfrm>
        <a:prstGeom prst="rect">
          <a:avLst/>
        </a:prstGeom>
        <a:solidFill>
          <a:srgbClr val="FFCCCC">
            <a:alpha val="30196"/>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Tahoma" panose="020B0604030504040204" pitchFamily="34" charset="0"/>
              <a:ea typeface="Tahoma" panose="020B0604030504040204" pitchFamily="34" charset="0"/>
              <a:cs typeface="Tahoma" panose="020B0604030504040204" pitchFamily="34" charset="0"/>
            </a:rPr>
            <a:t>4 types of prosecutorial</a:t>
          </a:r>
          <a:r>
            <a:rPr lang="en-US" sz="2000" b="1" baseline="0">
              <a:latin typeface="Tahoma" panose="020B0604030504040204" pitchFamily="34" charset="0"/>
              <a:ea typeface="Tahoma" panose="020B0604030504040204" pitchFamily="34" charset="0"/>
              <a:cs typeface="Tahoma" panose="020B0604030504040204" pitchFamily="34" charset="0"/>
            </a:rPr>
            <a:t> misconduct</a:t>
          </a:r>
          <a:endParaRPr lang="en-US" sz="2000" b="1">
            <a:latin typeface="Tahoma" panose="020B0604030504040204" pitchFamily="34" charset="0"/>
            <a:ea typeface="Tahoma" panose="020B0604030504040204" pitchFamily="34" charset="0"/>
            <a:cs typeface="Tahoma" panose="020B0604030504040204" pitchFamily="34" charset="0"/>
          </a:endParaRPr>
        </a:p>
        <a:p>
          <a:endParaRPr lang="en-US" sz="1100"/>
        </a:p>
        <a:p>
          <a:endParaRPr lang="en-US" sz="1100"/>
        </a:p>
        <a:p>
          <a:r>
            <a:rPr lang="en-US"/>
            <a:t>Four types of prosecutorial misconduct are offering inadmissible evidence in court, suppressing evidence from the defense, encouraging deceit from witnesses, and prosecutorial bluffing (threats or intimidation).</a:t>
          </a:r>
          <a:endParaRPr lang="en-US" sz="1100"/>
        </a:p>
      </xdr:txBody>
    </xdr:sp>
    <xdr:clientData/>
  </xdr:twoCellAnchor>
  <xdr:twoCellAnchor>
    <xdr:from>
      <xdr:col>41</xdr:col>
      <xdr:colOff>62592</xdr:colOff>
      <xdr:row>163</xdr:row>
      <xdr:rowOff>102054</xdr:rowOff>
    </xdr:from>
    <xdr:to>
      <xdr:col>58</xdr:col>
      <xdr:colOff>291192</xdr:colOff>
      <xdr:row>172</xdr:row>
      <xdr:rowOff>174171</xdr:rowOff>
    </xdr:to>
    <xdr:sp macro="" textlink="">
      <xdr:nvSpPr>
        <xdr:cNvPr id="40" name="TextBox 39">
          <a:extLst>
            <a:ext uri="{FF2B5EF4-FFF2-40B4-BE49-F238E27FC236}">
              <a16:creationId xmlns:a16="http://schemas.microsoft.com/office/drawing/2014/main" id="{66CD49F3-73C1-4F18-8C9B-2145440CCECE}"/>
            </a:ext>
          </a:extLst>
        </xdr:cNvPr>
        <xdr:cNvSpPr txBox="1"/>
      </xdr:nvSpPr>
      <xdr:spPr>
        <a:xfrm>
          <a:off x="18341340" y="46004934"/>
          <a:ext cx="0" cy="2350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Involvement</a:t>
          </a:r>
          <a:r>
            <a:rPr lang="en-US" sz="1100"/>
            <a:t>:</a:t>
          </a:r>
        </a:p>
        <a:p>
          <a:endParaRPr lang="en-US" sz="1100"/>
        </a:p>
        <a:p>
          <a:r>
            <a:rPr lang="en-US" sz="1100"/>
            <a:t>alleged crime never occured</a:t>
          </a:r>
        </a:p>
        <a:p>
          <a:r>
            <a:rPr lang="en-US" sz="1100"/>
            <a:t>not</a:t>
          </a:r>
          <a:r>
            <a:rPr lang="en-US" sz="1100" baseline="0"/>
            <a:t> present during alleged incident nor played any role</a:t>
          </a:r>
        </a:p>
        <a:p>
          <a:r>
            <a:rPr lang="en-US" sz="1100" baseline="0"/>
            <a:t>present after </a:t>
          </a:r>
          <a:r>
            <a:rPr lang="en-US" sz="1100" baseline="0">
              <a:solidFill>
                <a:schemeClr val="dk1"/>
              </a:solidFill>
              <a:effectLst/>
              <a:latin typeface="+mn-lt"/>
              <a:ea typeface="+mn-ea"/>
              <a:cs typeface="+mn-cs"/>
            </a:rPr>
            <a:t>alleged</a:t>
          </a:r>
          <a:r>
            <a:rPr lang="en-US" sz="1100" baseline="0"/>
            <a:t> incident but played no role in any criminal act</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present prior to alleged incident but played no role in any criminal act</a:t>
          </a:r>
          <a:endParaRPr lang="en-US">
            <a:effectLst/>
          </a:endParaRPr>
        </a:p>
        <a:p>
          <a:r>
            <a:rPr lang="en-US" sz="1100" baseline="0">
              <a:solidFill>
                <a:schemeClr val="dk1"/>
              </a:solidFill>
              <a:effectLst/>
              <a:latin typeface="+mn-lt"/>
              <a:ea typeface="+mn-ea"/>
              <a:cs typeface="+mn-cs"/>
            </a:rPr>
            <a:t>present during alleged incident but never witnessed any criminal act</a:t>
          </a:r>
          <a:endParaRPr lang="en-US" sz="1100" baseline="0"/>
        </a:p>
        <a:p>
          <a:r>
            <a:rPr lang="en-US" sz="1100" baseline="0"/>
            <a:t>present during alleged incident but played </a:t>
          </a:r>
          <a:r>
            <a:rPr lang="en-US" sz="1100"/>
            <a:t>no role in any</a:t>
          </a:r>
          <a:r>
            <a:rPr lang="en-US" sz="1100" baseline="0"/>
            <a:t> criminal act</a:t>
          </a:r>
        </a:p>
        <a:p>
          <a:r>
            <a:rPr lang="en-US" sz="1100" baseline="0">
              <a:solidFill>
                <a:schemeClr val="dk1"/>
              </a:solidFill>
              <a:effectLst/>
              <a:latin typeface="+mn-lt"/>
              <a:ea typeface="+mn-ea"/>
              <a:cs typeface="+mn-cs"/>
            </a:rPr>
            <a:t>present during alleged incident as another but unidentified victim</a:t>
          </a:r>
          <a:endParaRPr lang="en-US" sz="1100"/>
        </a:p>
        <a:p>
          <a:r>
            <a:rPr lang="en-US" sz="1100"/>
            <a:t>played a minimal role in situation</a:t>
          </a:r>
          <a:r>
            <a:rPr lang="en-US" sz="1100" baseline="0"/>
            <a:t> in a way not explicitly criminal</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involved in assisting complainant but played no role in alleged criminal act</a:t>
          </a:r>
          <a:endParaRPr lang="en-US">
            <a:effectLst/>
          </a:endParaRPr>
        </a:p>
        <a:p>
          <a:r>
            <a:rPr lang="en-US" sz="1100" baseline="0"/>
            <a:t>entrapped by police or informant to act in way not explicitly criminal</a:t>
          </a:r>
        </a:p>
        <a:p>
          <a:r>
            <a:rPr lang="en-US" sz="1100" baseline="0"/>
            <a:t>other (of actual innocence)</a:t>
          </a:r>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a:p>
      </xdr:txBody>
    </xdr:sp>
    <xdr:clientData/>
  </xdr:twoCellAnchor>
  <xdr:twoCellAnchor>
    <xdr:from>
      <xdr:col>58</xdr:col>
      <xdr:colOff>522514</xdr:colOff>
      <xdr:row>148</xdr:row>
      <xdr:rowOff>302079</xdr:rowOff>
    </xdr:from>
    <xdr:to>
      <xdr:col>67</xdr:col>
      <xdr:colOff>127907</xdr:colOff>
      <xdr:row>159</xdr:row>
      <xdr:rowOff>130629</xdr:rowOff>
    </xdr:to>
    <xdr:sp macro="" textlink="">
      <xdr:nvSpPr>
        <xdr:cNvPr id="41" name="TextBox 40">
          <a:extLst>
            <a:ext uri="{FF2B5EF4-FFF2-40B4-BE49-F238E27FC236}">
              <a16:creationId xmlns:a16="http://schemas.microsoft.com/office/drawing/2014/main" id="{5C668B0D-0DC5-46BF-B8E6-BB1D723AE9D8}"/>
            </a:ext>
          </a:extLst>
        </xdr:cNvPr>
        <xdr:cNvSpPr txBox="1"/>
      </xdr:nvSpPr>
      <xdr:spPr>
        <a:xfrm>
          <a:off x="18341340" y="42699759"/>
          <a:ext cx="0" cy="21983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Crimes you were convicted of: </a:t>
          </a:r>
        </a:p>
        <a:p>
          <a:r>
            <a:rPr lang="en-US" sz="1100"/>
            <a:t>murder</a:t>
          </a:r>
        </a:p>
        <a:p>
          <a:r>
            <a:rPr lang="en-US" sz="1100" baseline="0"/>
            <a:t>attempted murder</a:t>
          </a:r>
        </a:p>
        <a:p>
          <a:r>
            <a:rPr lang="en-US" sz="1100" baseline="0"/>
            <a:t>sexual assualt/rape</a:t>
          </a:r>
        </a:p>
        <a:p>
          <a:r>
            <a:rPr lang="en-US" sz="1100" baseline="0"/>
            <a:t>sexual assault of minor</a:t>
          </a:r>
        </a:p>
        <a:p>
          <a:r>
            <a:rPr lang="en-US" sz="1100" baseline="0"/>
            <a:t>burglary</a:t>
          </a:r>
        </a:p>
        <a:p>
          <a:r>
            <a:rPr lang="en-US" sz="1100" baseline="0"/>
            <a:t>robbery</a:t>
          </a:r>
        </a:p>
        <a:p>
          <a:r>
            <a:rPr lang="en-US" sz="1100" baseline="0"/>
            <a:t>arson</a:t>
          </a:r>
        </a:p>
        <a:p>
          <a:r>
            <a:rPr lang="en-US" sz="1100" baseline="0"/>
            <a:t>other (explain in box)</a:t>
          </a:r>
        </a:p>
      </xdr:txBody>
    </xdr:sp>
    <xdr:clientData/>
  </xdr:twoCellAnchor>
  <xdr:twoCellAnchor>
    <xdr:from>
      <xdr:col>32</xdr:col>
      <xdr:colOff>194583</xdr:colOff>
      <xdr:row>242</xdr:row>
      <xdr:rowOff>154306</xdr:rowOff>
    </xdr:from>
    <xdr:to>
      <xdr:col>38</xdr:col>
      <xdr:colOff>160020</xdr:colOff>
      <xdr:row>246</xdr:row>
      <xdr:rowOff>226696</xdr:rowOff>
    </xdr:to>
    <xdr:sp macro="" textlink="">
      <xdr:nvSpPr>
        <xdr:cNvPr id="42" name="TextBox 41">
          <a:extLst>
            <a:ext uri="{FF2B5EF4-FFF2-40B4-BE49-F238E27FC236}">
              <a16:creationId xmlns:a16="http://schemas.microsoft.com/office/drawing/2014/main" id="{31F5CA63-EB44-4187-9ACA-445CD09CA413}"/>
            </a:ext>
          </a:extLst>
        </xdr:cNvPr>
        <xdr:cNvSpPr txBox="1"/>
      </xdr:nvSpPr>
      <xdr:spPr>
        <a:xfrm>
          <a:off x="18341340" y="64063246"/>
          <a:ext cx="0"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If multiple sentences: </a:t>
          </a:r>
        </a:p>
        <a:p>
          <a:r>
            <a:rPr lang="en-US" sz="1100" b="0" i="0" u="none" strike="noStrike" baseline="0">
              <a:solidFill>
                <a:schemeClr val="dk1"/>
              </a:solidFill>
              <a:latin typeface="+mn-lt"/>
              <a:ea typeface="+mn-ea"/>
              <a:cs typeface="+mn-cs"/>
            </a:rPr>
            <a:t>concurrent</a:t>
          </a:r>
        </a:p>
        <a:p>
          <a:r>
            <a:rPr lang="en-US" sz="1100" b="0" i="0" u="none" strike="noStrike" baseline="0">
              <a:solidFill>
                <a:schemeClr val="dk1"/>
              </a:solidFill>
              <a:latin typeface="+mn-lt"/>
              <a:ea typeface="+mn-ea"/>
              <a:cs typeface="+mn-cs"/>
            </a:rPr>
            <a:t>consecutive</a:t>
          </a:r>
        </a:p>
        <a:p>
          <a:endParaRPr lang="en-US" sz="1100"/>
        </a:p>
        <a:p>
          <a:endParaRPr lang="en-US" sz="1100" baseline="0"/>
        </a:p>
      </xdr:txBody>
    </xdr:sp>
    <xdr:clientData/>
  </xdr:twoCellAnchor>
  <xdr:twoCellAnchor>
    <xdr:from>
      <xdr:col>60</xdr:col>
      <xdr:colOff>323849</xdr:colOff>
      <xdr:row>150</xdr:row>
      <xdr:rowOff>42182</xdr:rowOff>
    </xdr:from>
    <xdr:to>
      <xdr:col>70</xdr:col>
      <xdr:colOff>183695</xdr:colOff>
      <xdr:row>163</xdr:row>
      <xdr:rowOff>130628</xdr:rowOff>
    </xdr:to>
    <xdr:sp macro="" textlink="">
      <xdr:nvSpPr>
        <xdr:cNvPr id="43" name="TextBox 42">
          <a:extLst>
            <a:ext uri="{FF2B5EF4-FFF2-40B4-BE49-F238E27FC236}">
              <a16:creationId xmlns:a16="http://schemas.microsoft.com/office/drawing/2014/main" id="{2F534027-3CA3-41E4-8E2E-A2039946524E}"/>
            </a:ext>
          </a:extLst>
        </xdr:cNvPr>
        <xdr:cNvSpPr txBox="1"/>
      </xdr:nvSpPr>
      <xdr:spPr>
        <a:xfrm>
          <a:off x="18341340" y="43041842"/>
          <a:ext cx="0" cy="29916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relation to claimant: </a:t>
          </a:r>
        </a:p>
        <a:p>
          <a:r>
            <a:rPr lang="en-US" sz="1100" b="0" i="0" u="none" strike="noStrike" baseline="0">
              <a:solidFill>
                <a:schemeClr val="dk1"/>
              </a:solidFill>
              <a:latin typeface="+mn-lt"/>
              <a:ea typeface="+mn-ea"/>
              <a:cs typeface="+mn-cs"/>
            </a:rPr>
            <a:t>[spouse at time of conviction]</a:t>
          </a:r>
        </a:p>
        <a:p>
          <a:r>
            <a:rPr lang="en-US" sz="1100" b="0" i="0" baseline="0">
              <a:solidFill>
                <a:schemeClr val="dk1"/>
              </a:solidFill>
              <a:effectLst/>
              <a:latin typeface="+mn-lt"/>
              <a:ea typeface="+mn-ea"/>
              <a:cs typeface="+mn-cs"/>
            </a:rPr>
            <a:t>trusted </a:t>
          </a:r>
          <a:r>
            <a:rPr lang="en-US" sz="1100" b="0" i="0" u="none" strike="noStrike" baseline="0">
              <a:solidFill>
                <a:schemeClr val="dk1"/>
              </a:solidFill>
              <a:latin typeface="+mn-lt"/>
              <a:ea typeface="+mn-ea"/>
              <a:cs typeface="+mn-cs"/>
            </a:rPr>
            <a:t>family member</a:t>
          </a:r>
        </a:p>
        <a:p>
          <a:r>
            <a:rPr lang="en-US" sz="1100" b="0" i="0" u="none" strike="noStrike" baseline="0">
              <a:solidFill>
                <a:schemeClr val="dk1"/>
              </a:solidFill>
              <a:latin typeface="+mn-lt"/>
              <a:ea typeface="+mn-ea"/>
              <a:cs typeface="+mn-cs"/>
            </a:rPr>
            <a:t>trusted friend </a:t>
          </a:r>
        </a:p>
        <a:p>
          <a:r>
            <a:rPr lang="en-US" sz="1100" b="0" i="0" u="none" strike="noStrike" baseline="0">
              <a:solidFill>
                <a:schemeClr val="dk1"/>
              </a:solidFill>
              <a:latin typeface="+mn-lt"/>
              <a:ea typeface="+mn-ea"/>
              <a:cs typeface="+mn-cs"/>
            </a:rPr>
            <a:t>trusted colleague</a:t>
          </a: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a:t>defense lawyer</a:t>
          </a:r>
          <a:r>
            <a:rPr lang="en-US" sz="1100" baseline="0"/>
            <a:t> at trial</a:t>
          </a:r>
        </a:p>
        <a:p>
          <a:r>
            <a:rPr lang="en-US" sz="1100" baseline="0"/>
            <a:t>defense lawyer after trial</a:t>
          </a:r>
        </a:p>
        <a:p>
          <a:r>
            <a:rPr lang="en-US" sz="1100" baseline="0"/>
            <a:t>appellate lawyer</a:t>
          </a:r>
        </a:p>
        <a:p>
          <a:r>
            <a:rPr lang="en-US" sz="1100" baseline="0"/>
            <a:t>investigative journalist</a:t>
          </a:r>
        </a:p>
        <a:p>
          <a:r>
            <a:rPr lang="en-US" sz="1100" baseline="0"/>
            <a:t>activist</a:t>
          </a:r>
        </a:p>
        <a:p>
          <a:r>
            <a:rPr lang="en-US" sz="1100" baseline="0"/>
            <a:t>Innocence Project staff/volunteer</a:t>
          </a:r>
        </a:p>
        <a:p>
          <a:r>
            <a:rPr lang="en-US" sz="1100" baseline="0"/>
            <a:t>criminal justice system victim advocate</a:t>
          </a:r>
        </a:p>
        <a:p>
          <a:r>
            <a:rPr lang="en-US" sz="1100" baseline="0"/>
            <a:t>other</a:t>
          </a:r>
          <a:endParaRPr lang="en-US" sz="1100"/>
        </a:p>
        <a:p>
          <a:endParaRPr lang="en-US" sz="1100" baseline="0"/>
        </a:p>
      </xdr:txBody>
    </xdr:sp>
    <xdr:clientData/>
  </xdr:twoCellAnchor>
  <xdr:twoCellAnchor>
    <xdr:from>
      <xdr:col>53</xdr:col>
      <xdr:colOff>297996</xdr:colOff>
      <xdr:row>160</xdr:row>
      <xdr:rowOff>32657</xdr:rowOff>
    </xdr:from>
    <xdr:to>
      <xdr:col>61</xdr:col>
      <xdr:colOff>115661</xdr:colOff>
      <xdr:row>164</xdr:row>
      <xdr:rowOff>138794</xdr:rowOff>
    </xdr:to>
    <xdr:sp macro="" textlink="">
      <xdr:nvSpPr>
        <xdr:cNvPr id="44" name="TextBox 43">
          <a:extLst>
            <a:ext uri="{FF2B5EF4-FFF2-40B4-BE49-F238E27FC236}">
              <a16:creationId xmlns:a16="http://schemas.microsoft.com/office/drawing/2014/main" id="{26980428-E213-45DF-990A-CB0E1F1D63F2}"/>
            </a:ext>
          </a:extLst>
        </xdr:cNvPr>
        <xdr:cNvSpPr txBox="1"/>
      </xdr:nvSpPr>
      <xdr:spPr>
        <a:xfrm>
          <a:off x="18341340" y="45371657"/>
          <a:ext cx="0" cy="8605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language: </a:t>
          </a:r>
        </a:p>
        <a:p>
          <a:r>
            <a:rPr lang="en-US" sz="1100" b="0" i="0" u="none" strike="noStrike" baseline="0">
              <a:solidFill>
                <a:schemeClr val="dk1"/>
              </a:solidFill>
              <a:latin typeface="+mn-lt"/>
              <a:ea typeface="+mn-ea"/>
              <a:cs typeface="+mn-cs"/>
            </a:rPr>
            <a:t>English</a:t>
          </a:r>
        </a:p>
        <a:p>
          <a:r>
            <a:rPr lang="en-US" sz="1100" b="0" i="0" u="none" strike="noStrike" baseline="0">
              <a:solidFill>
                <a:schemeClr val="dk1"/>
              </a:solidFill>
              <a:latin typeface="+mn-lt"/>
              <a:ea typeface="+mn-ea"/>
              <a:cs typeface="+mn-cs"/>
            </a:rPr>
            <a:t>Spanish</a:t>
          </a:r>
        </a:p>
        <a:p>
          <a:r>
            <a:rPr lang="en-US" sz="1100" b="0" i="0" u="none" strike="noStrike" baseline="0">
              <a:solidFill>
                <a:schemeClr val="dk1"/>
              </a:solidFill>
              <a:latin typeface="+mn-lt"/>
              <a:ea typeface="+mn-ea"/>
              <a:cs typeface="+mn-cs"/>
            </a:rPr>
            <a:t>other (explain in </a:t>
          </a:r>
        </a:p>
        <a:p>
          <a:r>
            <a:rPr lang="en-US" sz="1100" b="0" i="0" u="none" strike="noStrike" baseline="0">
              <a:solidFill>
                <a:schemeClr val="dk1"/>
              </a:solidFill>
              <a:latin typeface="+mn-lt"/>
              <a:ea typeface="+mn-ea"/>
              <a:cs typeface="+mn-cs"/>
            </a:rPr>
            <a:t>box)</a:t>
          </a:r>
        </a:p>
        <a:p>
          <a:endParaRPr lang="en-US" sz="1100" b="0" i="0" u="none" strike="noStrike" baseline="0">
            <a:solidFill>
              <a:schemeClr val="dk1"/>
            </a:solidFill>
            <a:latin typeface="+mn-lt"/>
            <a:ea typeface="+mn-ea"/>
            <a:cs typeface="+mn-cs"/>
          </a:endParaRPr>
        </a:p>
        <a:p>
          <a:endParaRPr lang="en-US" sz="1100"/>
        </a:p>
        <a:p>
          <a:endParaRPr lang="en-US" sz="1100" baseline="0"/>
        </a:p>
      </xdr:txBody>
    </xdr:sp>
    <xdr:clientData/>
  </xdr:twoCellAnchor>
  <xdr:twoCellAnchor>
    <xdr:from>
      <xdr:col>0</xdr:col>
      <xdr:colOff>38099</xdr:colOff>
      <xdr:row>2361</xdr:row>
      <xdr:rowOff>38100</xdr:rowOff>
    </xdr:from>
    <xdr:to>
      <xdr:col>2</xdr:col>
      <xdr:colOff>628649</xdr:colOff>
      <xdr:row>2363</xdr:row>
      <xdr:rowOff>133350</xdr:rowOff>
    </xdr:to>
    <xdr:sp macro="" textlink="">
      <xdr:nvSpPr>
        <xdr:cNvPr id="45" name="Rectangle: Beveled 44">
          <a:hlinkClick xmlns:r="http://schemas.openxmlformats.org/officeDocument/2006/relationships" r:id="rId17"/>
          <a:extLst>
            <a:ext uri="{FF2B5EF4-FFF2-40B4-BE49-F238E27FC236}">
              <a16:creationId xmlns:a16="http://schemas.microsoft.com/office/drawing/2014/main" id="{51F7C1F5-116B-4659-9550-CB18EB64C888}"/>
            </a:ext>
          </a:extLst>
        </xdr:cNvPr>
        <xdr:cNvSpPr/>
      </xdr:nvSpPr>
      <xdr:spPr>
        <a:xfrm>
          <a:off x="38099" y="340149180"/>
          <a:ext cx="1931670" cy="0"/>
        </a:xfrm>
        <a:prstGeom prst="bevel">
          <a:avLst>
            <a:gd name="adj" fmla="val 15064"/>
          </a:avLst>
        </a:prstGeom>
        <a:gradFill flip="none" rotWithShape="1">
          <a:gsLst>
            <a:gs pos="0">
              <a:schemeClr val="accent4">
                <a:tint val="66000"/>
                <a:satMod val="160000"/>
              </a:schemeClr>
            </a:gs>
            <a:gs pos="50000">
              <a:schemeClr val="accent4">
                <a:tint val="44500"/>
                <a:satMod val="160000"/>
              </a:schemeClr>
            </a:gs>
            <a:gs pos="100000">
              <a:schemeClr val="accent4">
                <a:tint val="23500"/>
                <a:satMod val="160000"/>
              </a:schemeClr>
            </a:gs>
          </a:gsLst>
          <a:lin ang="16200000" scaled="1"/>
          <a:tileRect/>
        </a:gra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800">
              <a:solidFill>
                <a:srgbClr val="C00000"/>
              </a:solidFill>
              <a:latin typeface="Arial Black" panose="020B0A04020102020204" pitchFamily="34" charset="0"/>
            </a:rPr>
            <a:t>back to top</a:t>
          </a:r>
        </a:p>
      </xdr:txBody>
    </xdr:sp>
    <xdr:clientData/>
  </xdr:twoCellAnchor>
  <xdr:twoCellAnchor>
    <xdr:from>
      <xdr:col>33</xdr:col>
      <xdr:colOff>228600</xdr:colOff>
      <xdr:row>2389</xdr:row>
      <xdr:rowOff>114300</xdr:rowOff>
    </xdr:from>
    <xdr:to>
      <xdr:col>45</xdr:col>
      <xdr:colOff>142875</xdr:colOff>
      <xdr:row>2394</xdr:row>
      <xdr:rowOff>85725</xdr:rowOff>
    </xdr:to>
    <xdr:sp macro="" textlink="">
      <xdr:nvSpPr>
        <xdr:cNvPr id="46" name="TextBox 45">
          <a:extLst>
            <a:ext uri="{FF2B5EF4-FFF2-40B4-BE49-F238E27FC236}">
              <a16:creationId xmlns:a16="http://schemas.microsoft.com/office/drawing/2014/main" id="{E424FA11-CCB5-4218-8959-4C1EB1C5D3EC}"/>
            </a:ext>
          </a:extLst>
        </xdr:cNvPr>
        <xdr:cNvSpPr txBox="1"/>
      </xdr:nvSpPr>
      <xdr:spPr>
        <a:xfrm>
          <a:off x="18341340" y="3401491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gender: </a:t>
          </a:r>
        </a:p>
        <a:p>
          <a:r>
            <a:rPr lang="en-US" sz="1100" b="0" i="0" u="none" strike="noStrike" baseline="0">
              <a:solidFill>
                <a:schemeClr val="dk1"/>
              </a:solidFill>
              <a:latin typeface="+mn-lt"/>
              <a:ea typeface="+mn-ea"/>
              <a:cs typeface="+mn-cs"/>
            </a:rPr>
            <a:t>male</a:t>
          </a:r>
        </a:p>
        <a:p>
          <a:r>
            <a:rPr lang="en-US" sz="1100" b="0" i="0" u="none" strike="noStrike" baseline="0">
              <a:solidFill>
                <a:schemeClr val="dk1"/>
              </a:solidFill>
              <a:latin typeface="+mn-lt"/>
              <a:ea typeface="+mn-ea"/>
              <a:cs typeface="+mn-cs"/>
            </a:rPr>
            <a:t>female</a:t>
          </a:r>
        </a:p>
        <a:p>
          <a:r>
            <a:rPr lang="en-US" sz="1100" b="0" i="0" u="none" strike="noStrike" baseline="0">
              <a:solidFill>
                <a:schemeClr val="dk1"/>
              </a:solidFill>
              <a:latin typeface="+mn-lt"/>
              <a:ea typeface="+mn-ea"/>
              <a:cs typeface="+mn-cs"/>
            </a:rPr>
            <a:t>other (explain in box)</a:t>
          </a:r>
          <a:endParaRPr lang="en-US" sz="1100"/>
        </a:p>
        <a:p>
          <a:endParaRPr lang="en-US" sz="1100" baseline="0"/>
        </a:p>
      </xdr:txBody>
    </xdr:sp>
    <xdr:clientData/>
  </xdr:twoCellAnchor>
  <xdr:twoCellAnchor>
    <xdr:from>
      <xdr:col>39</xdr:col>
      <xdr:colOff>200025</xdr:colOff>
      <xdr:row>2405</xdr:row>
      <xdr:rowOff>57150</xdr:rowOff>
    </xdr:from>
    <xdr:to>
      <xdr:col>52</xdr:col>
      <xdr:colOff>57150</xdr:colOff>
      <xdr:row>2409</xdr:row>
      <xdr:rowOff>142875</xdr:rowOff>
    </xdr:to>
    <xdr:sp macro="" textlink="">
      <xdr:nvSpPr>
        <xdr:cNvPr id="47" name="TextBox 46">
          <a:extLst>
            <a:ext uri="{FF2B5EF4-FFF2-40B4-BE49-F238E27FC236}">
              <a16:creationId xmlns:a16="http://schemas.microsoft.com/office/drawing/2014/main" id="{B2569DB4-277D-4845-9550-A9691683D8D2}"/>
            </a:ext>
          </a:extLst>
        </xdr:cNvPr>
        <xdr:cNvSpPr txBox="1"/>
      </xdr:nvSpPr>
      <xdr:spPr>
        <a:xfrm>
          <a:off x="18341340" y="3401491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language: </a:t>
          </a:r>
        </a:p>
        <a:p>
          <a:r>
            <a:rPr lang="en-US" sz="1100" b="0" i="0" u="none" strike="noStrike" baseline="0">
              <a:solidFill>
                <a:schemeClr val="dk1"/>
              </a:solidFill>
              <a:latin typeface="+mn-lt"/>
              <a:ea typeface="+mn-ea"/>
              <a:cs typeface="+mn-cs"/>
            </a:rPr>
            <a:t>English</a:t>
          </a:r>
        </a:p>
        <a:p>
          <a:r>
            <a:rPr lang="en-US" sz="1100" b="0" i="0" u="none" strike="noStrike" baseline="0">
              <a:solidFill>
                <a:schemeClr val="dk1"/>
              </a:solidFill>
              <a:latin typeface="+mn-lt"/>
              <a:ea typeface="+mn-ea"/>
              <a:cs typeface="+mn-cs"/>
            </a:rPr>
            <a:t>Spanish</a:t>
          </a:r>
        </a:p>
        <a:p>
          <a:r>
            <a:rPr lang="en-US" sz="1100" b="0" i="0" u="none" strike="noStrike" baseline="0">
              <a:solidFill>
                <a:schemeClr val="dk1"/>
              </a:solidFill>
              <a:latin typeface="+mn-lt"/>
              <a:ea typeface="+mn-ea"/>
              <a:cs typeface="+mn-cs"/>
            </a:rPr>
            <a:t>other (explain in </a:t>
          </a:r>
        </a:p>
        <a:p>
          <a:r>
            <a:rPr lang="en-US" sz="1100" b="0" i="0" u="none" strike="noStrike" baseline="0">
              <a:solidFill>
                <a:schemeClr val="dk1"/>
              </a:solidFill>
              <a:latin typeface="+mn-lt"/>
              <a:ea typeface="+mn-ea"/>
              <a:cs typeface="+mn-cs"/>
            </a:rPr>
            <a:t>box)</a:t>
          </a:r>
        </a:p>
        <a:p>
          <a:endParaRPr lang="en-US" sz="1100" b="0" i="0" u="none" strike="noStrike" baseline="0">
            <a:solidFill>
              <a:schemeClr val="dk1"/>
            </a:solidFill>
            <a:latin typeface="+mn-lt"/>
            <a:ea typeface="+mn-ea"/>
            <a:cs typeface="+mn-cs"/>
          </a:endParaRPr>
        </a:p>
        <a:p>
          <a:endParaRPr lang="en-US" sz="1100"/>
        </a:p>
        <a:p>
          <a:endParaRPr lang="en-US" sz="1100" baseline="0"/>
        </a:p>
      </xdr:txBody>
    </xdr:sp>
    <xdr:clientData/>
  </xdr:twoCellAnchor>
  <xdr:twoCellAnchor>
    <xdr:from>
      <xdr:col>39</xdr:col>
      <xdr:colOff>171450</xdr:colOff>
      <xdr:row>2393</xdr:row>
      <xdr:rowOff>152400</xdr:rowOff>
    </xdr:from>
    <xdr:to>
      <xdr:col>52</xdr:col>
      <xdr:colOff>28575</xdr:colOff>
      <xdr:row>2402</xdr:row>
      <xdr:rowOff>57150</xdr:rowOff>
    </xdr:to>
    <xdr:sp macro="" textlink="">
      <xdr:nvSpPr>
        <xdr:cNvPr id="48" name="TextBox 47">
          <a:extLst>
            <a:ext uri="{FF2B5EF4-FFF2-40B4-BE49-F238E27FC236}">
              <a16:creationId xmlns:a16="http://schemas.microsoft.com/office/drawing/2014/main" id="{4ED3723C-CE41-4DB2-AAFD-D471F3FE2753}"/>
            </a:ext>
          </a:extLst>
        </xdr:cNvPr>
        <xdr:cNvSpPr txBox="1"/>
      </xdr:nvSpPr>
      <xdr:spPr>
        <a:xfrm>
          <a:off x="18341340" y="3401491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race: </a:t>
          </a:r>
        </a:p>
        <a:p>
          <a:r>
            <a:rPr lang="en-US" sz="1100" b="0" i="0" u="none" strike="noStrike" baseline="0">
              <a:solidFill>
                <a:schemeClr val="dk1"/>
              </a:solidFill>
              <a:latin typeface="+mn-lt"/>
              <a:ea typeface="+mn-ea"/>
              <a:cs typeface="+mn-cs"/>
            </a:rPr>
            <a:t>primarily white</a:t>
          </a:r>
        </a:p>
        <a:p>
          <a:r>
            <a:rPr lang="en-US" sz="1100" b="0" i="0" u="none" strike="noStrike" baseline="0">
              <a:solidFill>
                <a:schemeClr val="dk1"/>
              </a:solidFill>
              <a:latin typeface="+mn-lt"/>
              <a:ea typeface="+mn-ea"/>
              <a:cs typeface="+mn-cs"/>
            </a:rPr>
            <a:t>primarily black</a:t>
          </a:r>
        </a:p>
        <a:p>
          <a:r>
            <a:rPr lang="en-US" sz="1100" b="0" i="0" u="none" strike="noStrike" baseline="0">
              <a:solidFill>
                <a:schemeClr val="dk1"/>
              </a:solidFill>
              <a:latin typeface="+mn-lt"/>
              <a:ea typeface="+mn-ea"/>
              <a:cs typeface="+mn-cs"/>
            </a:rPr>
            <a:t>nonwhite hispanic</a:t>
          </a:r>
        </a:p>
        <a:p>
          <a:r>
            <a:rPr lang="en-US" sz="1100" b="0" i="0" u="none" strike="noStrike" baseline="0">
              <a:solidFill>
                <a:schemeClr val="dk1"/>
              </a:solidFill>
              <a:latin typeface="+mn-lt"/>
              <a:ea typeface="+mn-ea"/>
              <a:cs typeface="+mn-cs"/>
            </a:rPr>
            <a:t>other (explain in box)</a:t>
          </a:r>
          <a:endParaRPr lang="en-US" sz="1100"/>
        </a:p>
        <a:p>
          <a:endParaRPr lang="en-US" sz="1100" baseline="0"/>
        </a:p>
      </xdr:txBody>
    </xdr:sp>
    <xdr:clientData/>
  </xdr:twoCellAnchor>
  <xdr:twoCellAnchor>
    <xdr:from>
      <xdr:col>27</xdr:col>
      <xdr:colOff>95250</xdr:colOff>
      <xdr:row>2394</xdr:row>
      <xdr:rowOff>133350</xdr:rowOff>
    </xdr:from>
    <xdr:to>
      <xdr:col>39</xdr:col>
      <xdr:colOff>9525</xdr:colOff>
      <xdr:row>2401</xdr:row>
      <xdr:rowOff>95250</xdr:rowOff>
    </xdr:to>
    <xdr:sp macro="" textlink="">
      <xdr:nvSpPr>
        <xdr:cNvPr id="49" name="TextBox 48">
          <a:extLst>
            <a:ext uri="{FF2B5EF4-FFF2-40B4-BE49-F238E27FC236}">
              <a16:creationId xmlns:a16="http://schemas.microsoft.com/office/drawing/2014/main" id="{ECAF7094-21A6-47C6-B9FD-E17692E59832}"/>
            </a:ext>
          </a:extLst>
        </xdr:cNvPr>
        <xdr:cNvSpPr txBox="1"/>
      </xdr:nvSpPr>
      <xdr:spPr>
        <a:xfrm>
          <a:off x="18341340" y="3401491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how long knowing claimant: </a:t>
          </a:r>
        </a:p>
        <a:p>
          <a:r>
            <a:rPr lang="en-US" sz="1100" b="0" i="0" u="none" strike="noStrike" baseline="0">
              <a:solidFill>
                <a:schemeClr val="dk1"/>
              </a:solidFill>
              <a:latin typeface="+mn-lt"/>
              <a:ea typeface="+mn-ea"/>
              <a:cs typeface="+mn-cs"/>
            </a:rPr>
            <a:t>since claimant's childhood</a:t>
          </a:r>
        </a:p>
        <a:p>
          <a:r>
            <a:rPr lang="en-US" sz="1100" b="0" i="0" u="none" strike="noStrike" baseline="0">
              <a:solidFill>
                <a:schemeClr val="dk1"/>
              </a:solidFill>
              <a:latin typeface="+mn-lt"/>
              <a:ea typeface="+mn-ea"/>
              <a:cs typeface="+mn-cs"/>
            </a:rPr>
            <a:t>since before conviction</a:t>
          </a:r>
        </a:p>
        <a:p>
          <a:r>
            <a:rPr lang="en-US" sz="1100" b="0" i="0" u="none" strike="noStrike" baseline="0">
              <a:solidFill>
                <a:schemeClr val="dk1"/>
              </a:solidFill>
              <a:latin typeface="+mn-lt"/>
              <a:ea typeface="+mn-ea"/>
              <a:cs typeface="+mn-cs"/>
            </a:rPr>
            <a:t>since incarceration</a:t>
          </a:r>
        </a:p>
        <a:p>
          <a:r>
            <a:rPr lang="en-US" sz="1100" b="0" i="0" u="none" strike="noStrike" baseline="0">
              <a:solidFill>
                <a:schemeClr val="dk1"/>
              </a:solidFill>
              <a:latin typeface="+mn-lt"/>
              <a:ea typeface="+mn-ea"/>
              <a:cs typeface="+mn-cs"/>
            </a:rPr>
            <a:t>since release from incarceration</a:t>
          </a:r>
        </a:p>
        <a:p>
          <a:endParaRPr lang="en-US" sz="1100" b="0" i="0" u="none" strike="noStrike" baseline="0">
            <a:solidFill>
              <a:schemeClr val="dk1"/>
            </a:solidFill>
            <a:latin typeface="+mn-lt"/>
            <a:ea typeface="+mn-ea"/>
            <a:cs typeface="+mn-cs"/>
          </a:endParaRPr>
        </a:p>
        <a:p>
          <a:endParaRPr lang="en-US" sz="1100"/>
        </a:p>
        <a:p>
          <a:endParaRPr lang="en-US" sz="1100" baseline="0"/>
        </a:p>
      </xdr:txBody>
    </xdr:sp>
    <xdr:clientData/>
  </xdr:twoCellAnchor>
  <xdr:twoCellAnchor>
    <xdr:from>
      <xdr:col>55</xdr:col>
      <xdr:colOff>408214</xdr:colOff>
      <xdr:row>246</xdr:row>
      <xdr:rowOff>760640</xdr:rowOff>
    </xdr:from>
    <xdr:to>
      <xdr:col>63</xdr:col>
      <xdr:colOff>83002</xdr:colOff>
      <xdr:row>251</xdr:row>
      <xdr:rowOff>163286</xdr:rowOff>
    </xdr:to>
    <xdr:sp macro="" textlink="">
      <xdr:nvSpPr>
        <xdr:cNvPr id="50" name="TextBox 49">
          <a:extLst>
            <a:ext uri="{FF2B5EF4-FFF2-40B4-BE49-F238E27FC236}">
              <a16:creationId xmlns:a16="http://schemas.microsoft.com/office/drawing/2014/main" id="{F40808C1-7C2A-4DFC-AEA2-FCE404BEF836}"/>
            </a:ext>
          </a:extLst>
        </xdr:cNvPr>
        <xdr:cNvSpPr txBox="1"/>
      </xdr:nvSpPr>
      <xdr:spPr>
        <a:xfrm>
          <a:off x="18341340" y="65302040"/>
          <a:ext cx="0" cy="926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Co-defendant(s): </a:t>
          </a:r>
        </a:p>
        <a:p>
          <a:endParaRPr lang="en-US" sz="1100"/>
        </a:p>
        <a:p>
          <a:endParaRPr lang="en-US" sz="1100" baseline="0"/>
        </a:p>
      </xdr:txBody>
    </xdr:sp>
    <xdr:clientData/>
  </xdr:twoCellAnchor>
  <xdr:twoCellAnchor>
    <xdr:from>
      <xdr:col>58</xdr:col>
      <xdr:colOff>103413</xdr:colOff>
      <xdr:row>205</xdr:row>
      <xdr:rowOff>259897</xdr:rowOff>
    </xdr:from>
    <xdr:to>
      <xdr:col>65</xdr:col>
      <xdr:colOff>235402</xdr:colOff>
      <xdr:row>219</xdr:row>
      <xdr:rowOff>152400</xdr:rowOff>
    </xdr:to>
    <xdr:sp macro="" textlink="">
      <xdr:nvSpPr>
        <xdr:cNvPr id="51" name="TextBox 50">
          <a:extLst>
            <a:ext uri="{FF2B5EF4-FFF2-40B4-BE49-F238E27FC236}">
              <a16:creationId xmlns:a16="http://schemas.microsoft.com/office/drawing/2014/main" id="{B98DEC63-8916-4AD5-BD79-00CEA96E4198}"/>
            </a:ext>
          </a:extLst>
        </xdr:cNvPr>
        <xdr:cNvSpPr txBox="1"/>
      </xdr:nvSpPr>
      <xdr:spPr>
        <a:xfrm>
          <a:off x="18341340" y="57798517"/>
          <a:ext cx="0" cy="2490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Relation to complainant: </a:t>
          </a:r>
        </a:p>
        <a:p>
          <a:r>
            <a:rPr lang="en-US" sz="1100"/>
            <a:t>partner</a:t>
          </a:r>
        </a:p>
        <a:p>
          <a:r>
            <a:rPr lang="en-US" sz="1100"/>
            <a:t>family</a:t>
          </a:r>
        </a:p>
        <a:p>
          <a:r>
            <a:rPr lang="en-US" sz="1100"/>
            <a:t>close</a:t>
          </a:r>
          <a:r>
            <a:rPr lang="en-US" sz="1100" baseline="0"/>
            <a:t> </a:t>
          </a:r>
          <a:r>
            <a:rPr lang="en-US" sz="1100"/>
            <a:t>friend</a:t>
          </a:r>
        </a:p>
        <a:p>
          <a:r>
            <a:rPr lang="en-US" sz="1100"/>
            <a:t>casual</a:t>
          </a:r>
          <a:r>
            <a:rPr lang="en-US" sz="1100" baseline="0"/>
            <a:t> friend</a:t>
          </a:r>
          <a:endParaRPr lang="en-US" sz="1100"/>
        </a:p>
        <a:p>
          <a:r>
            <a:rPr lang="en-US" sz="1100"/>
            <a:t>acquaintance</a:t>
          </a:r>
        </a:p>
        <a:p>
          <a:r>
            <a:rPr lang="en-US" sz="1100"/>
            <a:t>stranger</a:t>
          </a:r>
        </a:p>
        <a:p>
          <a:endParaRPr lang="en-US" sz="1100"/>
        </a:p>
        <a:p>
          <a:r>
            <a:rPr lang="en-US" sz="1100" baseline="0"/>
            <a:t>=IF(D$110&gt;1,"NAME ","")</a:t>
          </a:r>
        </a:p>
        <a:p>
          <a:endParaRPr lang="en-US" sz="1100" baseline="0"/>
        </a:p>
        <a:p>
          <a:endParaRPr lang="en-US" sz="1100" baseline="0"/>
        </a:p>
        <a:p>
          <a:r>
            <a:rPr lang="en-US" sz="1100" baseline="0"/>
            <a:t>=IF(E$110&gt;1,"charged as?","")</a:t>
          </a:r>
        </a:p>
        <a:p>
          <a:endParaRPr lang="en-US" sz="1100" baseline="0"/>
        </a:p>
      </xdr:txBody>
    </xdr:sp>
    <xdr:clientData/>
  </xdr:twoCellAnchor>
  <xdr:twoCellAnchor>
    <xdr:from>
      <xdr:col>42</xdr:col>
      <xdr:colOff>73478</xdr:colOff>
      <xdr:row>181</xdr:row>
      <xdr:rowOff>58512</xdr:rowOff>
    </xdr:from>
    <xdr:to>
      <xdr:col>59</xdr:col>
      <xdr:colOff>29935</xdr:colOff>
      <xdr:row>186</xdr:row>
      <xdr:rowOff>87086</xdr:rowOff>
    </xdr:to>
    <xdr:sp macro="" textlink="">
      <xdr:nvSpPr>
        <xdr:cNvPr id="52" name="TextBox 51">
          <a:extLst>
            <a:ext uri="{FF2B5EF4-FFF2-40B4-BE49-F238E27FC236}">
              <a16:creationId xmlns:a16="http://schemas.microsoft.com/office/drawing/2014/main" id="{41E9A456-C87B-47B2-A241-FD512125C482}"/>
            </a:ext>
          </a:extLst>
        </xdr:cNvPr>
        <xdr:cNvSpPr txBox="1"/>
      </xdr:nvSpPr>
      <xdr:spPr>
        <a:xfrm>
          <a:off x="18341340" y="51219192"/>
          <a:ext cx="0" cy="16440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t>
          </a:r>
        </a:p>
        <a:p>
          <a:endParaRPr lang="en-US" sz="1100"/>
        </a:p>
        <a:p>
          <a:r>
            <a:rPr lang="en-US" sz="1100"/>
            <a:t>charge - innocent</a:t>
          </a:r>
          <a:endParaRPr lang="en-US" sz="1100" baseline="0"/>
        </a:p>
        <a:p>
          <a:endParaRPr lang="en-US" sz="1100" baseline="0"/>
        </a:p>
        <a:p>
          <a:r>
            <a:rPr lang="en-US" sz="1200">
              <a:solidFill>
                <a:schemeClr val="dk1"/>
              </a:solidFill>
              <a:effectLst/>
              <a:latin typeface="Abadi Extra Light" panose="020B0204020104020204" pitchFamily="34" charset="0"/>
              <a:ea typeface="+mn-ea"/>
              <a:cs typeface="+mn-cs"/>
            </a:rPr>
            <a:t>Do you know if the co-defendants also claim innocence? </a:t>
          </a:r>
        </a:p>
        <a:p>
          <a:r>
            <a:rPr lang="en-US" sz="1200">
              <a:solidFill>
                <a:schemeClr val="dk1"/>
              </a:solidFill>
              <a:effectLst/>
              <a:latin typeface="Abadi Extra Light" panose="020B0204020104020204" pitchFamily="34" charset="0"/>
              <a:ea typeface="+mn-ea"/>
              <a:cs typeface="+mn-cs"/>
            </a:rPr>
            <a:t>Do you claim to be innocent of all of the above charges? </a:t>
          </a:r>
        </a:p>
        <a:p>
          <a:r>
            <a:rPr lang="en-US" sz="1200" b="1">
              <a:solidFill>
                <a:schemeClr val="dk1"/>
              </a:solidFill>
              <a:effectLst/>
              <a:latin typeface="Abadi Extra Light" panose="020B0204020104020204" pitchFamily="34" charset="0"/>
              <a:ea typeface="+mn-ea"/>
              <a:cs typeface="+mn-cs"/>
            </a:rPr>
            <a:t>If not</a:t>
          </a:r>
          <a:r>
            <a:rPr lang="en-US" sz="1200">
              <a:solidFill>
                <a:schemeClr val="dk1"/>
              </a:solidFill>
              <a:effectLst/>
              <a:latin typeface="Abadi Extra Light" panose="020B0204020104020204" pitchFamily="34" charset="0"/>
              <a:ea typeface="+mn-ea"/>
              <a:cs typeface="+mn-cs"/>
            </a:rPr>
            <a:t>, which charges are you innocent of? </a:t>
          </a:r>
        </a:p>
        <a:p>
          <a:r>
            <a:rPr lang="en-US" sz="1200">
              <a:solidFill>
                <a:schemeClr val="dk1"/>
              </a:solidFill>
              <a:effectLst/>
              <a:latin typeface="Abadi Extra Light" panose="020B0204020104020204" pitchFamily="34" charset="0"/>
              <a:ea typeface="+mn-ea"/>
              <a:cs typeface="+mn-cs"/>
            </a:rPr>
            <a:t>Do you know who committed the crime(s) of which you are convicted? </a:t>
          </a:r>
        </a:p>
        <a:p>
          <a:r>
            <a:rPr lang="en-US" sz="1200" b="1">
              <a:solidFill>
                <a:schemeClr val="dk1"/>
              </a:solidFill>
              <a:effectLst/>
              <a:latin typeface="Abadi Extra Light" panose="020B0204020104020204" pitchFamily="34" charset="0"/>
              <a:ea typeface="+mn-ea"/>
              <a:cs typeface="+mn-cs"/>
            </a:rPr>
            <a:t>If yes</a:t>
          </a:r>
          <a:r>
            <a:rPr lang="en-US" sz="1200">
              <a:solidFill>
                <a:schemeClr val="dk1"/>
              </a:solidFill>
              <a:effectLst/>
              <a:latin typeface="Abadi Extra Light" panose="020B0204020104020204" pitchFamily="34" charset="0"/>
              <a:ea typeface="+mn-ea"/>
              <a:cs typeface="+mn-cs"/>
            </a:rPr>
            <a:t>, who? How do you know this person is the real perpetrator?</a:t>
          </a:r>
        </a:p>
        <a:p>
          <a:endParaRPr lang="en-US" sz="1100" baseline="0"/>
        </a:p>
        <a:p>
          <a:endParaRPr lang="en-US" sz="1100" baseline="0"/>
        </a:p>
        <a:p>
          <a:endParaRPr lang="en-US" sz="1100" baseline="0"/>
        </a:p>
        <a:p>
          <a:endParaRPr lang="en-US" sz="1100" baseline="0"/>
        </a:p>
        <a:p>
          <a:endParaRPr lang="en-US" sz="1100" baseline="0"/>
        </a:p>
        <a:p>
          <a:endParaRPr lang="en-US" sz="1100"/>
        </a:p>
      </xdr:txBody>
    </xdr:sp>
    <xdr:clientData/>
  </xdr:twoCellAnchor>
  <xdr:twoCellAnchor>
    <xdr:from>
      <xdr:col>53</xdr:col>
      <xdr:colOff>182335</xdr:colOff>
      <xdr:row>187</xdr:row>
      <xdr:rowOff>287112</xdr:rowOff>
    </xdr:from>
    <xdr:to>
      <xdr:col>73</xdr:col>
      <xdr:colOff>21771</xdr:colOff>
      <xdr:row>197</xdr:row>
      <xdr:rowOff>1</xdr:rowOff>
    </xdr:to>
    <xdr:sp macro="" textlink="">
      <xdr:nvSpPr>
        <xdr:cNvPr id="53" name="TextBox 52">
          <a:extLst>
            <a:ext uri="{FF2B5EF4-FFF2-40B4-BE49-F238E27FC236}">
              <a16:creationId xmlns:a16="http://schemas.microsoft.com/office/drawing/2014/main" id="{8FBB8FE8-4099-458F-A799-5048B17D3997}"/>
            </a:ext>
          </a:extLst>
        </xdr:cNvPr>
        <xdr:cNvSpPr txBox="1"/>
      </xdr:nvSpPr>
      <xdr:spPr>
        <a:xfrm>
          <a:off x="18341340" y="53253732"/>
          <a:ext cx="0" cy="25627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dk1"/>
              </a:solidFill>
              <a:effectLst/>
              <a:latin typeface="Abadi Extra Light" panose="020B0204020104020204" pitchFamily="34" charset="0"/>
              <a:ea typeface="+mn-ea"/>
              <a:cs typeface="+mn-cs"/>
            </a:rPr>
            <a:t>Do you claim to be innocent of all of the above charges? </a:t>
          </a:r>
        </a:p>
        <a:p>
          <a:r>
            <a:rPr lang="en-US" sz="1600" b="1">
              <a:solidFill>
                <a:schemeClr val="dk1"/>
              </a:solidFill>
              <a:effectLst/>
              <a:latin typeface="Abadi Extra Light" panose="020B0204020104020204" pitchFamily="34" charset="0"/>
              <a:ea typeface="+mn-ea"/>
              <a:cs typeface="+mn-cs"/>
            </a:rPr>
            <a:t>If not</a:t>
          </a:r>
          <a:r>
            <a:rPr lang="en-US" sz="1600">
              <a:solidFill>
                <a:schemeClr val="dk1"/>
              </a:solidFill>
              <a:effectLst/>
              <a:latin typeface="Abadi Extra Light" panose="020B0204020104020204" pitchFamily="34" charset="0"/>
              <a:ea typeface="+mn-ea"/>
              <a:cs typeface="+mn-cs"/>
            </a:rPr>
            <a:t>, which charges are you innocent of? </a:t>
          </a:r>
        </a:p>
        <a:p>
          <a:r>
            <a:rPr lang="en-US" sz="1600">
              <a:solidFill>
                <a:schemeClr val="dk1"/>
              </a:solidFill>
              <a:effectLst/>
              <a:latin typeface="Abadi Extra Light" panose="020B0204020104020204" pitchFamily="34" charset="0"/>
              <a:ea typeface="+mn-ea"/>
              <a:cs typeface="+mn-cs"/>
            </a:rPr>
            <a:t>Do you know who committed the crime(s) of which you are convicted? </a:t>
          </a:r>
        </a:p>
        <a:p>
          <a:r>
            <a:rPr lang="en-US" sz="1600" b="1">
              <a:solidFill>
                <a:schemeClr val="dk1"/>
              </a:solidFill>
              <a:effectLst/>
              <a:latin typeface="Abadi Extra Light" panose="020B0204020104020204" pitchFamily="34" charset="0"/>
              <a:ea typeface="+mn-ea"/>
              <a:cs typeface="+mn-cs"/>
            </a:rPr>
            <a:t>If yes</a:t>
          </a:r>
          <a:r>
            <a:rPr lang="en-US" sz="1600">
              <a:solidFill>
                <a:schemeClr val="dk1"/>
              </a:solidFill>
              <a:effectLst/>
              <a:latin typeface="Abadi Extra Light" panose="020B0204020104020204" pitchFamily="34" charset="0"/>
              <a:ea typeface="+mn-ea"/>
              <a:cs typeface="+mn-cs"/>
            </a:rPr>
            <a:t>, who? How do you know this person is the real perpetrator?</a:t>
          </a:r>
        </a:p>
        <a:p>
          <a:endParaRPr lang="en-US" sz="1100" baseline="0"/>
        </a:p>
        <a:p>
          <a:r>
            <a:rPr lang="en-US" sz="1100" baseline="0"/>
            <a:t>fully innocent</a:t>
          </a:r>
        </a:p>
        <a:p>
          <a:r>
            <a:rPr lang="en-US" sz="1100" baseline="0"/>
            <a:t>complicit but not to any illegal degree</a:t>
          </a:r>
        </a:p>
        <a:p>
          <a:r>
            <a:rPr lang="en-US" sz="1100" baseline="0"/>
            <a:t>only marginally complicit</a:t>
          </a:r>
        </a:p>
        <a:p>
          <a:r>
            <a:rPr lang="en-US" sz="1100" baseline="0"/>
            <a:t>not fully innocent</a:t>
          </a:r>
        </a:p>
        <a:p>
          <a:endParaRPr lang="en-US" sz="1100" baseline="0"/>
        </a:p>
        <a:p>
          <a:endParaRPr lang="en-US" sz="1100"/>
        </a:p>
      </xdr:txBody>
    </xdr:sp>
    <xdr:clientData/>
  </xdr:twoCellAnchor>
  <xdr:twoCellAnchor>
    <xdr:from>
      <xdr:col>35</xdr:col>
      <xdr:colOff>175260</xdr:colOff>
      <xdr:row>224</xdr:row>
      <xdr:rowOff>29120</xdr:rowOff>
    </xdr:from>
    <xdr:to>
      <xdr:col>47</xdr:col>
      <xdr:colOff>91712</xdr:colOff>
      <xdr:row>229</xdr:row>
      <xdr:rowOff>31842</xdr:rowOff>
    </xdr:to>
    <xdr:sp macro="" textlink="">
      <xdr:nvSpPr>
        <xdr:cNvPr id="54" name="TextBox 53">
          <a:extLst>
            <a:ext uri="{FF2B5EF4-FFF2-40B4-BE49-F238E27FC236}">
              <a16:creationId xmlns:a16="http://schemas.microsoft.com/office/drawing/2014/main" id="{C4D55903-B6F3-46B6-86AE-C1FE3EA7E996}"/>
            </a:ext>
          </a:extLst>
        </xdr:cNvPr>
        <xdr:cNvSpPr txBox="1"/>
      </xdr:nvSpPr>
      <xdr:spPr>
        <a:xfrm>
          <a:off x="18341340" y="61156760"/>
          <a:ext cx="0" cy="6961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Initial statements to police: </a:t>
          </a:r>
        </a:p>
        <a:p>
          <a:endParaRPr lang="en-US" sz="1100"/>
        </a:p>
        <a:p>
          <a:endParaRPr lang="en-US" sz="1100" baseline="0"/>
        </a:p>
      </xdr:txBody>
    </xdr:sp>
    <xdr:clientData/>
  </xdr:twoCellAnchor>
  <xdr:twoCellAnchor>
    <xdr:from>
      <xdr:col>47</xdr:col>
      <xdr:colOff>79466</xdr:colOff>
      <xdr:row>224</xdr:row>
      <xdr:rowOff>34560</xdr:rowOff>
    </xdr:from>
    <xdr:to>
      <xdr:col>62</xdr:col>
      <xdr:colOff>206828</xdr:colOff>
      <xdr:row>242</xdr:row>
      <xdr:rowOff>152399</xdr:rowOff>
    </xdr:to>
    <xdr:sp macro="" textlink="">
      <xdr:nvSpPr>
        <xdr:cNvPr id="55" name="TextBox 54">
          <a:extLst>
            <a:ext uri="{FF2B5EF4-FFF2-40B4-BE49-F238E27FC236}">
              <a16:creationId xmlns:a16="http://schemas.microsoft.com/office/drawing/2014/main" id="{B32565D9-D8BA-47E9-83CD-BB8621CAD764}"/>
            </a:ext>
          </a:extLst>
        </xdr:cNvPr>
        <xdr:cNvSpPr txBox="1"/>
      </xdr:nvSpPr>
      <xdr:spPr>
        <a:xfrm>
          <a:off x="18341340" y="61162200"/>
          <a:ext cx="0" cy="2899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Your understanding of your statements to police: </a:t>
          </a:r>
        </a:p>
        <a:p>
          <a:r>
            <a:rPr lang="en-US" sz="1100">
              <a:solidFill>
                <a:srgbClr val="7030A0"/>
              </a:solidFill>
              <a:latin typeface="Arial Black" panose="020B0A04020102020204" pitchFamily="34" charset="0"/>
            </a:rPr>
            <a:t>[</a:t>
          </a:r>
          <a:r>
            <a:rPr lang="en-US" sz="1100" i="1">
              <a:solidFill>
                <a:srgbClr val="7030A0"/>
              </a:solidFill>
              <a:latin typeface="Arial Black" panose="020B0A04020102020204" pitchFamily="34" charset="0"/>
            </a:rPr>
            <a:t>in situ</a:t>
          </a:r>
          <a:r>
            <a:rPr lang="en-US" sz="1100" i="1" baseline="0">
              <a:solidFill>
                <a:srgbClr val="7030A0"/>
              </a:solidFill>
              <a:latin typeface="Arial Black" panose="020B0A04020102020204" pitchFamily="34" charset="0"/>
            </a:rPr>
            <a:t> </a:t>
          </a:r>
          <a:r>
            <a:rPr lang="en-US" sz="1100" baseline="0">
              <a:solidFill>
                <a:srgbClr val="7030A0"/>
              </a:solidFill>
              <a:latin typeface="Arial Black" panose="020B0A04020102020204" pitchFamily="34" charset="0"/>
            </a:rPr>
            <a:t>Impact Relating]</a:t>
          </a:r>
          <a:endParaRPr lang="en-US" sz="1100">
            <a:solidFill>
              <a:srgbClr val="7030A0"/>
            </a:solidFill>
            <a:latin typeface="Arial Black" panose="020B0A04020102020204" pitchFamily="34" charset="0"/>
          </a:endParaRPr>
        </a:p>
        <a:p>
          <a:r>
            <a:rPr lang="en-US" sz="1100" baseline="0"/>
            <a:t>asserting right to remain silent</a:t>
          </a:r>
        </a:p>
        <a:p>
          <a:r>
            <a:rPr lang="en-US" sz="1100" baseline="0"/>
            <a:t>not yet a suspect nor "person of interest"</a:t>
          </a:r>
        </a:p>
        <a:p>
          <a:r>
            <a:rPr lang="en-US" sz="1100" baseline="0"/>
            <a:t>feared arrest if wasn't openly cooperative</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providing helpful information to investigate alleged incident</a:t>
          </a:r>
          <a:endParaRPr lang="en-US">
            <a:effectLst/>
          </a:endParaRPr>
        </a:p>
        <a:p>
          <a:r>
            <a:rPr lang="en-US" sz="1100" baseline="0"/>
            <a:t>providing helpful information to investigate someone else</a:t>
          </a:r>
        </a:p>
        <a:p>
          <a:r>
            <a:rPr lang="en-US" sz="1100" baseline="0"/>
            <a:t>implicate actual perpetrator</a:t>
          </a:r>
        </a:p>
        <a:p>
          <a:r>
            <a:rPr lang="en-US" sz="1100" baseline="0"/>
            <a:t>inquire what police were investigating</a:t>
          </a:r>
        </a:p>
        <a:p>
          <a:r>
            <a:rPr lang="en-US" sz="1100" baseline="0"/>
            <a:t>inquire about a matter of law ostensibly being enforced</a:t>
          </a:r>
        </a:p>
        <a:p>
          <a:r>
            <a:rPr lang="en-US" sz="1100" baseline="0"/>
            <a:t>inquire about nature of accusation(s)</a:t>
          </a:r>
        </a:p>
        <a:p>
          <a:r>
            <a:rPr lang="en-US" sz="1100" baseline="0"/>
            <a:t>inquire who was making accusation(s)</a:t>
          </a:r>
        </a:p>
        <a:p>
          <a:r>
            <a:rPr lang="en-US" sz="1100" baseline="0"/>
            <a:t>admit being present but having no criminal role</a:t>
          </a:r>
        </a:p>
        <a:p>
          <a:r>
            <a:rPr lang="en-US" sz="1100" baseline="0"/>
            <a:t>deny being present with any criminal role</a:t>
          </a:r>
        </a:p>
        <a:p>
          <a:r>
            <a:rPr lang="en-US" sz="1100" baseline="0"/>
            <a:t>admit to involvement assumed not to be criminal</a:t>
          </a:r>
        </a:p>
        <a:p>
          <a:r>
            <a:rPr lang="en-US" sz="1100" baseline="0"/>
            <a:t>other (explain below)</a:t>
          </a:r>
        </a:p>
        <a:p>
          <a:endParaRPr lang="en-US" sz="1100" baseline="0"/>
        </a:p>
        <a:p>
          <a:endParaRPr lang="en-US" sz="1100" baseline="0"/>
        </a:p>
        <a:p>
          <a:endParaRPr lang="en-US" sz="1100" baseline="0"/>
        </a:p>
      </xdr:txBody>
    </xdr:sp>
    <xdr:clientData/>
  </xdr:twoCellAnchor>
  <xdr:twoCellAnchor>
    <xdr:from>
      <xdr:col>28</xdr:col>
      <xdr:colOff>247650</xdr:colOff>
      <xdr:row>174</xdr:row>
      <xdr:rowOff>308884</xdr:rowOff>
    </xdr:from>
    <xdr:to>
      <xdr:col>41</xdr:col>
      <xdr:colOff>10885</xdr:colOff>
      <xdr:row>178</xdr:row>
      <xdr:rowOff>370114</xdr:rowOff>
    </xdr:to>
    <xdr:sp macro="" textlink="">
      <xdr:nvSpPr>
        <xdr:cNvPr id="56" name="TextBox 55">
          <a:extLst>
            <a:ext uri="{FF2B5EF4-FFF2-40B4-BE49-F238E27FC236}">
              <a16:creationId xmlns:a16="http://schemas.microsoft.com/office/drawing/2014/main" id="{D4198474-A7D2-442F-85F5-23F5D4C5A6C4}"/>
            </a:ext>
          </a:extLst>
        </xdr:cNvPr>
        <xdr:cNvSpPr txBox="1"/>
      </xdr:nvSpPr>
      <xdr:spPr>
        <a:xfrm>
          <a:off x="18341340" y="49252144"/>
          <a:ext cx="0" cy="1585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t>
          </a:r>
        </a:p>
        <a:p>
          <a:r>
            <a:rPr lang="en-US" sz="1100"/>
            <a:t>never </a:t>
          </a:r>
          <a:r>
            <a:rPr lang="en-US" sz="1100" strike="sngStrike" baseline="0"/>
            <a:t>offered or was </a:t>
          </a:r>
          <a:r>
            <a:rPr lang="en-US" sz="1100"/>
            <a:t>open</a:t>
          </a:r>
          <a:r>
            <a:rPr lang="en-US" sz="1100" baseline="0"/>
            <a:t> to any plea deal</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coerced into a plea deal with threats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tricked into a plea deal with lies</a:t>
          </a:r>
          <a:endParaRPr lang="en-US">
            <a:effectLst/>
          </a:endParaRPr>
        </a:p>
        <a:p>
          <a:r>
            <a:rPr lang="en-US" sz="1100"/>
            <a:t>considered plea deal if better for my loved</a:t>
          </a:r>
          <a:r>
            <a:rPr lang="en-US" sz="1100" baseline="0"/>
            <a:t> ones</a:t>
          </a:r>
          <a:endParaRPr lang="en-US" sz="1100"/>
        </a:p>
        <a:p>
          <a:r>
            <a:rPr lang="en-US" sz="1100"/>
            <a:t>willingly "plea bargained" to lesser charge</a:t>
          </a:r>
        </a:p>
        <a:p>
          <a:r>
            <a:rPr lang="en-US" sz="1100" baseline="0"/>
            <a:t>other</a:t>
          </a:r>
        </a:p>
        <a:p>
          <a:endParaRPr lang="en-US" sz="1100" baseline="0"/>
        </a:p>
        <a:p>
          <a:endParaRPr lang="en-US" sz="1100"/>
        </a:p>
      </xdr:txBody>
    </xdr:sp>
    <xdr:clientData/>
  </xdr:twoCellAnchor>
  <xdr:twoCellAnchor>
    <xdr:from>
      <xdr:col>41</xdr:col>
      <xdr:colOff>77833</xdr:colOff>
      <xdr:row>174</xdr:row>
      <xdr:rowOff>308884</xdr:rowOff>
    </xdr:from>
    <xdr:to>
      <xdr:col>53</xdr:col>
      <xdr:colOff>445225</xdr:colOff>
      <xdr:row>178</xdr:row>
      <xdr:rowOff>347254</xdr:rowOff>
    </xdr:to>
    <xdr:sp macro="" textlink="">
      <xdr:nvSpPr>
        <xdr:cNvPr id="57" name="TextBox 56">
          <a:extLst>
            <a:ext uri="{FF2B5EF4-FFF2-40B4-BE49-F238E27FC236}">
              <a16:creationId xmlns:a16="http://schemas.microsoft.com/office/drawing/2014/main" id="{F64CC2EC-4BB9-4707-8DD9-A35E5EBD0933}"/>
            </a:ext>
          </a:extLst>
        </xdr:cNvPr>
        <xdr:cNvSpPr txBox="1"/>
      </xdr:nvSpPr>
      <xdr:spPr>
        <a:xfrm>
          <a:off x="18341340" y="49252144"/>
          <a:ext cx="0" cy="15623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Plea bargaining</a:t>
          </a:r>
          <a:r>
            <a:rPr lang="en-US" sz="1100"/>
            <a:t>:</a:t>
          </a:r>
        </a:p>
        <a:p>
          <a:r>
            <a:rPr lang="en-US" sz="1100"/>
            <a:t>never open</a:t>
          </a:r>
          <a:r>
            <a:rPr lang="en-US" sz="1100" baseline="0"/>
            <a:t> to any plea deal</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coerced into a plea deal with threats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tricked into a plea deal with lies</a:t>
          </a:r>
          <a:endParaRPr lang="en-US">
            <a:effectLst/>
          </a:endParaRPr>
        </a:p>
        <a:p>
          <a:r>
            <a:rPr lang="en-US" sz="1100"/>
            <a:t>accepted plea deal to save others</a:t>
          </a:r>
        </a:p>
        <a:p>
          <a:r>
            <a:rPr lang="en-US" sz="1100"/>
            <a:t>willingly plea-bargained to lesser charge</a:t>
          </a:r>
        </a:p>
        <a:p>
          <a:r>
            <a:rPr lang="en-US" sz="1100" baseline="0"/>
            <a:t>other (explain below)</a:t>
          </a:r>
        </a:p>
        <a:p>
          <a:endParaRPr lang="en-US" sz="1100" baseline="0"/>
        </a:p>
        <a:p>
          <a:endParaRPr lang="en-US" sz="1100"/>
        </a:p>
      </xdr:txBody>
    </xdr:sp>
    <xdr:clientData/>
  </xdr:twoCellAnchor>
  <xdr:twoCellAnchor>
    <xdr:from>
      <xdr:col>52</xdr:col>
      <xdr:colOff>19049</xdr:colOff>
      <xdr:row>178</xdr:row>
      <xdr:rowOff>25855</xdr:rowOff>
    </xdr:from>
    <xdr:to>
      <xdr:col>64</xdr:col>
      <xdr:colOff>247649</xdr:colOff>
      <xdr:row>183</xdr:row>
      <xdr:rowOff>522515</xdr:rowOff>
    </xdr:to>
    <xdr:sp macro="" textlink="">
      <xdr:nvSpPr>
        <xdr:cNvPr id="58" name="TextBox 57">
          <a:extLst>
            <a:ext uri="{FF2B5EF4-FFF2-40B4-BE49-F238E27FC236}">
              <a16:creationId xmlns:a16="http://schemas.microsoft.com/office/drawing/2014/main" id="{DD1713E2-5567-46D2-9F54-D1EE5FF7B1A5}"/>
            </a:ext>
          </a:extLst>
        </xdr:cNvPr>
        <xdr:cNvSpPr txBox="1"/>
      </xdr:nvSpPr>
      <xdr:spPr>
        <a:xfrm>
          <a:off x="18341340" y="50493115"/>
          <a:ext cx="0" cy="1952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Conviction based</a:t>
          </a:r>
          <a:r>
            <a:rPr lang="en-US" sz="1100" b="1" baseline="0"/>
            <a:t> upon</a:t>
          </a:r>
          <a:r>
            <a:rPr lang="en-US" sz="1100" b="1"/>
            <a:t>:</a:t>
          </a:r>
        </a:p>
        <a:p>
          <a:endParaRPr lang="en-US" sz="1100"/>
        </a:p>
        <a:p>
          <a:r>
            <a:rPr lang="en-US" sz="1100"/>
            <a:t>admission of guilt to initial</a:t>
          </a:r>
          <a:r>
            <a:rPr lang="en-US" sz="1100" baseline="0"/>
            <a:t> charge</a:t>
          </a:r>
          <a:endParaRPr lang="en-US" sz="1100"/>
        </a:p>
        <a:p>
          <a:r>
            <a:rPr lang="en-US" sz="1100" baseline="0"/>
            <a:t>plea bargain</a:t>
          </a:r>
        </a:p>
        <a:p>
          <a:r>
            <a:rPr lang="en-US" sz="1100" baseline="0"/>
            <a:t>bench trial</a:t>
          </a:r>
        </a:p>
        <a:p>
          <a:r>
            <a:rPr lang="en-US" sz="1100" baseline="0"/>
            <a:t>jury trial</a:t>
          </a:r>
        </a:p>
        <a:p>
          <a:r>
            <a:rPr lang="en-US" sz="1100" baseline="0"/>
            <a:t>jury retrial after mistrial</a:t>
          </a:r>
        </a:p>
        <a:p>
          <a:r>
            <a:rPr lang="en-US" sz="1100" baseline="0"/>
            <a:t>other </a:t>
          </a:r>
        </a:p>
        <a:p>
          <a:endParaRPr lang="en-US" sz="1100"/>
        </a:p>
      </xdr:txBody>
    </xdr:sp>
    <xdr:clientData/>
  </xdr:twoCellAnchor>
  <xdr:twoCellAnchor>
    <xdr:from>
      <xdr:col>45</xdr:col>
      <xdr:colOff>27214</xdr:colOff>
      <xdr:row>262</xdr:row>
      <xdr:rowOff>144508</xdr:rowOff>
    </xdr:from>
    <xdr:to>
      <xdr:col>65</xdr:col>
      <xdr:colOff>127363</xdr:colOff>
      <xdr:row>268</xdr:row>
      <xdr:rowOff>182879</xdr:rowOff>
    </xdr:to>
    <xdr:sp macro="" textlink="">
      <xdr:nvSpPr>
        <xdr:cNvPr id="59" name="TextBox 58">
          <a:extLst>
            <a:ext uri="{FF2B5EF4-FFF2-40B4-BE49-F238E27FC236}">
              <a16:creationId xmlns:a16="http://schemas.microsoft.com/office/drawing/2014/main" id="{158EA5BA-0630-44FE-B26B-3FB59A038867}"/>
            </a:ext>
          </a:extLst>
        </xdr:cNvPr>
        <xdr:cNvSpPr txBox="1"/>
      </xdr:nvSpPr>
      <xdr:spPr>
        <a:xfrm>
          <a:off x="18341340" y="68297788"/>
          <a:ext cx="0" cy="11813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Response:</a:t>
          </a:r>
        </a:p>
        <a:p>
          <a:r>
            <a:rPr lang="en-US" sz="1100"/>
            <a:t>never received</a:t>
          </a:r>
          <a:r>
            <a:rPr lang="en-US" sz="1100" baseline="0"/>
            <a:t> reply</a:t>
          </a:r>
          <a:endParaRPr lang="en-US" sz="1100"/>
        </a:p>
        <a:p>
          <a:r>
            <a:rPr lang="en-US" sz="1100"/>
            <a:t>stated</a:t>
          </a:r>
          <a:r>
            <a:rPr lang="en-US" sz="1100" baseline="0"/>
            <a:t> my case did not merit their review</a:t>
          </a:r>
        </a:p>
        <a:p>
          <a:r>
            <a:rPr lang="en-US" sz="1100"/>
            <a:t>affirmed my</a:t>
          </a:r>
          <a:r>
            <a:rPr lang="en-US" sz="1100" baseline="0"/>
            <a:t> case merited review but had to prioritize their resources for another whose liberty was more in jeopardy</a:t>
          </a:r>
        </a:p>
        <a:p>
          <a:r>
            <a:rPr lang="en-US" sz="1100" baseline="0"/>
            <a:t>other (explain in box below)</a:t>
          </a:r>
          <a:endParaRPr lang="en-US" sz="1100"/>
        </a:p>
        <a:p>
          <a:endParaRPr lang="en-US" sz="1100" baseline="0"/>
        </a:p>
      </xdr:txBody>
    </xdr:sp>
    <xdr:clientData/>
  </xdr:twoCellAnchor>
  <xdr:twoCellAnchor>
    <xdr:from>
      <xdr:col>55</xdr:col>
      <xdr:colOff>417740</xdr:colOff>
      <xdr:row>251</xdr:row>
      <xdr:rowOff>155666</xdr:rowOff>
    </xdr:from>
    <xdr:to>
      <xdr:col>63</xdr:col>
      <xdr:colOff>75111</xdr:colOff>
      <xdr:row>264</xdr:row>
      <xdr:rowOff>138522</xdr:rowOff>
    </xdr:to>
    <xdr:sp macro="" textlink="">
      <xdr:nvSpPr>
        <xdr:cNvPr id="60" name="TextBox 59">
          <a:extLst>
            <a:ext uri="{FF2B5EF4-FFF2-40B4-BE49-F238E27FC236}">
              <a16:creationId xmlns:a16="http://schemas.microsoft.com/office/drawing/2014/main" id="{13E46320-092E-416C-AB08-015D99F623C9}"/>
            </a:ext>
          </a:extLst>
        </xdr:cNvPr>
        <xdr:cNvSpPr txBox="1"/>
      </xdr:nvSpPr>
      <xdr:spPr>
        <a:xfrm>
          <a:off x="18341340" y="66221066"/>
          <a:ext cx="0" cy="2451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Appeal result/relief: </a:t>
          </a:r>
        </a:p>
        <a:p>
          <a:endParaRPr lang="en-US" sz="1100" b="0" i="0" u="none" strike="noStrike" baseline="0">
            <a:solidFill>
              <a:schemeClr val="dk1"/>
            </a:solidFill>
            <a:latin typeface="+mn-lt"/>
            <a:ea typeface="+mn-ea"/>
            <a:cs typeface="+mn-cs"/>
          </a:endParaRPr>
        </a:p>
        <a:p>
          <a:r>
            <a:rPr lang="en-US" sz="1100"/>
            <a:t>affirmed all</a:t>
          </a:r>
          <a:r>
            <a:rPr lang="en-US" sz="1100" baseline="0"/>
            <a:t> convictions and sentences</a:t>
          </a:r>
          <a:endParaRPr lang="en-US" sz="1100"/>
        </a:p>
        <a:p>
          <a:r>
            <a:rPr lang="en-US" sz="1100"/>
            <a:t>affirmed all</a:t>
          </a:r>
          <a:r>
            <a:rPr lang="en-US" sz="1100" baseline="0"/>
            <a:t> convictions, threw out sentence</a:t>
          </a:r>
        </a:p>
        <a:p>
          <a:r>
            <a:rPr lang="en-US" sz="1100" baseline="0"/>
            <a:t>affirmed convictions in part, and threw out part</a:t>
          </a:r>
        </a:p>
        <a:p>
          <a:r>
            <a:rPr lang="en-US" sz="1100" baseline="0"/>
            <a:t>threw out all convictions</a:t>
          </a:r>
        </a:p>
        <a:p>
          <a:r>
            <a:rPr lang="en-US" sz="1100" baseline="0"/>
            <a:t>other (explain below)</a:t>
          </a:r>
        </a:p>
        <a:p>
          <a:endParaRPr lang="en-US" sz="1100" baseline="0"/>
        </a:p>
        <a:p>
          <a:endParaRPr lang="en-US" sz="1100"/>
        </a:p>
        <a:p>
          <a:r>
            <a:rPr lang="en-US" sz="1100"/>
            <a:t>remanded back to trial court</a:t>
          </a:r>
        </a:p>
        <a:p>
          <a:endParaRPr lang="en-US" sz="1100"/>
        </a:p>
        <a:p>
          <a:endParaRPr lang="en-US" sz="1100" baseline="0"/>
        </a:p>
      </xdr:txBody>
    </xdr:sp>
    <xdr:clientData/>
  </xdr:twoCellAnchor>
  <xdr:twoCellAnchor>
    <xdr:from>
      <xdr:col>37</xdr:col>
      <xdr:colOff>121920</xdr:colOff>
      <xdr:row>459</xdr:row>
      <xdr:rowOff>99060</xdr:rowOff>
    </xdr:from>
    <xdr:to>
      <xdr:col>44</xdr:col>
      <xdr:colOff>213360</xdr:colOff>
      <xdr:row>460</xdr:row>
      <xdr:rowOff>167640</xdr:rowOff>
    </xdr:to>
    <xdr:sp macro="" textlink="">
      <xdr:nvSpPr>
        <xdr:cNvPr id="61" name="Rectangle: Beveled 60">
          <a:hlinkClick xmlns:r="http://schemas.openxmlformats.org/officeDocument/2006/relationships" r:id="rId18"/>
          <a:extLst>
            <a:ext uri="{FF2B5EF4-FFF2-40B4-BE49-F238E27FC236}">
              <a16:creationId xmlns:a16="http://schemas.microsoft.com/office/drawing/2014/main" id="{72461579-6BB3-45F6-8E4D-E6CC32E1E015}"/>
            </a:ext>
          </a:extLst>
        </xdr:cNvPr>
        <xdr:cNvSpPr/>
      </xdr:nvSpPr>
      <xdr:spPr>
        <a:xfrm>
          <a:off x="18341340" y="118879620"/>
          <a:ext cx="0" cy="24384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rgbClr val="9BFFC8"/>
              </a:solidFill>
            </a:rPr>
            <a:t>click here for support</a:t>
          </a:r>
        </a:p>
      </xdr:txBody>
    </xdr:sp>
    <xdr:clientData/>
  </xdr:twoCellAnchor>
  <xdr:twoCellAnchor>
    <xdr:from>
      <xdr:col>63</xdr:col>
      <xdr:colOff>100148</xdr:colOff>
      <xdr:row>250</xdr:row>
      <xdr:rowOff>9524</xdr:rowOff>
    </xdr:from>
    <xdr:to>
      <xdr:col>75</xdr:col>
      <xdr:colOff>178525</xdr:colOff>
      <xdr:row>261</xdr:row>
      <xdr:rowOff>37010</xdr:rowOff>
    </xdr:to>
    <xdr:sp macro="" textlink="">
      <xdr:nvSpPr>
        <xdr:cNvPr id="62" name="TextBox 61">
          <a:extLst>
            <a:ext uri="{FF2B5EF4-FFF2-40B4-BE49-F238E27FC236}">
              <a16:creationId xmlns:a16="http://schemas.microsoft.com/office/drawing/2014/main" id="{43FA8FE3-87CE-47BC-9E9E-D4A9E828DBC5}"/>
            </a:ext>
          </a:extLst>
        </xdr:cNvPr>
        <xdr:cNvSpPr txBox="1"/>
      </xdr:nvSpPr>
      <xdr:spPr>
        <a:xfrm>
          <a:off x="18341340" y="65884424"/>
          <a:ext cx="0" cy="21229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Sentence severity:</a:t>
          </a:r>
        </a:p>
        <a:p>
          <a:r>
            <a:rPr lang="en-US" sz="1100"/>
            <a:t>death row</a:t>
          </a:r>
        </a:p>
        <a:p>
          <a:r>
            <a:rPr lang="en-US" sz="1100"/>
            <a:t>life sentence</a:t>
          </a:r>
          <a:r>
            <a:rPr lang="en-US" sz="1100" baseline="0"/>
            <a:t> without chance for parole</a:t>
          </a:r>
        </a:p>
        <a:p>
          <a:r>
            <a:rPr lang="en-US" sz="1100" baseline="0"/>
            <a:t>life sentence with possibility of parole</a:t>
          </a:r>
        </a:p>
        <a:p>
          <a:r>
            <a:rPr lang="en-US" sz="1100" baseline="0">
              <a:solidFill>
                <a:schemeClr val="dk1"/>
              </a:solidFill>
              <a:effectLst/>
              <a:latin typeface="+mn-lt"/>
              <a:ea typeface="+mn-ea"/>
              <a:cs typeface="+mn-cs"/>
            </a:rPr>
            <a:t>lengthy </a:t>
          </a:r>
          <a:r>
            <a:rPr lang="en-US" sz="1100" baseline="0"/>
            <a:t>"trial penalty" sentence</a:t>
          </a:r>
        </a:p>
        <a:p>
          <a:r>
            <a:rPr lang="en-US" sz="1100" baseline="0"/>
            <a:t>indeterminent sentence with no set outdate</a:t>
          </a:r>
        </a:p>
        <a:p>
          <a:r>
            <a:rPr lang="en-US" sz="1100" baseline="0"/>
            <a:t>due to start next sentence after this one</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facing risk of civil commitment</a:t>
          </a:r>
          <a:endParaRPr lang="en-US">
            <a:effectLst/>
          </a:endParaRPr>
        </a:p>
        <a:p>
          <a:r>
            <a:rPr lang="en-US" sz="1100" baseline="0"/>
            <a:t>facing risk of deportation</a:t>
          </a:r>
          <a:endParaRPr lang="en-US" sz="1100"/>
        </a:p>
        <a:p>
          <a:endParaRPr lang="en-US" sz="1100" baseline="0"/>
        </a:p>
      </xdr:txBody>
    </xdr:sp>
    <xdr:clientData/>
  </xdr:twoCellAnchor>
  <xdr:twoCellAnchor>
    <xdr:from>
      <xdr:col>1</xdr:col>
      <xdr:colOff>1008381</xdr:colOff>
      <xdr:row>1773</xdr:row>
      <xdr:rowOff>33019</xdr:rowOff>
    </xdr:from>
    <xdr:to>
      <xdr:col>3</xdr:col>
      <xdr:colOff>1203109</xdr:colOff>
      <xdr:row>1791</xdr:row>
      <xdr:rowOff>84446</xdr:rowOff>
    </xdr:to>
    <xdr:sp macro="" textlink="">
      <xdr:nvSpPr>
        <xdr:cNvPr id="67" name="Text Box 8">
          <a:extLst>
            <a:ext uri="{FF2B5EF4-FFF2-40B4-BE49-F238E27FC236}">
              <a16:creationId xmlns:a16="http://schemas.microsoft.com/office/drawing/2014/main" id="{C5F0C95D-0D36-45A1-89DC-BD934FB774BB}"/>
            </a:ext>
          </a:extLst>
        </xdr:cNvPr>
        <xdr:cNvSpPr txBox="1"/>
      </xdr:nvSpPr>
      <xdr:spPr>
        <a:xfrm rot="343004">
          <a:off x="1262381" y="337510119"/>
          <a:ext cx="3725328" cy="3251827"/>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Guilty</a:t>
          </a:r>
          <a:r>
            <a:rPr lang="en-US" sz="1100">
              <a:effectLst/>
              <a:latin typeface="+mn-lt"/>
              <a:ea typeface="+mn-ea"/>
              <a:cs typeface="+mn-cs"/>
            </a:rPr>
            <a:t> </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or innocent? I’m not talking about you,</a:t>
          </a:r>
          <a:r>
            <a:rPr lang="en-US" sz="2000" b="1" baseline="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but about them</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Who shall exonerate those who remain slow to exonerate others they falsely condemn?</a:t>
          </a:r>
        </a:p>
      </xdr:txBody>
    </xdr:sp>
    <xdr:clientData/>
  </xdr:twoCellAnchor>
  <xdr:twoCellAnchor>
    <xdr:from>
      <xdr:col>1</xdr:col>
      <xdr:colOff>68417</xdr:colOff>
      <xdr:row>1711</xdr:row>
      <xdr:rowOff>102874</xdr:rowOff>
    </xdr:from>
    <xdr:to>
      <xdr:col>4</xdr:col>
      <xdr:colOff>21609</xdr:colOff>
      <xdr:row>1720</xdr:row>
      <xdr:rowOff>100127</xdr:rowOff>
    </xdr:to>
    <xdr:sp macro="" textlink="">
      <xdr:nvSpPr>
        <xdr:cNvPr id="68" name="Text Box 8">
          <a:extLst>
            <a:ext uri="{FF2B5EF4-FFF2-40B4-BE49-F238E27FC236}">
              <a16:creationId xmlns:a16="http://schemas.microsoft.com/office/drawing/2014/main" id="{BED004C5-93A0-4201-975D-44113FDB67A9}"/>
            </a:ext>
          </a:extLst>
        </xdr:cNvPr>
        <xdr:cNvSpPr txBox="1"/>
      </xdr:nvSpPr>
      <xdr:spPr>
        <a:xfrm rot="565750">
          <a:off x="327497" y="325873114"/>
          <a:ext cx="5462452" cy="1574593"/>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"It is better that ten guilty persons </a:t>
          </a:r>
          <a:r>
            <a:rPr lang="en-US" sz="2000" b="1" spc="-2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escape than that one innocent suffer</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31</xdr:col>
      <xdr:colOff>30480</xdr:colOff>
      <xdr:row>1734</xdr:row>
      <xdr:rowOff>99060</xdr:rowOff>
    </xdr:from>
    <xdr:to>
      <xdr:col>53</xdr:col>
      <xdr:colOff>161867</xdr:colOff>
      <xdr:row>1745</xdr:row>
      <xdr:rowOff>110310</xdr:rowOff>
    </xdr:to>
    <xdr:sp macro="" textlink="">
      <xdr:nvSpPr>
        <xdr:cNvPr id="69" name="TextBox 68">
          <a:extLst>
            <a:ext uri="{FF2B5EF4-FFF2-40B4-BE49-F238E27FC236}">
              <a16:creationId xmlns:a16="http://schemas.microsoft.com/office/drawing/2014/main" id="{9849F6E6-467E-4D90-9601-B73F783E3845}"/>
            </a:ext>
          </a:extLst>
        </xdr:cNvPr>
        <xdr:cNvSpPr txBox="1"/>
      </xdr:nvSpPr>
      <xdr:spPr>
        <a:xfrm>
          <a:off x="18341340" y="329900280"/>
          <a:ext cx="0" cy="1946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who can access my profile:</a:t>
          </a:r>
        </a:p>
        <a:p>
          <a:r>
            <a:rPr lang="en-US" sz="1100" b="0" i="0" u="none" strike="noStrike" baseline="0">
              <a:solidFill>
                <a:schemeClr val="dk1"/>
              </a:solidFill>
              <a:effectLst/>
              <a:latin typeface="+mn-lt"/>
              <a:ea typeface="+mn-ea"/>
              <a:cs typeface="+mn-cs"/>
            </a:rPr>
            <a:t>no one yet (unpublished)</a:t>
          </a:r>
        </a:p>
        <a:p>
          <a:r>
            <a:rPr lang="en-US" sz="1100" b="0" i="0" u="none" strike="noStrike" baseline="0">
              <a:solidFill>
                <a:schemeClr val="dk1"/>
              </a:solidFill>
              <a:effectLst/>
              <a:latin typeface="+mn-lt"/>
              <a:ea typeface="+mn-ea"/>
              <a:cs typeface="+mn-cs"/>
            </a:rPr>
            <a:t>white list: only those claimant (or proxy) names</a:t>
          </a:r>
        </a:p>
        <a:p>
          <a:r>
            <a:rPr lang="en-US" sz="1100" b="0" i="0" u="none" strike="noStrike" baseline="0">
              <a:solidFill>
                <a:schemeClr val="dk1"/>
              </a:solidFill>
              <a:effectLst/>
              <a:latin typeface="+mn-lt"/>
              <a:ea typeface="+mn-ea"/>
              <a:cs typeface="+mn-cs"/>
            </a:rPr>
            <a:t>white list and by automated agree-to-terms request</a:t>
          </a:r>
        </a:p>
        <a:p>
          <a:r>
            <a:rPr lang="en-US" sz="1100" b="0" i="0" u="none" strike="noStrike" baseline="0">
              <a:solidFill>
                <a:schemeClr val="dk1"/>
              </a:solidFill>
              <a:effectLst/>
              <a:latin typeface="+mn-lt"/>
              <a:ea typeface="+mn-ea"/>
              <a:cs typeface="+mn-cs"/>
            </a:rPr>
            <a:t>white list and by personal request, pending my approval</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white list and by personal request, pending proxy approval</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white list and by personal request, pending supporter approval</a:t>
          </a:r>
          <a:endParaRPr lang="en-US">
            <a:effectLst/>
          </a:endParaRPr>
        </a:p>
        <a:p>
          <a:r>
            <a:rPr lang="en-US" sz="1100" b="0" i="0" u="none" strike="noStrike" baseline="0">
              <a:solidFill>
                <a:schemeClr val="dk1"/>
              </a:solidFill>
              <a:effectLst/>
              <a:latin typeface="+mn-lt"/>
              <a:ea typeface="+mn-ea"/>
              <a:cs typeface="+mn-cs"/>
            </a:rPr>
            <a:t>black list: exclude only those claimant (or proxy) names</a:t>
          </a:r>
        </a:p>
        <a:p>
          <a:r>
            <a:rPr lang="en-US" sz="1100" b="0" i="0" u="none" strike="noStrike" baseline="0">
              <a:solidFill>
                <a:schemeClr val="dk1"/>
              </a:solidFill>
              <a:effectLst/>
              <a:latin typeface="+mn-lt"/>
              <a:ea typeface="+mn-ea"/>
              <a:cs typeface="+mn-cs"/>
            </a:rPr>
            <a:t>open to all site registrants</a:t>
          </a:r>
        </a:p>
        <a:p>
          <a:r>
            <a:rPr lang="en-US" sz="1100" b="0" i="0" u="none" strike="noStrike" baseline="0">
              <a:solidFill>
                <a:schemeClr val="dk1"/>
              </a:solidFill>
              <a:effectLst/>
              <a:latin typeface="+mn-lt"/>
              <a:ea typeface="+mn-ea"/>
              <a:cs typeface="+mn-cs"/>
            </a:rPr>
            <a:t>open to anyone</a:t>
          </a:r>
        </a:p>
        <a:p>
          <a:endParaRPr lang="en-US">
            <a:effectLst/>
          </a:endParaRPr>
        </a:p>
        <a:p>
          <a:endParaRPr lang="en-US" sz="1100"/>
        </a:p>
      </xdr:txBody>
    </xdr:sp>
    <xdr:clientData/>
  </xdr:twoCellAnchor>
  <xdr:twoCellAnchor>
    <xdr:from>
      <xdr:col>0</xdr:col>
      <xdr:colOff>190500</xdr:colOff>
      <xdr:row>687</xdr:row>
      <xdr:rowOff>168275</xdr:rowOff>
    </xdr:from>
    <xdr:to>
      <xdr:col>1</xdr:col>
      <xdr:colOff>572135</xdr:colOff>
      <xdr:row>688</xdr:row>
      <xdr:rowOff>983615</xdr:rowOff>
    </xdr:to>
    <xdr:sp macro="" textlink="">
      <xdr:nvSpPr>
        <xdr:cNvPr id="72" name="Text Box 3">
          <a:extLst>
            <a:ext uri="{FF2B5EF4-FFF2-40B4-BE49-F238E27FC236}">
              <a16:creationId xmlns:a16="http://schemas.microsoft.com/office/drawing/2014/main" id="{A94AF2C3-D21A-4634-A4DE-6CE9393740B3}"/>
            </a:ext>
          </a:extLst>
        </xdr:cNvPr>
        <xdr:cNvSpPr txBox="1"/>
      </xdr:nvSpPr>
      <xdr:spPr>
        <a:xfrm>
          <a:off x="190500" y="241851815"/>
          <a:ext cx="640715" cy="100584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1384300</xdr:colOff>
      <xdr:row>688</xdr:row>
      <xdr:rowOff>4069080</xdr:rowOff>
    </xdr:from>
    <xdr:to>
      <xdr:col>4</xdr:col>
      <xdr:colOff>51435</xdr:colOff>
      <xdr:row>690</xdr:row>
      <xdr:rowOff>327660</xdr:rowOff>
    </xdr:to>
    <xdr:sp macro="" textlink="">
      <xdr:nvSpPr>
        <xdr:cNvPr id="73" name="Text Box 4">
          <a:extLst>
            <a:ext uri="{FF2B5EF4-FFF2-40B4-BE49-F238E27FC236}">
              <a16:creationId xmlns:a16="http://schemas.microsoft.com/office/drawing/2014/main" id="{F2DFDF1E-7150-45A2-9BF1-EF91A7A78692}"/>
            </a:ext>
          </a:extLst>
        </xdr:cNvPr>
        <xdr:cNvSpPr txBox="1"/>
      </xdr:nvSpPr>
      <xdr:spPr>
        <a:xfrm>
          <a:off x="5179060" y="245943120"/>
          <a:ext cx="640715" cy="101346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198120</xdr:colOff>
      <xdr:row>639</xdr:row>
      <xdr:rowOff>8255</xdr:rowOff>
    </xdr:from>
    <xdr:to>
      <xdr:col>1</xdr:col>
      <xdr:colOff>579755</xdr:colOff>
      <xdr:row>639</xdr:row>
      <xdr:rowOff>1014095</xdr:rowOff>
    </xdr:to>
    <xdr:sp macro="" textlink="">
      <xdr:nvSpPr>
        <xdr:cNvPr id="74" name="Text Box 3">
          <a:extLst>
            <a:ext uri="{FF2B5EF4-FFF2-40B4-BE49-F238E27FC236}">
              <a16:creationId xmlns:a16="http://schemas.microsoft.com/office/drawing/2014/main" id="{83A668C6-9D3B-49DB-8258-BED5743198E5}"/>
            </a:ext>
          </a:extLst>
        </xdr:cNvPr>
        <xdr:cNvSpPr txBox="1"/>
      </xdr:nvSpPr>
      <xdr:spPr>
        <a:xfrm>
          <a:off x="198120" y="216324815"/>
          <a:ext cx="640715" cy="100584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1391920</xdr:colOff>
      <xdr:row>639</xdr:row>
      <xdr:rowOff>4450080</xdr:rowOff>
    </xdr:from>
    <xdr:to>
      <xdr:col>4</xdr:col>
      <xdr:colOff>59055</xdr:colOff>
      <xdr:row>641</xdr:row>
      <xdr:rowOff>327660</xdr:rowOff>
    </xdr:to>
    <xdr:sp macro="" textlink="">
      <xdr:nvSpPr>
        <xdr:cNvPr id="75" name="Text Box 4">
          <a:extLst>
            <a:ext uri="{FF2B5EF4-FFF2-40B4-BE49-F238E27FC236}">
              <a16:creationId xmlns:a16="http://schemas.microsoft.com/office/drawing/2014/main" id="{D849C878-BB27-4E7A-ACA1-E7886B4DAF6B}"/>
            </a:ext>
          </a:extLst>
        </xdr:cNvPr>
        <xdr:cNvSpPr txBox="1"/>
      </xdr:nvSpPr>
      <xdr:spPr>
        <a:xfrm>
          <a:off x="5186680" y="220766640"/>
          <a:ext cx="640715" cy="101346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57</xdr:col>
      <xdr:colOff>365760</xdr:colOff>
      <xdr:row>1000</xdr:row>
      <xdr:rowOff>163285</xdr:rowOff>
    </xdr:from>
    <xdr:to>
      <xdr:col>75</xdr:col>
      <xdr:colOff>185058</xdr:colOff>
      <xdr:row>1038</xdr:row>
      <xdr:rowOff>157841</xdr:rowOff>
    </xdr:to>
    <xdr:sp macro="" textlink="">
      <xdr:nvSpPr>
        <xdr:cNvPr id="76" name="Rectangle: Rounded Corners 75">
          <a:extLst>
            <a:ext uri="{FF2B5EF4-FFF2-40B4-BE49-F238E27FC236}">
              <a16:creationId xmlns:a16="http://schemas.microsoft.com/office/drawing/2014/main" id="{CAA60AB2-3C86-4E19-8525-27140997969B}"/>
            </a:ext>
          </a:extLst>
        </xdr:cNvPr>
        <xdr:cNvSpPr/>
      </xdr:nvSpPr>
      <xdr:spPr>
        <a:xfrm>
          <a:off x="18341340" y="29738574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400">
              <a:solidFill>
                <a:schemeClr val="tx1"/>
              </a:solidFill>
            </a:rPr>
            <a:t>calculation</a:t>
          </a:r>
          <a:r>
            <a:rPr lang="en-US" sz="1400" baseline="0">
              <a:solidFill>
                <a:schemeClr val="tx1"/>
              </a:solidFill>
            </a:rPr>
            <a:t> of situation depression from Challenging and Aspiring response data; rule out endogynous depression</a:t>
          </a:r>
        </a:p>
        <a:p>
          <a:pPr algn="l"/>
          <a:r>
            <a:rPr lang="en-US" sz="1400" baseline="0">
              <a:solidFill>
                <a:schemeClr val="tx1"/>
              </a:solidFill>
            </a:rPr>
            <a:t>Any use of antidepressants to be informed by situational depression, with antidepressants as option to remove the intensity of the pain but not to enable the etiological situation. </a:t>
          </a:r>
          <a:endParaRPr lang="en-US" sz="1100">
            <a:solidFill>
              <a:schemeClr val="tx1"/>
            </a:solidFill>
          </a:endParaRPr>
        </a:p>
      </xdr:txBody>
    </xdr:sp>
    <xdr:clientData/>
  </xdr:twoCellAnchor>
  <xdr:twoCellAnchor>
    <xdr:from>
      <xdr:col>0</xdr:col>
      <xdr:colOff>99059</xdr:colOff>
      <xdr:row>137</xdr:row>
      <xdr:rowOff>155664</xdr:rowOff>
    </xdr:from>
    <xdr:to>
      <xdr:col>5</xdr:col>
      <xdr:colOff>83819</xdr:colOff>
      <xdr:row>145</xdr:row>
      <xdr:rowOff>186144</xdr:rowOff>
    </xdr:to>
    <xdr:sp macro="" textlink="">
      <xdr:nvSpPr>
        <xdr:cNvPr id="77" name="Rectangle: Rounded Corners 76">
          <a:extLst>
            <a:ext uri="{FF2B5EF4-FFF2-40B4-BE49-F238E27FC236}">
              <a16:creationId xmlns:a16="http://schemas.microsoft.com/office/drawing/2014/main" id="{92C2F794-34A0-419F-ACD4-432971401077}"/>
            </a:ext>
          </a:extLst>
        </xdr:cNvPr>
        <xdr:cNvSpPr/>
      </xdr:nvSpPr>
      <xdr:spPr>
        <a:xfrm>
          <a:off x="99059" y="40434984"/>
          <a:ext cx="5943600" cy="1645920"/>
        </a:xfrm>
        <a:prstGeom prst="roundRect">
          <a:avLst>
            <a:gd name="adj" fmla="val 5176"/>
          </a:avLst>
        </a:prstGeom>
        <a:solidFill>
          <a:srgbClr val="007832">
            <a:alpha val="80000"/>
          </a:srgbClr>
        </a:solidFill>
        <a:ln w="50800">
          <a:solidFill>
            <a:srgbClr val="00CC5C">
              <a:alpha val="40000"/>
            </a:srgb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2000">
              <a:latin typeface="Tahoma" panose="020B0604030504040204" pitchFamily="34" charset="0"/>
              <a:ea typeface="Tahoma" panose="020B0604030504040204" pitchFamily="34" charset="0"/>
              <a:cs typeface="Tahoma" panose="020B0604030504040204" pitchFamily="34" charset="0"/>
            </a:rPr>
            <a:t>This tool is in pilot</a:t>
          </a:r>
          <a:r>
            <a:rPr lang="en-US" sz="2000" baseline="0">
              <a:latin typeface="Tahoma" panose="020B0604030504040204" pitchFamily="34" charset="0"/>
              <a:ea typeface="Tahoma" panose="020B0604030504040204" pitchFamily="34" charset="0"/>
              <a:cs typeface="Tahoma" panose="020B0604030504040204" pitchFamily="34" charset="0"/>
            </a:rPr>
            <a:t> mode. It aims to calculate a likelihood of innocence compared to known cases of exoneration. It can be improved by feedback from each person utilizing it and receiving it. </a:t>
          </a:r>
          <a:endParaRPr lang="en-US" sz="200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39</xdr:col>
      <xdr:colOff>34833</xdr:colOff>
      <xdr:row>837</xdr:row>
      <xdr:rowOff>101235</xdr:rowOff>
    </xdr:from>
    <xdr:to>
      <xdr:col>70</xdr:col>
      <xdr:colOff>89262</xdr:colOff>
      <xdr:row>844</xdr:row>
      <xdr:rowOff>21771</xdr:rowOff>
    </xdr:to>
    <xdr:sp macro="" textlink="">
      <xdr:nvSpPr>
        <xdr:cNvPr id="78" name="Rectangle: Rounded Corners 77">
          <a:extLst>
            <a:ext uri="{FF2B5EF4-FFF2-40B4-BE49-F238E27FC236}">
              <a16:creationId xmlns:a16="http://schemas.microsoft.com/office/drawing/2014/main" id="{8867D034-1BCE-4B52-9583-813AD0B67210}"/>
            </a:ext>
          </a:extLst>
        </xdr:cNvPr>
        <xdr:cNvSpPr/>
      </xdr:nvSpPr>
      <xdr:spPr>
        <a:xfrm>
          <a:off x="18341340" y="280349595"/>
          <a:ext cx="0" cy="2016036"/>
        </a:xfrm>
        <a:prstGeom prst="roundRect">
          <a:avLst>
            <a:gd name="adj" fmla="val 5176"/>
          </a:avLst>
        </a:prstGeom>
        <a:solidFill>
          <a:srgbClr val="F19B61">
            <a:alpha val="12157"/>
          </a:srgbClr>
        </a:solidFill>
        <a:ln w="76200">
          <a:solidFill>
            <a:srgbClr val="9BFFC8"/>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400">
              <a:solidFill>
                <a:schemeClr val="accent2">
                  <a:lumMod val="75000"/>
                </a:schemeClr>
              </a:solidFill>
            </a:rPr>
            <a:t>Despite </a:t>
          </a:r>
          <a:r>
            <a:rPr lang="en-US" sz="1400">
              <a:solidFill>
                <a:schemeClr val="accent2">
                  <a:lumMod val="75000"/>
                </a:schemeClr>
              </a:solidFill>
              <a:latin typeface="+mn-lt"/>
              <a:ea typeface="+mn-ea"/>
              <a:cs typeface="+mn-cs"/>
            </a:rPr>
            <a:t>challenging [CHALLENGING] needs, [NAME] aspires toward [ASPRING].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solidFill>
              <a:schemeClr val="accent2">
                <a:lumMod val="75000"/>
              </a:schemeClr>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accent2">
                  <a:lumMod val="75000"/>
                </a:schemeClr>
              </a:solidFill>
              <a:latin typeface="+mn-lt"/>
              <a:ea typeface="+mn-ea"/>
              <a:cs typeface="+mn-cs"/>
            </a:rPr>
            <a:t>Despite challenging [CHALLENGING] needs, [NAME] aspires toward [ASPRING]. </a:t>
          </a:r>
        </a:p>
        <a:p>
          <a:pPr algn="l"/>
          <a:endParaRPr lang="en-US" sz="1400">
            <a:solidFill>
              <a:schemeClr val="accent2">
                <a:lumMod val="75000"/>
              </a:schemeClr>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accent2">
                  <a:lumMod val="75000"/>
                </a:schemeClr>
              </a:solidFill>
              <a:latin typeface="+mn-lt"/>
              <a:ea typeface="+mn-ea"/>
              <a:cs typeface="+mn-cs"/>
            </a:rPr>
            <a:t>Despite challenging [CHALLENGING] needs, [NAME] aspires toward [ASPRING]. </a:t>
          </a:r>
        </a:p>
        <a:p>
          <a:pPr algn="l"/>
          <a:endParaRPr lang="en-US" sz="1400">
            <a:solidFill>
              <a:schemeClr val="accent2">
                <a:lumMod val="75000"/>
              </a:schemeClr>
            </a:solidFill>
          </a:endParaRPr>
        </a:p>
        <a:p>
          <a:pPr algn="l"/>
          <a:endParaRPr lang="en-US" sz="1400">
            <a:solidFill>
              <a:schemeClr val="accent2">
                <a:lumMod val="75000"/>
              </a:schemeClr>
            </a:solidFill>
          </a:endParaRPr>
        </a:p>
      </xdr:txBody>
    </xdr:sp>
    <xdr:clientData/>
  </xdr:twoCellAnchor>
  <xdr:twoCellAnchor editAs="oneCell">
    <xdr:from>
      <xdr:col>1</xdr:col>
      <xdr:colOff>170938</xdr:colOff>
      <xdr:row>1755</xdr:row>
      <xdr:rowOff>77829</xdr:rowOff>
    </xdr:from>
    <xdr:to>
      <xdr:col>3</xdr:col>
      <xdr:colOff>1942682</xdr:colOff>
      <xdr:row>1772</xdr:row>
      <xdr:rowOff>112392</xdr:rowOff>
    </xdr:to>
    <xdr:pic>
      <xdr:nvPicPr>
        <xdr:cNvPr id="79" name="Picture 78">
          <a:extLst>
            <a:ext uri="{FF2B5EF4-FFF2-40B4-BE49-F238E27FC236}">
              <a16:creationId xmlns:a16="http://schemas.microsoft.com/office/drawing/2014/main" id="{E05D9F15-2542-4FED-8356-1CD553A45906}"/>
            </a:ext>
          </a:extLst>
        </xdr:cNvPr>
        <xdr:cNvPicPr>
          <a:picLocks noChangeAspect="1"/>
        </xdr:cNvPicPr>
      </xdr:nvPicPr>
      <xdr:blipFill>
        <a:blip xmlns:r="http://schemas.openxmlformats.org/officeDocument/2006/relationships" r:embed="rId19"/>
        <a:stretch>
          <a:fillRect/>
        </a:stretch>
      </xdr:blipFill>
      <xdr:spPr>
        <a:xfrm rot="21406620">
          <a:off x="424938" y="334354529"/>
          <a:ext cx="5302344" cy="3057163"/>
        </a:xfrm>
        <a:prstGeom prst="rect">
          <a:avLst/>
        </a:prstGeom>
      </xdr:spPr>
    </xdr:pic>
    <xdr:clientData/>
  </xdr:twoCellAnchor>
  <xdr:twoCellAnchor>
    <xdr:from>
      <xdr:col>79</xdr:col>
      <xdr:colOff>1084</xdr:colOff>
      <xdr:row>87</xdr:row>
      <xdr:rowOff>152400</xdr:rowOff>
    </xdr:from>
    <xdr:to>
      <xdr:col>88</xdr:col>
      <xdr:colOff>13058</xdr:colOff>
      <xdr:row>97</xdr:row>
      <xdr:rowOff>38100</xdr:rowOff>
    </xdr:to>
    <xdr:sp macro="" textlink="">
      <xdr:nvSpPr>
        <xdr:cNvPr id="80" name="Arrow: Right 79">
          <a:hlinkClick xmlns:r="http://schemas.openxmlformats.org/officeDocument/2006/relationships" r:id="rId20" tooltip="&gt;&gt; click here if you could use some help with this &lt;&lt;"/>
          <a:extLst>
            <a:ext uri="{FF2B5EF4-FFF2-40B4-BE49-F238E27FC236}">
              <a16:creationId xmlns:a16="http://schemas.microsoft.com/office/drawing/2014/main" id="{3F9F5098-9E33-4CBE-8561-E9EFACCB63E4}"/>
            </a:ext>
          </a:extLst>
        </xdr:cNvPr>
        <xdr:cNvSpPr/>
      </xdr:nvSpPr>
      <xdr:spPr>
        <a:xfrm>
          <a:off x="18341340" y="30198060"/>
          <a:ext cx="0" cy="1790700"/>
        </a:xfrm>
        <a:prstGeom prst="rightArrow">
          <a:avLst>
            <a:gd name="adj1" fmla="val 100000"/>
            <a:gd name="adj2" fmla="val 10822"/>
          </a:avLst>
        </a:prstGeom>
        <a:scene3d>
          <a:camera prst="orthographicFront"/>
          <a:lightRig rig="threePt" dir="t"/>
        </a:scene3d>
        <a:sp3d>
          <a:bevelT prst="angle"/>
        </a:sp3d>
      </xdr:spPr>
      <xdr:style>
        <a:lnRef idx="0">
          <a:schemeClr val="accent2"/>
        </a:lnRef>
        <a:fillRef idx="3">
          <a:schemeClr val="accent2"/>
        </a:fillRef>
        <a:effectRef idx="3">
          <a:schemeClr val="accent2"/>
        </a:effectRef>
        <a:fontRef idx="minor">
          <a:schemeClr val="lt1"/>
        </a:fontRef>
      </xdr:style>
      <xdr:txBody>
        <a:bodyPr vertOverflow="clip" horzOverflow="clip" lIns="137160" rtlCol="0" anchor="ctr"/>
        <a:lstStyle/>
        <a:p>
          <a:pPr>
            <a:lnSpc>
              <a:spcPts val="1400"/>
            </a:lnSpc>
            <a:spcAft>
              <a:spcPts val="600"/>
            </a:spcAft>
          </a:pPr>
          <a:r>
            <a:rPr lang="en-US" sz="140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Recounting this information risks</a:t>
          </a:r>
          <a:r>
            <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 re-traumatizing those most deeply affected by it. The proxy is there for support, and we support the proxy. </a:t>
          </a:r>
          <a:endParaRPr lang="en-US" sz="1400">
            <a:effectLst>
              <a:outerShdw blurRad="50800" dist="38100" dir="2700000" algn="tl" rotWithShape="0">
                <a:prstClr val="black">
                  <a:alpha val="40000"/>
                </a:prstClr>
              </a:outerShdw>
            </a:effectLst>
            <a:latin typeface="Arial Black" panose="020B0A04020102020204" pitchFamily="34" charset="0"/>
          </a:endParaRPr>
        </a:p>
        <a:p>
          <a:pPr>
            <a:lnSpc>
              <a:spcPts val="1400"/>
            </a:lnSpc>
          </a:pPr>
          <a:r>
            <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If needing direct support to get through this, please contact us. Don't let any temporary pain stop you from receiving overdue justice. </a:t>
          </a:r>
        </a:p>
        <a:p>
          <a:pPr algn="ctr">
            <a:lnSpc>
              <a:spcPts val="1400"/>
            </a:lnSpc>
          </a:pPr>
          <a:endPar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endParaRPr>
        </a:p>
        <a:p>
          <a:pPr algn="ctr">
            <a:lnSpc>
              <a:spcPts val="1400"/>
            </a:lnSpc>
          </a:pPr>
          <a:r>
            <a:rPr lang="en-US" sz="2000" baseline="0">
              <a:ln w="3175">
                <a:solidFill>
                  <a:schemeClr val="bg1"/>
                </a:solidFill>
              </a:ln>
              <a:solidFill>
                <a:srgbClr val="FFABAD"/>
              </a:solidFill>
              <a:effectLst>
                <a:outerShdw blurRad="50800" dist="38100" dir="2700000" algn="tl" rotWithShape="0">
                  <a:prstClr val="black">
                    <a:alpha val="40000"/>
                  </a:prstClr>
                </a:outerShdw>
              </a:effectLst>
              <a:latin typeface="Arial Black" panose="020B0A04020102020204" pitchFamily="34" charset="0"/>
              <a:ea typeface="+mn-ea"/>
              <a:cs typeface="+mn-cs"/>
            </a:rPr>
            <a:t>CLICK HERE</a:t>
          </a:r>
          <a:r>
            <a:rPr lang="en-US" sz="2000" baseline="0">
              <a:solidFill>
                <a:srgbClr val="FFABAD"/>
              </a:solidFill>
              <a:effectLst>
                <a:outerShdw blurRad="50800" dist="38100" dir="2700000" algn="tl" rotWithShape="0">
                  <a:prstClr val="black">
                    <a:alpha val="40000"/>
                  </a:prstClr>
                </a:outerShdw>
              </a:effectLst>
              <a:latin typeface="Arial Black" panose="020B0A04020102020204" pitchFamily="34" charset="0"/>
              <a:ea typeface="+mn-ea"/>
              <a:cs typeface="+mn-cs"/>
            </a:rPr>
            <a:t>.</a:t>
          </a:r>
          <a:endParaRPr lang="en-US" sz="1400">
            <a:solidFill>
              <a:srgbClr val="FFABAD"/>
            </a:solidFill>
            <a:effectLst>
              <a:outerShdw blurRad="50800" dist="38100" dir="2700000" algn="tl" rotWithShape="0">
                <a:prstClr val="black">
                  <a:alpha val="40000"/>
                </a:prstClr>
              </a:outerShdw>
            </a:effectLst>
            <a:latin typeface="Arial Black" panose="020B0A04020102020204" pitchFamily="34" charset="0"/>
          </a:endParaRPr>
        </a:p>
      </xdr:txBody>
    </xdr:sp>
    <xdr:clientData/>
  </xdr:twoCellAnchor>
  <xdr:twoCellAnchor>
    <xdr:from>
      <xdr:col>1</xdr:col>
      <xdr:colOff>337144</xdr:colOff>
      <xdr:row>688</xdr:row>
      <xdr:rowOff>663397</xdr:rowOff>
    </xdr:from>
    <xdr:to>
      <xdr:col>3</xdr:col>
      <xdr:colOff>1804779</xdr:colOff>
      <xdr:row>688</xdr:row>
      <xdr:rowOff>4292129</xdr:rowOff>
    </xdr:to>
    <xdr:sp macro="" textlink="">
      <xdr:nvSpPr>
        <xdr:cNvPr id="81" name="TextBox 80">
          <a:extLst>
            <a:ext uri="{FF2B5EF4-FFF2-40B4-BE49-F238E27FC236}">
              <a16:creationId xmlns:a16="http://schemas.microsoft.com/office/drawing/2014/main" id="{C27C20FC-A2B9-4A56-AD11-CDBE73D71C86}"/>
            </a:ext>
          </a:extLst>
        </xdr:cNvPr>
        <xdr:cNvSpPr txBox="1"/>
      </xdr:nvSpPr>
      <xdr:spPr>
        <a:xfrm rot="21085390">
          <a:off x="596224" y="242537437"/>
          <a:ext cx="5003315" cy="3628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No one sits above the law, yet no law sits above need. Laws exist to serve needs, but whose? </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And all needs sit equal before nature.</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moral question persists: whose needs get best served by which enforced laws? </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answer determines the level of legitimacy, the level of widely earned trust to serve these needs.</a:t>
          </a:r>
        </a:p>
      </xdr:txBody>
    </xdr:sp>
    <xdr:clientData/>
  </xdr:twoCellAnchor>
  <xdr:twoCellAnchor>
    <xdr:from>
      <xdr:col>1</xdr:col>
      <xdr:colOff>243335</xdr:colOff>
      <xdr:row>639</xdr:row>
      <xdr:rowOff>1099136</xdr:rowOff>
    </xdr:from>
    <xdr:to>
      <xdr:col>3</xdr:col>
      <xdr:colOff>1710970</xdr:colOff>
      <xdr:row>639</xdr:row>
      <xdr:rowOff>4671929</xdr:rowOff>
    </xdr:to>
    <xdr:sp macro="" textlink="">
      <xdr:nvSpPr>
        <xdr:cNvPr id="83" name="TextBox 82">
          <a:hlinkClick xmlns:r="http://schemas.openxmlformats.org/officeDocument/2006/relationships" r:id="rId21"/>
          <a:extLst>
            <a:ext uri="{FF2B5EF4-FFF2-40B4-BE49-F238E27FC236}">
              <a16:creationId xmlns:a16="http://schemas.microsoft.com/office/drawing/2014/main" id="{C9E0DECA-E3C5-4409-9794-282677576976}"/>
            </a:ext>
          </a:extLst>
        </xdr:cNvPr>
        <xdr:cNvSpPr txBox="1"/>
      </xdr:nvSpPr>
      <xdr:spPr>
        <a:xfrm rot="513505">
          <a:off x="502415" y="217415696"/>
          <a:ext cx="5003315" cy="3572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demand for professional help to review these viable claims of innocence far outstrips the meager supply.</a:t>
          </a:r>
        </a:p>
        <a:p>
          <a:endParaRPr lang="en-US" sz="24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24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Innocence Projects remain overwhelmed. We can help fill that gap.</a:t>
          </a:r>
        </a:p>
      </xdr:txBody>
    </xdr:sp>
    <xdr:clientData/>
  </xdr:twoCellAnchor>
  <xdr:twoCellAnchor>
    <xdr:from>
      <xdr:col>26</xdr:col>
      <xdr:colOff>0</xdr:colOff>
      <xdr:row>794</xdr:row>
      <xdr:rowOff>9797</xdr:rowOff>
    </xdr:from>
    <xdr:to>
      <xdr:col>26</xdr:col>
      <xdr:colOff>0</xdr:colOff>
      <xdr:row>811</xdr:row>
      <xdr:rowOff>117566</xdr:rowOff>
    </xdr:to>
    <xdr:grpSp>
      <xdr:nvGrpSpPr>
        <xdr:cNvPr id="84" name="Group 83">
          <a:extLst>
            <a:ext uri="{FF2B5EF4-FFF2-40B4-BE49-F238E27FC236}">
              <a16:creationId xmlns:a16="http://schemas.microsoft.com/office/drawing/2014/main" id="{F6632575-834A-4B85-A3E6-915D4E3A0FFD}"/>
            </a:ext>
          </a:extLst>
        </xdr:cNvPr>
        <xdr:cNvGrpSpPr/>
      </xdr:nvGrpSpPr>
      <xdr:grpSpPr>
        <a:xfrm>
          <a:off x="18341340" y="272272397"/>
          <a:ext cx="0" cy="3231969"/>
          <a:chOff x="18954206" y="257674654"/>
          <a:chExt cx="8586650" cy="3210198"/>
        </a:xfrm>
      </xdr:grpSpPr>
      <xdr:sp macro="" textlink="">
        <xdr:nvSpPr>
          <xdr:cNvPr id="85" name="TextBox 84">
            <a:extLst>
              <a:ext uri="{FF2B5EF4-FFF2-40B4-BE49-F238E27FC236}">
                <a16:creationId xmlns:a16="http://schemas.microsoft.com/office/drawing/2014/main" id="{F018FCD4-9423-4C91-828A-749384956E7F}"/>
              </a:ext>
            </a:extLst>
          </xdr:cNvPr>
          <xdr:cNvSpPr txBox="1"/>
        </xdr:nvSpPr>
        <xdr:spPr>
          <a:xfrm>
            <a:off x="20367172" y="257811541"/>
            <a:ext cx="2176054" cy="20533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i="0" u="none" strike="noStrike">
                <a:solidFill>
                  <a:schemeClr val="dk1"/>
                </a:solidFill>
                <a:effectLst/>
                <a:latin typeface="+mn-lt"/>
                <a:ea typeface="+mn-ea"/>
                <a:cs typeface="+mn-cs"/>
              </a:rPr>
              <a:t>Challenging</a:t>
            </a:r>
            <a:r>
              <a:rPr lang="en-US" sz="1600" b="1" i="0" u="none" strike="noStrike" baseline="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items</a:t>
            </a: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r>
              <a:rPr lang="en-US" sz="1600" b="1" i="0" u="none" strike="noStrike">
                <a:solidFill>
                  <a:schemeClr val="dk1"/>
                </a:solidFill>
                <a:effectLst/>
                <a:latin typeface="+mn-lt"/>
                <a:ea typeface="+mn-ea"/>
                <a:cs typeface="+mn-cs"/>
              </a:rPr>
              <a:t>Aspiring</a:t>
            </a:r>
            <a:r>
              <a:rPr lang="en-US" sz="1100" b="1" i="0" baseline="0">
                <a:solidFill>
                  <a:schemeClr val="dk1"/>
                </a:solidFill>
                <a:effectLst/>
                <a:latin typeface="+mn-lt"/>
                <a:ea typeface="+mn-ea"/>
                <a:cs typeface="+mn-cs"/>
              </a:rPr>
              <a:t>:</a:t>
            </a:r>
            <a:endParaRPr lang="en-US">
              <a:effectLst/>
            </a:endParaRPr>
          </a:p>
          <a:p>
            <a:pPr eaLnBrk="1" fontAlgn="auto" latinLnBrk="0" hangingPunct="1"/>
            <a:r>
              <a:rPr lang="en-US" sz="1100">
                <a:solidFill>
                  <a:schemeClr val="dk1"/>
                </a:solidFill>
                <a:effectLst/>
                <a:latin typeface="+mn-lt"/>
                <a:ea typeface="+mn-ea"/>
                <a:cs typeface="+mn-cs"/>
              </a:rPr>
              <a:t>items</a:t>
            </a:r>
          </a:p>
          <a:p>
            <a:pPr eaLnBrk="1" fontAlgn="auto" latinLnBrk="0" hangingPunct="1"/>
            <a:endParaRPr lang="en-US">
              <a:effectLst/>
            </a:endParaRPr>
          </a:p>
          <a:p>
            <a:r>
              <a:rPr lang="en-US" sz="1600" b="1" i="0" u="none" strike="noStrike">
                <a:solidFill>
                  <a:schemeClr val="dk1"/>
                </a:solidFill>
                <a:effectLst/>
                <a:latin typeface="+mn-lt"/>
                <a:ea typeface="+mn-ea"/>
                <a:cs typeface="+mn-cs"/>
              </a:rPr>
              <a:t>Seeking</a:t>
            </a:r>
            <a:r>
              <a:rPr lang="en-US" sz="1100" b="1" i="0" baseline="0">
                <a:solidFill>
                  <a:schemeClr val="dk1"/>
                </a:solidFill>
                <a:effectLst/>
                <a:latin typeface="+mn-lt"/>
                <a:ea typeface="+mn-ea"/>
                <a:cs typeface="+mn-cs"/>
              </a:rPr>
              <a:t>:</a:t>
            </a:r>
            <a:endParaRPr lang="en-US">
              <a:effectLst/>
            </a:endParaRPr>
          </a:p>
          <a:p>
            <a:pPr eaLnBrk="1" fontAlgn="auto" latinLnBrk="0" hangingPunct="1"/>
            <a:r>
              <a:rPr lang="en-US" sz="1100">
                <a:solidFill>
                  <a:schemeClr val="dk1"/>
                </a:solidFill>
                <a:effectLst/>
                <a:latin typeface="+mn-lt"/>
                <a:ea typeface="+mn-ea"/>
                <a:cs typeface="+mn-cs"/>
              </a:rPr>
              <a:t>items</a:t>
            </a:r>
          </a:p>
          <a:p>
            <a:pPr eaLnBrk="1" fontAlgn="auto" latinLnBrk="0" hangingPunct="1"/>
            <a:endParaRPr lang="en-US">
              <a:effectLst/>
            </a:endParaRPr>
          </a:p>
          <a:p>
            <a:endParaRPr lang="en-US" sz="1100"/>
          </a:p>
        </xdr:txBody>
      </xdr:sp>
      <xdr:sp macro="" textlink="">
        <xdr:nvSpPr>
          <xdr:cNvPr id="86" name="TextBox 85">
            <a:extLst>
              <a:ext uri="{FF2B5EF4-FFF2-40B4-BE49-F238E27FC236}">
                <a16:creationId xmlns:a16="http://schemas.microsoft.com/office/drawing/2014/main" id="{E71C6498-17EA-4C33-B903-09A00034052F}"/>
              </a:ext>
            </a:extLst>
          </xdr:cNvPr>
          <xdr:cNvSpPr txBox="1"/>
        </xdr:nvSpPr>
        <xdr:spPr>
          <a:xfrm>
            <a:off x="18954206" y="257674654"/>
            <a:ext cx="1521822" cy="1154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CCC impacting how:</a:t>
            </a:r>
            <a:endParaRPr lang="en-US" sz="1100" b="1"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not applicable</a:t>
            </a:r>
          </a:p>
          <a:p>
            <a:r>
              <a:rPr lang="en-US" sz="1100" b="0" i="0" u="none" strike="noStrike" baseline="0">
                <a:solidFill>
                  <a:schemeClr val="dk1"/>
                </a:solidFill>
                <a:effectLst/>
                <a:latin typeface="+mn-lt"/>
                <a:ea typeface="+mn-ea"/>
                <a:cs typeface="+mn-cs"/>
              </a:rPr>
              <a:t>temporary</a:t>
            </a:r>
          </a:p>
          <a:p>
            <a:r>
              <a:rPr lang="en-US" sz="1100" b="0" i="0" u="none" strike="noStrike" baseline="0">
                <a:solidFill>
                  <a:schemeClr val="dk1"/>
                </a:solidFill>
                <a:effectLst/>
                <a:latin typeface="+mn-lt"/>
                <a:ea typeface="+mn-ea"/>
                <a:cs typeface="+mn-cs"/>
              </a:rPr>
              <a:t>lasting</a:t>
            </a:r>
          </a:p>
          <a:p>
            <a:r>
              <a:rPr lang="en-US" sz="1100" b="0" i="0" u="none" strike="noStrike" baseline="0">
                <a:solidFill>
                  <a:schemeClr val="dk1"/>
                </a:solidFill>
                <a:effectLst/>
                <a:latin typeface="+mn-lt"/>
                <a:ea typeface="+mn-ea"/>
                <a:cs typeface="+mn-cs"/>
              </a:rPr>
              <a:t>permanent</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87" name="TextBox 86">
            <a:extLst>
              <a:ext uri="{FF2B5EF4-FFF2-40B4-BE49-F238E27FC236}">
                <a16:creationId xmlns:a16="http://schemas.microsoft.com/office/drawing/2014/main" id="{F1F50B84-8946-4925-B9E3-2B6ECBECA25B}"/>
              </a:ext>
            </a:extLst>
          </xdr:cNvPr>
          <xdr:cNvSpPr txBox="1"/>
        </xdr:nvSpPr>
        <xdr:spPr>
          <a:xfrm>
            <a:off x="19173008" y="259929086"/>
            <a:ext cx="3649072" cy="955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stripped of</a:t>
            </a:r>
            <a:r>
              <a:rPr lang="en-US" sz="1100" b="1" i="0" u="none" strike="noStrike" baseline="0">
                <a:solidFill>
                  <a:schemeClr val="dk1"/>
                </a:solidFill>
                <a:effectLst/>
                <a:latin typeface="+mn-lt"/>
                <a:ea typeface="+mn-ea"/>
                <a:cs typeface="+mn-cs"/>
              </a:rPr>
              <a:t> basic civil and human rights:</a:t>
            </a:r>
          </a:p>
          <a:p>
            <a:r>
              <a:rPr lang="en-US" sz="1100" b="0" i="0" u="none" strike="noStrike" baseline="0">
                <a:solidFill>
                  <a:schemeClr val="dk1"/>
                </a:solidFill>
                <a:effectLst/>
                <a:latin typeface="+mn-lt"/>
                <a:ea typeface="+mn-ea"/>
                <a:cs typeface="+mn-cs"/>
              </a:rPr>
              <a:t>right to vote</a:t>
            </a:r>
          </a:p>
          <a:p>
            <a:r>
              <a:rPr lang="en-US" sz="1100" b="0" i="0" u="none" strike="noStrike" baseline="0">
                <a:solidFill>
                  <a:schemeClr val="dk1"/>
                </a:solidFill>
                <a:effectLst/>
                <a:latin typeface="+mn-lt"/>
                <a:ea typeface="+mn-ea"/>
                <a:cs typeface="+mn-cs"/>
              </a:rPr>
              <a:t>right to serve on juries</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legal discriminations</a:t>
            </a:r>
          </a:p>
          <a:p>
            <a:r>
              <a:rPr lang="en-US" sz="1100" b="0" i="0" u="none" strike="noStrike" baseline="0">
                <a:solidFill>
                  <a:schemeClr val="dk1"/>
                </a:solidFill>
                <a:effectLst/>
                <a:latin typeface="+mn-lt"/>
                <a:ea typeface="+mn-ea"/>
                <a:cs typeface="+mn-cs"/>
              </a:rPr>
              <a:t>employment discrimination</a:t>
            </a:r>
          </a:p>
          <a:p>
            <a:r>
              <a:rPr lang="en-US" sz="1100" b="0" i="0" u="none" strike="noStrike" baseline="0">
                <a:solidFill>
                  <a:schemeClr val="dk1"/>
                </a:solidFill>
                <a:effectLst/>
                <a:latin typeface="+mn-lt"/>
                <a:ea typeface="+mn-ea"/>
                <a:cs typeface="+mn-cs"/>
              </a:rPr>
              <a:t>housing discrimination</a:t>
            </a:r>
          </a:p>
          <a:p>
            <a:r>
              <a:rPr lang="en-US" sz="1100" b="0" i="0" u="none" strike="noStrike" baseline="0">
                <a:solidFill>
                  <a:schemeClr val="dk1"/>
                </a:solidFill>
                <a:effectLst/>
                <a:latin typeface="+mn-lt"/>
                <a:ea typeface="+mn-ea"/>
                <a:cs typeface="+mn-cs"/>
              </a:rPr>
              <a:t>access to education</a:t>
            </a:r>
          </a:p>
          <a:p>
            <a:r>
              <a:rPr lang="en-US" sz="1100" b="0" i="0" u="none" strike="noStrike" baseline="0">
                <a:solidFill>
                  <a:schemeClr val="dk1"/>
                </a:solidFill>
                <a:effectLst/>
                <a:latin typeface="+mn-lt"/>
                <a:ea typeface="+mn-ea"/>
                <a:cs typeface="+mn-cs"/>
              </a:rPr>
              <a:t>basic public benefits</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Required to register for life</a:t>
            </a:r>
          </a:p>
          <a:p>
            <a:r>
              <a:rPr lang="en-US" sz="1100" b="0" i="0" u="none" strike="noStrike" baseline="0">
                <a:solidFill>
                  <a:schemeClr val="dk1"/>
                </a:solidFill>
                <a:effectLst/>
                <a:latin typeface="+mn-lt"/>
                <a:ea typeface="+mn-ea"/>
                <a:cs typeface="+mn-cs"/>
              </a:rPr>
              <a:t>access to education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88" name="Rectangle: Rounded Corners 87">
            <a:extLst>
              <a:ext uri="{FF2B5EF4-FFF2-40B4-BE49-F238E27FC236}">
                <a16:creationId xmlns:a16="http://schemas.microsoft.com/office/drawing/2014/main" id="{582B9514-7FA0-45C7-BAC1-D3F2BB346639}"/>
              </a:ext>
            </a:extLst>
          </xdr:cNvPr>
          <xdr:cNvSpPr/>
        </xdr:nvSpPr>
        <xdr:spPr>
          <a:xfrm>
            <a:off x="22731547" y="257725818"/>
            <a:ext cx="1338943" cy="2291443"/>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9" name="Rectangle: Rounded Corners 88">
            <a:extLst>
              <a:ext uri="{FF2B5EF4-FFF2-40B4-BE49-F238E27FC236}">
                <a16:creationId xmlns:a16="http://schemas.microsoft.com/office/drawing/2014/main" id="{DDA1C262-99A1-4155-84A1-FD96764E47E3}"/>
              </a:ext>
            </a:extLst>
          </xdr:cNvPr>
          <xdr:cNvSpPr/>
        </xdr:nvSpPr>
        <xdr:spPr>
          <a:xfrm>
            <a:off x="25025168" y="257747589"/>
            <a:ext cx="2194560" cy="2291443"/>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0" name="TextBox 89">
            <a:extLst>
              <a:ext uri="{FF2B5EF4-FFF2-40B4-BE49-F238E27FC236}">
                <a16:creationId xmlns:a16="http://schemas.microsoft.com/office/drawing/2014/main" id="{8D6E79F0-F7F8-4C4E-BC24-BD8817AF3D1F}"/>
              </a:ext>
            </a:extLst>
          </xdr:cNvPr>
          <xdr:cNvSpPr txBox="1"/>
        </xdr:nvSpPr>
        <xdr:spPr>
          <a:xfrm>
            <a:off x="24479794" y="257907336"/>
            <a:ext cx="2092233" cy="20108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parent(s)</a:t>
            </a:r>
          </a:p>
          <a:p>
            <a:r>
              <a:rPr lang="en-US" sz="1100" b="0" i="0" u="none" strike="noStrike" baseline="0">
                <a:solidFill>
                  <a:schemeClr val="dk1"/>
                </a:solidFill>
                <a:effectLst/>
                <a:latin typeface="+mn-lt"/>
                <a:ea typeface="+mn-ea"/>
                <a:cs typeface="+mn-cs"/>
              </a:rPr>
              <a:t>dependent sibling(s)</a:t>
            </a:r>
          </a:p>
          <a:p>
            <a:r>
              <a:rPr lang="en-US" sz="1100" b="0" i="0" u="none" strike="noStrike" baseline="0">
                <a:solidFill>
                  <a:schemeClr val="dk1"/>
                </a:solidFill>
                <a:effectLst/>
                <a:latin typeface="+mn-lt"/>
                <a:ea typeface="+mn-ea"/>
                <a:cs typeface="+mn-cs"/>
              </a:rPr>
              <a:t>dependent children(s)</a:t>
            </a:r>
          </a:p>
          <a:p>
            <a:r>
              <a:rPr lang="en-US" sz="1100" b="0" i="0" u="none" strike="noStrike" baseline="0">
                <a:solidFill>
                  <a:schemeClr val="dk1"/>
                </a:solidFill>
                <a:effectLst/>
                <a:latin typeface="+mn-lt"/>
                <a:ea typeface="+mn-ea"/>
                <a:cs typeface="+mn-cs"/>
              </a:rPr>
              <a:t>dependent grandchild(ren)</a:t>
            </a:r>
          </a:p>
          <a:p>
            <a:r>
              <a:rPr lang="en-US" sz="1100" b="0" i="0" u="none" strike="noStrike" baseline="0">
                <a:solidFill>
                  <a:schemeClr val="dk1"/>
                </a:solidFill>
                <a:effectLst/>
                <a:latin typeface="+mn-lt"/>
                <a:ea typeface="+mn-ea"/>
                <a:cs typeface="+mn-cs"/>
              </a:rPr>
              <a:t>dependent other(s)</a:t>
            </a:r>
          </a:p>
          <a:p>
            <a:r>
              <a:rPr lang="en-US" sz="1100" b="0" i="0" u="none" strike="noStrike" baseline="0">
                <a:solidFill>
                  <a:schemeClr val="dk1"/>
                </a:solidFill>
                <a:effectLst/>
                <a:latin typeface="+mn-lt"/>
                <a:ea typeface="+mn-ea"/>
                <a:cs typeface="+mn-cs"/>
              </a:rPr>
              <a:t>friend(s)</a:t>
            </a:r>
          </a:p>
          <a:p>
            <a:r>
              <a:rPr lang="en-US" sz="1100" b="0" i="0" u="none" strike="noStrike" baseline="0">
                <a:solidFill>
                  <a:schemeClr val="dk1"/>
                </a:solidFill>
                <a:effectLst/>
                <a:latin typeface="+mn-lt"/>
                <a:ea typeface="+mn-ea"/>
                <a:cs typeface="+mn-cs"/>
              </a:rPr>
              <a:t>employer(s)</a:t>
            </a:r>
          </a:p>
          <a:p>
            <a:r>
              <a:rPr lang="en-US" sz="1100" b="0" i="0" u="none" strike="noStrike" baseline="0">
                <a:solidFill>
                  <a:schemeClr val="dk1"/>
                </a:solidFill>
                <a:effectLst/>
                <a:latin typeface="+mn-lt"/>
                <a:ea typeface="+mn-ea"/>
                <a:cs typeface="+mn-cs"/>
              </a:rPr>
              <a:t>business partner(s)</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91" name="TextBox 90">
            <a:extLst>
              <a:ext uri="{FF2B5EF4-FFF2-40B4-BE49-F238E27FC236}">
                <a16:creationId xmlns:a16="http://schemas.microsoft.com/office/drawing/2014/main" id="{A0AC62ED-A4B9-4E20-8913-32403DE9FEAC}"/>
              </a:ext>
            </a:extLst>
          </xdr:cNvPr>
          <xdr:cNvSpPr txBox="1"/>
        </xdr:nvSpPr>
        <xdr:spPr>
          <a:xfrm>
            <a:off x="25448623" y="258310107"/>
            <a:ext cx="2092233" cy="20032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family member(s)</a:t>
            </a:r>
          </a:p>
          <a:p>
            <a:r>
              <a:rPr lang="en-US" sz="1100" b="0" i="0" u="none" strike="noStrike" baseline="0">
                <a:solidFill>
                  <a:schemeClr val="dk1"/>
                </a:solidFill>
                <a:effectLst/>
                <a:latin typeface="+mn-lt"/>
                <a:ea typeface="+mn-ea"/>
                <a:cs typeface="+mn-cs"/>
              </a:rPr>
              <a:t>friend(s)</a:t>
            </a:r>
          </a:p>
          <a:p>
            <a:r>
              <a:rPr lang="en-US" sz="1100" b="0" i="0" u="none" strike="noStrike" baseline="0">
                <a:solidFill>
                  <a:schemeClr val="dk1"/>
                </a:solidFill>
                <a:effectLst/>
                <a:latin typeface="+mn-lt"/>
                <a:ea typeface="+mn-ea"/>
                <a:cs typeface="+mn-cs"/>
              </a:rPr>
              <a:t>family &amp; friend(s)</a:t>
            </a:r>
          </a:p>
          <a:p>
            <a:r>
              <a:rPr lang="en-US" sz="1100" b="0" i="0" u="none" strike="noStrike" baseline="0">
                <a:solidFill>
                  <a:schemeClr val="dk1"/>
                </a:solidFill>
                <a:effectLst/>
                <a:latin typeface="+mn-lt"/>
                <a:ea typeface="+mn-ea"/>
                <a:cs typeface="+mn-cs"/>
              </a:rPr>
              <a:t>coworker(s)</a:t>
            </a:r>
          </a:p>
          <a:p>
            <a:r>
              <a:rPr lang="en-US" sz="1100" b="0" i="0" u="none" strike="noStrike" baseline="0">
                <a:solidFill>
                  <a:schemeClr val="dk1"/>
                </a:solidFill>
                <a:effectLst/>
                <a:latin typeface="+mn-lt"/>
                <a:ea typeface="+mn-ea"/>
                <a:cs typeface="+mn-cs"/>
              </a:rPr>
              <a:t>employer(s)</a:t>
            </a:r>
          </a:p>
          <a:p>
            <a:r>
              <a:rPr lang="en-US" sz="1100" b="0" i="0" u="none" strike="noStrike" baseline="0">
                <a:solidFill>
                  <a:schemeClr val="dk1"/>
                </a:solidFill>
                <a:effectLst/>
                <a:latin typeface="+mn-lt"/>
                <a:ea typeface="+mn-ea"/>
                <a:cs typeface="+mn-cs"/>
              </a:rPr>
              <a:t>other(s)</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grpSp>
    <xdr:clientData/>
  </xdr:twoCellAnchor>
  <xdr:twoCellAnchor>
    <xdr:from>
      <xdr:col>62</xdr:col>
      <xdr:colOff>87085</xdr:colOff>
      <xdr:row>812</xdr:row>
      <xdr:rowOff>0</xdr:rowOff>
    </xdr:from>
    <xdr:to>
      <xdr:col>70</xdr:col>
      <xdr:colOff>130628</xdr:colOff>
      <xdr:row>820</xdr:row>
      <xdr:rowOff>0</xdr:rowOff>
    </xdr:to>
    <xdr:sp macro="" textlink="">
      <xdr:nvSpPr>
        <xdr:cNvPr id="92" name="TextBox 91">
          <a:extLst>
            <a:ext uri="{FF2B5EF4-FFF2-40B4-BE49-F238E27FC236}">
              <a16:creationId xmlns:a16="http://schemas.microsoft.com/office/drawing/2014/main" id="{AA580411-2602-40EE-A9C2-966CCB1160F6}"/>
            </a:ext>
          </a:extLst>
        </xdr:cNvPr>
        <xdr:cNvSpPr txBox="1"/>
      </xdr:nvSpPr>
      <xdr:spPr>
        <a:xfrm>
          <a:off x="18341340" y="275440140"/>
          <a:ext cx="0" cy="1638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CCC impacting whom:</a:t>
          </a:r>
        </a:p>
        <a:p>
          <a:r>
            <a:rPr lang="en-US" sz="1100">
              <a:solidFill>
                <a:schemeClr val="dk1"/>
              </a:solidFill>
              <a:effectLst/>
              <a:latin typeface="+mn-lt"/>
              <a:ea typeface="+mn-ea"/>
              <a:cs typeface="+mn-cs"/>
            </a:rPr>
            <a:t>impacting everyone I know</a:t>
          </a:r>
        </a:p>
        <a:p>
          <a:r>
            <a:rPr lang="en-US" sz="1100">
              <a:solidFill>
                <a:schemeClr val="dk1"/>
              </a:solidFill>
              <a:effectLst/>
              <a:latin typeface="+mn-lt"/>
              <a:ea typeface="+mn-ea"/>
              <a:cs typeface="+mn-cs"/>
            </a:rPr>
            <a:t>impacting close friend(s)</a:t>
          </a:r>
        </a:p>
        <a:p>
          <a:r>
            <a:rPr lang="en-US" sz="1100">
              <a:solidFill>
                <a:schemeClr val="dk1"/>
              </a:solidFill>
              <a:effectLst/>
              <a:latin typeface="+mn-lt"/>
              <a:ea typeface="+mn-ea"/>
              <a:cs typeface="+mn-cs"/>
            </a:rPr>
            <a:t>impacting close friends &amp; family</a:t>
          </a:r>
        </a:p>
        <a:p>
          <a:r>
            <a:rPr lang="en-US" sz="1100">
              <a:solidFill>
                <a:schemeClr val="dk1"/>
              </a:solidFill>
              <a:effectLst/>
              <a:latin typeface="+mn-lt"/>
              <a:ea typeface="+mn-ea"/>
              <a:cs typeface="+mn-cs"/>
            </a:rPr>
            <a:t>impacting only family members</a:t>
          </a:r>
        </a:p>
        <a:p>
          <a:r>
            <a:rPr lang="en-US" sz="1100">
              <a:solidFill>
                <a:schemeClr val="dk1"/>
              </a:solidFill>
              <a:effectLst/>
              <a:latin typeface="+mn-lt"/>
              <a:ea typeface="+mn-ea"/>
              <a:cs typeface="+mn-cs"/>
            </a:rPr>
            <a:t>impacting only my (then) partner</a:t>
          </a:r>
        </a:p>
        <a:p>
          <a:r>
            <a:rPr lang="en-US" sz="1100">
              <a:solidFill>
                <a:schemeClr val="dk1"/>
              </a:solidFill>
              <a:effectLst/>
              <a:latin typeface="+mn-lt"/>
              <a:ea typeface="+mn-ea"/>
              <a:cs typeface="+mn-cs"/>
            </a:rPr>
            <a:t>impacting (then) partner &amp; kids</a:t>
          </a:r>
        </a:p>
        <a:p>
          <a:r>
            <a:rPr lang="en-US" sz="1100">
              <a:solidFill>
                <a:schemeClr val="dk1"/>
              </a:solidFill>
              <a:effectLst/>
              <a:latin typeface="+mn-lt"/>
              <a:ea typeface="+mn-ea"/>
              <a:cs typeface="+mn-cs"/>
            </a:rPr>
            <a:t>impactig only my child(ren)</a:t>
          </a:r>
        </a:p>
        <a:p>
          <a:r>
            <a:rPr lang="en-US" sz="1100">
              <a:solidFill>
                <a:schemeClr val="dk1"/>
              </a:solidFill>
              <a:effectLst/>
              <a:latin typeface="+mn-lt"/>
              <a:ea typeface="+mn-ea"/>
              <a:cs typeface="+mn-cs"/>
            </a:rPr>
            <a:t>impactig only my grandchild(ren)</a:t>
          </a:r>
          <a:endParaRPr lang="en-US" sz="1100"/>
        </a:p>
      </xdr:txBody>
    </xdr:sp>
    <xdr:clientData/>
  </xdr:twoCellAnchor>
  <xdr:twoCellAnchor>
    <xdr:from>
      <xdr:col>2</xdr:col>
      <xdr:colOff>1132114</xdr:colOff>
      <xdr:row>1061</xdr:row>
      <xdr:rowOff>76200</xdr:rowOff>
    </xdr:from>
    <xdr:to>
      <xdr:col>5</xdr:col>
      <xdr:colOff>174171</xdr:colOff>
      <xdr:row>1061</xdr:row>
      <xdr:rowOff>350520</xdr:rowOff>
    </xdr:to>
    <xdr:sp macro="" textlink="">
      <xdr:nvSpPr>
        <xdr:cNvPr id="93" name="Arrow: Up 92">
          <a:hlinkClick xmlns:r="http://schemas.openxmlformats.org/officeDocument/2006/relationships" r:id="rId22"/>
          <a:extLst>
            <a:ext uri="{FF2B5EF4-FFF2-40B4-BE49-F238E27FC236}">
              <a16:creationId xmlns:a16="http://schemas.microsoft.com/office/drawing/2014/main" id="{897586DF-223A-401C-9F8D-11BE618D2F95}"/>
            </a:ext>
          </a:extLst>
        </xdr:cNvPr>
        <xdr:cNvSpPr/>
      </xdr:nvSpPr>
      <xdr:spPr>
        <a:xfrm>
          <a:off x="2473234" y="297461940"/>
          <a:ext cx="3659777" cy="274320"/>
        </a:xfrm>
        <a:prstGeom prst="upArrow">
          <a:avLst>
            <a:gd name="adj1" fmla="val 90284"/>
            <a:gd name="adj2" fmla="val 31349"/>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100"/>
            <a:t>If</a:t>
          </a:r>
          <a:r>
            <a:rPr lang="en-US" sz="1100" baseline="0"/>
            <a:t> officially exonerated, will you seek compensation?</a:t>
          </a:r>
          <a:endParaRPr lang="en-US" sz="1100"/>
        </a:p>
      </xdr:txBody>
    </xdr:sp>
    <xdr:clientData/>
  </xdr:twoCellAnchor>
  <xdr:twoCellAnchor>
    <xdr:from>
      <xdr:col>60</xdr:col>
      <xdr:colOff>134981</xdr:colOff>
      <xdr:row>820</xdr:row>
      <xdr:rowOff>108856</xdr:rowOff>
    </xdr:from>
    <xdr:to>
      <xdr:col>70</xdr:col>
      <xdr:colOff>97970</xdr:colOff>
      <xdr:row>837</xdr:row>
      <xdr:rowOff>32656</xdr:rowOff>
    </xdr:to>
    <xdr:sp macro="" textlink="">
      <xdr:nvSpPr>
        <xdr:cNvPr id="94" name="Text Box 1">
          <a:extLst>
            <a:ext uri="{FF2B5EF4-FFF2-40B4-BE49-F238E27FC236}">
              <a16:creationId xmlns:a16="http://schemas.microsoft.com/office/drawing/2014/main" id="{EE6C3C11-816C-411C-9CD7-BB55FC26A248}"/>
            </a:ext>
          </a:extLst>
        </xdr:cNvPr>
        <xdr:cNvSpPr txBox="1"/>
      </xdr:nvSpPr>
      <xdr:spPr>
        <a:xfrm>
          <a:off x="18341340" y="277187296"/>
          <a:ext cx="0" cy="3093720"/>
        </a:xfrm>
        <a:prstGeom prst="rect">
          <a:avLst/>
        </a:prstGeom>
        <a:solidFill>
          <a:schemeClr val="bg1">
            <a:lumMod val="95000"/>
          </a:schemeClr>
        </a:solidFill>
        <a:ln w="38100">
          <a:solidFill>
            <a:srgbClr val="D088FC"/>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Challenging: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not challenged at all</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only slightly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moderately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significantly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severely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0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Aspiring: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don't seek it nor think about it much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desire it but feel it's unlikely to happen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hope it'll happen but I can do little about it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struggle to make it happen but unsuccessfully</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feel I've reached it but not maintained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sense I can maintaine it with help like this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maintain it without help like this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0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Seeking: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not important at all right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low priority right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important but can wait for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must have it as soon as possible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increasingly consuming my focus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can't go on any further without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59</xdr:col>
      <xdr:colOff>125185</xdr:colOff>
      <xdr:row>268</xdr:row>
      <xdr:rowOff>177166</xdr:rowOff>
    </xdr:from>
    <xdr:to>
      <xdr:col>68</xdr:col>
      <xdr:colOff>217714</xdr:colOff>
      <xdr:row>274</xdr:row>
      <xdr:rowOff>52251</xdr:rowOff>
    </xdr:to>
    <xdr:sp macro="" textlink="">
      <xdr:nvSpPr>
        <xdr:cNvPr id="95" name="TextBox 94">
          <a:extLst>
            <a:ext uri="{FF2B5EF4-FFF2-40B4-BE49-F238E27FC236}">
              <a16:creationId xmlns:a16="http://schemas.microsoft.com/office/drawing/2014/main" id="{C4B2AF58-2474-44A7-A54B-FF3609A68798}"/>
            </a:ext>
          </a:extLst>
        </xdr:cNvPr>
        <xdr:cNvSpPr txBox="1"/>
      </xdr:nvSpPr>
      <xdr:spPr>
        <a:xfrm>
          <a:off x="18341340" y="69473446"/>
          <a:ext cx="0" cy="10028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SOR:</a:t>
          </a:r>
        </a:p>
        <a:p>
          <a:r>
            <a:rPr lang="en-US" sz="1100"/>
            <a:t>not applicable</a:t>
          </a:r>
        </a:p>
        <a:p>
          <a:r>
            <a:rPr lang="en-US" sz="1100"/>
            <a:t>already</a:t>
          </a:r>
          <a:r>
            <a:rPr lang="en-US" sz="1100" baseline="0"/>
            <a:t> removed from registry</a:t>
          </a:r>
        </a:p>
        <a:p>
          <a:r>
            <a:rPr lang="en-US" sz="1100" baseline="0"/>
            <a:t>still on registry until [CONVICTION YEAR + 20]</a:t>
          </a:r>
        </a:p>
        <a:p>
          <a:r>
            <a:rPr lang="en-US" sz="1100" baseline="0"/>
            <a:t>on registry for life</a:t>
          </a:r>
          <a:endParaRPr lang="en-US" sz="1100"/>
        </a:p>
        <a:p>
          <a:endParaRPr lang="en-US" sz="1100" baseline="0"/>
        </a:p>
      </xdr:txBody>
    </xdr:sp>
    <xdr:clientData/>
  </xdr:twoCellAnchor>
  <xdr:twoCellAnchor editAs="oneCell">
    <xdr:from>
      <xdr:col>2</xdr:col>
      <xdr:colOff>1817915</xdr:colOff>
      <xdr:row>764</xdr:row>
      <xdr:rowOff>468086</xdr:rowOff>
    </xdr:from>
    <xdr:to>
      <xdr:col>3</xdr:col>
      <xdr:colOff>1785737</xdr:colOff>
      <xdr:row>764</xdr:row>
      <xdr:rowOff>1995352</xdr:rowOff>
    </xdr:to>
    <xdr:pic>
      <xdr:nvPicPr>
        <xdr:cNvPr id="97" name="Picture 96" descr="Maps, Country, America, States, Land, Geography, Us">
          <a:hlinkClick xmlns:r="http://schemas.openxmlformats.org/officeDocument/2006/relationships" r:id="rId23"/>
          <a:extLst>
            <a:ext uri="{FF2B5EF4-FFF2-40B4-BE49-F238E27FC236}">
              <a16:creationId xmlns:a16="http://schemas.microsoft.com/office/drawing/2014/main" id="{494F9818-2573-45E5-9633-D2E8AAF56303}"/>
            </a:ext>
          </a:extLst>
        </xdr:cNvPr>
        <xdr:cNvPicPr>
          <a:picLocks noChangeAspect="1" noChangeArrowheads="1"/>
        </xdr:cNvPicPr>
      </xdr:nvPicPr>
      <xdr:blipFill>
        <a:blip xmlns:r="http://schemas.openxmlformats.org/officeDocument/2006/relationships" r:embed="rId24" cstate="print">
          <a:duotone>
            <a:schemeClr val="bg2">
              <a:shade val="45000"/>
              <a:satMod val="135000"/>
            </a:schemeClr>
            <a:prstClr val="white"/>
          </a:duotone>
          <a:extLst>
            <a:ext uri="{BEBA8EAE-BF5A-486C-A8C5-ECC9F3942E4B}">
              <a14:imgProps xmlns:a14="http://schemas.microsoft.com/office/drawing/2010/main">
                <a14:imgLayer r:embed="rId25">
                  <a14:imgEffect>
                    <a14:artisticGlowEdges/>
                  </a14:imgEffect>
                </a14:imgLayer>
              </a14:imgProps>
            </a:ext>
            <a:ext uri="{28A0092B-C50C-407E-A947-70E740481C1C}">
              <a14:useLocalDpi xmlns:a14="http://schemas.microsoft.com/office/drawing/2010/main" val="0"/>
            </a:ext>
          </a:extLst>
        </a:blip>
        <a:srcRect/>
        <a:stretch>
          <a:fillRect/>
        </a:stretch>
      </xdr:blipFill>
      <xdr:spPr bwMode="auto">
        <a:xfrm>
          <a:off x="3159035" y="264645866"/>
          <a:ext cx="2421462" cy="1527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39</xdr:col>
      <xdr:colOff>70720</xdr:colOff>
      <xdr:row>254</xdr:row>
      <xdr:rowOff>97973</xdr:rowOff>
    </xdr:from>
    <xdr:to>
      <xdr:col>45</xdr:col>
      <xdr:colOff>239486</xdr:colOff>
      <xdr:row>257</xdr:row>
      <xdr:rowOff>108859</xdr:rowOff>
    </xdr:to>
    <xdr:sp macro="" textlink="">
      <xdr:nvSpPr>
        <xdr:cNvPr id="99" name="Rectangle: Rounded Corners 98">
          <a:extLst>
            <a:ext uri="{FF2B5EF4-FFF2-40B4-BE49-F238E27FC236}">
              <a16:creationId xmlns:a16="http://schemas.microsoft.com/office/drawing/2014/main" id="{D4FF5FDD-C44C-420D-ABB8-523E3128EC6D}"/>
            </a:ext>
          </a:extLst>
        </xdr:cNvPr>
        <xdr:cNvSpPr/>
      </xdr:nvSpPr>
      <xdr:spPr>
        <a:xfrm>
          <a:off x="18341340" y="66734873"/>
          <a:ext cx="0" cy="864326"/>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solidFill>
                <a:srgbClr val="D088FC"/>
              </a:solidFill>
              <a:latin typeface="+mn-lt"/>
              <a:ea typeface="+mn-ea"/>
              <a:cs typeface="+mn-cs"/>
            </a:rPr>
            <a:t>CHECK CALCULATIONS AFTER LIST OPTIONS</a:t>
          </a:r>
          <a:r>
            <a:rPr lang="en-US" sz="1600" b="1" baseline="0">
              <a:solidFill>
                <a:srgbClr val="D088FC"/>
              </a:solidFill>
              <a:latin typeface="+mn-lt"/>
              <a:ea typeface="+mn-ea"/>
              <a:cs typeface="+mn-cs"/>
            </a:rPr>
            <a:t> EDIT</a:t>
          </a:r>
          <a:endParaRPr lang="en-US" sz="1600" b="1">
            <a:solidFill>
              <a:srgbClr val="D088FC"/>
            </a:solidFill>
            <a:latin typeface="+mn-lt"/>
            <a:ea typeface="+mn-ea"/>
            <a:cs typeface="+mn-cs"/>
          </a:endParaRPr>
        </a:p>
      </xdr:txBody>
    </xdr:sp>
    <xdr:clientData/>
  </xdr:twoCellAnchor>
  <xdr:twoCellAnchor>
    <xdr:from>
      <xdr:col>0</xdr:col>
      <xdr:colOff>228600</xdr:colOff>
      <xdr:row>639</xdr:row>
      <xdr:rowOff>21771</xdr:rowOff>
    </xdr:from>
    <xdr:to>
      <xdr:col>4</xdr:col>
      <xdr:colOff>10885</xdr:colOff>
      <xdr:row>640</xdr:row>
      <xdr:rowOff>21771</xdr:rowOff>
    </xdr:to>
    <xdr:sp macro="" textlink="">
      <xdr:nvSpPr>
        <xdr:cNvPr id="100" name="Rectangle: Rounded Corners 99">
          <a:hlinkClick xmlns:r="http://schemas.openxmlformats.org/officeDocument/2006/relationships" r:id="rId26"/>
          <a:extLst>
            <a:ext uri="{FF2B5EF4-FFF2-40B4-BE49-F238E27FC236}">
              <a16:creationId xmlns:a16="http://schemas.microsoft.com/office/drawing/2014/main" id="{44D85FAC-186E-438E-83FD-6F7A446C5F7C}"/>
            </a:ext>
          </a:extLst>
        </xdr:cNvPr>
        <xdr:cNvSpPr/>
      </xdr:nvSpPr>
      <xdr:spPr>
        <a:xfrm>
          <a:off x="228600" y="216338331"/>
          <a:ext cx="5550625" cy="4953000"/>
        </a:xfrm>
        <a:prstGeom prst="roundRect">
          <a:avLst>
            <a:gd name="adj" fmla="val 1556"/>
          </a:avLst>
        </a:prstGeom>
        <a:solidFill>
          <a:srgbClr val="FFE1FF">
            <a:alpha val="10196"/>
          </a:srgbClr>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900" b="1">
            <a:solidFill>
              <a:srgbClr val="FFC000"/>
            </a:solidFill>
            <a:latin typeface="Tahoma" panose="020B0604030504040204" pitchFamily="34" charset="0"/>
            <a:ea typeface="Tahoma" panose="020B0604030504040204" pitchFamily="34" charset="0"/>
            <a:cs typeface="Tahoma" panose="020B0604030504040204" pitchFamily="34" charset="0"/>
          </a:endParaRPr>
        </a:p>
        <a:p>
          <a:pPr algn="ctr"/>
          <a:r>
            <a:rPr lang="en-US" sz="1800" b="1">
              <a:solidFill>
                <a:srgbClr val="FFC000"/>
              </a:solidFill>
              <a:latin typeface="Tahoma" panose="020B0604030504040204" pitchFamily="34" charset="0"/>
              <a:ea typeface="Tahoma" panose="020B0604030504040204" pitchFamily="34" charset="0"/>
              <a:cs typeface="Tahoma" panose="020B0604030504040204" pitchFamily="34" charset="0"/>
            </a:rPr>
            <a:t>No Evidence Required</a:t>
          </a:r>
        </a:p>
      </xdr:txBody>
    </xdr:sp>
    <xdr:clientData/>
  </xdr:twoCellAnchor>
  <xdr:twoCellAnchor>
    <xdr:from>
      <xdr:col>26</xdr:col>
      <xdr:colOff>243840</xdr:colOff>
      <xdr:row>187</xdr:row>
      <xdr:rowOff>335280</xdr:rowOff>
    </xdr:from>
    <xdr:to>
      <xdr:col>31</xdr:col>
      <xdr:colOff>42456</xdr:colOff>
      <xdr:row>201</xdr:row>
      <xdr:rowOff>177437</xdr:rowOff>
    </xdr:to>
    <xdr:sp macro="" textlink="">
      <xdr:nvSpPr>
        <xdr:cNvPr id="101" name="Rectangle: Rounded Corners 100">
          <a:extLst>
            <a:ext uri="{FF2B5EF4-FFF2-40B4-BE49-F238E27FC236}">
              <a16:creationId xmlns:a16="http://schemas.microsoft.com/office/drawing/2014/main" id="{9BD56C3B-09ED-428A-9DF4-07EC4A955282}"/>
            </a:ext>
          </a:extLst>
        </xdr:cNvPr>
        <xdr:cNvSpPr/>
      </xdr:nvSpPr>
      <xdr:spPr>
        <a:xfrm>
          <a:off x="18341340" y="53301900"/>
          <a:ext cx="0" cy="3659777"/>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add to scoring calc, perhaps baseline prior to documentation boost</a:t>
          </a:r>
        </a:p>
      </xdr:txBody>
    </xdr:sp>
    <xdr:clientData/>
  </xdr:twoCellAnchor>
  <xdr:twoCellAnchor>
    <xdr:from>
      <xdr:col>26</xdr:col>
      <xdr:colOff>251460</xdr:colOff>
      <xdr:row>266</xdr:row>
      <xdr:rowOff>53341</xdr:rowOff>
    </xdr:from>
    <xdr:to>
      <xdr:col>31</xdr:col>
      <xdr:colOff>68582</xdr:colOff>
      <xdr:row>285</xdr:row>
      <xdr:rowOff>96883</xdr:rowOff>
    </xdr:to>
    <xdr:sp macro="" textlink="">
      <xdr:nvSpPr>
        <xdr:cNvPr id="102" name="Rectangle: Rounded Corners 101">
          <a:extLst>
            <a:ext uri="{FF2B5EF4-FFF2-40B4-BE49-F238E27FC236}">
              <a16:creationId xmlns:a16="http://schemas.microsoft.com/office/drawing/2014/main" id="{FE904F16-AC14-45FD-A157-687FFFB230A2}"/>
            </a:ext>
          </a:extLst>
        </xdr:cNvPr>
        <xdr:cNvSpPr/>
      </xdr:nvSpPr>
      <xdr:spPr>
        <a:xfrm>
          <a:off x="18341340" y="68968621"/>
          <a:ext cx="0" cy="3922122"/>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add to scoring calc, perhaps baseline prior to documentation boost</a:t>
          </a:r>
        </a:p>
      </xdr:txBody>
    </xdr:sp>
    <xdr:clientData/>
  </xdr:twoCellAnchor>
  <xdr:twoCellAnchor>
    <xdr:from>
      <xdr:col>58</xdr:col>
      <xdr:colOff>293913</xdr:colOff>
      <xdr:row>1476</xdr:row>
      <xdr:rowOff>391882</xdr:rowOff>
    </xdr:from>
    <xdr:to>
      <xdr:col>76</xdr:col>
      <xdr:colOff>141513</xdr:colOff>
      <xdr:row>1478</xdr:row>
      <xdr:rowOff>108854</xdr:rowOff>
    </xdr:to>
    <xdr:sp macro="" textlink="">
      <xdr:nvSpPr>
        <xdr:cNvPr id="103" name="Rectangle: Rounded Corners 102">
          <a:extLst>
            <a:ext uri="{FF2B5EF4-FFF2-40B4-BE49-F238E27FC236}">
              <a16:creationId xmlns:a16="http://schemas.microsoft.com/office/drawing/2014/main" id="{D501D2EB-ED43-4475-B9CE-FD490582E024}"/>
            </a:ext>
          </a:extLst>
        </xdr:cNvPr>
        <xdr:cNvSpPr/>
      </xdr:nvSpPr>
      <xdr:spPr>
        <a:xfrm>
          <a:off x="18341340" y="30587442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create</a:t>
          </a:r>
          <a:r>
            <a:rPr lang="en-US" sz="1600" baseline="0">
              <a:solidFill>
                <a:srgbClr val="00B050"/>
              </a:solidFill>
            </a:rPr>
            <a:t> AI target tabs, link here</a:t>
          </a:r>
          <a:endParaRPr lang="en-US" sz="1600">
            <a:solidFill>
              <a:srgbClr val="00B050"/>
            </a:solidFill>
          </a:endParaRPr>
        </a:p>
      </xdr:txBody>
    </xdr:sp>
    <xdr:clientData/>
  </xdr:twoCellAnchor>
  <xdr:twoCellAnchor>
    <xdr:from>
      <xdr:col>53</xdr:col>
      <xdr:colOff>141515</xdr:colOff>
      <xdr:row>896</xdr:row>
      <xdr:rowOff>174171</xdr:rowOff>
    </xdr:from>
    <xdr:to>
      <xdr:col>70</xdr:col>
      <xdr:colOff>43543</xdr:colOff>
      <xdr:row>903</xdr:row>
      <xdr:rowOff>130629</xdr:rowOff>
    </xdr:to>
    <xdr:sp macro="" textlink="">
      <xdr:nvSpPr>
        <xdr:cNvPr id="104" name="Rectangle: Rounded Corners 103">
          <a:extLst>
            <a:ext uri="{FF2B5EF4-FFF2-40B4-BE49-F238E27FC236}">
              <a16:creationId xmlns:a16="http://schemas.microsoft.com/office/drawing/2014/main" id="{17598A51-BBB0-4561-B2A3-974FB57CF6BE}"/>
            </a:ext>
          </a:extLst>
        </xdr:cNvPr>
        <xdr:cNvSpPr/>
      </xdr:nvSpPr>
      <xdr:spPr>
        <a:xfrm>
          <a:off x="18341340" y="29738574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follow up on displaying</a:t>
          </a:r>
          <a:r>
            <a:rPr lang="en-US" sz="1600" baseline="0">
              <a:solidFill>
                <a:srgbClr val="00B050"/>
              </a:solidFill>
            </a:rPr>
            <a:t> result for optimal impact </a:t>
          </a:r>
        </a:p>
        <a:p>
          <a:pPr algn="ctr"/>
          <a:r>
            <a:rPr lang="en-US" sz="1600" baseline="0">
              <a:solidFill>
                <a:srgbClr val="00B050"/>
              </a:solidFill>
            </a:rPr>
            <a:t>on display page above</a:t>
          </a:r>
          <a:endParaRPr lang="en-US" sz="1600">
            <a:solidFill>
              <a:srgbClr val="00B050"/>
            </a:solidFill>
          </a:endParaRPr>
        </a:p>
      </xdr:txBody>
    </xdr:sp>
    <xdr:clientData/>
  </xdr:twoCellAnchor>
  <xdr:twoCellAnchor>
    <xdr:from>
      <xdr:col>46</xdr:col>
      <xdr:colOff>195944</xdr:colOff>
      <xdr:row>901</xdr:row>
      <xdr:rowOff>35919</xdr:rowOff>
    </xdr:from>
    <xdr:to>
      <xdr:col>64</xdr:col>
      <xdr:colOff>195943</xdr:colOff>
      <xdr:row>907</xdr:row>
      <xdr:rowOff>79463</xdr:rowOff>
    </xdr:to>
    <xdr:sp macro="" textlink="">
      <xdr:nvSpPr>
        <xdr:cNvPr id="105" name="Rectangle: Rounded Corners 104">
          <a:extLst>
            <a:ext uri="{FF2B5EF4-FFF2-40B4-BE49-F238E27FC236}">
              <a16:creationId xmlns:a16="http://schemas.microsoft.com/office/drawing/2014/main" id="{2E26336C-624D-4B40-94CF-5E161806F6F3}"/>
            </a:ext>
          </a:extLst>
        </xdr:cNvPr>
        <xdr:cNvSpPr/>
      </xdr:nvSpPr>
      <xdr:spPr>
        <a:xfrm>
          <a:off x="18341340" y="29738574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brief instructions</a:t>
          </a:r>
          <a:r>
            <a:rPr lang="en-US" sz="1600" baseline="0">
              <a:solidFill>
                <a:srgbClr val="00B050"/>
              </a:solidFill>
            </a:rPr>
            <a:t> re depression measure </a:t>
          </a:r>
        </a:p>
        <a:p>
          <a:pPr algn="ctr"/>
          <a:r>
            <a:rPr lang="en-US" sz="1600" baseline="0">
              <a:solidFill>
                <a:srgbClr val="00B050"/>
              </a:solidFill>
            </a:rPr>
            <a:t>(for baseline, to gage progress, demonstrate succes to AI)</a:t>
          </a:r>
          <a:endParaRPr lang="en-US" sz="1600">
            <a:solidFill>
              <a:srgbClr val="00B050"/>
            </a:solidFill>
          </a:endParaRPr>
        </a:p>
      </xdr:txBody>
    </xdr:sp>
    <xdr:clientData/>
  </xdr:twoCellAnchor>
  <xdr:twoCellAnchor>
    <xdr:from>
      <xdr:col>53</xdr:col>
      <xdr:colOff>424542</xdr:colOff>
      <xdr:row>1020</xdr:row>
      <xdr:rowOff>130629</xdr:rowOff>
    </xdr:from>
    <xdr:to>
      <xdr:col>59</xdr:col>
      <xdr:colOff>-1</xdr:colOff>
      <xdr:row>1027</xdr:row>
      <xdr:rowOff>163287</xdr:rowOff>
    </xdr:to>
    <xdr:sp macro="" textlink="">
      <xdr:nvSpPr>
        <xdr:cNvPr id="106" name="Rectangle: Rounded Corners 105">
          <a:extLst>
            <a:ext uri="{FF2B5EF4-FFF2-40B4-BE49-F238E27FC236}">
              <a16:creationId xmlns:a16="http://schemas.microsoft.com/office/drawing/2014/main" id="{33BA91F5-150B-4249-9BA1-0933C3F60B11}"/>
            </a:ext>
          </a:extLst>
        </xdr:cNvPr>
        <xdr:cNvSpPr/>
      </xdr:nvSpPr>
      <xdr:spPr>
        <a:xfrm rot="1190838">
          <a:off x="18341340" y="29738574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i="1">
              <a:solidFill>
                <a:srgbClr val="00B050"/>
              </a:solidFill>
            </a:rPr>
            <a:t>depression = redirection</a:t>
          </a:r>
          <a:r>
            <a:rPr lang="en-US" sz="1600" i="1" baseline="0">
              <a:solidFill>
                <a:srgbClr val="00B050"/>
              </a:solidFill>
            </a:rPr>
            <a:t> </a:t>
          </a:r>
          <a:r>
            <a:rPr lang="en-US" sz="1600" baseline="0">
              <a:solidFill>
                <a:srgbClr val="00B050"/>
              </a:solidFill>
            </a:rPr>
            <a:t>reference?</a:t>
          </a:r>
          <a:endParaRPr lang="en-US" sz="1600">
            <a:solidFill>
              <a:srgbClr val="00B050"/>
            </a:solidFill>
          </a:endParaRPr>
        </a:p>
      </xdr:txBody>
    </xdr:sp>
    <xdr:clientData/>
  </xdr:twoCellAnchor>
  <xdr:twoCellAnchor>
    <xdr:from>
      <xdr:col>56</xdr:col>
      <xdr:colOff>108858</xdr:colOff>
      <xdr:row>1476</xdr:row>
      <xdr:rowOff>370114</xdr:rowOff>
    </xdr:from>
    <xdr:to>
      <xdr:col>73</xdr:col>
      <xdr:colOff>163286</xdr:colOff>
      <xdr:row>1477</xdr:row>
      <xdr:rowOff>195943</xdr:rowOff>
    </xdr:to>
    <xdr:sp macro="" textlink="">
      <xdr:nvSpPr>
        <xdr:cNvPr id="107" name="Rectangle: Rounded Corners 106">
          <a:extLst>
            <a:ext uri="{FF2B5EF4-FFF2-40B4-BE49-F238E27FC236}">
              <a16:creationId xmlns:a16="http://schemas.microsoft.com/office/drawing/2014/main" id="{5179DAE4-92CA-4746-9056-D4EDB780CAB7}"/>
            </a:ext>
          </a:extLst>
        </xdr:cNvPr>
        <xdr:cNvSpPr/>
      </xdr:nvSpPr>
      <xdr:spPr>
        <a:xfrm>
          <a:off x="18341340" y="30587442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b="1">
              <a:solidFill>
                <a:srgbClr val="00B050"/>
              </a:solidFill>
            </a:rPr>
            <a:t>summary of ROI offerings</a:t>
          </a:r>
        </a:p>
      </xdr:txBody>
    </xdr:sp>
    <xdr:clientData/>
  </xdr:twoCellAnchor>
  <xdr:twoCellAnchor>
    <xdr:from>
      <xdr:col>57</xdr:col>
      <xdr:colOff>315686</xdr:colOff>
      <xdr:row>442</xdr:row>
      <xdr:rowOff>119742</xdr:rowOff>
    </xdr:from>
    <xdr:to>
      <xdr:col>76</xdr:col>
      <xdr:colOff>54429</xdr:colOff>
      <xdr:row>460</xdr:row>
      <xdr:rowOff>21770</xdr:rowOff>
    </xdr:to>
    <xdr:sp macro="" textlink="">
      <xdr:nvSpPr>
        <xdr:cNvPr id="108" name="Rectangle: Rounded Corners 107">
          <a:extLst>
            <a:ext uri="{FF2B5EF4-FFF2-40B4-BE49-F238E27FC236}">
              <a16:creationId xmlns:a16="http://schemas.microsoft.com/office/drawing/2014/main" id="{77344867-20E3-42D9-A16C-50AB5C2725F2}"/>
            </a:ext>
          </a:extLst>
        </xdr:cNvPr>
        <xdr:cNvSpPr/>
      </xdr:nvSpPr>
      <xdr:spPr>
        <a:xfrm>
          <a:off x="18341340" y="117589662"/>
          <a:ext cx="0" cy="1387928"/>
        </a:xfrm>
        <a:prstGeom prst="roundRect">
          <a:avLst>
            <a:gd name="adj" fmla="val 26352"/>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800" b="1">
              <a:solidFill>
                <a:srgbClr val="B9FFD9"/>
              </a:solidFill>
            </a:rPr>
            <a:t>add to-do list here,</a:t>
          </a:r>
          <a:endParaRPr lang="en-US" sz="1800" b="1" baseline="0">
            <a:solidFill>
              <a:srgbClr val="B9FFD9"/>
            </a:solidFill>
          </a:endParaRPr>
        </a:p>
        <a:p>
          <a:pPr algn="ctr"/>
          <a:r>
            <a:rPr lang="en-US" sz="1800" b="1" baseline="0">
              <a:solidFill>
                <a:srgbClr val="B9FFD9"/>
              </a:solidFill>
            </a:rPr>
            <a:t>or more space for boxes above,</a:t>
          </a:r>
        </a:p>
        <a:p>
          <a:pPr algn="ctr"/>
          <a:r>
            <a:rPr lang="en-US" sz="1800" b="1" baseline="0">
              <a:solidFill>
                <a:srgbClr val="B9FFD9"/>
              </a:solidFill>
            </a:rPr>
            <a:t>or encouraging NER quote</a:t>
          </a:r>
          <a:endParaRPr lang="en-US" sz="1800" b="1">
            <a:solidFill>
              <a:srgbClr val="B9FFD9"/>
            </a:solidFill>
          </a:endParaRPr>
        </a:p>
      </xdr:txBody>
    </xdr:sp>
    <xdr:clientData/>
  </xdr:twoCellAnchor>
  <xdr:twoCellAnchor>
    <xdr:from>
      <xdr:col>50</xdr:col>
      <xdr:colOff>32657</xdr:colOff>
      <xdr:row>848</xdr:row>
      <xdr:rowOff>54429</xdr:rowOff>
    </xdr:from>
    <xdr:to>
      <xdr:col>68</xdr:col>
      <xdr:colOff>206829</xdr:colOff>
      <xdr:row>851</xdr:row>
      <xdr:rowOff>163285</xdr:rowOff>
    </xdr:to>
    <xdr:sp macro="" textlink="">
      <xdr:nvSpPr>
        <xdr:cNvPr id="109" name="Rectangle: Rounded Corners 108">
          <a:extLst>
            <a:ext uri="{FF2B5EF4-FFF2-40B4-BE49-F238E27FC236}">
              <a16:creationId xmlns:a16="http://schemas.microsoft.com/office/drawing/2014/main" id="{5D1F7B6F-D0E8-4D3B-9BFB-2B9D7D4D1BD1}"/>
            </a:ext>
          </a:extLst>
        </xdr:cNvPr>
        <xdr:cNvSpPr/>
      </xdr:nvSpPr>
      <xdr:spPr>
        <a:xfrm>
          <a:off x="18341340" y="284112789"/>
          <a:ext cx="0" cy="863236"/>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concatenate formula, after separating</a:t>
          </a:r>
        </a:p>
      </xdr:txBody>
    </xdr:sp>
    <xdr:clientData/>
  </xdr:twoCellAnchor>
  <xdr:twoCellAnchor>
    <xdr:from>
      <xdr:col>30</xdr:col>
      <xdr:colOff>163286</xdr:colOff>
      <xdr:row>1010</xdr:row>
      <xdr:rowOff>10882</xdr:rowOff>
    </xdr:from>
    <xdr:to>
      <xdr:col>59</xdr:col>
      <xdr:colOff>293915</xdr:colOff>
      <xdr:row>1014</xdr:row>
      <xdr:rowOff>141513</xdr:rowOff>
    </xdr:to>
    <xdr:sp macro="" textlink="">
      <xdr:nvSpPr>
        <xdr:cNvPr id="110" name="Rectangle: Rounded Corners 109">
          <a:extLst>
            <a:ext uri="{FF2B5EF4-FFF2-40B4-BE49-F238E27FC236}">
              <a16:creationId xmlns:a16="http://schemas.microsoft.com/office/drawing/2014/main" id="{72ECCB0B-8DC0-42AF-9306-148F04F3F498}"/>
            </a:ext>
          </a:extLst>
        </xdr:cNvPr>
        <xdr:cNvSpPr/>
      </xdr:nvSpPr>
      <xdr:spPr>
        <a:xfrm>
          <a:off x="18341340" y="297385740"/>
          <a:ext cx="0" cy="0"/>
        </a:xfrm>
        <a:prstGeom prst="roundRect">
          <a:avLst>
            <a:gd name="adj" fmla="val 5176"/>
          </a:avLst>
        </a:prstGeom>
        <a:solidFill>
          <a:srgbClr val="7CF85A">
            <a:alpha val="89804"/>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most </a:t>
          </a:r>
          <a:r>
            <a:rPr lang="en-US" sz="1600" i="0">
              <a:solidFill>
                <a:srgbClr val="501E6E"/>
              </a:solidFill>
            </a:rPr>
            <a:t>depression as </a:t>
          </a:r>
          <a:r>
            <a:rPr lang="en-US" sz="1600" i="1">
              <a:solidFill>
                <a:srgbClr val="501E6E"/>
              </a:solidFill>
            </a:rPr>
            <a:t>redirection</a:t>
          </a:r>
          <a:r>
            <a:rPr lang="en-US" sz="1600" i="0">
              <a:solidFill>
                <a:srgbClr val="501E6E"/>
              </a:solidFill>
            </a:rPr>
            <a:t>, as the body's</a:t>
          </a:r>
          <a:r>
            <a:rPr lang="en-US" sz="1600" i="0" baseline="0">
              <a:solidFill>
                <a:srgbClr val="501E6E"/>
              </a:solidFill>
            </a:rPr>
            <a:t> intuitive shift of energy away from threats to wellbeing and toward seemingly neglected parts of wellbeing</a:t>
          </a:r>
          <a:r>
            <a:rPr lang="en-US" sz="1600" i="0" baseline="0">
              <a:solidFill>
                <a:srgbClr val="00B050"/>
              </a:solidFill>
            </a:rPr>
            <a:t>.</a:t>
          </a:r>
          <a:endParaRPr lang="en-US" sz="1600" i="0">
            <a:solidFill>
              <a:srgbClr val="00B050"/>
            </a:solidFill>
          </a:endParaRPr>
        </a:p>
      </xdr:txBody>
    </xdr:sp>
    <xdr:clientData/>
  </xdr:twoCellAnchor>
  <xdr:twoCellAnchor>
    <xdr:from>
      <xdr:col>58</xdr:col>
      <xdr:colOff>195940</xdr:colOff>
      <xdr:row>1020</xdr:row>
      <xdr:rowOff>152399</xdr:rowOff>
    </xdr:from>
    <xdr:to>
      <xdr:col>80</xdr:col>
      <xdr:colOff>178523</xdr:colOff>
      <xdr:row>1029</xdr:row>
      <xdr:rowOff>76200</xdr:rowOff>
    </xdr:to>
    <xdr:sp macro="" textlink="">
      <xdr:nvSpPr>
        <xdr:cNvPr id="111" name="Rectangle: Rounded Corners 110">
          <a:extLst>
            <a:ext uri="{FF2B5EF4-FFF2-40B4-BE49-F238E27FC236}">
              <a16:creationId xmlns:a16="http://schemas.microsoft.com/office/drawing/2014/main" id="{3958D348-CC53-4207-9DE2-F6B9861BCD02}"/>
            </a:ext>
          </a:extLst>
        </xdr:cNvPr>
        <xdr:cNvSpPr/>
      </xdr:nvSpPr>
      <xdr:spPr>
        <a:xfrm>
          <a:off x="18341340" y="297385740"/>
          <a:ext cx="0" cy="0"/>
        </a:xfrm>
        <a:prstGeom prst="roundRect">
          <a:avLst>
            <a:gd name="adj" fmla="val 5176"/>
          </a:avLst>
        </a:prstGeom>
        <a:solidFill>
          <a:srgbClr val="7CF85A">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most </a:t>
          </a:r>
          <a:r>
            <a:rPr lang="en-US" sz="1600" i="0">
              <a:solidFill>
                <a:srgbClr val="501E6E"/>
              </a:solidFill>
            </a:rPr>
            <a:t>depression as </a:t>
          </a:r>
          <a:r>
            <a:rPr lang="en-US" sz="1600" i="1">
              <a:solidFill>
                <a:srgbClr val="501E6E"/>
              </a:solidFill>
            </a:rPr>
            <a:t>redirection</a:t>
          </a:r>
          <a:r>
            <a:rPr lang="en-US" sz="1600" i="0">
              <a:solidFill>
                <a:srgbClr val="501E6E"/>
              </a:solidFill>
            </a:rPr>
            <a:t>, as the body</a:t>
          </a:r>
          <a:r>
            <a:rPr lang="en-US" sz="1600" i="0" baseline="0">
              <a:solidFill>
                <a:srgbClr val="501E6E"/>
              </a:solidFill>
            </a:rPr>
            <a:t> shifting energy away from </a:t>
          </a:r>
        </a:p>
        <a:p>
          <a:pPr algn="l"/>
          <a:r>
            <a:rPr lang="en-US" sz="1600" i="0" baseline="0">
              <a:solidFill>
                <a:srgbClr val="501E6E"/>
              </a:solidFill>
            </a:rPr>
            <a:t>too much effort for others, to pull greater effort toward neglected aspects of oneself. You naturally will be depressed, according to this view, when you are coerced by the law to give up being true to yourself, to your actual innocence, to your personal integrity. Together, we can turn this around.</a:t>
          </a:r>
          <a:endParaRPr lang="en-US" sz="1600" i="0">
            <a:solidFill>
              <a:srgbClr val="00B050"/>
            </a:solidFill>
          </a:endParaRPr>
        </a:p>
      </xdr:txBody>
    </xdr:sp>
    <xdr:clientData/>
  </xdr:twoCellAnchor>
  <xdr:twoCellAnchor>
    <xdr:from>
      <xdr:col>37</xdr:col>
      <xdr:colOff>54429</xdr:colOff>
      <xdr:row>1026</xdr:row>
      <xdr:rowOff>43541</xdr:rowOff>
    </xdr:from>
    <xdr:to>
      <xdr:col>51</xdr:col>
      <xdr:colOff>65315</xdr:colOff>
      <xdr:row>1029</xdr:row>
      <xdr:rowOff>43542</xdr:rowOff>
    </xdr:to>
    <xdr:sp macro="" textlink="">
      <xdr:nvSpPr>
        <xdr:cNvPr id="112" name="Rectangle: Rounded Corners 111">
          <a:extLst>
            <a:ext uri="{FF2B5EF4-FFF2-40B4-BE49-F238E27FC236}">
              <a16:creationId xmlns:a16="http://schemas.microsoft.com/office/drawing/2014/main" id="{0A783072-8643-4748-9367-4BF86230BA0C}"/>
            </a:ext>
          </a:extLst>
        </xdr:cNvPr>
        <xdr:cNvSpPr/>
      </xdr:nvSpPr>
      <xdr:spPr>
        <a:xfrm>
          <a:off x="18341340" y="297385740"/>
          <a:ext cx="0" cy="0"/>
        </a:xfrm>
        <a:prstGeom prst="roundRect">
          <a:avLst>
            <a:gd name="adj" fmla="val 5176"/>
          </a:avLst>
        </a:prstGeom>
        <a:solidFill>
          <a:srgbClr val="7CF85A">
            <a:alpha val="89804"/>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200" i="0" baseline="0">
              <a:solidFill>
                <a:srgbClr val="501E6E"/>
              </a:solidFill>
              <a:latin typeface="Times New Roman" panose="02020603050405020304" pitchFamily="18" charset="0"/>
              <a:cs typeface="Times New Roman" panose="02020603050405020304" pitchFamily="18" charset="0"/>
            </a:rPr>
            <a:t>By </a:t>
          </a:r>
        </a:p>
        <a:p>
          <a:pPr algn="l"/>
          <a:r>
            <a:rPr lang="en-US" sz="1200" i="0" baseline="0">
              <a:solidFill>
                <a:srgbClr val="501E6E"/>
              </a:solidFill>
              <a:latin typeface="Times New Roman" panose="02020603050405020304" pitchFamily="18" charset="0"/>
              <a:cs typeface="Times New Roman" panose="02020603050405020304" pitchFamily="18" charset="0"/>
            </a:rPr>
            <a:t>Overcoming this wrongful conviction </a:t>
          </a:r>
          <a:endParaRPr lang="en-US" sz="1200" i="0">
            <a:solidFill>
              <a:srgbClr val="00B050"/>
            </a:solidFill>
            <a:latin typeface="Times New Roman" panose="02020603050405020304" pitchFamily="18" charset="0"/>
            <a:cs typeface="Times New Roman" panose="02020603050405020304" pitchFamily="18" charset="0"/>
          </a:endParaRPr>
        </a:p>
      </xdr:txBody>
    </xdr:sp>
    <xdr:clientData/>
  </xdr:twoCellAnchor>
  <xdr:twoCellAnchor>
    <xdr:from>
      <xdr:col>43</xdr:col>
      <xdr:colOff>152400</xdr:colOff>
      <xdr:row>890</xdr:row>
      <xdr:rowOff>185052</xdr:rowOff>
    </xdr:from>
    <xdr:to>
      <xdr:col>69</xdr:col>
      <xdr:colOff>232954</xdr:colOff>
      <xdr:row>895</xdr:row>
      <xdr:rowOff>239484</xdr:rowOff>
    </xdr:to>
    <xdr:sp macro="" textlink="">
      <xdr:nvSpPr>
        <xdr:cNvPr id="113" name="Rectangle: Rounded Corners 112">
          <a:extLst>
            <a:ext uri="{FF2B5EF4-FFF2-40B4-BE49-F238E27FC236}">
              <a16:creationId xmlns:a16="http://schemas.microsoft.com/office/drawing/2014/main" id="{98DC13AD-2566-4FFA-B5A8-D46C7A065986}"/>
            </a:ext>
          </a:extLst>
        </xdr:cNvPr>
        <xdr:cNvSpPr/>
      </xdr:nvSpPr>
      <xdr:spPr>
        <a:xfrm>
          <a:off x="18341340" y="297385740"/>
          <a:ext cx="0" cy="0"/>
        </a:xfrm>
        <a:prstGeom prst="roundRect">
          <a:avLst>
            <a:gd name="adj" fmla="val 5176"/>
          </a:avLst>
        </a:prstGeom>
        <a:solidFill>
          <a:srgbClr val="7CF85A">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anxiety as a natural response to handling the overwhelming challenges of a wrongful conviction, or any criminal conviction of a dubious nature. If the full weight of the state crashed down upon you like a pile of bricks, each a trusted lie, wouldn't you be anxious? Together, we can turn this around.</a:t>
          </a:r>
          <a:endParaRPr lang="en-US" sz="1600" i="0">
            <a:solidFill>
              <a:srgbClr val="00B050"/>
            </a:solidFill>
          </a:endParaRPr>
        </a:p>
      </xdr:txBody>
    </xdr:sp>
    <xdr:clientData/>
  </xdr:twoCellAnchor>
  <xdr:twoCellAnchor>
    <xdr:from>
      <xdr:col>39</xdr:col>
      <xdr:colOff>217714</xdr:colOff>
      <xdr:row>475</xdr:row>
      <xdr:rowOff>566059</xdr:rowOff>
    </xdr:from>
    <xdr:to>
      <xdr:col>58</xdr:col>
      <xdr:colOff>472439</xdr:colOff>
      <xdr:row>476</xdr:row>
      <xdr:rowOff>537756</xdr:rowOff>
    </xdr:to>
    <xdr:sp macro="" textlink="">
      <xdr:nvSpPr>
        <xdr:cNvPr id="114" name="Rectangle: Rounded Corners 113">
          <a:extLst>
            <a:ext uri="{FF2B5EF4-FFF2-40B4-BE49-F238E27FC236}">
              <a16:creationId xmlns:a16="http://schemas.microsoft.com/office/drawing/2014/main" id="{0D54A1EE-5BE8-4CE4-9F60-C1F6525D5415}"/>
            </a:ext>
          </a:extLst>
        </xdr:cNvPr>
        <xdr:cNvSpPr/>
      </xdr:nvSpPr>
      <xdr:spPr>
        <a:xfrm>
          <a:off x="18341340" y="128406799"/>
          <a:ext cx="0" cy="543197"/>
        </a:xfrm>
        <a:prstGeom prst="roundRect">
          <a:avLst>
            <a:gd name="adj" fmla="val 50000"/>
          </a:avLst>
        </a:prstGeom>
        <a:solidFill>
          <a:srgbClr val="B9FFD9">
            <a:alpha val="20000"/>
          </a:srgbClr>
        </a:solidFill>
        <a:ln w="76200">
          <a:solidFill>
            <a:srgbClr val="D088FC"/>
          </a:solidFill>
        </a:ln>
        <a:effectLst>
          <a:glow rad="152400">
            <a:srgbClr val="D088FC">
              <a:alpha val="25000"/>
            </a:srgbClr>
          </a:glow>
          <a:outerShdw blurRad="50800" dist="38100" dir="2700000" algn="tl"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52% of exonerations involve government misconduct</a:t>
          </a:r>
        </a:p>
      </xdr:txBody>
    </xdr:sp>
    <xdr:clientData/>
  </xdr:twoCellAnchor>
  <xdr:twoCellAnchor>
    <xdr:from>
      <xdr:col>43</xdr:col>
      <xdr:colOff>87083</xdr:colOff>
      <xdr:row>242</xdr:row>
      <xdr:rowOff>119745</xdr:rowOff>
    </xdr:from>
    <xdr:to>
      <xdr:col>61</xdr:col>
      <xdr:colOff>185056</xdr:colOff>
      <xdr:row>246</xdr:row>
      <xdr:rowOff>337459</xdr:rowOff>
    </xdr:to>
    <xdr:sp macro="" textlink="">
      <xdr:nvSpPr>
        <xdr:cNvPr id="115" name="Rectangle: Rounded Corners 114">
          <a:extLst>
            <a:ext uri="{FF2B5EF4-FFF2-40B4-BE49-F238E27FC236}">
              <a16:creationId xmlns:a16="http://schemas.microsoft.com/office/drawing/2014/main" id="{34B6B717-DD38-40C0-B0BA-12BD6C11A60A}"/>
            </a:ext>
          </a:extLst>
        </xdr:cNvPr>
        <xdr:cNvSpPr/>
      </xdr:nvSpPr>
      <xdr:spPr>
        <a:xfrm>
          <a:off x="18341340" y="64028685"/>
          <a:ext cx="0" cy="850174"/>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 hispanic</a:t>
          </a:r>
          <a:r>
            <a:rPr lang="en-US" sz="1600" b="1" baseline="0">
              <a:solidFill>
                <a:srgbClr val="D088FC"/>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a:t>
          </a:r>
          <a:r>
            <a:rPr lang="en-US" sz="1600" b="1" baseline="0">
              <a:solidFill>
                <a:srgbClr val="D088FC"/>
              </a:solidFill>
              <a:latin typeface="+mn-lt"/>
              <a:ea typeface="+mn-ea"/>
              <a:cs typeface="+mn-cs"/>
            </a:rPr>
            <a:t> (i.e., black)</a:t>
          </a:r>
          <a:r>
            <a:rPr lang="en-US" sz="1600" b="1">
              <a:solidFill>
                <a:srgbClr val="D088FC"/>
              </a:solidFill>
              <a:latin typeface="+mn-lt"/>
              <a:ea typeface="+mn-ea"/>
              <a:cs typeface="+mn-cs"/>
            </a:rPr>
            <a:t> with complementary factors = x4</a:t>
          </a:r>
        </a:p>
        <a:p>
          <a:pPr algn="l"/>
          <a:endParaRPr lang="en-US" sz="1600" b="1">
            <a:solidFill>
              <a:srgbClr val="D088FC"/>
            </a:solidFill>
            <a:latin typeface="+mn-lt"/>
            <a:ea typeface="+mn-ea"/>
            <a:cs typeface="+mn-cs"/>
          </a:endParaRPr>
        </a:p>
      </xdr:txBody>
    </xdr:sp>
    <xdr:clientData/>
  </xdr:twoCellAnchor>
  <xdr:twoCellAnchor>
    <xdr:from>
      <xdr:col>42</xdr:col>
      <xdr:colOff>185056</xdr:colOff>
      <xdr:row>476</xdr:row>
      <xdr:rowOff>1643745</xdr:rowOff>
    </xdr:from>
    <xdr:to>
      <xdr:col>60</xdr:col>
      <xdr:colOff>156753</xdr:colOff>
      <xdr:row>476</xdr:row>
      <xdr:rowOff>2192385</xdr:rowOff>
    </xdr:to>
    <xdr:sp macro="" textlink="">
      <xdr:nvSpPr>
        <xdr:cNvPr id="116" name="Rectangle: Rounded Corners 115">
          <a:hlinkClick xmlns:r="http://schemas.openxmlformats.org/officeDocument/2006/relationships" r:id="rId27"/>
          <a:extLst>
            <a:ext uri="{FF2B5EF4-FFF2-40B4-BE49-F238E27FC236}">
              <a16:creationId xmlns:a16="http://schemas.microsoft.com/office/drawing/2014/main" id="{88468F0E-B1C2-4DF3-AB3A-13BF0F1D7951}"/>
            </a:ext>
          </a:extLst>
        </xdr:cNvPr>
        <xdr:cNvSpPr/>
      </xdr:nvSpPr>
      <xdr:spPr>
        <a:xfrm>
          <a:off x="18341340" y="130055985"/>
          <a:ext cx="0" cy="5486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52% of exonerations involve government misconduct</a:t>
          </a:r>
        </a:p>
      </xdr:txBody>
    </xdr:sp>
    <xdr:clientData/>
  </xdr:twoCellAnchor>
  <xdr:twoCellAnchor>
    <xdr:from>
      <xdr:col>36</xdr:col>
      <xdr:colOff>168640</xdr:colOff>
      <xdr:row>1476</xdr:row>
      <xdr:rowOff>112573</xdr:rowOff>
    </xdr:from>
    <xdr:to>
      <xdr:col>50</xdr:col>
      <xdr:colOff>87087</xdr:colOff>
      <xdr:row>1477</xdr:row>
      <xdr:rowOff>326570</xdr:rowOff>
    </xdr:to>
    <xdr:sp macro="" textlink="">
      <xdr:nvSpPr>
        <xdr:cNvPr id="117" name="TextBox 116">
          <a:extLst>
            <a:ext uri="{FF2B5EF4-FFF2-40B4-BE49-F238E27FC236}">
              <a16:creationId xmlns:a16="http://schemas.microsoft.com/office/drawing/2014/main" id="{EA91FDEC-C5FA-4A0C-8462-FD3DD31C0850}"/>
            </a:ext>
          </a:extLst>
        </xdr:cNvPr>
        <xdr:cNvSpPr txBox="1"/>
      </xdr:nvSpPr>
      <xdr:spPr>
        <a:xfrm>
          <a:off x="18341340" y="305874420"/>
          <a:ext cx="0" cy="0"/>
        </a:xfrm>
        <a:prstGeom prst="rect">
          <a:avLst/>
        </a:prstGeom>
        <a:solidFill>
          <a:srgbClr val="B9FFD9"/>
        </a:solidFill>
        <a:ln w="19050" cmpd="sng">
          <a:solidFill>
            <a:srgbClr val="7CF85A"/>
          </a:solidFill>
        </a:ln>
        <a:effectLst>
          <a:innerShdw blurRad="63500" dist="50800" dir="27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notify options</a:t>
          </a:r>
          <a:r>
            <a:rPr lang="en-US" sz="1400" b="1" i="0" u="none" strike="noStrike" baseline="0">
              <a:solidFill>
                <a:schemeClr val="dk1"/>
              </a:solidFill>
              <a:effectLst/>
              <a:latin typeface="+mn-lt"/>
              <a:ea typeface="+mn-ea"/>
              <a:cs typeface="+mn-cs"/>
            </a:rPr>
            <a:t>:</a:t>
          </a:r>
        </a:p>
        <a:p>
          <a:r>
            <a:rPr lang="en-US" sz="1400" b="0" i="0" u="none" strike="noStrike" baseline="0">
              <a:solidFill>
                <a:schemeClr val="dk1"/>
              </a:solidFill>
              <a:effectLst/>
              <a:latin typeface="+mn-lt"/>
              <a:ea typeface="+mn-ea"/>
              <a:cs typeface="+mn-cs"/>
            </a:rPr>
            <a:t>DIY: send notification yourself [FREE]</a:t>
          </a:r>
        </a:p>
        <a:p>
          <a:r>
            <a:rPr lang="en-US" sz="1400" b="0" i="0" u="none" strike="noStrike" baseline="0">
              <a:solidFill>
                <a:schemeClr val="dk1"/>
              </a:solidFill>
              <a:effectLst/>
              <a:latin typeface="+mn-lt"/>
              <a:ea typeface="+mn-ea"/>
              <a:cs typeface="+mn-cs"/>
            </a:rPr>
            <a:t>We send notification on your behalf [$5]</a:t>
          </a:r>
        </a:p>
        <a:p>
          <a:r>
            <a:rPr lang="en-US" sz="1400" b="0" i="0" u="none" strike="noStrike" baseline="0">
              <a:solidFill>
                <a:schemeClr val="dk1"/>
              </a:solidFill>
              <a:effectLst/>
              <a:latin typeface="+mn-lt"/>
              <a:ea typeface="+mn-ea"/>
              <a:cs typeface="+mn-cs"/>
            </a:rPr>
            <a:t>We 1st contact then notify them [$15]</a:t>
          </a:r>
        </a:p>
        <a:p>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a:p>
      </xdr:txBody>
    </xdr:sp>
    <xdr:clientData/>
  </xdr:twoCellAnchor>
  <xdr:twoCellAnchor>
    <xdr:from>
      <xdr:col>53</xdr:col>
      <xdr:colOff>364581</xdr:colOff>
      <xdr:row>1476</xdr:row>
      <xdr:rowOff>373831</xdr:rowOff>
    </xdr:from>
    <xdr:to>
      <xdr:col>62</xdr:col>
      <xdr:colOff>163285</xdr:colOff>
      <xdr:row>1479</xdr:row>
      <xdr:rowOff>32657</xdr:rowOff>
    </xdr:to>
    <xdr:sp macro="" textlink="">
      <xdr:nvSpPr>
        <xdr:cNvPr id="118" name="TextBox 117">
          <a:extLst>
            <a:ext uri="{FF2B5EF4-FFF2-40B4-BE49-F238E27FC236}">
              <a16:creationId xmlns:a16="http://schemas.microsoft.com/office/drawing/2014/main" id="{94205258-6244-4F32-98AE-10612D210015}"/>
            </a:ext>
          </a:extLst>
        </xdr:cNvPr>
        <xdr:cNvSpPr txBox="1"/>
      </xdr:nvSpPr>
      <xdr:spPr>
        <a:xfrm>
          <a:off x="18341340" y="305874420"/>
          <a:ext cx="0" cy="0"/>
        </a:xfrm>
        <a:prstGeom prst="rect">
          <a:avLst/>
        </a:prstGeom>
        <a:solidFill>
          <a:srgbClr val="B9FFD9"/>
        </a:solidFill>
        <a:ln w="19050" cmpd="sng">
          <a:solidFill>
            <a:srgbClr val="7CF85A"/>
          </a:solidFill>
        </a:ln>
        <a:effectLst>
          <a:innerShdw blurRad="63500" dist="50800" dir="27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notify options</a:t>
          </a:r>
          <a:r>
            <a:rPr lang="en-US" sz="1400" b="1" i="0" u="none" strike="noStrike" baseline="0">
              <a:solidFill>
                <a:schemeClr val="dk1"/>
              </a:solidFill>
              <a:effectLst/>
              <a:latin typeface="+mn-lt"/>
              <a:ea typeface="+mn-ea"/>
              <a:cs typeface="+mn-cs"/>
            </a:rPr>
            <a:t>:</a:t>
          </a:r>
        </a:p>
        <a:p>
          <a:r>
            <a:rPr lang="en-US" sz="1400" b="0" i="0" u="none" strike="noStrike" baseline="0">
              <a:solidFill>
                <a:schemeClr val="dk1"/>
              </a:solidFill>
              <a:effectLst/>
              <a:latin typeface="+mn-lt"/>
              <a:ea typeface="+mn-ea"/>
              <a:cs typeface="+mn-cs"/>
            </a:rPr>
            <a:t>DIY: send notification yourself [FREE]</a:t>
          </a:r>
        </a:p>
        <a:p>
          <a:r>
            <a:rPr lang="en-US" sz="1400" b="0" i="0" u="none" strike="noStrike" baseline="0">
              <a:solidFill>
                <a:schemeClr val="dk1"/>
              </a:solidFill>
              <a:effectLst/>
              <a:latin typeface="+mn-lt"/>
              <a:ea typeface="+mn-ea"/>
              <a:cs typeface="+mn-cs"/>
            </a:rPr>
            <a:t>We send notification on your behalf [$5]</a:t>
          </a:r>
        </a:p>
        <a:p>
          <a:r>
            <a:rPr lang="en-US" sz="1400" b="0" i="0" u="none" strike="noStrike" baseline="0">
              <a:solidFill>
                <a:schemeClr val="dk1"/>
              </a:solidFill>
              <a:effectLst/>
              <a:latin typeface="+mn-lt"/>
              <a:ea typeface="+mn-ea"/>
              <a:cs typeface="+mn-cs"/>
            </a:rPr>
            <a:t>We qualify then notify them [$15]</a:t>
          </a:r>
        </a:p>
        <a:p>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a:p>
      </xdr:txBody>
    </xdr:sp>
    <xdr:clientData/>
  </xdr:twoCellAnchor>
  <xdr:twoCellAnchor>
    <xdr:from>
      <xdr:col>76</xdr:col>
      <xdr:colOff>41367</xdr:colOff>
      <xdr:row>58</xdr:row>
      <xdr:rowOff>336369</xdr:rowOff>
    </xdr:from>
    <xdr:to>
      <xdr:col>85</xdr:col>
      <xdr:colOff>423455</xdr:colOff>
      <xdr:row>62</xdr:row>
      <xdr:rowOff>770708</xdr:rowOff>
    </xdr:to>
    <xdr:sp macro="" textlink="">
      <xdr:nvSpPr>
        <xdr:cNvPr id="119" name="Rectangle: Rounded Corners 118">
          <a:extLst>
            <a:ext uri="{FF2B5EF4-FFF2-40B4-BE49-F238E27FC236}">
              <a16:creationId xmlns:a16="http://schemas.microsoft.com/office/drawing/2014/main" id="{06B652D0-6ED2-42DD-8D00-F07D90DB6EE3}"/>
            </a:ext>
          </a:extLst>
        </xdr:cNvPr>
        <xdr:cNvSpPr/>
      </xdr:nvSpPr>
      <xdr:spPr>
        <a:xfrm>
          <a:off x="18341340" y="22708689"/>
          <a:ext cx="0" cy="2080259"/>
        </a:xfrm>
        <a:prstGeom prst="roundRect">
          <a:avLst>
            <a:gd name="adj" fmla="val 5176"/>
          </a:avLst>
        </a:prstGeom>
        <a:solidFill>
          <a:srgbClr val="F19B61">
            <a:alpha val="12157"/>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r"/>
          <a:r>
            <a:rPr lang="en-US" sz="1800" b="1">
              <a:solidFill>
                <a:srgbClr val="00B050"/>
              </a:solidFill>
              <a:latin typeface="+mn-lt"/>
              <a:ea typeface="+mn-ea"/>
              <a:cs typeface="+mn-cs"/>
            </a:rPr>
            <a:t>create</a:t>
          </a:r>
          <a:r>
            <a:rPr lang="en-US" sz="1200" b="1"/>
            <a:t> </a:t>
          </a:r>
          <a:r>
            <a:rPr lang="en-US" sz="1800" b="1">
              <a:solidFill>
                <a:srgbClr val="00B050"/>
              </a:solidFill>
              <a:latin typeface="+mn-lt"/>
              <a:ea typeface="+mn-ea"/>
              <a:cs typeface="+mn-cs"/>
            </a:rPr>
            <a:t>new </a:t>
          </a:r>
        </a:p>
        <a:p>
          <a:pPr algn="r"/>
          <a:r>
            <a:rPr lang="en-US" sz="1800" b="1">
              <a:solidFill>
                <a:srgbClr val="00B050"/>
              </a:solidFill>
              <a:latin typeface="+mn-lt"/>
              <a:ea typeface="+mn-ea"/>
              <a:cs typeface="+mn-cs"/>
            </a:rPr>
            <a:t>section here for </a:t>
          </a:r>
        </a:p>
        <a:p>
          <a:pPr algn="r"/>
          <a:r>
            <a:rPr lang="en-US" sz="1800" b="1">
              <a:solidFill>
                <a:srgbClr val="00B050"/>
              </a:solidFill>
              <a:latin typeface="+mn-lt"/>
              <a:ea typeface="+mn-ea"/>
              <a:cs typeface="+mn-cs"/>
            </a:rPr>
            <a:t>INSTRUCTIONS </a:t>
          </a:r>
        </a:p>
        <a:p>
          <a:pPr algn="r"/>
          <a:r>
            <a:rPr lang="en-US" sz="1800" b="1">
              <a:solidFill>
                <a:srgbClr val="00B050"/>
              </a:solidFill>
              <a:latin typeface="+mn-lt"/>
              <a:ea typeface="+mn-ea"/>
              <a:cs typeface="+mn-cs"/>
            </a:rPr>
            <a:t>and AVAILABLE</a:t>
          </a:r>
        </a:p>
        <a:p>
          <a:pPr algn="r"/>
          <a:r>
            <a:rPr lang="en-US" sz="1800" b="1">
              <a:solidFill>
                <a:srgbClr val="00B050"/>
              </a:solidFill>
              <a:latin typeface="+mn-lt"/>
              <a:ea typeface="+mn-ea"/>
              <a:cs typeface="+mn-cs"/>
            </a:rPr>
            <a:t> SUPPORT</a:t>
          </a:r>
        </a:p>
      </xdr:txBody>
    </xdr:sp>
    <xdr:clientData/>
  </xdr:twoCellAnchor>
  <xdr:twoCellAnchor>
    <xdr:from>
      <xdr:col>33</xdr:col>
      <xdr:colOff>228600</xdr:colOff>
      <xdr:row>187</xdr:row>
      <xdr:rowOff>228602</xdr:rowOff>
    </xdr:from>
    <xdr:to>
      <xdr:col>49</xdr:col>
      <xdr:colOff>163285</xdr:colOff>
      <xdr:row>191</xdr:row>
      <xdr:rowOff>32657</xdr:rowOff>
    </xdr:to>
    <xdr:sp macro="" textlink="">
      <xdr:nvSpPr>
        <xdr:cNvPr id="120" name="Rectangle: Rounded Corners 119">
          <a:hlinkClick xmlns:r="http://schemas.openxmlformats.org/officeDocument/2006/relationships" r:id="rId28"/>
          <a:extLst>
            <a:ext uri="{FF2B5EF4-FFF2-40B4-BE49-F238E27FC236}">
              <a16:creationId xmlns:a16="http://schemas.microsoft.com/office/drawing/2014/main" id="{2A03A2E9-1292-4AD4-85C4-816386F84A9C}"/>
            </a:ext>
          </a:extLst>
        </xdr:cNvPr>
        <xdr:cNvSpPr/>
      </xdr:nvSpPr>
      <xdr:spPr>
        <a:xfrm>
          <a:off x="18341340" y="53195222"/>
          <a:ext cx="0" cy="1328055"/>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50% of murder exonerations involve blacks convicted</a:t>
          </a:r>
          <a:r>
            <a:rPr lang="en-US" sz="1600" baseline="0">
              <a:solidFill>
                <a:srgbClr val="501E6E"/>
              </a:solidFill>
            </a:rPr>
            <a:t> of killing a white person, despite blacks r</a:t>
          </a:r>
          <a:r>
            <a:rPr lang="en-US" sz="1600">
              <a:solidFill>
                <a:srgbClr val="501E6E"/>
              </a:solidFill>
            </a:rPr>
            <a:t>epresenting only 13% of the population</a:t>
          </a:r>
        </a:p>
      </xdr:txBody>
    </xdr:sp>
    <xdr:clientData/>
  </xdr:twoCellAnchor>
  <xdr:twoCellAnchor>
    <xdr:from>
      <xdr:col>1</xdr:col>
      <xdr:colOff>385354</xdr:colOff>
      <xdr:row>144</xdr:row>
      <xdr:rowOff>152402</xdr:rowOff>
    </xdr:from>
    <xdr:to>
      <xdr:col>3</xdr:col>
      <xdr:colOff>1695994</xdr:colOff>
      <xdr:row>146</xdr:row>
      <xdr:rowOff>114302</xdr:rowOff>
    </xdr:to>
    <xdr:sp macro="" textlink="">
      <xdr:nvSpPr>
        <xdr:cNvPr id="121" name="Rectangle: Rounded Corners 120">
          <a:hlinkClick xmlns:r="http://schemas.openxmlformats.org/officeDocument/2006/relationships" r:id="rId29" tooltip="click to contact author online"/>
          <a:extLst>
            <a:ext uri="{FF2B5EF4-FFF2-40B4-BE49-F238E27FC236}">
              <a16:creationId xmlns:a16="http://schemas.microsoft.com/office/drawing/2014/main" id="{10C64F76-19FB-49BD-B854-B80303E583ED}"/>
            </a:ext>
          </a:extLst>
        </xdr:cNvPr>
        <xdr:cNvSpPr/>
      </xdr:nvSpPr>
      <xdr:spPr>
        <a:xfrm>
          <a:off x="644434" y="41871902"/>
          <a:ext cx="4846320" cy="36576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click here to contact me with your feedback to </a:t>
          </a:r>
          <a:r>
            <a:rPr lang="en-US" sz="1600" baseline="0">
              <a:solidFill>
                <a:srgbClr val="501E6E"/>
              </a:solidFill>
            </a:rPr>
            <a:t>this tool</a:t>
          </a:r>
          <a:endParaRPr lang="en-US" sz="1600">
            <a:solidFill>
              <a:srgbClr val="501E6E"/>
            </a:solidFill>
          </a:endParaRPr>
        </a:p>
      </xdr:txBody>
    </xdr:sp>
    <xdr:clientData/>
  </xdr:twoCellAnchor>
  <xdr:twoCellAnchor>
    <xdr:from>
      <xdr:col>72</xdr:col>
      <xdr:colOff>185058</xdr:colOff>
      <xdr:row>1198</xdr:row>
      <xdr:rowOff>133895</xdr:rowOff>
    </xdr:from>
    <xdr:to>
      <xdr:col>85</xdr:col>
      <xdr:colOff>315685</xdr:colOff>
      <xdr:row>1249</xdr:row>
      <xdr:rowOff>0</xdr:rowOff>
    </xdr:to>
    <xdr:sp macro="" textlink="">
      <xdr:nvSpPr>
        <xdr:cNvPr id="122" name="Rectangle: Rounded Corners 121">
          <a:extLst>
            <a:ext uri="{FF2B5EF4-FFF2-40B4-BE49-F238E27FC236}">
              <a16:creationId xmlns:a16="http://schemas.microsoft.com/office/drawing/2014/main" id="{F6905C04-2F62-4552-932B-A2418B34AE41}"/>
            </a:ext>
          </a:extLst>
        </xdr:cNvPr>
        <xdr:cNvSpPr/>
      </xdr:nvSpPr>
      <xdr:spPr>
        <a:xfrm>
          <a:off x="18341340" y="305874420"/>
          <a:ext cx="0" cy="0"/>
        </a:xfrm>
        <a:prstGeom prst="roundRect">
          <a:avLst>
            <a:gd name="adj" fmla="val 5176"/>
          </a:avLst>
        </a:prstGeom>
        <a:solidFill>
          <a:srgbClr val="E2B5FD">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600">
            <a:solidFill>
              <a:srgbClr val="00B050"/>
            </a:solidFill>
          </a:endParaRPr>
        </a:p>
        <a:p>
          <a:pPr algn="l"/>
          <a:r>
            <a:rPr lang="en-US" sz="1600">
              <a:solidFill>
                <a:srgbClr val="00B050"/>
              </a:solidFill>
            </a:rPr>
            <a:t>S</a:t>
          </a:r>
          <a:r>
            <a:rPr lang="en-US" sz="1600" baseline="0">
              <a:solidFill>
                <a:srgbClr val="00B050"/>
              </a:solidFill>
            </a:rPr>
            <a:t>upporter name [FIRST] [LAST]	knows felony/claim</a:t>
          </a:r>
        </a:p>
        <a:p>
          <a:pPr algn="l"/>
          <a:r>
            <a:rPr lang="en-US" sz="1600" baseline="0">
              <a:solidFill>
                <a:srgbClr val="00B050"/>
              </a:solidFill>
            </a:rPr>
            <a:t>Email address		relation to claimant</a:t>
          </a:r>
        </a:p>
        <a:p>
          <a:pPr algn="l"/>
          <a:endParaRPr lang="en-US" sz="1600" baseline="0">
            <a:solidFill>
              <a:srgbClr val="00B050"/>
            </a:solidFill>
          </a:endParaRPr>
        </a:p>
        <a:p>
          <a:pPr algn="l"/>
          <a:r>
            <a:rPr lang="en-US" sz="1600" baseline="0">
              <a:solidFill>
                <a:srgbClr val="00B050"/>
              </a:solidFill>
            </a:rPr>
            <a:t>Invitation sent [DATE] 	Response [LIST OF OPTIONS, from hard </a:t>
          </a:r>
          <a:r>
            <a:rPr lang="en-US" sz="1600" i="1" baseline="0">
              <a:solidFill>
                <a:srgbClr val="00B050"/>
              </a:solidFill>
            </a:rPr>
            <a:t>no</a:t>
          </a:r>
          <a:r>
            <a:rPr lang="en-US" sz="1600" baseline="0">
              <a:solidFill>
                <a:srgbClr val="00B050"/>
              </a:solidFill>
            </a:rPr>
            <a:t> to enthusiastic </a:t>
          </a:r>
          <a:r>
            <a:rPr lang="en-US" sz="1600" i="1" baseline="0">
              <a:solidFill>
                <a:srgbClr val="00B050"/>
              </a:solidFill>
            </a:rPr>
            <a:t>yes</a:t>
          </a:r>
          <a:r>
            <a:rPr lang="en-US" sz="1600" baseline="0">
              <a:solidFill>
                <a:srgbClr val="00B050"/>
              </a:solidFill>
            </a:rPr>
            <a:t>]</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aseline="0">
              <a:solidFill>
                <a:srgbClr val="00B050"/>
              </a:solidFill>
              <a:latin typeface="+mn-lt"/>
              <a:ea typeface="+mn-ea"/>
              <a:cs typeface="+mn-cs"/>
            </a:rPr>
            <a:t>Thank you note sent: [DATE]	Pledge: </a:t>
          </a:r>
        </a:p>
        <a:p>
          <a:pPr algn="l"/>
          <a:endParaRPr lang="en-US" sz="1600" baseline="0">
            <a:solidFill>
              <a:srgbClr val="00B050"/>
            </a:solidFill>
            <a:latin typeface="+mn-lt"/>
            <a:ea typeface="+mn-ea"/>
            <a:cs typeface="+mn-cs"/>
          </a:endParaRPr>
        </a:p>
        <a:p>
          <a:pPr algn="l"/>
          <a:r>
            <a:rPr lang="en-US" sz="1600" baseline="0">
              <a:solidFill>
                <a:srgbClr val="00B050"/>
              </a:solidFill>
            </a:rPr>
            <a:t>Contribution terms [linked from supporter # tab]</a:t>
          </a:r>
        </a:p>
        <a:p>
          <a:pPr algn="l"/>
          <a:r>
            <a:rPr lang="en-US" sz="1600" baseline="0">
              <a:solidFill>
                <a:srgbClr val="00B050"/>
              </a:solidFill>
            </a:rPr>
            <a:t>Frequency limit: </a:t>
          </a:r>
        </a:p>
        <a:p>
          <a:pPr algn="l"/>
          <a:r>
            <a:rPr lang="en-US" sz="1600" baseline="0">
              <a:solidFill>
                <a:srgbClr val="00B050"/>
              </a:solidFill>
            </a:rPr>
            <a:t>Minimum: 	</a:t>
          </a:r>
        </a:p>
        <a:p>
          <a:pPr algn="l"/>
          <a:r>
            <a:rPr lang="en-US" sz="1600" baseline="0">
              <a:solidFill>
                <a:srgbClr val="00B050"/>
              </a:solidFill>
            </a:rPr>
            <a:t>Maximum per [week/month]: </a:t>
          </a:r>
        </a:p>
        <a:p>
          <a:pPr algn="l"/>
          <a:r>
            <a:rPr lang="en-US" sz="1600" baseline="0">
              <a:solidFill>
                <a:srgbClr val="00B050"/>
              </a:solidFill>
            </a:rPr>
            <a:t>Contribution split: </a:t>
          </a:r>
        </a:p>
        <a:p>
          <a:pPr algn="l"/>
          <a:endParaRPr lang="en-US" sz="1600" baseline="0">
            <a:solidFill>
              <a:srgbClr val="00B050"/>
            </a:solidFill>
          </a:endParaRPr>
        </a:p>
        <a:p>
          <a:pPr algn="ctr"/>
          <a:endParaRPr lang="en-US" sz="1600" baseline="0">
            <a:solidFill>
              <a:srgbClr val="00B050"/>
            </a:solidFill>
          </a:endParaRPr>
        </a:p>
      </xdr:txBody>
    </xdr:sp>
    <xdr:clientData/>
  </xdr:twoCellAnchor>
  <xdr:twoCellAnchor>
    <xdr:from>
      <xdr:col>0</xdr:col>
      <xdr:colOff>205740</xdr:colOff>
      <xdr:row>1124</xdr:row>
      <xdr:rowOff>38100</xdr:rowOff>
    </xdr:from>
    <xdr:to>
      <xdr:col>4</xdr:col>
      <xdr:colOff>15240</xdr:colOff>
      <xdr:row>1137</xdr:row>
      <xdr:rowOff>45720</xdr:rowOff>
    </xdr:to>
    <xdr:sp macro="" textlink="">
      <xdr:nvSpPr>
        <xdr:cNvPr id="125" name="TextBox 124">
          <a:hlinkClick xmlns:r="http://schemas.openxmlformats.org/officeDocument/2006/relationships" r:id="rId30" tooltip="click to go to &quot;K. Notifying&quot; section"/>
          <a:extLst>
            <a:ext uri="{FF2B5EF4-FFF2-40B4-BE49-F238E27FC236}">
              <a16:creationId xmlns:a16="http://schemas.microsoft.com/office/drawing/2014/main" id="{C3ABD61A-1231-4D8C-8ACE-38BFD4BB68B0}"/>
            </a:ext>
          </a:extLst>
        </xdr:cNvPr>
        <xdr:cNvSpPr txBox="1"/>
      </xdr:nvSpPr>
      <xdr:spPr>
        <a:xfrm>
          <a:off x="205740" y="305874420"/>
          <a:ext cx="5577840" cy="0"/>
        </a:xfrm>
        <a:prstGeom prst="rect">
          <a:avLst/>
        </a:prstGeom>
        <a:solidFill>
          <a:srgbClr val="D7FFF0"/>
        </a:solid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200">
              <a:solidFill>
                <a:schemeClr val="dk1"/>
              </a:solidFill>
              <a:effectLst/>
              <a:latin typeface="Times New Roman" panose="02020603050405020304" pitchFamily="18" charset="0"/>
              <a:ea typeface="+mn-ea"/>
              <a:cs typeface="Times New Roman" panose="02020603050405020304" pitchFamily="18" charset="0"/>
            </a:rPr>
            <a:t>You have the option to </a:t>
          </a:r>
          <a:r>
            <a:rPr lang="en-US" sz="1200" b="1">
              <a:solidFill>
                <a:schemeClr val="dk1"/>
              </a:solidFill>
              <a:effectLst/>
              <a:latin typeface="Times New Roman" panose="02020603050405020304" pitchFamily="18" charset="0"/>
              <a:ea typeface="+mn-ea"/>
              <a:cs typeface="Times New Roman" panose="02020603050405020304" pitchFamily="18" charset="0"/>
            </a:rPr>
            <a:t>Do It Yourself </a:t>
          </a:r>
          <a:r>
            <a:rPr lang="en-US" sz="1200">
              <a:solidFill>
                <a:schemeClr val="dk1"/>
              </a:solidFill>
              <a:effectLst/>
              <a:latin typeface="Times New Roman" panose="02020603050405020304" pitchFamily="18" charset="0"/>
              <a:ea typeface="+mn-ea"/>
              <a:cs typeface="Times New Roman" panose="02020603050405020304" pitchFamily="18" charset="0"/>
            </a:rPr>
            <a:t>and go it alone. Fill out this form,</a:t>
          </a:r>
          <a:r>
            <a:rPr lang="en-US" sz="1200" baseline="0">
              <a:solidFill>
                <a:schemeClr val="dk1"/>
              </a:solidFill>
              <a:effectLst/>
              <a:latin typeface="Times New Roman" panose="02020603050405020304" pitchFamily="18" charset="0"/>
              <a:ea typeface="+mn-ea"/>
              <a:cs typeface="Times New Roman" panose="02020603050405020304" pitchFamily="18" charset="0"/>
            </a:rPr>
            <a:t> and use it to notify employers, landlords and debt collectors of your highly estimated innocence. You locate the co</a:t>
          </a:r>
          <a:r>
            <a:rPr lang="en-US" sz="1200">
              <a:solidFill>
                <a:schemeClr val="dk1"/>
              </a:solidFill>
              <a:effectLst/>
              <a:latin typeface="Times New Roman" panose="02020603050405020304" pitchFamily="18" charset="0"/>
              <a:ea typeface="+mn-ea"/>
              <a:cs typeface="Times New Roman" panose="02020603050405020304" pitchFamily="18" charset="0"/>
            </a:rPr>
            <a:t>ntact information yourself and</a:t>
          </a:r>
          <a:r>
            <a:rPr lang="en-US" sz="1200" baseline="0">
              <a:solidFill>
                <a:schemeClr val="dk1"/>
              </a:solidFill>
              <a:effectLst/>
              <a:latin typeface="Times New Roman" panose="02020603050405020304" pitchFamily="18" charset="0"/>
              <a:ea typeface="+mn-ea"/>
              <a:cs typeface="Times New Roman" panose="02020603050405020304" pitchFamily="18" charset="0"/>
            </a:rPr>
            <a:t> then send the notifications, using the steps above.</a:t>
          </a:r>
        </a:p>
        <a:p>
          <a:endParaRPr lang="en-US" sz="1200" baseline="0">
            <a:solidFill>
              <a:schemeClr val="dk1"/>
            </a:solidFill>
            <a:effectLst/>
            <a:latin typeface="Times New Roman" panose="02020603050405020304" pitchFamily="18" charset="0"/>
            <a:ea typeface="+mn-ea"/>
            <a:cs typeface="Times New Roman" panose="02020603050405020304" pitchFamily="18" charset="0"/>
          </a:endParaRPr>
        </a:p>
        <a:p>
          <a:pPr algn="l"/>
          <a:r>
            <a:rPr lang="en-US" sz="1200" baseline="0">
              <a:solidFill>
                <a:schemeClr val="dk1"/>
              </a:solidFill>
              <a:effectLst/>
              <a:latin typeface="Times New Roman" panose="02020603050405020304" pitchFamily="18" charset="0"/>
              <a:ea typeface="+mn-ea"/>
              <a:cs typeface="Times New Roman" panose="02020603050405020304" pitchFamily="18" charset="0"/>
            </a:rPr>
            <a:t>First, fill in the information in the </a:t>
          </a:r>
          <a:r>
            <a:rPr lang="en-US" sz="1200" b="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Notifying</a:t>
          </a:r>
          <a:r>
            <a:rPr lang="en-US" sz="1200" baseline="0">
              <a:solidFill>
                <a:schemeClr val="dk1"/>
              </a:solidFill>
              <a:effectLst/>
              <a:latin typeface="Times New Roman" panose="02020603050405020304" pitchFamily="18" charset="0"/>
              <a:ea typeface="+mn-ea"/>
              <a:cs typeface="Times New Roman" panose="02020603050405020304" pitchFamily="18" charset="0"/>
            </a:rPr>
            <a:t> section below (K). Information you enter there automatically creates each notification in the "AI0#" tabs. Review each created notification, make sure it says what you need it to say. </a:t>
          </a:r>
        </a:p>
        <a:p>
          <a:endParaRPr lang="en-US" sz="1200" baseline="0">
            <a:solidFill>
              <a:schemeClr val="dk1"/>
            </a:solidFill>
            <a:effectLst/>
            <a:latin typeface="Times New Roman" panose="02020603050405020304" pitchFamily="18" charset="0"/>
            <a:ea typeface="+mn-ea"/>
            <a:cs typeface="Times New Roman" panose="02020603050405020304" pitchFamily="18" charset="0"/>
          </a:endParaRPr>
        </a:p>
        <a:p>
          <a:r>
            <a:rPr lang="en-US" sz="1200" baseline="0">
              <a:solidFill>
                <a:schemeClr val="dk1"/>
              </a:solidFill>
              <a:effectLst/>
              <a:latin typeface="Times New Roman" panose="02020603050405020304" pitchFamily="18" charset="0"/>
              <a:ea typeface="+mn-ea"/>
              <a:cs typeface="Times New Roman" panose="02020603050405020304" pitchFamily="18" charset="0"/>
            </a:rPr>
            <a:t>If your estimated score is relatively high, this may be all you need. If not, we strongly recommend the </a:t>
          </a:r>
          <a:r>
            <a:rPr lang="en-US" sz="1200" b="1" baseline="0">
              <a:solidFill>
                <a:schemeClr val="dk1"/>
              </a:solidFill>
              <a:effectLst/>
              <a:latin typeface="Times New Roman" panose="02020603050405020304" pitchFamily="18" charset="0"/>
              <a:ea typeface="+mn-ea"/>
              <a:cs typeface="Times New Roman" panose="02020603050405020304" pitchFamily="18" charset="0"/>
            </a:rPr>
            <a:t>plan</a:t>
          </a:r>
          <a:r>
            <a:rPr lang="en-US" sz="1200" baseline="0">
              <a:solidFill>
                <a:schemeClr val="dk1"/>
              </a:solidFill>
              <a:effectLst/>
              <a:latin typeface="Times New Roman" panose="02020603050405020304" pitchFamily="18" charset="0"/>
              <a:ea typeface="+mn-ea"/>
              <a:cs typeface="Times New Roman" panose="02020603050405020304" pitchFamily="18" charset="0"/>
            </a:rPr>
            <a:t>. FREE to start, we work with you to attact support. That support helps cover the costs, and share in some of the benefits. Learn about it more below.</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205740</xdr:colOff>
      <xdr:row>1147</xdr:row>
      <xdr:rowOff>15240</xdr:rowOff>
    </xdr:from>
    <xdr:to>
      <xdr:col>4</xdr:col>
      <xdr:colOff>15240</xdr:colOff>
      <xdr:row>1191</xdr:row>
      <xdr:rowOff>0</xdr:rowOff>
    </xdr:to>
    <xdr:sp macro="" textlink="">
      <xdr:nvSpPr>
        <xdr:cNvPr id="126" name="TextBox 125">
          <a:extLst>
            <a:ext uri="{FF2B5EF4-FFF2-40B4-BE49-F238E27FC236}">
              <a16:creationId xmlns:a16="http://schemas.microsoft.com/office/drawing/2014/main" id="{DBD61615-2C4D-4D2A-967C-D9830D86A6A3}"/>
            </a:ext>
          </a:extLst>
        </xdr:cNvPr>
        <xdr:cNvSpPr txBox="1"/>
      </xdr:nvSpPr>
      <xdr:spPr>
        <a:xfrm>
          <a:off x="205740" y="305874420"/>
          <a:ext cx="5577840" cy="0"/>
        </a:xfrm>
        <a:prstGeom prst="rect">
          <a:avLst/>
        </a:prstGeom>
        <a:no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Plan</a:t>
          </a:r>
          <a:r>
            <a:rPr lang="en-US" sz="1600" b="1">
              <a:ln>
                <a:noFill/>
              </a:ln>
              <a:noFill/>
              <a:effectLst/>
              <a:latin typeface="Tahoma" panose="020B0604030504040204" pitchFamily="34" charset="0"/>
              <a:ea typeface="Tahoma" panose="020B0604030504040204" pitchFamily="34" charset="0"/>
              <a:cs typeface="Tahoma" panose="020B0604030504040204" pitchFamily="34" charset="0"/>
            </a:rPr>
            <a:t> </a:t>
          </a:r>
          <a:r>
            <a:rPr lang="en-US" sz="16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rPr>
            <a:t>start for Free</a:t>
          </a:r>
          <a:endParaRPr lang="en-US" sz="11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Tragically, wrongful convictions destroy one’s credibility. Once accused, your protests of innocence sound self-serving as if avoiding responsibility. You know perfectly well that’s not the </a:t>
          </a:r>
          <a:r>
            <a:rPr lang="en-US" sz="1200" baseline="0">
              <a:solidFill>
                <a:schemeClr val="dk1"/>
              </a:solidFill>
              <a:effectLst/>
              <a:latin typeface="Times New Roman" panose="02020603050405020304" pitchFamily="18" charset="0"/>
              <a:ea typeface="+mn-ea"/>
              <a:cs typeface="Times New Roman" panose="02020603050405020304" pitchFamily="18" charset="0"/>
            </a:rPr>
            <a:t>case.</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Wrongful convictions also undermine earning capacity. An unearned felony robs one of eaerned income potential, to afford needed services. Talk about injustice!</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This service provides a way for overcoming both!</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The</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r>
            <a:rPr lang="en-US" sz="1200" b="1" baseline="0">
              <a:solidFill>
                <a:schemeClr val="dk1"/>
              </a:solidFill>
              <a:effectLst/>
              <a:latin typeface="Times New Roman" panose="02020603050405020304" pitchFamily="18" charset="0"/>
              <a:ea typeface="+mn-ea"/>
              <a:cs typeface="Times New Roman" panose="02020603050405020304" pitchFamily="18" charset="0"/>
            </a:rPr>
            <a:t>Plan</a:t>
          </a:r>
          <a:r>
            <a:rPr lang="en-US" sz="1200" baseline="0">
              <a:solidFill>
                <a:schemeClr val="dk1"/>
              </a:solidFill>
              <a:effectLst/>
              <a:latin typeface="Times New Roman" panose="02020603050405020304" pitchFamily="18" charset="0"/>
              <a:ea typeface="+mn-ea"/>
              <a:cs typeface="Times New Roman" panose="02020603050405020304" pitchFamily="18" charset="0"/>
            </a:rPr>
            <a:t> has you, t</a:t>
          </a:r>
          <a:r>
            <a:rPr lang="en-US" sz="1200">
              <a:solidFill>
                <a:schemeClr val="dk1"/>
              </a:solidFill>
              <a:effectLst/>
              <a:latin typeface="Times New Roman" panose="02020603050405020304" pitchFamily="18" charset="0"/>
              <a:ea typeface="+mn-ea"/>
              <a:cs typeface="Times New Roman" panose="02020603050405020304" pitchFamily="18" charset="0"/>
            </a:rPr>
            <a:t>he wrongly convicted, build up a support team for both the social capital to demonstrate your innocence </a:t>
          </a:r>
          <a:r>
            <a:rPr lang="en-US" sz="1200" i="1">
              <a:solidFill>
                <a:schemeClr val="dk1"/>
              </a:solidFill>
              <a:effectLst/>
              <a:latin typeface="Times New Roman" panose="02020603050405020304" pitchFamily="18" charset="0"/>
              <a:ea typeface="+mn-ea"/>
              <a:cs typeface="Times New Roman" panose="02020603050405020304" pitchFamily="18" charset="0"/>
            </a:rPr>
            <a:t>and</a:t>
          </a:r>
          <a:r>
            <a:rPr lang="en-US" sz="1200">
              <a:solidFill>
                <a:schemeClr val="dk1"/>
              </a:solidFill>
              <a:effectLst/>
              <a:latin typeface="Times New Roman" panose="02020603050405020304" pitchFamily="18" charset="0"/>
              <a:ea typeface="+mn-ea"/>
              <a:cs typeface="Times New Roman" panose="02020603050405020304" pitchFamily="18" charset="0"/>
            </a:rPr>
            <a:t> to help share in the costs and returns in needed services. Services like this one. At least that’s how it stands right now.</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Together, we'll:</a:t>
          </a:r>
        </a:p>
        <a:p>
          <a:r>
            <a:rPr lang="en-US" sz="1200">
              <a:solidFill>
                <a:schemeClr val="dk1"/>
              </a:solidFill>
              <a:effectLst/>
              <a:latin typeface="Times New Roman" panose="02020603050405020304" pitchFamily="18" charset="0"/>
              <a:ea typeface="+mn-ea"/>
              <a:cs typeface="Times New Roman" panose="02020603050405020304" pitchFamily="18" charset="0"/>
            </a:rPr>
            <a:t>1.  spot your most pressing needs, </a:t>
          </a:r>
        </a:p>
        <a:p>
          <a:r>
            <a:rPr lang="en-US" sz="1200">
              <a:solidFill>
                <a:schemeClr val="dk1"/>
              </a:solidFill>
              <a:effectLst/>
              <a:latin typeface="Times New Roman" panose="02020603050405020304" pitchFamily="18" charset="0"/>
              <a:ea typeface="+mn-ea"/>
              <a:cs typeface="Times New Roman" panose="02020603050405020304" pitchFamily="18" charset="0"/>
            </a:rPr>
            <a:t>2.  draft a plan to fit your situation, and to best serve your specific needs,</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3.  build the support necessary to meet</a:t>
          </a:r>
          <a:r>
            <a:rPr lang="en-US" sz="1200" baseline="0">
              <a:solidFill>
                <a:schemeClr val="dk1"/>
              </a:solidFill>
              <a:effectLst/>
              <a:latin typeface="Times New Roman" panose="02020603050405020304" pitchFamily="18" charset="0"/>
              <a:ea typeface="+mn-ea"/>
              <a:cs typeface="Times New Roman" panose="02020603050405020304" pitchFamily="18" charset="0"/>
            </a:rPr>
            <a:t> those needs,</a:t>
          </a:r>
          <a:r>
            <a:rPr lang="en-US" sz="1200">
              <a:solidFill>
                <a:schemeClr val="dk1"/>
              </a:solidFill>
              <a:effectLst/>
              <a:latin typeface="Times New Roman" panose="02020603050405020304" pitchFamily="18" charset="0"/>
              <a:ea typeface="+mn-ea"/>
              <a:cs typeface="Times New Roman" panose="02020603050405020304" pitchFamily="18" charset="0"/>
            </a:rPr>
            <a:t> to finally</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4.  compel others to respond to these neglected needs in mutually beneficial ways. </a:t>
          </a: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r>
            <a:rPr lang="en-US" sz="1400" b="1">
              <a:solidFill>
                <a:schemeClr val="dk1"/>
              </a:solidFill>
              <a:effectLst/>
              <a:latin typeface="+mn-lt"/>
              <a:ea typeface="+mn-ea"/>
              <a:cs typeface="Times New Roman" panose="02020603050405020304" pitchFamily="18" charset="0"/>
            </a:rPr>
            <a:t>Step 1</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Together,</a:t>
          </a:r>
          <a:r>
            <a:rPr lang="en-US" sz="1200" baseline="0">
              <a:solidFill>
                <a:schemeClr val="dk1"/>
              </a:solidFill>
              <a:effectLst/>
              <a:latin typeface="Times New Roman" panose="02020603050405020304" pitchFamily="18" charset="0"/>
              <a:ea typeface="+mn-ea"/>
              <a:cs typeface="Times New Roman" panose="02020603050405020304" pitchFamily="18" charset="0"/>
            </a:rPr>
            <a:t> we get our foot in the door. We compel notified employers, landlords and/or debt collectors to take notice of the unkind impact they are having on you. To avoid the risk of bad publicity, we expect them to respond.</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We start out by exchanging messages through email. Our first exchange is FREE. We invite you to name a "proxy" who can support you through this process. Someone you can trust as you risk reliving this painful past.</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The next email exchange only costs you and your proxy $5. If we agree this process is a good fit for you, you will start building a support team. You invite each one using the supporter tabs, much like the notification tabs. As the value of this service to you rises, they bear the increased costs--and share in some of its rewards.</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Eventually, we shift to group video-chat ($100 each). Each dollar invested gets tracked. If your support team finds it's worth it, why not others? We will use that to persuade others to invest in you as well.</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Your rebuilt life will become an attractive investment. If an employer passes you over, we can make sure their competitors will see your re-emerging value.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2</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If we reach step two, we convince</a:t>
          </a:r>
          <a:r>
            <a:rPr lang="en-US" sz="1200" baseline="0">
              <a:solidFill>
                <a:schemeClr val="dk1"/>
              </a:solidFill>
              <a:effectLst/>
              <a:latin typeface="Times New Roman" panose="02020603050405020304" pitchFamily="18" charset="0"/>
              <a:ea typeface="+mn-ea"/>
              <a:cs typeface="Times New Roman" panose="02020603050405020304" pitchFamily="18" charset="0"/>
            </a:rPr>
            <a:t> the notified parties to start investing in your rebuilt life. To not only hire you or rent to you or negotiate debt with you, but to actively see you do better. Why would they willingly invest in you? By then, we will make it hard for them to say 'no'. </a:t>
          </a: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34</xdr:col>
      <xdr:colOff>121920</xdr:colOff>
      <xdr:row>1120</xdr:row>
      <xdr:rowOff>106680</xdr:rowOff>
    </xdr:from>
    <xdr:to>
      <xdr:col>57</xdr:col>
      <xdr:colOff>53340</xdr:colOff>
      <xdr:row>1144</xdr:row>
      <xdr:rowOff>121920</xdr:rowOff>
    </xdr:to>
    <xdr:sp macro="" textlink="">
      <xdr:nvSpPr>
        <xdr:cNvPr id="127" name="TextBox 126">
          <a:extLst>
            <a:ext uri="{FF2B5EF4-FFF2-40B4-BE49-F238E27FC236}">
              <a16:creationId xmlns:a16="http://schemas.microsoft.com/office/drawing/2014/main" id="{4C9442BA-C27C-46F0-851E-197F913A9E0D}"/>
            </a:ext>
          </a:extLst>
        </xdr:cNvPr>
        <xdr:cNvSpPr txBox="1"/>
      </xdr:nvSpPr>
      <xdr:spPr>
        <a:xfrm>
          <a:off x="18341340" y="305874420"/>
          <a:ext cx="0" cy="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Times New Roman" panose="02020603050405020304" pitchFamily="18" charset="0"/>
            </a:rPr>
            <a:t>Step 1</a:t>
          </a:r>
        </a:p>
        <a:p>
          <a:r>
            <a:rPr lang="en-US" sz="1100">
              <a:solidFill>
                <a:schemeClr val="dk1"/>
              </a:solidFill>
              <a:effectLst/>
              <a:latin typeface="Times New Roman" panose="02020603050405020304" pitchFamily="18" charset="0"/>
              <a:ea typeface="+mn-ea"/>
              <a:cs typeface="Times New Roman" panose="02020603050405020304" pitchFamily="18" charset="0"/>
            </a:rPr>
            <a:t>Text-based</a:t>
          </a:r>
          <a:r>
            <a:rPr lang="en-US" sz="1100" baseline="0">
              <a:solidFill>
                <a:schemeClr val="dk1"/>
              </a:solidFill>
              <a:effectLst/>
              <a:latin typeface="Times New Roman" panose="02020603050405020304" pitchFamily="18" charset="0"/>
              <a:ea typeface="+mn-ea"/>
              <a:cs typeface="Times New Roman" panose="02020603050405020304" pitchFamily="18" charset="0"/>
            </a:rPr>
            <a:t> interactions.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Name someone to serve as your proxy, someone you can trust to serve your needs when you cannot be fully present. For prisoners,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For those out of prison, but still in some form of monitored custody,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For those beyond state custody, </a:t>
          </a:r>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2</a:t>
          </a:r>
        </a:p>
        <a:p>
          <a:r>
            <a:rPr lang="en-US" sz="1100">
              <a:solidFill>
                <a:schemeClr val="dk1"/>
              </a:solidFill>
              <a:effectLst/>
              <a:latin typeface="Times New Roman" panose="02020603050405020304" pitchFamily="18" charset="0"/>
              <a:ea typeface="+mn-ea"/>
              <a:cs typeface="Times New Roman" panose="02020603050405020304" pitchFamily="18" charset="0"/>
            </a:rPr>
            <a:t>Video-conferencing</a:t>
          </a:r>
          <a:r>
            <a:rPr lang="en-US" sz="1100" baseline="0">
              <a:solidFill>
                <a:schemeClr val="dk1"/>
              </a:solidFill>
              <a:effectLst/>
              <a:latin typeface="Times New Roman" panose="02020603050405020304" pitchFamily="18" charset="0"/>
              <a:ea typeface="+mn-ea"/>
              <a:cs typeface="Times New Roman" panose="02020603050405020304" pitchFamily="18" charset="0"/>
            </a:rPr>
            <a:t> group support.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impact engaging, options array</a:t>
          </a:r>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3</a:t>
          </a:r>
        </a:p>
      </xdr:txBody>
    </xdr:sp>
    <xdr:clientData/>
  </xdr:twoCellAnchor>
  <xdr:twoCellAnchor>
    <xdr:from>
      <xdr:col>0</xdr:col>
      <xdr:colOff>198120</xdr:colOff>
      <xdr:row>1137</xdr:row>
      <xdr:rowOff>167640</xdr:rowOff>
    </xdr:from>
    <xdr:to>
      <xdr:col>4</xdr:col>
      <xdr:colOff>7620</xdr:colOff>
      <xdr:row>1146</xdr:row>
      <xdr:rowOff>45720</xdr:rowOff>
    </xdr:to>
    <xdr:sp macro="" textlink="">
      <xdr:nvSpPr>
        <xdr:cNvPr id="128" name="TextBox 127">
          <a:extLst>
            <a:ext uri="{FF2B5EF4-FFF2-40B4-BE49-F238E27FC236}">
              <a16:creationId xmlns:a16="http://schemas.microsoft.com/office/drawing/2014/main" id="{908AD925-2049-4394-BA49-5252FEA169AC}"/>
            </a:ext>
          </a:extLst>
        </xdr:cNvPr>
        <xdr:cNvSpPr txBox="1"/>
      </xdr:nvSpPr>
      <xdr:spPr>
        <a:xfrm>
          <a:off x="198120" y="305874420"/>
          <a:ext cx="5577840" cy="0"/>
        </a:xfrm>
        <a:prstGeom prst="rect">
          <a:avLst/>
        </a:prstGeom>
        <a:solidFill>
          <a:srgbClr val="B9FFD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B050"/>
              </a:solidFill>
              <a:effectLst/>
              <a:latin typeface="+mn-lt"/>
              <a:ea typeface="+mn-ea"/>
              <a:cs typeface="Times New Roman" panose="02020603050405020304" pitchFamily="18" charset="0"/>
            </a:rPr>
            <a:t>Benefits of going with the </a:t>
          </a:r>
          <a:r>
            <a:rPr lang="en-US" sz="1600" b="1">
              <a:solidFill>
                <a:schemeClr val="dk1"/>
              </a:solidFill>
              <a:effectLst/>
              <a:latin typeface="+mn-lt"/>
              <a:ea typeface="+mn-ea"/>
              <a:cs typeface="Times New Roman" panose="02020603050405020304" pitchFamily="18" charset="0"/>
            </a:rPr>
            <a:t>Plan</a:t>
          </a:r>
          <a:endParaRPr lang="en-US" sz="1400" b="1">
            <a:solidFill>
              <a:schemeClr val="dk1"/>
            </a:solidFill>
            <a:effectLst/>
            <a:latin typeface="+mn-lt"/>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r>
            <a:rPr lang="en-US" sz="1200">
              <a:solidFill>
                <a:schemeClr val="dk1"/>
              </a:solidFill>
              <a:effectLst/>
              <a:latin typeface="Times New Roman" panose="02020603050405020304" pitchFamily="18" charset="0"/>
              <a:ea typeface="+mn-ea"/>
              <a:cs typeface="Times New Roman" panose="02020603050405020304" pitchFamily="18" charset="0"/>
            </a:rPr>
            <a:t>own your data</a:t>
          </a:r>
        </a:p>
        <a:p>
          <a:r>
            <a:rPr lang="en-US" sz="1200">
              <a:solidFill>
                <a:schemeClr val="dk1"/>
              </a:solidFill>
              <a:effectLst/>
              <a:latin typeface="Times New Roman" panose="02020603050405020304" pitchFamily="18" charset="0"/>
              <a:ea typeface="+mn-ea"/>
              <a:cs typeface="Times New Roman" panose="02020603050405020304" pitchFamily="18" charset="0"/>
            </a:rPr>
            <a:t>-- improve your marketable value</a:t>
          </a:r>
        </a:p>
        <a:p>
          <a:r>
            <a:rPr lang="en-US" sz="1200">
              <a:solidFill>
                <a:schemeClr val="dk1"/>
              </a:solidFill>
              <a:effectLst/>
              <a:latin typeface="Times New Roman" panose="02020603050405020304" pitchFamily="18" charset="0"/>
              <a:ea typeface="+mn-ea"/>
              <a:cs typeface="Times New Roman" panose="02020603050405020304" pitchFamily="18" charset="0"/>
            </a:rPr>
            <a:t>-- receive engaging support from others who believe</a:t>
          </a:r>
          <a:r>
            <a:rPr lang="en-US" sz="1200" baseline="0">
              <a:solidFill>
                <a:schemeClr val="dk1"/>
              </a:solidFill>
              <a:effectLst/>
              <a:latin typeface="Times New Roman" panose="02020603050405020304" pitchFamily="18" charset="0"/>
              <a:ea typeface="+mn-ea"/>
              <a:cs typeface="Times New Roman" panose="02020603050405020304" pitchFamily="18" charset="0"/>
            </a:rPr>
            <a:t> you are innocent</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 disover</a:t>
          </a:r>
          <a:r>
            <a:rPr lang="en-US" sz="1200" baseline="0">
              <a:solidFill>
                <a:schemeClr val="dk1"/>
              </a:solidFill>
              <a:effectLst/>
              <a:latin typeface="Times New Roman" panose="02020603050405020304" pitchFamily="18" charset="0"/>
              <a:ea typeface="+mn-ea"/>
              <a:cs typeface="Times New Roman" panose="02020603050405020304" pitchFamily="18" charset="0"/>
            </a:rPr>
            <a:t> capacities you never knew you had</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 find opportunties to earn doing what you passionatley enjoy doing for others</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 learn to make life happen (rather than let life happen to you)</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39</xdr:col>
      <xdr:colOff>30480</xdr:colOff>
      <xdr:row>864</xdr:row>
      <xdr:rowOff>320040</xdr:rowOff>
    </xdr:from>
    <xdr:to>
      <xdr:col>59</xdr:col>
      <xdr:colOff>175260</xdr:colOff>
      <xdr:row>870</xdr:row>
      <xdr:rowOff>3886200</xdr:rowOff>
    </xdr:to>
    <xdr:sp macro="" textlink="">
      <xdr:nvSpPr>
        <xdr:cNvPr id="129" name="TextBox 128">
          <a:extLst>
            <a:ext uri="{FF2B5EF4-FFF2-40B4-BE49-F238E27FC236}">
              <a16:creationId xmlns:a16="http://schemas.microsoft.com/office/drawing/2014/main" id="{7AFE7D75-26DB-4797-AAAB-89B428BE17B3}"/>
            </a:ext>
          </a:extLst>
        </xdr:cNvPr>
        <xdr:cNvSpPr txBox="1"/>
      </xdr:nvSpPr>
      <xdr:spPr>
        <a:xfrm>
          <a:off x="18341340" y="289346640"/>
          <a:ext cx="0" cy="5204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mn-lt"/>
              <a:ea typeface="+mn-ea"/>
              <a:cs typeface="+mn-cs"/>
            </a:rPr>
            <a:t>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A neighborhood child drew curious, peeping into Janet’s window to gawk at what she called the "man with lipstick." When caught not being home on time, the child leveled bizarre claims of sex abuse unbecoming from a child. Exposed to porn?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The child then dragged Steph into her transphobic accusations. The child claimed Steph posed with her as if she, the young child, was stabbing Steph in the chest with a butter knife. She claimed this was to scare her from talking to police, that we would say she was the aggressor. Unbelievable? Not if you already believe trans people are subhuman.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Child testimonies back then were often coached. Trans people were easily vilified. Since no corroborating evidence was necessary back then to convict for sexual misconduct, both transwomen were wrongly convicted and sentenced to long terms in men’s prisons, where Steph’s transgender sibling and codefendant died in 2001.</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 </a:t>
          </a:r>
          <a:endParaRPr lang="en-US" sz="900"/>
        </a:p>
      </xdr:txBody>
    </xdr:sp>
    <xdr:clientData/>
  </xdr:twoCellAnchor>
  <xdr:twoCellAnchor>
    <xdr:from>
      <xdr:col>34</xdr:col>
      <xdr:colOff>163830</xdr:colOff>
      <xdr:row>870</xdr:row>
      <xdr:rowOff>4259580</xdr:rowOff>
    </xdr:from>
    <xdr:to>
      <xdr:col>53</xdr:col>
      <xdr:colOff>367665</xdr:colOff>
      <xdr:row>870</xdr:row>
      <xdr:rowOff>4558665</xdr:rowOff>
    </xdr:to>
    <xdr:sp macro="" textlink="">
      <xdr:nvSpPr>
        <xdr:cNvPr id="130" name="Rectangle: Beveled 129">
          <a:extLst>
            <a:ext uri="{FF2B5EF4-FFF2-40B4-BE49-F238E27FC236}">
              <a16:creationId xmlns:a16="http://schemas.microsoft.com/office/drawing/2014/main" id="{C6C8156D-3C7A-4BD6-86E2-7B272DA51761}"/>
            </a:ext>
          </a:extLst>
        </xdr:cNvPr>
        <xdr:cNvSpPr/>
      </xdr:nvSpPr>
      <xdr:spPr>
        <a:xfrm>
          <a:off x="18341340" y="294924480"/>
          <a:ext cx="0" cy="299085"/>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124370</xdr:colOff>
      <xdr:row>879</xdr:row>
      <xdr:rowOff>65586</xdr:rowOff>
    </xdr:from>
    <xdr:to>
      <xdr:col>53</xdr:col>
      <xdr:colOff>178798</xdr:colOff>
      <xdr:row>881</xdr:row>
      <xdr:rowOff>276225</xdr:rowOff>
    </xdr:to>
    <xdr:sp macro="" textlink="">
      <xdr:nvSpPr>
        <xdr:cNvPr id="131" name="Rectangle: Rounded Corners 130">
          <a:extLst>
            <a:ext uri="{FF2B5EF4-FFF2-40B4-BE49-F238E27FC236}">
              <a16:creationId xmlns:a16="http://schemas.microsoft.com/office/drawing/2014/main" id="{412B89F7-6706-48D1-809A-E373503E2C11}"/>
            </a:ext>
          </a:extLst>
        </xdr:cNvPr>
        <xdr:cNvSpPr/>
      </xdr:nvSpPr>
      <xdr:spPr>
        <a:xfrm>
          <a:off x="18341340" y="297154146"/>
          <a:ext cx="0" cy="231594"/>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here</a:t>
          </a:r>
        </a:p>
      </xdr:txBody>
    </xdr:sp>
    <xdr:clientData/>
  </xdr:twoCellAnchor>
  <xdr:twoCellAnchor>
    <xdr:from>
      <xdr:col>30</xdr:col>
      <xdr:colOff>124370</xdr:colOff>
      <xdr:row>876</xdr:row>
      <xdr:rowOff>137976</xdr:rowOff>
    </xdr:from>
    <xdr:to>
      <xdr:col>53</xdr:col>
      <xdr:colOff>178798</xdr:colOff>
      <xdr:row>879</xdr:row>
      <xdr:rowOff>64770</xdr:rowOff>
    </xdr:to>
    <xdr:sp macro="" textlink="">
      <xdr:nvSpPr>
        <xdr:cNvPr id="132" name="Rectangle: Rounded Corners 131">
          <a:extLst>
            <a:ext uri="{FF2B5EF4-FFF2-40B4-BE49-F238E27FC236}">
              <a16:creationId xmlns:a16="http://schemas.microsoft.com/office/drawing/2014/main" id="{EFC97AA4-04DC-43C9-8A66-CE2523E4C786}"/>
            </a:ext>
          </a:extLst>
        </xdr:cNvPr>
        <xdr:cNvSpPr/>
      </xdr:nvSpPr>
      <xdr:spPr>
        <a:xfrm>
          <a:off x="18341340" y="296639796"/>
          <a:ext cx="0" cy="513534"/>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here</a:t>
          </a:r>
        </a:p>
      </xdr:txBody>
    </xdr:sp>
    <xdr:clientData/>
  </xdr:twoCellAnchor>
  <xdr:twoCellAnchor>
    <xdr:from>
      <xdr:col>0</xdr:col>
      <xdr:colOff>7620</xdr:colOff>
      <xdr:row>27</xdr:row>
      <xdr:rowOff>144780</xdr:rowOff>
    </xdr:from>
    <xdr:to>
      <xdr:col>1</xdr:col>
      <xdr:colOff>15240</xdr:colOff>
      <xdr:row>27</xdr:row>
      <xdr:rowOff>441960</xdr:rowOff>
    </xdr:to>
    <xdr:sp macro="" textlink="">
      <xdr:nvSpPr>
        <xdr:cNvPr id="133" name="Arrow: Down 132">
          <a:hlinkClick xmlns:r="http://schemas.openxmlformats.org/officeDocument/2006/relationships" r:id="rId31" tooltip="FLIPSIDE entry"/>
          <a:extLst>
            <a:ext uri="{FF2B5EF4-FFF2-40B4-BE49-F238E27FC236}">
              <a16:creationId xmlns:a16="http://schemas.microsoft.com/office/drawing/2014/main" id="{E0CD9A75-63DB-42CC-9D20-99D0B4DDAC3D}"/>
            </a:ext>
          </a:extLst>
        </xdr:cNvPr>
        <xdr:cNvSpPr/>
      </xdr:nvSpPr>
      <xdr:spPr>
        <a:xfrm>
          <a:off x="7620" y="733806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247650</xdr:colOff>
      <xdr:row>35</xdr:row>
      <xdr:rowOff>85725</xdr:rowOff>
    </xdr:from>
    <xdr:to>
      <xdr:col>3</xdr:col>
      <xdr:colOff>1933575</xdr:colOff>
      <xdr:row>41</xdr:row>
      <xdr:rowOff>206253</xdr:rowOff>
    </xdr:to>
    <xdr:sp macro="" textlink="">
      <xdr:nvSpPr>
        <xdr:cNvPr id="134" name="Text Box 4">
          <a:extLst>
            <a:ext uri="{FF2B5EF4-FFF2-40B4-BE49-F238E27FC236}">
              <a16:creationId xmlns:a16="http://schemas.microsoft.com/office/drawing/2014/main" id="{50CE217C-2765-4E4D-AAED-EF52BBDA5710}"/>
            </a:ext>
          </a:extLst>
        </xdr:cNvPr>
        <xdr:cNvSpPr txBox="1"/>
      </xdr:nvSpPr>
      <xdr:spPr>
        <a:xfrm rot="21480000">
          <a:off x="247650" y="14403705"/>
          <a:ext cx="5480685" cy="2200788"/>
        </a:xfrm>
        <a:prstGeom prst="rect">
          <a:avLst/>
        </a:prstGeom>
        <a:solidFill>
          <a:srgbClr val="FF85FF"/>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2400"/>
            </a:lnSpc>
            <a:spcBef>
              <a:spcPts val="0"/>
            </a:spcBef>
            <a:spcAft>
              <a:spcPts val="0"/>
            </a:spcAft>
            <a:tabLst>
              <a:tab pos="3200400" algn="r"/>
            </a:tabLst>
          </a:pP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t>
          </a: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We know without doubt </a:t>
          </a:r>
          <a:b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that the vast majority of </a:t>
          </a:r>
          <a:b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2000" b="1" u="none" strike="noStrike">
              <a:ln w="3175" cap="rnd" cmpd="sng" algn="ctr">
                <a:solidFill>
                  <a:srgbClr val="7030A0"/>
                </a:solidFill>
                <a:prstDash val="solid"/>
                <a:bevel/>
              </a:ln>
              <a:solidFill>
                <a:srgbClr val="FFFF00"/>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innocent defendants</a:t>
          </a:r>
          <a:r>
            <a:rPr lang="en-US" sz="2000" b="1" u="none" strike="noStrike">
              <a:ln w="3175" cap="rnd" cmpd="sng" algn="ctr">
                <a:solidFill>
                  <a:srgbClr val="7030A0"/>
                </a:solidFill>
                <a:prstDash val="solid"/>
                <a:bevel/>
              </a:ln>
              <a:solidFill>
                <a:srgbClr val="70AD47"/>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70AD47"/>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who are </a:t>
          </a:r>
          <a:r>
            <a:rPr lang="en-US" sz="1600" b="1" u="none" strike="noStrike">
              <a:ln w="3175" cap="rnd" cmpd="sng" algn="ctr">
                <a:solidFill>
                  <a:srgbClr val="7030A0"/>
                </a:solidFill>
                <a:prstDash val="solid"/>
                <a:bevel/>
              </a:ln>
              <a:solidFill>
                <a:schemeClr val="tx1"/>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convicted</a:t>
          </a: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of crimes</a:t>
          </a:r>
          <a:r>
            <a:rPr lang="en-US" sz="1600" b="1" u="none" strike="noStrike">
              <a:ln w="3175" cap="rnd" cmpd="sng" algn="ctr">
                <a:solidFill>
                  <a:srgbClr val="7030A0"/>
                </a:solidFill>
                <a:prstDash val="solid"/>
                <a:bevel/>
              </a:ln>
              <a:solidFill>
                <a:srgbClr val="B9FFD9"/>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B9FFD9"/>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800" b="1" u="none" strike="noStrike">
              <a:ln w="3175" cap="rnd" cmpd="sng" algn="ctr">
                <a:solidFill>
                  <a:srgbClr val="7030A0"/>
                </a:solidFill>
                <a:prstDash val="solid"/>
                <a:bevel/>
              </a:ln>
              <a:solidFill>
                <a:srgbClr val="FF7C80"/>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are never identified and cleared</a:t>
          </a: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outerShdw blurRad="50800" dist="38100" dir="2700000" algn="tl" rotWithShape="0">
                <a:prstClr val="black">
                  <a:alpha val="40000"/>
                </a:prstClr>
              </a:outerShdw>
            </a:effectLst>
            <a:latin typeface="Georgia" panose="02040502050405020303" pitchFamily="18" charset="0"/>
            <a:ea typeface="Calibri" panose="020F0502020204030204" pitchFamily="34" charset="0"/>
            <a:cs typeface="Times New Roman" panose="02020603050405020304" pitchFamily="18" charset="0"/>
          </a:endParaRPr>
        </a:p>
        <a:p>
          <a:pPr marL="685800" marR="349250" indent="-228600" algn="ctr">
            <a:lnSpc>
              <a:spcPts val="1400"/>
            </a:lnSpc>
            <a:spcBef>
              <a:spcPts val="600"/>
            </a:spcBef>
            <a:spcAft>
              <a:spcPts val="0"/>
            </a:spcAft>
            <a:tabLst>
              <a:tab pos="3200400" algn="r"/>
            </a:tabLst>
          </a:pPr>
          <a:r>
            <a:rPr lang="en-US" sz="1050">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Samuel R. Gross, </a:t>
          </a:r>
          <a:r>
            <a:rPr lang="en-US" sz="1050" i="1">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NRE</a:t>
          </a:r>
          <a:endParaRPr lang="en-US" sz="105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1493520</xdr:colOff>
      <xdr:row>1191</xdr:row>
      <xdr:rowOff>68579</xdr:rowOff>
    </xdr:from>
    <xdr:to>
      <xdr:col>3</xdr:col>
      <xdr:colOff>1783080</xdr:colOff>
      <xdr:row>1193</xdr:row>
      <xdr:rowOff>175259</xdr:rowOff>
    </xdr:to>
    <xdr:sp macro="" textlink="">
      <xdr:nvSpPr>
        <xdr:cNvPr id="135" name="Rectangle: Beveled 134">
          <a:extLst>
            <a:ext uri="{FF2B5EF4-FFF2-40B4-BE49-F238E27FC236}">
              <a16:creationId xmlns:a16="http://schemas.microsoft.com/office/drawing/2014/main" id="{5C499575-5F32-4263-9C25-C132AAFC6D37}"/>
            </a:ext>
          </a:extLst>
        </xdr:cNvPr>
        <xdr:cNvSpPr/>
      </xdr:nvSpPr>
      <xdr:spPr>
        <a:xfrm>
          <a:off x="2834640" y="305874420"/>
          <a:ext cx="2743200" cy="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LEARN MORE...</a:t>
          </a:r>
        </a:p>
      </xdr:txBody>
    </xdr:sp>
    <xdr:clientData/>
  </xdr:twoCellAnchor>
  <xdr:twoCellAnchor>
    <xdr:from>
      <xdr:col>35</xdr:col>
      <xdr:colOff>116953</xdr:colOff>
      <xdr:row>874</xdr:row>
      <xdr:rowOff>101194</xdr:rowOff>
    </xdr:from>
    <xdr:to>
      <xdr:col>57</xdr:col>
      <xdr:colOff>291396</xdr:colOff>
      <xdr:row>877</xdr:row>
      <xdr:rowOff>106927</xdr:rowOff>
    </xdr:to>
    <xdr:sp macro="" textlink="">
      <xdr:nvSpPr>
        <xdr:cNvPr id="136" name="Rectangle: Rounded Corners 135">
          <a:extLst>
            <a:ext uri="{FF2B5EF4-FFF2-40B4-BE49-F238E27FC236}">
              <a16:creationId xmlns:a16="http://schemas.microsoft.com/office/drawing/2014/main" id="{A0451977-651E-40C6-B356-2B511EE71916}"/>
            </a:ext>
          </a:extLst>
        </xdr:cNvPr>
        <xdr:cNvSpPr/>
      </xdr:nvSpPr>
      <xdr:spPr>
        <a:xfrm>
          <a:off x="18341340" y="296252494"/>
          <a:ext cx="0" cy="531513"/>
        </a:xfrm>
        <a:prstGeom prst="roundRect">
          <a:avLst>
            <a:gd name="adj" fmla="val 5176"/>
          </a:avLst>
        </a:prstGeom>
        <a:solidFill>
          <a:srgbClr val="FFFF00">
            <a:alpha val="74902"/>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3600" b="1">
              <a:solidFill>
                <a:srgbClr val="00B050"/>
              </a:solidFill>
              <a:effectLst>
                <a:outerShdw blurRad="50800" dist="38100" dir="2700000" algn="tl" rotWithShape="0">
                  <a:prstClr val="black">
                    <a:alpha val="40000"/>
                  </a:prstClr>
                </a:outerShdw>
              </a:effectLst>
            </a:rPr>
            <a:t>UNDER CONSTRUCTION</a:t>
          </a:r>
        </a:p>
      </xdr:txBody>
    </xdr:sp>
    <xdr:clientData/>
  </xdr:twoCellAnchor>
  <xdr:twoCellAnchor>
    <xdr:from>
      <xdr:col>51</xdr:col>
      <xdr:colOff>7620</xdr:colOff>
      <xdr:row>97</xdr:row>
      <xdr:rowOff>160020</xdr:rowOff>
    </xdr:from>
    <xdr:to>
      <xdr:col>58</xdr:col>
      <xdr:colOff>342900</xdr:colOff>
      <xdr:row>122</xdr:row>
      <xdr:rowOff>121920</xdr:rowOff>
    </xdr:to>
    <xdr:sp macro="" textlink="">
      <xdr:nvSpPr>
        <xdr:cNvPr id="137" name="Rectangle: Rounded Corners 136">
          <a:extLst>
            <a:ext uri="{FF2B5EF4-FFF2-40B4-BE49-F238E27FC236}">
              <a16:creationId xmlns:a16="http://schemas.microsoft.com/office/drawing/2014/main" id="{CB470C3D-7EFB-4577-B8C7-E5263F633055}"/>
            </a:ext>
          </a:extLst>
        </xdr:cNvPr>
        <xdr:cNvSpPr/>
      </xdr:nvSpPr>
      <xdr:spPr>
        <a:xfrm>
          <a:off x="24620220" y="32110680"/>
          <a:ext cx="2286000" cy="5288280"/>
        </a:xfrm>
        <a:prstGeom prst="roundRect">
          <a:avLst>
            <a:gd name="adj" fmla="val 5176"/>
          </a:avLst>
        </a:prstGeom>
        <a:solidFill>
          <a:srgbClr val="ED65AC">
            <a:alpha val="90980"/>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a:solidFill>
                <a:srgbClr val="00B050"/>
              </a:solidFill>
            </a:rPr>
            <a:t>A</a:t>
          </a:r>
          <a:r>
            <a:rPr lang="en-US" sz="1600" baseline="0">
              <a:solidFill>
                <a:srgbClr val="00B050"/>
              </a:solidFill>
            </a:rPr>
            <a:t> 	A149:F295</a:t>
          </a:r>
        </a:p>
        <a:p>
          <a:pPr algn="l"/>
          <a:r>
            <a:rPr lang="en-US" sz="1600" baseline="0">
              <a:solidFill>
                <a:srgbClr val="00B050"/>
              </a:solidFill>
            </a:rPr>
            <a:t>B 	A296:F461</a:t>
          </a:r>
        </a:p>
        <a:p>
          <a:pPr algn="l"/>
          <a:r>
            <a:rPr lang="en-US" sz="1600" baseline="0">
              <a:solidFill>
                <a:srgbClr val="00B050"/>
              </a:solidFill>
            </a:rPr>
            <a:t>C1	A462:F496</a:t>
          </a:r>
        </a:p>
        <a:p>
          <a:pPr algn="l"/>
          <a:r>
            <a:rPr lang="en-US" sz="1600" baseline="0">
              <a:solidFill>
                <a:srgbClr val="00B050"/>
              </a:solidFill>
            </a:rPr>
            <a:t>C2	A497:F530</a:t>
          </a:r>
        </a:p>
        <a:p>
          <a:pPr algn="l"/>
          <a:r>
            <a:rPr lang="en-US" sz="1600" baseline="0">
              <a:solidFill>
                <a:srgbClr val="00B050"/>
              </a:solidFill>
            </a:rPr>
            <a:t>C3	A531:F564</a:t>
          </a:r>
        </a:p>
        <a:p>
          <a:pPr algn="l"/>
          <a:r>
            <a:rPr lang="en-US" sz="1600" baseline="0">
              <a:solidFill>
                <a:srgbClr val="00B050"/>
              </a:solidFill>
            </a:rPr>
            <a:t>C4	A565:F598</a:t>
          </a:r>
        </a:p>
        <a:p>
          <a:pPr algn="l"/>
          <a:r>
            <a:rPr lang="en-US" sz="1600" baseline="0">
              <a:solidFill>
                <a:srgbClr val="00B050"/>
              </a:solidFill>
            </a:rPr>
            <a:t>C5	A599:F641</a:t>
          </a:r>
        </a:p>
        <a:p>
          <a:pPr algn="l"/>
          <a:r>
            <a:rPr lang="en-US" sz="1600" baseline="0">
              <a:solidFill>
                <a:srgbClr val="00B050"/>
              </a:solidFill>
            </a:rPr>
            <a:t>C6	A642:F680</a:t>
          </a:r>
        </a:p>
        <a:p>
          <a:pPr algn="l"/>
          <a:r>
            <a:rPr lang="en-US" sz="1600" baseline="0">
              <a:solidFill>
                <a:srgbClr val="00B050"/>
              </a:solidFill>
            </a:rPr>
            <a:t>C7	A681:F690</a:t>
          </a:r>
        </a:p>
        <a:p>
          <a:pPr algn="l"/>
          <a:r>
            <a:rPr lang="en-US" sz="1600" baseline="0">
              <a:solidFill>
                <a:srgbClr val="00B050"/>
              </a:solidFill>
            </a:rPr>
            <a:t>C8	A691:F718</a:t>
          </a:r>
        </a:p>
        <a:p>
          <a:pPr algn="l"/>
          <a:r>
            <a:rPr lang="en-US" sz="1600">
              <a:solidFill>
                <a:srgbClr val="00B050"/>
              </a:solidFill>
            </a:rPr>
            <a:t>D	A719:F747</a:t>
          </a:r>
        </a:p>
        <a:p>
          <a:pPr algn="l"/>
          <a:r>
            <a:rPr lang="en-US" sz="1600">
              <a:solidFill>
                <a:srgbClr val="00B050"/>
              </a:solidFill>
            </a:rPr>
            <a:t>E	A748:F824</a:t>
          </a:r>
        </a:p>
        <a:p>
          <a:pPr algn="l"/>
          <a:r>
            <a:rPr lang="en-US" sz="1600">
              <a:solidFill>
                <a:srgbClr val="00B050"/>
              </a:solidFill>
            </a:rPr>
            <a:t>F	A825:F867</a:t>
          </a:r>
        </a:p>
        <a:p>
          <a:pPr algn="l"/>
          <a:r>
            <a:rPr lang="en-US" sz="1600">
              <a:solidFill>
                <a:srgbClr val="00B050"/>
              </a:solidFill>
            </a:rPr>
            <a:t>G	A868:F1047</a:t>
          </a:r>
        </a:p>
        <a:p>
          <a:pPr algn="l"/>
          <a:r>
            <a:rPr lang="en-US" sz="1600">
              <a:solidFill>
                <a:srgbClr val="00B050"/>
              </a:solidFill>
            </a:rPr>
            <a:t>H	A1048:F1089</a:t>
          </a:r>
        </a:p>
        <a:p>
          <a:pPr algn="l"/>
          <a:r>
            <a:rPr lang="en-US" sz="1600">
              <a:solidFill>
                <a:srgbClr val="00B050"/>
              </a:solidFill>
            </a:rPr>
            <a:t>I	A1090:F1181</a:t>
          </a:r>
        </a:p>
        <a:p>
          <a:pPr algn="l"/>
          <a:r>
            <a:rPr lang="en-US" sz="1600">
              <a:solidFill>
                <a:srgbClr val="00B050"/>
              </a:solidFill>
            </a:rPr>
            <a:t>J	A1182:F1461</a:t>
          </a:r>
        </a:p>
        <a:p>
          <a:pPr algn="l"/>
          <a:r>
            <a:rPr lang="en-US" sz="1600">
              <a:solidFill>
                <a:srgbClr val="00B050"/>
              </a:solidFill>
            </a:rPr>
            <a:t>K	A1462:F1535</a:t>
          </a:r>
        </a:p>
        <a:p>
          <a:pPr algn="l"/>
          <a:r>
            <a:rPr lang="en-US" sz="1600">
              <a:solidFill>
                <a:srgbClr val="00B050"/>
              </a:solidFill>
            </a:rPr>
            <a:t>L	A1536:F1582</a:t>
          </a:r>
        </a:p>
        <a:p>
          <a:pPr algn="l"/>
          <a:r>
            <a:rPr lang="en-US" sz="1600">
              <a:solidFill>
                <a:srgbClr val="00B050"/>
              </a:solidFill>
            </a:rPr>
            <a:t>M	A1583:F1629</a:t>
          </a:r>
        </a:p>
      </xdr:txBody>
    </xdr:sp>
    <xdr:clientData/>
  </xdr:twoCellAnchor>
  <xdr:twoCellAnchor>
    <xdr:from>
      <xdr:col>0</xdr:col>
      <xdr:colOff>0</xdr:colOff>
      <xdr:row>847</xdr:row>
      <xdr:rowOff>426720</xdr:rowOff>
    </xdr:from>
    <xdr:to>
      <xdr:col>1</xdr:col>
      <xdr:colOff>15240</xdr:colOff>
      <xdr:row>850</xdr:row>
      <xdr:rowOff>167640</xdr:rowOff>
    </xdr:to>
    <xdr:sp macro="" textlink="">
      <xdr:nvSpPr>
        <xdr:cNvPr id="138" name="Arrow: Up 137">
          <a:hlinkClick xmlns:r="http://schemas.openxmlformats.org/officeDocument/2006/relationships" r:id="rId32" tooltip="HIGHLIGHTS displayed above"/>
          <a:extLst>
            <a:ext uri="{FF2B5EF4-FFF2-40B4-BE49-F238E27FC236}">
              <a16:creationId xmlns:a16="http://schemas.microsoft.com/office/drawing/2014/main" id="{EE9AAD4D-D439-4834-A7FB-BD3824AAB2AD}"/>
            </a:ext>
          </a:extLst>
        </xdr:cNvPr>
        <xdr:cNvSpPr/>
      </xdr:nvSpPr>
      <xdr:spPr>
        <a:xfrm>
          <a:off x="0" y="28404312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7620</xdr:colOff>
      <xdr:row>15</xdr:row>
      <xdr:rowOff>30480</xdr:rowOff>
    </xdr:from>
    <xdr:to>
      <xdr:col>1</xdr:col>
      <xdr:colOff>15240</xdr:colOff>
      <xdr:row>16</xdr:row>
      <xdr:rowOff>121920</xdr:rowOff>
    </xdr:to>
    <xdr:sp macro="" textlink="">
      <xdr:nvSpPr>
        <xdr:cNvPr id="139" name="Arrow: Down 138">
          <a:hlinkClick xmlns:r="http://schemas.openxmlformats.org/officeDocument/2006/relationships" r:id="rId33" tooltip="HIGHLIGHTS entry"/>
          <a:extLst>
            <a:ext uri="{FF2B5EF4-FFF2-40B4-BE49-F238E27FC236}">
              <a16:creationId xmlns:a16="http://schemas.microsoft.com/office/drawing/2014/main" id="{F9538F4E-03DB-4BCB-BCDC-1DB856CA0719}"/>
            </a:ext>
          </a:extLst>
        </xdr:cNvPr>
        <xdr:cNvSpPr/>
      </xdr:nvSpPr>
      <xdr:spPr>
        <a:xfrm>
          <a:off x="7620" y="435102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844</xdr:row>
      <xdr:rowOff>7620</xdr:rowOff>
    </xdr:from>
    <xdr:to>
      <xdr:col>1</xdr:col>
      <xdr:colOff>15240</xdr:colOff>
      <xdr:row>844</xdr:row>
      <xdr:rowOff>693420</xdr:rowOff>
    </xdr:to>
    <xdr:sp macro="" textlink="">
      <xdr:nvSpPr>
        <xdr:cNvPr id="140" name="Arrow: Up 139">
          <a:hlinkClick xmlns:r="http://schemas.openxmlformats.org/officeDocument/2006/relationships" r:id="rId34" tooltip="SYNOPSIS displayed above"/>
          <a:extLst>
            <a:ext uri="{FF2B5EF4-FFF2-40B4-BE49-F238E27FC236}">
              <a16:creationId xmlns:a16="http://schemas.microsoft.com/office/drawing/2014/main" id="{C5894863-8E67-466B-B9D7-CD91A0786834}"/>
            </a:ext>
          </a:extLst>
        </xdr:cNvPr>
        <xdr:cNvSpPr/>
      </xdr:nvSpPr>
      <xdr:spPr>
        <a:xfrm>
          <a:off x="0" y="28235148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editAs="oneCell">
    <xdr:from>
      <xdr:col>3</xdr:col>
      <xdr:colOff>518813</xdr:colOff>
      <xdr:row>129</xdr:row>
      <xdr:rowOff>27265</xdr:rowOff>
    </xdr:from>
    <xdr:to>
      <xdr:col>3</xdr:col>
      <xdr:colOff>1890413</xdr:colOff>
      <xdr:row>137</xdr:row>
      <xdr:rowOff>179014</xdr:rowOff>
    </xdr:to>
    <xdr:pic>
      <xdr:nvPicPr>
        <xdr:cNvPr id="142" name="Picture 141">
          <a:hlinkClick xmlns:r="http://schemas.openxmlformats.org/officeDocument/2006/relationships" r:id="rId35" tooltip="PDF online about collateral consequences of criminal convictions"/>
          <a:extLst>
            <a:ext uri="{FF2B5EF4-FFF2-40B4-BE49-F238E27FC236}">
              <a16:creationId xmlns:a16="http://schemas.microsoft.com/office/drawing/2014/main" id="{155DD6AD-F2C8-4A7F-9147-0BAE2D9C207D}"/>
            </a:ext>
          </a:extLst>
        </xdr:cNvPr>
        <xdr:cNvPicPr>
          <a:picLocks noChangeAspect="1"/>
        </xdr:cNvPicPr>
      </xdr:nvPicPr>
      <xdr:blipFill rotWithShape="1">
        <a:blip xmlns:r="http://schemas.openxmlformats.org/officeDocument/2006/relationships" r:embed="rId36"/>
        <a:srcRect l="25795" t="14594" r="38951" b="4655"/>
        <a:stretch/>
      </xdr:blipFill>
      <xdr:spPr>
        <a:xfrm rot="330951">
          <a:off x="4313573" y="38691145"/>
          <a:ext cx="1371600" cy="176718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76201</xdr:colOff>
      <xdr:row>1191</xdr:row>
      <xdr:rowOff>22860</xdr:rowOff>
    </xdr:from>
    <xdr:to>
      <xdr:col>3</xdr:col>
      <xdr:colOff>1828801</xdr:colOff>
      <xdr:row>1193</xdr:row>
      <xdr:rowOff>174444</xdr:rowOff>
    </xdr:to>
    <xdr:sp macro="" textlink="">
      <xdr:nvSpPr>
        <xdr:cNvPr id="143" name="Rectangle: Rounded Corners 142">
          <a:extLst>
            <a:ext uri="{FF2B5EF4-FFF2-40B4-BE49-F238E27FC236}">
              <a16:creationId xmlns:a16="http://schemas.microsoft.com/office/drawing/2014/main" id="{3DDBB4B0-86C3-4A6D-9D35-4DD0B400D6D3}"/>
            </a:ext>
          </a:extLst>
        </xdr:cNvPr>
        <xdr:cNvSpPr/>
      </xdr:nvSpPr>
      <xdr:spPr>
        <a:xfrm>
          <a:off x="335281" y="305874420"/>
          <a:ext cx="528828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2000">
              <a:solidFill>
                <a:srgbClr val="00B050"/>
              </a:solidFill>
              <a:effectLst>
                <a:outerShdw blurRad="50800" dist="38100" dir="2700000" algn="tl" rotWithShape="0">
                  <a:prstClr val="black">
                    <a:alpha val="40000"/>
                  </a:prstClr>
                </a:outerShdw>
              </a:effectLst>
            </a:rPr>
            <a:t>UNDER CONSTRUCTION</a:t>
          </a:r>
        </a:p>
      </xdr:txBody>
    </xdr:sp>
    <xdr:clientData/>
  </xdr:twoCellAnchor>
  <xdr:twoCellAnchor>
    <xdr:from>
      <xdr:col>1</xdr:col>
      <xdr:colOff>30480</xdr:colOff>
      <xdr:row>1198</xdr:row>
      <xdr:rowOff>510540</xdr:rowOff>
    </xdr:from>
    <xdr:to>
      <xdr:col>1</xdr:col>
      <xdr:colOff>716280</xdr:colOff>
      <xdr:row>1200</xdr:row>
      <xdr:rowOff>53340</xdr:rowOff>
    </xdr:to>
    <xdr:sp macro="" textlink="">
      <xdr:nvSpPr>
        <xdr:cNvPr id="145" name="Callout: Down Arrow 144">
          <a:hlinkClick xmlns:r="http://schemas.openxmlformats.org/officeDocument/2006/relationships" r:id="rId37" tooltip="CLICK on each &quot;Supporter #&quot; to go to that supporter tab"/>
          <a:extLst>
            <a:ext uri="{FF2B5EF4-FFF2-40B4-BE49-F238E27FC236}">
              <a16:creationId xmlns:a16="http://schemas.microsoft.com/office/drawing/2014/main" id="{9D6CE3D4-B160-4D28-977D-1B06ED4BBAFB}"/>
            </a:ext>
          </a:extLst>
        </xdr:cNvPr>
        <xdr:cNvSpPr/>
      </xdr:nvSpPr>
      <xdr:spPr>
        <a:xfrm>
          <a:off x="289560" y="305874420"/>
          <a:ext cx="685800" cy="0"/>
        </a:xfrm>
        <a:prstGeom prst="downArrowCallout">
          <a:avLst>
            <a:gd name="adj1" fmla="val 15909"/>
            <a:gd name="adj2" fmla="val 25000"/>
            <a:gd name="adj3" fmla="val 25000"/>
            <a:gd name="adj4" fmla="val 64977"/>
          </a:avLst>
        </a:prstGeom>
        <a:solidFill>
          <a:schemeClr val="accent6">
            <a:alpha val="50000"/>
          </a:schemeClr>
        </a:solidFill>
        <a:ln>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050" b="1"/>
            <a:t>CLICK</a:t>
          </a:r>
          <a:r>
            <a:rPr lang="en-US" sz="1050" b="1" baseline="0"/>
            <a:t> to go to tab</a:t>
          </a:r>
          <a:endParaRPr lang="en-US" sz="1050" b="1"/>
        </a:p>
      </xdr:txBody>
    </xdr:sp>
    <xdr:clientData/>
  </xdr:twoCellAnchor>
  <xdr:twoCellAnchor>
    <xdr:from>
      <xdr:col>26</xdr:col>
      <xdr:colOff>251460</xdr:colOff>
      <xdr:row>154</xdr:row>
      <xdr:rowOff>91441</xdr:rowOff>
    </xdr:from>
    <xdr:to>
      <xdr:col>31</xdr:col>
      <xdr:colOff>50076</xdr:colOff>
      <xdr:row>168</xdr:row>
      <xdr:rowOff>53341</xdr:rowOff>
    </xdr:to>
    <xdr:sp macro="" textlink="">
      <xdr:nvSpPr>
        <xdr:cNvPr id="146" name="Rectangle: Rounded Corners 145">
          <a:extLst>
            <a:ext uri="{FF2B5EF4-FFF2-40B4-BE49-F238E27FC236}">
              <a16:creationId xmlns:a16="http://schemas.microsoft.com/office/drawing/2014/main" id="{DFC00A98-0B5E-4FB5-B6EE-C9F8299483F4}"/>
            </a:ext>
          </a:extLst>
        </xdr:cNvPr>
        <xdr:cNvSpPr/>
      </xdr:nvSpPr>
      <xdr:spPr>
        <a:xfrm>
          <a:off x="18341340" y="43906441"/>
          <a:ext cx="0" cy="293370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add to scoring calc, perhaps baseline prior to documentation boost</a:t>
          </a:r>
        </a:p>
      </xdr:txBody>
    </xdr:sp>
    <xdr:clientData/>
  </xdr:twoCellAnchor>
  <xdr:twoCellAnchor editAs="oneCell">
    <xdr:from>
      <xdr:col>3</xdr:col>
      <xdr:colOff>76200</xdr:colOff>
      <xdr:row>2</xdr:row>
      <xdr:rowOff>53340</xdr:rowOff>
    </xdr:from>
    <xdr:to>
      <xdr:col>3</xdr:col>
      <xdr:colOff>1905000</xdr:colOff>
      <xdr:row>10</xdr:row>
      <xdr:rowOff>152400</xdr:rowOff>
    </xdr:to>
    <xdr:pic>
      <xdr:nvPicPr>
        <xdr:cNvPr id="147" name="Picture 146">
          <a:extLst>
            <a:ext uri="{FF2B5EF4-FFF2-40B4-BE49-F238E27FC236}">
              <a16:creationId xmlns:a16="http://schemas.microsoft.com/office/drawing/2014/main" id="{71B251FC-A901-4542-998E-0C44EEB1CFA9}"/>
            </a:ext>
          </a:extLst>
        </xdr:cNvPr>
        <xdr:cNvPicPr>
          <a:picLocks noChangeAspect="1"/>
        </xdr:cNvPicPr>
      </xdr:nvPicPr>
      <xdr:blipFill rotWithShape="1">
        <a:blip xmlns:r="http://schemas.openxmlformats.org/officeDocument/2006/relationships" r:embed="rId38" cstate="hqprint">
          <a:extLst>
            <a:ext uri="{28A0092B-C50C-407E-A947-70E740481C1C}">
              <a14:useLocalDpi xmlns:a14="http://schemas.microsoft.com/office/drawing/2010/main"/>
            </a:ext>
          </a:extLst>
        </a:blip>
        <a:srcRect/>
        <a:stretch/>
      </xdr:blipFill>
      <xdr:spPr>
        <a:xfrm>
          <a:off x="3870960" y="807720"/>
          <a:ext cx="1828800" cy="1828800"/>
        </a:xfrm>
        <a:prstGeom prst="rect">
          <a:avLst/>
        </a:prstGeom>
        <a:ln>
          <a:solidFill>
            <a:srgbClr val="B9FFD9"/>
          </a:solidFill>
        </a:ln>
      </xdr:spPr>
    </xdr:pic>
    <xdr:clientData/>
  </xdr:twoCellAnchor>
  <xdr:twoCellAnchor>
    <xdr:from>
      <xdr:col>28</xdr:col>
      <xdr:colOff>0</xdr:colOff>
      <xdr:row>2120</xdr:row>
      <xdr:rowOff>0</xdr:rowOff>
    </xdr:from>
    <xdr:to>
      <xdr:col>49</xdr:col>
      <xdr:colOff>213360</xdr:colOff>
      <xdr:row>2142</xdr:row>
      <xdr:rowOff>91440</xdr:rowOff>
    </xdr:to>
    <xdr:sp macro="" textlink="">
      <xdr:nvSpPr>
        <xdr:cNvPr id="148" name="TextBox 147">
          <a:extLst>
            <a:ext uri="{FF2B5EF4-FFF2-40B4-BE49-F238E27FC236}">
              <a16:creationId xmlns:a16="http://schemas.microsoft.com/office/drawing/2014/main" id="{4084983D-9894-43F4-983B-39D84CB177C6}"/>
            </a:ext>
          </a:extLst>
        </xdr:cNvPr>
        <xdr:cNvSpPr txBox="1"/>
      </xdr:nvSpPr>
      <xdr:spPr>
        <a:xfrm>
          <a:off x="18341340" y="3401491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Central to this </a:t>
          </a:r>
          <a:r>
            <a:rPr lang="en-US" sz="1100" i="1">
              <a:solidFill>
                <a:schemeClr val="dk1"/>
              </a:solidFill>
              <a:effectLst/>
              <a:latin typeface="+mn-lt"/>
              <a:ea typeface="+mn-ea"/>
              <a:cs typeface="+mn-cs"/>
            </a:rPr>
            <a:t>competitive legitimacy</a:t>
          </a:r>
          <a:r>
            <a:rPr lang="en-US" sz="1100">
              <a:solidFill>
                <a:schemeClr val="dk1"/>
              </a:solidFill>
              <a:effectLst/>
              <a:latin typeface="+mn-lt"/>
              <a:ea typeface="+mn-ea"/>
              <a:cs typeface="+mn-cs"/>
            </a:rPr>
            <a:t> approach is the question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the adversarial justice system can be trusted to correct its own history of errors, </a:t>
          </a:r>
        </a:p>
        <a:p>
          <a:r>
            <a:rPr lang="en-US" sz="1100">
              <a:solidFill>
                <a:schemeClr val="dk1"/>
              </a:solidFill>
              <a:effectLst/>
              <a:latin typeface="+mn-lt"/>
              <a:ea typeface="+mn-ea"/>
              <a:cs typeface="+mn-cs"/>
            </a:rPr>
            <a:t>to correct current errors within statistically tolerable margins, </a:t>
          </a:r>
        </a:p>
        <a:p>
          <a:r>
            <a:rPr lang="en-US" sz="1100">
              <a:solidFill>
                <a:schemeClr val="dk1"/>
              </a:solidFill>
              <a:effectLst/>
              <a:latin typeface="+mn-lt"/>
              <a:ea typeface="+mn-ea"/>
              <a:cs typeface="+mn-cs"/>
            </a:rPr>
            <a:t>can acknowledge the damage these errors contribute not only to the individuals and their loved ones but to the social fabric itself, </a:t>
          </a:r>
        </a:p>
        <a:p>
          <a:r>
            <a:rPr lang="en-US" sz="1100">
              <a:solidFill>
                <a:schemeClr val="dk1"/>
              </a:solidFill>
              <a:effectLst/>
              <a:latin typeface="+mn-lt"/>
              <a:ea typeface="+mn-ea"/>
              <a:cs typeface="+mn-cs"/>
            </a:rPr>
            <a:t>properly compensate the exonerated, </a:t>
          </a:r>
        </a:p>
        <a:p>
          <a:r>
            <a:rPr lang="en-US" sz="1100">
              <a:solidFill>
                <a:schemeClr val="dk1"/>
              </a:solidFill>
              <a:effectLst/>
              <a:latin typeface="+mn-lt"/>
              <a:ea typeface="+mn-ea"/>
              <a:cs typeface="+mn-cs"/>
            </a:rPr>
            <a:t>can keep pace correcting wrongful convictions, can honestly acknowledge any conflicts of interests and perverse incentives reinforcing the pattern of errors, </a:t>
          </a:r>
        </a:p>
        <a:p>
          <a:r>
            <a:rPr lang="en-US" sz="1100">
              <a:solidFill>
                <a:schemeClr val="dk1"/>
              </a:solidFill>
              <a:effectLst/>
              <a:latin typeface="+mn-lt"/>
              <a:ea typeface="+mn-ea"/>
              <a:cs typeface="+mn-cs"/>
            </a:rPr>
            <a:t>identify and address patterns of structural or even interpersonal racism and other xenophobias inherent in the culture of policing (including quick-decisions with lethal outcomes),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among other things necessary for healthy functioning.</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benefit from popular</a:t>
          </a:r>
          <a:r>
            <a:rPr lang="en-US" sz="1100" baseline="0">
              <a:solidFill>
                <a:schemeClr val="dk1"/>
              </a:solidFill>
              <a:effectLst/>
              <a:latin typeface="+mn-lt"/>
              <a:ea typeface="+mn-ea"/>
              <a:cs typeface="+mn-cs"/>
            </a:rPr>
            <a:t> misbelief that all prisoners claim innocence and that police rarely make mistakes; Would you make an official correction to correct the record? If not, count that against your legitimacy.</a:t>
          </a: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a:p>
      </xdr:txBody>
    </xdr:sp>
    <xdr:clientData/>
  </xdr:twoCellAnchor>
  <xdr:twoCellAnchor>
    <xdr:from>
      <xdr:col>52</xdr:col>
      <xdr:colOff>45720</xdr:colOff>
      <xdr:row>2119</xdr:row>
      <xdr:rowOff>137160</xdr:rowOff>
    </xdr:from>
    <xdr:to>
      <xdr:col>68</xdr:col>
      <xdr:colOff>251460</xdr:colOff>
      <xdr:row>2130</xdr:row>
      <xdr:rowOff>38100</xdr:rowOff>
    </xdr:to>
    <xdr:sp macro="" textlink="">
      <xdr:nvSpPr>
        <xdr:cNvPr id="149" name="TextBox 148">
          <a:extLst>
            <a:ext uri="{FF2B5EF4-FFF2-40B4-BE49-F238E27FC236}">
              <a16:creationId xmlns:a16="http://schemas.microsoft.com/office/drawing/2014/main" id="{112148F6-BE33-4CA3-8B3F-A3BAB7BB4797}"/>
            </a:ext>
          </a:extLst>
        </xdr:cNvPr>
        <xdr:cNvSpPr txBox="1"/>
      </xdr:nvSpPr>
      <xdr:spPr>
        <a:xfrm>
          <a:off x="18341340" y="3401491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Central to this </a:t>
          </a:r>
          <a:r>
            <a:rPr lang="en-US" sz="1100" i="1">
              <a:solidFill>
                <a:schemeClr val="dk1"/>
              </a:solidFill>
              <a:effectLst/>
              <a:latin typeface="+mn-lt"/>
              <a:ea typeface="+mn-ea"/>
              <a:cs typeface="+mn-cs"/>
            </a:rPr>
            <a:t>competitive legitimacy</a:t>
          </a:r>
          <a:r>
            <a:rPr lang="en-US" sz="1100">
              <a:solidFill>
                <a:schemeClr val="dk1"/>
              </a:solidFill>
              <a:effectLst/>
              <a:latin typeface="+mn-lt"/>
              <a:ea typeface="+mn-ea"/>
              <a:cs typeface="+mn-cs"/>
            </a:rPr>
            <a:t> approach is the question if the adversarial justice system can be trusted to correct its own history of errors, to correct current errors within statistically tolerable margins, can acknowledge the damage these errors contribute not only to the individuals and their loved ones but to the social fabric itself, properly compensate the exonerated, can keep pace correcting wrongful convictions, can honestly acknowledge any conflicts of interests and perverse incentives reinforcing the pattern of errors, identify and address patterns of structural or even interpersonal racism and other xenophobias inherent in the culture of policing (including quick-decisions with lethal outcomes), among other things necessary for healthy functioning.</a:t>
          </a:r>
          <a:endParaRPr lang="en-US" sz="1100"/>
        </a:p>
      </xdr:txBody>
    </xdr:sp>
    <xdr:clientData/>
  </xdr:twoCellAnchor>
  <xdr:twoCellAnchor>
    <xdr:from>
      <xdr:col>70</xdr:col>
      <xdr:colOff>0</xdr:colOff>
      <xdr:row>1557</xdr:row>
      <xdr:rowOff>0</xdr:rowOff>
    </xdr:from>
    <xdr:to>
      <xdr:col>83</xdr:col>
      <xdr:colOff>268877</xdr:colOff>
      <xdr:row>1594</xdr:row>
      <xdr:rowOff>70756</xdr:rowOff>
    </xdr:to>
    <xdr:sp macro="" textlink="">
      <xdr:nvSpPr>
        <xdr:cNvPr id="151" name="Rectangle: Rounded Corners 150">
          <a:extLst>
            <a:ext uri="{FF2B5EF4-FFF2-40B4-BE49-F238E27FC236}">
              <a16:creationId xmlns:a16="http://schemas.microsoft.com/office/drawing/2014/main" id="{CCDDE203-B30A-4622-A949-8B4AB4D3A20D}"/>
            </a:ext>
          </a:extLst>
        </xdr:cNvPr>
        <xdr:cNvSpPr/>
      </xdr:nvSpPr>
      <xdr:spPr>
        <a:xfrm>
          <a:off x="18341340" y="30587442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a:p>
          <a:pPr algn="ctr"/>
          <a:r>
            <a:rPr lang="en-US" sz="2000" b="1">
              <a:solidFill>
                <a:srgbClr val="00B050"/>
              </a:solidFill>
              <a:latin typeface="+mn-lt"/>
              <a:ea typeface="+mn-ea"/>
              <a:cs typeface="+mn-cs"/>
            </a:rPr>
            <a:t>concluding instructions</a:t>
          </a:r>
        </a:p>
        <a:p>
          <a:pPr algn="l"/>
          <a:endParaRPr lang="en-US" sz="1100"/>
        </a:p>
        <a:p>
          <a:pPr algn="l"/>
          <a:endParaRPr lang="en-US" sz="1100"/>
        </a:p>
        <a:p>
          <a:pPr algn="l"/>
          <a:r>
            <a:rPr lang="en-US" sz="1200">
              <a:solidFill>
                <a:schemeClr val="tx1"/>
              </a:solidFill>
            </a:rPr>
            <a:t>Save this file.</a:t>
          </a:r>
          <a:r>
            <a:rPr lang="en-US" sz="1200" baseline="0">
              <a:solidFill>
                <a:schemeClr val="tx1"/>
              </a:solidFill>
            </a:rPr>
            <a:t> Then send a copy to valuerelating@gmail.com.</a:t>
          </a:r>
        </a:p>
        <a:p>
          <a:pPr algn="l"/>
          <a:endParaRPr lang="en-US" sz="1200">
            <a:solidFill>
              <a:schemeClr val="tx1"/>
            </a:solidFill>
          </a:endParaRPr>
        </a:p>
        <a:p>
          <a:pPr algn="l"/>
          <a:endParaRPr lang="en-US" sz="1200">
            <a:solidFill>
              <a:schemeClr val="tx1"/>
            </a:solidFill>
          </a:endParaRPr>
        </a:p>
        <a:p>
          <a:pPr algn="l"/>
          <a:r>
            <a:rPr lang="en-US" sz="1200">
              <a:solidFill>
                <a:schemeClr val="tx1"/>
              </a:solidFill>
            </a:rPr>
            <a:t>Go to [NOTIFIED]</a:t>
          </a:r>
          <a:r>
            <a:rPr lang="en-US" sz="1200" baseline="0">
              <a:solidFill>
                <a:schemeClr val="tx1"/>
              </a:solidFill>
            </a:rPr>
            <a:t> tab. Once there, save as PDF.</a:t>
          </a:r>
        </a:p>
        <a:p>
          <a:pPr algn="l"/>
          <a:endParaRPr lang="en-US" sz="1200" baseline="0">
            <a:solidFill>
              <a:schemeClr val="tx1"/>
            </a:solidFill>
          </a:endParaRPr>
        </a:p>
        <a:p>
          <a:pPr algn="l"/>
          <a:endParaRPr lang="en-US" sz="1100"/>
        </a:p>
      </xdr:txBody>
    </xdr:sp>
    <xdr:clientData/>
  </xdr:twoCellAnchor>
  <xdr:twoCellAnchor>
    <xdr:from>
      <xdr:col>71</xdr:col>
      <xdr:colOff>69667</xdr:colOff>
      <xdr:row>1557</xdr:row>
      <xdr:rowOff>104502</xdr:rowOff>
    </xdr:from>
    <xdr:to>
      <xdr:col>84</xdr:col>
      <xdr:colOff>195941</xdr:colOff>
      <xdr:row>1578</xdr:row>
      <xdr:rowOff>58782</xdr:rowOff>
    </xdr:to>
    <xdr:sp macro="" textlink="">
      <xdr:nvSpPr>
        <xdr:cNvPr id="152" name="TextBox 151">
          <a:extLst>
            <a:ext uri="{FF2B5EF4-FFF2-40B4-BE49-F238E27FC236}">
              <a16:creationId xmlns:a16="http://schemas.microsoft.com/office/drawing/2014/main" id="{37DBDD1D-B1EA-4E4E-8EB1-DF2ACC68C62F}"/>
            </a:ext>
          </a:extLst>
        </xdr:cNvPr>
        <xdr:cNvSpPr txBox="1"/>
      </xdr:nvSpPr>
      <xdr:spPr>
        <a:xfrm>
          <a:off x="18341340" y="305874420"/>
          <a:ext cx="0" cy="0"/>
        </a:xfrm>
        <a:prstGeom prst="rect">
          <a:avLst/>
        </a:prstGeom>
        <a:gradFill>
          <a:gsLst>
            <a:gs pos="0">
              <a:schemeClr val="accent1">
                <a:lumMod val="5000"/>
                <a:lumOff val="95000"/>
                <a:alpha val="95000"/>
              </a:schemeClr>
            </a:gs>
            <a:gs pos="50000">
              <a:schemeClr val="bg1">
                <a:alpha val="85000"/>
              </a:schemeClr>
            </a:gs>
            <a:gs pos="100000">
              <a:schemeClr val="bg1">
                <a:alpha val="95000"/>
              </a:schemeClr>
            </a:gs>
          </a:gsLst>
          <a:lin ang="5400000" scaled="1"/>
        </a:gradFill>
        <a:ln w="19050" cmpd="dbl">
          <a:solidFill>
            <a:srgbClr val="7CF85A">
              <a:alpha val="50000"/>
            </a:srgb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a:ln>
                <a:solidFill>
                  <a:srgbClr val="FFFFFF"/>
                </a:solidFill>
              </a:ln>
              <a:solidFill>
                <a:srgbClr val="00B050"/>
              </a:solidFill>
              <a:effectLst>
                <a:glow rad="38100">
                  <a:schemeClr val="accent6">
                    <a:satMod val="175000"/>
                    <a:alpha val="90000"/>
                  </a:schemeClr>
                </a:glow>
              </a:effectLst>
              <a:uLnTx/>
              <a:uFillTx/>
              <a:latin typeface="Tahoma" panose="020B0604030504040204" pitchFamily="34" charset="0"/>
              <a:ea typeface="Tahoma" panose="020B0604030504040204" pitchFamily="34" charset="0"/>
              <a:cs typeface="Tahoma" panose="020B0604030504040204" pitchFamily="34" charset="0"/>
            </a:rPr>
            <a:t>Terms of Service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 agree to share this profile of yours with </a:t>
          </a:r>
          <a:r>
            <a:rPr kumimoji="0" lang="en-US" sz="1100" b="1" i="0" u="none" strike="noStrike" kern="0" cap="none" spc="0" normalizeH="0" baseline="0" noProof="0">
              <a:ln>
                <a:noFill/>
              </a:ln>
              <a:solidFill>
                <a:prstClr val="black"/>
              </a:solidFill>
              <a:effectLst/>
              <a:uLnTx/>
              <a:uFillTx/>
              <a:latin typeface="+mn-lt"/>
              <a:ea typeface="+mn-ea"/>
              <a:cs typeface="+mn-cs"/>
            </a:rPr>
            <a:t>Value Relating </a:t>
          </a:r>
          <a:r>
            <a:rPr kumimoji="0" lang="en-US" sz="1100" b="0" i="0" u="none" strike="noStrike" kern="0" cap="none" spc="0" normalizeH="0" baseline="0" noProof="0">
              <a:ln>
                <a:noFill/>
              </a:ln>
              <a:solidFill>
                <a:prstClr val="black"/>
              </a:solidFill>
              <a:effectLst/>
              <a:uLnTx/>
              <a:uFillTx/>
              <a:latin typeface="+mn-lt"/>
              <a:ea typeface="+mn-ea"/>
              <a:cs typeface="+mn-cs"/>
            </a:rPr>
            <a:t>for the exclusive purpose of serving your needs, and for any other purpose you agree to prior to Value Relating using it.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Your support team initially consists of your proxy, or key supporter, and a primary support provider (PSP) from Value Relating. You build your support as you invite supporters to help cover the costs of this service to you and can provide you with essential emotional supports.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As your team grows, </a:t>
          </a:r>
          <a:r>
            <a:rPr kumimoji="0" lang="en-US" sz="1100" b="1" i="0" u="none" strike="noStrike" kern="0" cap="none" spc="0" normalizeH="0" baseline="0" noProof="0">
              <a:ln>
                <a:noFill/>
              </a:ln>
              <a:solidFill>
                <a:prstClr val="black"/>
              </a:solidFill>
              <a:effectLst/>
              <a:uLnTx/>
              <a:uFillTx/>
              <a:latin typeface="+mn-lt"/>
              <a:ea typeface="+mn-ea"/>
              <a:cs typeface="+mn-cs"/>
            </a:rPr>
            <a:t>Value Relating</a:t>
          </a:r>
          <a:r>
            <a:rPr kumimoji="0" lang="en-US" sz="1100" b="0" i="0" u="none" strike="noStrike" kern="0" cap="none" spc="0" normalizeH="0" baseline="0" noProof="0">
              <a:ln>
                <a:noFill/>
              </a:ln>
              <a:solidFill>
                <a:prstClr val="black"/>
              </a:solidFill>
              <a:effectLst/>
              <a:uLnTx/>
              <a:uFillTx/>
              <a:latin typeface="+mn-lt"/>
              <a:ea typeface="+mn-ea"/>
              <a:cs typeface="+mn-cs"/>
            </a:rPr>
            <a:t> adds a secondary support provider (SSP) to help with the growing work load (logistics, answering questions, keeping records up to date). This SSP could eventually move up to the PSP position.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Option 1</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 agree to the above terms and you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endParaRPr lang="en-US" sz="1100"/>
        </a:p>
      </xdr:txBody>
    </xdr:sp>
    <xdr:clientData/>
  </xdr:twoCellAnchor>
  <xdr:twoCellAnchor>
    <xdr:from>
      <xdr:col>76</xdr:col>
      <xdr:colOff>47745</xdr:colOff>
      <xdr:row>64</xdr:row>
      <xdr:rowOff>142243</xdr:rowOff>
    </xdr:from>
    <xdr:to>
      <xdr:col>85</xdr:col>
      <xdr:colOff>442896</xdr:colOff>
      <xdr:row>70</xdr:row>
      <xdr:rowOff>78017</xdr:rowOff>
    </xdr:to>
    <xdr:sp macro="" textlink="">
      <xdr:nvSpPr>
        <xdr:cNvPr id="153" name="Rectangle: Rounded Corners 152">
          <a:extLst>
            <a:ext uri="{FF2B5EF4-FFF2-40B4-BE49-F238E27FC236}">
              <a16:creationId xmlns:a16="http://schemas.microsoft.com/office/drawing/2014/main" id="{C9BBF1BD-478B-41F1-BD13-4FB62DA491D9}"/>
            </a:ext>
          </a:extLst>
        </xdr:cNvPr>
        <xdr:cNvSpPr/>
      </xdr:nvSpPr>
      <xdr:spPr>
        <a:xfrm>
          <a:off x="18341340" y="25425403"/>
          <a:ext cx="0" cy="1269274"/>
        </a:xfrm>
        <a:prstGeom prst="roundRect">
          <a:avLst>
            <a:gd name="adj" fmla="val 5176"/>
          </a:avLst>
        </a:prstGeom>
        <a:solidFill>
          <a:srgbClr val="F19B61">
            <a:alpha val="12157"/>
          </a:srgbClr>
        </a:solidFill>
        <a:ln w="38100">
          <a:solidFill>
            <a:srgbClr val="6B2894"/>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r"/>
          <a:r>
            <a:rPr lang="en-US" sz="1800" b="1" baseline="0">
              <a:solidFill>
                <a:srgbClr val="00B050"/>
              </a:solidFill>
              <a:latin typeface="+mn-lt"/>
              <a:ea typeface="+mn-ea"/>
              <a:cs typeface="+mn-cs"/>
            </a:rPr>
            <a:t>FREE route</a:t>
          </a:r>
          <a:br>
            <a:rPr lang="en-US" sz="1800" b="1" baseline="0">
              <a:solidFill>
                <a:srgbClr val="00B050"/>
              </a:solidFill>
              <a:latin typeface="+mn-lt"/>
              <a:ea typeface="+mn-ea"/>
              <a:cs typeface="+mn-cs"/>
            </a:rPr>
          </a:br>
          <a:r>
            <a:rPr lang="en-US" sz="1800" b="1" baseline="0">
              <a:solidFill>
                <a:srgbClr val="00B050"/>
              </a:solidFill>
              <a:latin typeface="+mn-lt"/>
              <a:ea typeface="+mn-ea"/>
              <a:cs typeface="+mn-cs"/>
            </a:rPr>
            <a:t>but not </a:t>
          </a:r>
          <a:br>
            <a:rPr lang="en-US" sz="1800" b="1" baseline="0">
              <a:solidFill>
                <a:srgbClr val="00B050"/>
              </a:solidFill>
              <a:latin typeface="+mn-lt"/>
              <a:ea typeface="+mn-ea"/>
              <a:cs typeface="+mn-cs"/>
            </a:rPr>
          </a:br>
          <a:r>
            <a:rPr lang="en-US" sz="1800" b="1" baseline="0">
              <a:solidFill>
                <a:srgbClr val="00B050"/>
              </a:solidFill>
              <a:latin typeface="+mn-lt"/>
              <a:ea typeface="+mn-ea"/>
              <a:cs typeface="+mn-cs"/>
            </a:rPr>
            <a:t>recommended</a:t>
          </a:r>
        </a:p>
        <a:p>
          <a:pPr algn="r"/>
          <a:r>
            <a:rPr lang="en-US" sz="1800" b="1" baseline="0">
              <a:solidFill>
                <a:srgbClr val="00B050"/>
              </a:solidFill>
              <a:latin typeface="+mn-lt"/>
              <a:ea typeface="+mn-ea"/>
              <a:cs typeface="+mn-cs"/>
            </a:rPr>
            <a:t>for low scores</a:t>
          </a:r>
          <a:endParaRPr lang="en-US" sz="1800" b="1">
            <a:solidFill>
              <a:srgbClr val="00B050"/>
            </a:solidFill>
            <a:latin typeface="+mn-lt"/>
            <a:ea typeface="+mn-ea"/>
            <a:cs typeface="+mn-cs"/>
          </a:endParaRPr>
        </a:p>
      </xdr:txBody>
    </xdr:sp>
    <xdr:clientData/>
  </xdr:twoCellAnchor>
  <xdr:twoCellAnchor>
    <xdr:from>
      <xdr:col>76</xdr:col>
      <xdr:colOff>55365</xdr:colOff>
      <xdr:row>71</xdr:row>
      <xdr:rowOff>107409</xdr:rowOff>
    </xdr:from>
    <xdr:to>
      <xdr:col>85</xdr:col>
      <xdr:colOff>450516</xdr:colOff>
      <xdr:row>77</xdr:row>
      <xdr:rowOff>43183</xdr:rowOff>
    </xdr:to>
    <xdr:sp macro="" textlink="">
      <xdr:nvSpPr>
        <xdr:cNvPr id="155" name="Rectangle: Rounded Corners 154">
          <a:extLst>
            <a:ext uri="{FF2B5EF4-FFF2-40B4-BE49-F238E27FC236}">
              <a16:creationId xmlns:a16="http://schemas.microsoft.com/office/drawing/2014/main" id="{FB8CAAC4-84DE-4D6B-AEFF-01257373D766}"/>
            </a:ext>
          </a:extLst>
        </xdr:cNvPr>
        <xdr:cNvSpPr/>
      </xdr:nvSpPr>
      <xdr:spPr>
        <a:xfrm>
          <a:off x="18341340" y="26914569"/>
          <a:ext cx="0" cy="1269274"/>
        </a:xfrm>
        <a:prstGeom prst="roundRect">
          <a:avLst>
            <a:gd name="adj" fmla="val 5176"/>
          </a:avLst>
        </a:prstGeom>
        <a:solidFill>
          <a:srgbClr val="F19B61">
            <a:alpha val="12157"/>
          </a:srgbClr>
        </a:solidFill>
        <a:ln w="38100">
          <a:solidFill>
            <a:srgbClr val="6B2894"/>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r"/>
          <a:r>
            <a:rPr lang="en-US" sz="1800" b="1">
              <a:solidFill>
                <a:srgbClr val="00B050"/>
              </a:solidFill>
              <a:latin typeface="+mn-lt"/>
              <a:ea typeface="+mn-ea"/>
              <a:cs typeface="+mn-cs"/>
            </a:rPr>
            <a:t>Only $5 to</a:t>
          </a:r>
        </a:p>
        <a:p>
          <a:pPr algn="r"/>
          <a:r>
            <a:rPr lang="en-US" sz="1800" b="1">
              <a:solidFill>
                <a:srgbClr val="00B050"/>
              </a:solidFill>
              <a:latin typeface="+mn-lt"/>
              <a:ea typeface="+mn-ea"/>
              <a:cs typeface="+mn-cs"/>
            </a:rPr>
            <a:t>start,</a:t>
          </a:r>
          <a:r>
            <a:rPr lang="en-US" sz="1800" b="1" baseline="0">
              <a:solidFill>
                <a:srgbClr val="00B050"/>
              </a:solidFill>
              <a:latin typeface="+mn-lt"/>
              <a:ea typeface="+mn-ea"/>
              <a:cs typeface="+mn-cs"/>
            </a:rPr>
            <a:t> potential</a:t>
          </a:r>
        </a:p>
        <a:p>
          <a:pPr algn="r"/>
          <a:r>
            <a:rPr lang="en-US" sz="1800" b="1" baseline="0">
              <a:solidFill>
                <a:srgbClr val="00B050"/>
              </a:solidFill>
              <a:latin typeface="+mn-lt"/>
              <a:ea typeface="+mn-ea"/>
              <a:cs typeface="+mn-cs"/>
            </a:rPr>
            <a:t>to earn far</a:t>
          </a:r>
        </a:p>
        <a:p>
          <a:pPr algn="r"/>
          <a:r>
            <a:rPr lang="en-US" sz="1800" b="1" baseline="0">
              <a:solidFill>
                <a:srgbClr val="00B050"/>
              </a:solidFill>
              <a:latin typeface="+mn-lt"/>
              <a:ea typeface="+mn-ea"/>
              <a:cs typeface="+mn-cs"/>
            </a:rPr>
            <a:t>more in return</a:t>
          </a:r>
          <a:endParaRPr lang="en-US" sz="1800" b="1">
            <a:solidFill>
              <a:srgbClr val="00B050"/>
            </a:solidFill>
            <a:latin typeface="+mn-lt"/>
            <a:ea typeface="+mn-ea"/>
            <a:cs typeface="+mn-cs"/>
          </a:endParaRPr>
        </a:p>
      </xdr:txBody>
    </xdr:sp>
    <xdr:clientData/>
  </xdr:twoCellAnchor>
  <xdr:twoCellAnchor>
    <xdr:from>
      <xdr:col>76</xdr:col>
      <xdr:colOff>55365</xdr:colOff>
      <xdr:row>78</xdr:row>
      <xdr:rowOff>130269</xdr:rowOff>
    </xdr:from>
    <xdr:to>
      <xdr:col>85</xdr:col>
      <xdr:colOff>450516</xdr:colOff>
      <xdr:row>85</xdr:row>
      <xdr:rowOff>66043</xdr:rowOff>
    </xdr:to>
    <xdr:sp macro="" textlink="">
      <xdr:nvSpPr>
        <xdr:cNvPr id="156" name="Rectangle: Rounded Corners 155">
          <a:extLst>
            <a:ext uri="{FF2B5EF4-FFF2-40B4-BE49-F238E27FC236}">
              <a16:creationId xmlns:a16="http://schemas.microsoft.com/office/drawing/2014/main" id="{C033A401-1D5B-478E-BBA6-3A6F5A1F77AA}"/>
            </a:ext>
          </a:extLst>
        </xdr:cNvPr>
        <xdr:cNvSpPr/>
      </xdr:nvSpPr>
      <xdr:spPr>
        <a:xfrm>
          <a:off x="18341340" y="28461429"/>
          <a:ext cx="0" cy="1269274"/>
        </a:xfrm>
        <a:prstGeom prst="roundRect">
          <a:avLst>
            <a:gd name="adj" fmla="val 5176"/>
          </a:avLst>
        </a:prstGeom>
        <a:solidFill>
          <a:srgbClr val="F19B61">
            <a:alpha val="12157"/>
          </a:srgbClr>
        </a:solidFill>
        <a:ln w="38100">
          <a:solidFill>
            <a:srgbClr val="6B2894"/>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r"/>
          <a:r>
            <a:rPr lang="en-US" sz="1800" b="1">
              <a:solidFill>
                <a:srgbClr val="00B050"/>
              </a:solidFill>
              <a:latin typeface="+mn-lt"/>
              <a:ea typeface="+mn-ea"/>
              <a:cs typeface="+mn-cs"/>
            </a:rPr>
            <a:t>If get in a bind</a:t>
          </a:r>
        </a:p>
        <a:p>
          <a:pPr algn="r"/>
          <a:r>
            <a:rPr lang="en-US" sz="1800" b="1">
              <a:solidFill>
                <a:srgbClr val="00B050"/>
              </a:solidFill>
              <a:latin typeface="+mn-lt"/>
              <a:ea typeface="+mn-ea"/>
              <a:cs typeface="+mn-cs"/>
            </a:rPr>
            <a:t>then come back</a:t>
          </a:r>
        </a:p>
        <a:p>
          <a:pPr algn="r"/>
          <a:r>
            <a:rPr lang="en-US" sz="1800" b="1">
              <a:solidFill>
                <a:srgbClr val="00B050"/>
              </a:solidFill>
              <a:latin typeface="+mn-lt"/>
              <a:ea typeface="+mn-ea"/>
              <a:cs typeface="+mn-cs"/>
            </a:rPr>
            <a:t>and</a:t>
          </a:r>
          <a:r>
            <a:rPr lang="en-US" sz="1800" b="1" baseline="0">
              <a:solidFill>
                <a:srgbClr val="00B050"/>
              </a:solidFill>
              <a:latin typeface="+mn-lt"/>
              <a:ea typeface="+mn-ea"/>
              <a:cs typeface="+mn-cs"/>
            </a:rPr>
            <a:t> see what we </a:t>
          </a:r>
        </a:p>
        <a:p>
          <a:pPr algn="r"/>
          <a:r>
            <a:rPr lang="en-US" sz="1800" b="1" baseline="0">
              <a:solidFill>
                <a:srgbClr val="00B050"/>
              </a:solidFill>
              <a:latin typeface="+mn-lt"/>
              <a:ea typeface="+mn-ea"/>
              <a:cs typeface="+mn-cs"/>
            </a:rPr>
            <a:t>can do for you</a:t>
          </a:r>
          <a:endParaRPr lang="en-US" sz="1800" b="1">
            <a:solidFill>
              <a:srgbClr val="00B050"/>
            </a:solidFill>
            <a:latin typeface="+mn-lt"/>
            <a:ea typeface="+mn-ea"/>
            <a:cs typeface="+mn-cs"/>
          </a:endParaRPr>
        </a:p>
      </xdr:txBody>
    </xdr:sp>
    <xdr:clientData/>
  </xdr:twoCellAnchor>
  <xdr:twoCellAnchor>
    <xdr:from>
      <xdr:col>77</xdr:col>
      <xdr:colOff>65162</xdr:colOff>
      <xdr:row>66</xdr:row>
      <xdr:rowOff>74748</xdr:rowOff>
    </xdr:from>
    <xdr:to>
      <xdr:col>82</xdr:col>
      <xdr:colOff>454870</xdr:colOff>
      <xdr:row>71</xdr:row>
      <xdr:rowOff>22497</xdr:rowOff>
    </xdr:to>
    <xdr:sp macro="" textlink="">
      <xdr:nvSpPr>
        <xdr:cNvPr id="159" name="Rectangle: Rounded Corners 158">
          <a:hlinkClick xmlns:r="http://schemas.openxmlformats.org/officeDocument/2006/relationships" r:id="rId39"/>
          <a:extLst>
            <a:ext uri="{FF2B5EF4-FFF2-40B4-BE49-F238E27FC236}">
              <a16:creationId xmlns:a16="http://schemas.microsoft.com/office/drawing/2014/main" id="{B7F010E4-62C8-461E-8D6C-021DC3D68EE8}"/>
            </a:ext>
          </a:extLst>
        </xdr:cNvPr>
        <xdr:cNvSpPr/>
      </xdr:nvSpPr>
      <xdr:spPr>
        <a:xfrm>
          <a:off x="18341340" y="25929408"/>
          <a:ext cx="0" cy="900249"/>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Do</a:t>
          </a:r>
          <a:r>
            <a:rPr lang="en-US" sz="1400" b="1" baseline="0">
              <a:solidFill>
                <a:srgbClr val="B9FFD9"/>
              </a:solidFill>
            </a:rPr>
            <a:t> It Yourself </a:t>
          </a:r>
          <a:r>
            <a:rPr lang="en-US" sz="1400" baseline="0">
              <a:solidFill>
                <a:srgbClr val="B9FFD9"/>
              </a:solidFill>
            </a:rPr>
            <a:t>for </a:t>
          </a:r>
          <a:r>
            <a:rPr lang="en-US" sz="1400" baseline="0">
              <a:solidFill>
                <a:srgbClr val="B9FFD9"/>
              </a:solidFill>
              <a:effectLst>
                <a:glow rad="139700">
                  <a:schemeClr val="accent6">
                    <a:satMod val="175000"/>
                    <a:alpha val="40000"/>
                  </a:schemeClr>
                </a:glow>
              </a:effectLst>
            </a:rPr>
            <a:t>free</a:t>
          </a:r>
          <a:r>
            <a:rPr lang="en-US" sz="1400" baseline="0">
              <a:solidFill>
                <a:srgbClr val="B9FFD9"/>
              </a:solidFill>
            </a:rPr>
            <a:t>. With a high estimate of innocence, you may not need our help.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start your DIY option.</a:t>
          </a:r>
          <a:endParaRPr lang="en-US" sz="1400">
            <a:solidFill>
              <a:srgbClr val="B9FFD9"/>
            </a:solidFill>
          </a:endParaRPr>
        </a:p>
      </xdr:txBody>
    </xdr:sp>
    <xdr:clientData/>
  </xdr:twoCellAnchor>
  <xdr:twoCellAnchor>
    <xdr:from>
      <xdr:col>77</xdr:col>
      <xdr:colOff>65162</xdr:colOff>
      <xdr:row>73</xdr:row>
      <xdr:rowOff>85634</xdr:rowOff>
    </xdr:from>
    <xdr:to>
      <xdr:col>82</xdr:col>
      <xdr:colOff>454870</xdr:colOff>
      <xdr:row>78</xdr:row>
      <xdr:rowOff>33383</xdr:rowOff>
    </xdr:to>
    <xdr:sp macro="" textlink="">
      <xdr:nvSpPr>
        <xdr:cNvPr id="160" name="Rectangle: Rounded Corners 159">
          <a:extLst>
            <a:ext uri="{FF2B5EF4-FFF2-40B4-BE49-F238E27FC236}">
              <a16:creationId xmlns:a16="http://schemas.microsoft.com/office/drawing/2014/main" id="{AAF028EB-CF8E-4F54-A379-E88BA4D9B5C6}"/>
            </a:ext>
          </a:extLst>
        </xdr:cNvPr>
        <xdr:cNvSpPr/>
      </xdr:nvSpPr>
      <xdr:spPr>
        <a:xfrm>
          <a:off x="18341340" y="27464294"/>
          <a:ext cx="0" cy="900249"/>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Receive Support </a:t>
          </a:r>
          <a:r>
            <a:rPr lang="en-US" sz="1400" b="0" baseline="0">
              <a:solidFill>
                <a:srgbClr val="B9FFD9"/>
              </a:solidFill>
            </a:rPr>
            <a:t>starting for</a:t>
          </a:r>
          <a:r>
            <a:rPr lang="en-US" sz="1400" baseline="0">
              <a:solidFill>
                <a:srgbClr val="B9FFD9"/>
              </a:solidFill>
            </a:rPr>
            <a:t> </a:t>
          </a:r>
          <a:r>
            <a:rPr lang="en-US" sz="1400" baseline="0">
              <a:solidFill>
                <a:srgbClr val="B9FFD9"/>
              </a:solidFill>
              <a:effectLst>
                <a:glow rad="139700">
                  <a:schemeClr val="accent6">
                    <a:satMod val="175000"/>
                    <a:alpha val="40000"/>
                  </a:schemeClr>
                </a:glow>
              </a:effectLst>
            </a:rPr>
            <a:t>$5</a:t>
          </a:r>
          <a:r>
            <a:rPr lang="en-US" sz="1400" baseline="0">
              <a:solidFill>
                <a:srgbClr val="B9FFD9"/>
              </a:solidFill>
            </a:rPr>
            <a:t>. You've already been through hell. Let us take you to heaven.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learn more.</a:t>
          </a:r>
          <a:endParaRPr lang="en-US" sz="1400">
            <a:solidFill>
              <a:srgbClr val="B9FFD9"/>
            </a:solidFill>
          </a:endParaRPr>
        </a:p>
      </xdr:txBody>
    </xdr:sp>
    <xdr:clientData/>
  </xdr:twoCellAnchor>
  <xdr:twoCellAnchor>
    <xdr:from>
      <xdr:col>77</xdr:col>
      <xdr:colOff>65162</xdr:colOff>
      <xdr:row>81</xdr:row>
      <xdr:rowOff>85635</xdr:rowOff>
    </xdr:from>
    <xdr:to>
      <xdr:col>82</xdr:col>
      <xdr:colOff>454870</xdr:colOff>
      <xdr:row>86</xdr:row>
      <xdr:rowOff>33383</xdr:rowOff>
    </xdr:to>
    <xdr:sp macro="" textlink="">
      <xdr:nvSpPr>
        <xdr:cNvPr id="161" name="Rectangle: Rounded Corners 160">
          <a:extLst>
            <a:ext uri="{FF2B5EF4-FFF2-40B4-BE49-F238E27FC236}">
              <a16:creationId xmlns:a16="http://schemas.microsoft.com/office/drawing/2014/main" id="{94BEA0A2-676B-496D-BCC2-346ACAF28E4A}"/>
            </a:ext>
          </a:extLst>
        </xdr:cNvPr>
        <xdr:cNvSpPr/>
      </xdr:nvSpPr>
      <xdr:spPr>
        <a:xfrm>
          <a:off x="18341340" y="28988295"/>
          <a:ext cx="0" cy="900248"/>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If you find the</a:t>
          </a:r>
          <a:r>
            <a:rPr lang="en-US" sz="1400" baseline="0">
              <a:solidFill>
                <a:srgbClr val="B9FFD9"/>
              </a:solidFill>
            </a:rPr>
            <a:t> </a:t>
          </a:r>
          <a:r>
            <a:rPr lang="en-US" sz="1400" baseline="0">
              <a:solidFill>
                <a:srgbClr val="B9FFD9"/>
              </a:solidFill>
              <a:effectLst>
                <a:glow rad="139700">
                  <a:schemeClr val="accent6">
                    <a:satMod val="175000"/>
                    <a:alpha val="40000"/>
                  </a:schemeClr>
                </a:glow>
              </a:effectLst>
            </a:rPr>
            <a:t>free</a:t>
          </a:r>
          <a:r>
            <a:rPr lang="en-US" sz="1400" baseline="0">
              <a:solidFill>
                <a:srgbClr val="B9FFD9"/>
              </a:solidFill>
            </a:rPr>
            <a:t> route frustrating, give this support route a try.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learn how.</a:t>
          </a:r>
          <a:endParaRPr lang="en-US" sz="1400">
            <a:solidFill>
              <a:srgbClr val="B9FFD9"/>
            </a:solidFill>
          </a:endParaRPr>
        </a:p>
      </xdr:txBody>
    </xdr:sp>
    <xdr:clientData/>
  </xdr:twoCellAnchor>
  <xdr:twoCellAnchor>
    <xdr:from>
      <xdr:col>87</xdr:col>
      <xdr:colOff>36858</xdr:colOff>
      <xdr:row>78</xdr:row>
      <xdr:rowOff>178166</xdr:rowOff>
    </xdr:from>
    <xdr:to>
      <xdr:col>93</xdr:col>
      <xdr:colOff>402618</xdr:colOff>
      <xdr:row>82</xdr:row>
      <xdr:rowOff>25764</xdr:rowOff>
    </xdr:to>
    <xdr:sp macro="" textlink="">
      <xdr:nvSpPr>
        <xdr:cNvPr id="162" name="Rectangle: Rounded Corners 161">
          <a:extLst>
            <a:ext uri="{FF2B5EF4-FFF2-40B4-BE49-F238E27FC236}">
              <a16:creationId xmlns:a16="http://schemas.microsoft.com/office/drawing/2014/main" id="{45EE3270-A373-4D3F-A9C4-C82D9DB53426}"/>
            </a:ext>
          </a:extLst>
        </xdr:cNvPr>
        <xdr:cNvSpPr/>
      </xdr:nvSpPr>
      <xdr:spPr>
        <a:xfrm>
          <a:off x="18341340" y="28509326"/>
          <a:ext cx="0" cy="609598"/>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dropdown</a:t>
          </a:r>
          <a:r>
            <a:rPr lang="en-US" sz="1600" baseline="0">
              <a:solidFill>
                <a:srgbClr val="501E6E"/>
              </a:solidFill>
            </a:rPr>
            <a:t> list of main crime</a:t>
          </a:r>
          <a:endParaRPr lang="en-US" sz="1600">
            <a:solidFill>
              <a:srgbClr val="501E6E"/>
            </a:solidFill>
          </a:endParaRPr>
        </a:p>
      </xdr:txBody>
    </xdr:sp>
    <xdr:clientData/>
  </xdr:twoCellAnchor>
  <xdr:twoCellAnchor>
    <xdr:from>
      <xdr:col>0</xdr:col>
      <xdr:colOff>121920</xdr:colOff>
      <xdr:row>65</xdr:row>
      <xdr:rowOff>144780</xdr:rowOff>
    </xdr:from>
    <xdr:to>
      <xdr:col>5</xdr:col>
      <xdr:colOff>106680</xdr:colOff>
      <xdr:row>82</xdr:row>
      <xdr:rowOff>29845</xdr:rowOff>
    </xdr:to>
    <xdr:sp macro="" textlink="">
      <xdr:nvSpPr>
        <xdr:cNvPr id="163" name="Text Box 1">
          <a:extLst>
            <a:ext uri="{FF2B5EF4-FFF2-40B4-BE49-F238E27FC236}">
              <a16:creationId xmlns:a16="http://schemas.microsoft.com/office/drawing/2014/main" id="{0A0DFD87-266A-4992-9726-5D58EFC36E7D}"/>
            </a:ext>
          </a:extLst>
        </xdr:cNvPr>
        <xdr:cNvSpPr txBox="1"/>
      </xdr:nvSpPr>
      <xdr:spPr>
        <a:xfrm>
          <a:off x="121920" y="25808940"/>
          <a:ext cx="5943600" cy="331406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Wrongful convictions run the gamut from totally innocent to complicated involvement. From convicted of a heinous sex crime that never occurred to complex situations where a child dies and the grieving mother is implicated by discredited forensic science of burn patterns.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The business of addressing damages from interpersonal violence is serious business. The sledgehammer approach to many crime investigations suggest “criminal justice” is more criminal than justice. Tunnel vision, confirmation bias, emotionally charged investigations, tainted interviewing and other routines practices ensures wrongful convictions likely occur at a faster pace than currently being cleared by the same process committing these egregious errors.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Can the same conflicted process repeatedly creating damaging mistakes continue to be trusted as the exclusive means to correct such egregious errors? This alternative puts that question to the test. Which would you prefer? Keep pitting human beings against each other from the untested faith as a way to find truth and justice? Or address all the needs involved in each conflict. This “need-response” alternative dares to serve as a better option than the disappointing legal process.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114300</xdr:colOff>
      <xdr:row>101</xdr:row>
      <xdr:rowOff>114300</xdr:rowOff>
    </xdr:from>
    <xdr:to>
      <xdr:col>5</xdr:col>
      <xdr:colOff>99060</xdr:colOff>
      <xdr:row>104</xdr:row>
      <xdr:rowOff>15240</xdr:rowOff>
    </xdr:to>
    <xdr:sp macro="" textlink="">
      <xdr:nvSpPr>
        <xdr:cNvPr id="164" name="Text Box 1">
          <a:extLst>
            <a:ext uri="{FF2B5EF4-FFF2-40B4-BE49-F238E27FC236}">
              <a16:creationId xmlns:a16="http://schemas.microsoft.com/office/drawing/2014/main" id="{120A6795-9E49-41A0-A387-8A53CC507DF6}"/>
            </a:ext>
          </a:extLst>
        </xdr:cNvPr>
        <xdr:cNvSpPr txBox="1"/>
      </xdr:nvSpPr>
      <xdr:spPr>
        <a:xfrm>
          <a:off x="114300" y="32826960"/>
          <a:ext cx="5943600" cy="91440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Welcome to </a:t>
          </a:r>
          <a:r>
            <a:rPr lang="en-US" sz="1200" b="1">
              <a:effectLst/>
              <a:latin typeface="Cambria Math" panose="02040503050406030204" pitchFamily="18" charset="0"/>
              <a:ea typeface="Calibri" panose="020F0502020204030204" pitchFamily="34" charset="0"/>
              <a:cs typeface="Times New Roman" panose="02020603050405020304" pitchFamily="18" charset="0"/>
            </a:rPr>
            <a:t>competitive legitimacy</a:t>
          </a:r>
          <a:r>
            <a:rPr lang="en-US" sz="1200">
              <a:effectLst/>
              <a:latin typeface="Cambria Math" panose="02040503050406030204" pitchFamily="18" charset="0"/>
              <a:ea typeface="Calibri" panose="020F0502020204030204" pitchFamily="34" charset="0"/>
              <a:cs typeface="Times New Roman" panose="02020603050405020304" pitchFamily="18" charset="0"/>
            </a:rPr>
            <a:t>, which incentivizes alternatives to addressing a common need and awards those most effective in resolving such needs. Competitive legitimacy is a tool of need-response, which applies anankelogy, the new social science for the study and better understanding of many needs. Welcome to this experiment to resolve needs using a fresh understanding of affected justice needs.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190500</xdr:colOff>
      <xdr:row>1103</xdr:row>
      <xdr:rowOff>0</xdr:rowOff>
    </xdr:from>
    <xdr:to>
      <xdr:col>4</xdr:col>
      <xdr:colOff>182880</xdr:colOff>
      <xdr:row>1103</xdr:row>
      <xdr:rowOff>0</xdr:rowOff>
    </xdr:to>
    <xdr:grpSp>
      <xdr:nvGrpSpPr>
        <xdr:cNvPr id="165" name="Group 164">
          <a:extLst>
            <a:ext uri="{FF2B5EF4-FFF2-40B4-BE49-F238E27FC236}">
              <a16:creationId xmlns:a16="http://schemas.microsoft.com/office/drawing/2014/main" id="{DCF1F70A-317C-473C-911F-61163521FA94}"/>
            </a:ext>
          </a:extLst>
        </xdr:cNvPr>
        <xdr:cNvGrpSpPr/>
      </xdr:nvGrpSpPr>
      <xdr:grpSpPr>
        <a:xfrm>
          <a:off x="190500" y="306011580"/>
          <a:ext cx="5760720" cy="0"/>
          <a:chOff x="175260" y="30243780"/>
          <a:chExt cx="5760720" cy="3241675"/>
        </a:xfrm>
      </xdr:grpSpPr>
      <xdr:pic>
        <xdr:nvPicPr>
          <xdr:cNvPr id="166" name="Picture 165">
            <a:extLst>
              <a:ext uri="{FF2B5EF4-FFF2-40B4-BE49-F238E27FC236}">
                <a16:creationId xmlns:a16="http://schemas.microsoft.com/office/drawing/2014/main" id="{17C279E0-3E69-4913-9F3A-DD12A4D05BA8}"/>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75260" y="30243780"/>
            <a:ext cx="5760720" cy="3241675"/>
          </a:xfrm>
          <a:prstGeom prst="rect">
            <a:avLst/>
          </a:prstGeom>
        </xdr:spPr>
      </xdr:pic>
      <xdr:grpSp>
        <xdr:nvGrpSpPr>
          <xdr:cNvPr id="167" name="skewed toward error 1 - WC">
            <a:extLst>
              <a:ext uri="{FF2B5EF4-FFF2-40B4-BE49-F238E27FC236}">
                <a16:creationId xmlns:a16="http://schemas.microsoft.com/office/drawing/2014/main" id="{CF35CC96-EED5-46EC-BDBF-AB4BCD907838}"/>
              </a:ext>
            </a:extLst>
          </xdr:cNvPr>
          <xdr:cNvGrpSpPr>
            <a:grpSpLocks noChangeAspect="1"/>
          </xdr:cNvGrpSpPr>
        </xdr:nvGrpSpPr>
        <xdr:grpSpPr>
          <a:xfrm>
            <a:off x="487679" y="31623000"/>
            <a:ext cx="5120640" cy="1352222"/>
            <a:chOff x="696686" y="2909506"/>
            <a:chExt cx="10847614" cy="2864558"/>
          </a:xfrm>
        </xdr:grpSpPr>
        <xdr:sp macro="" textlink="">
          <xdr:nvSpPr>
            <xdr:cNvPr id="168" name="left curve">
              <a:extLst>
                <a:ext uri="{FF2B5EF4-FFF2-40B4-BE49-F238E27FC236}">
                  <a16:creationId xmlns:a16="http://schemas.microsoft.com/office/drawing/2014/main" id="{E6E67C68-B0A2-4657-BEAB-12E7E11EDCD8}"/>
                </a:ext>
              </a:extLst>
            </xdr:cNvPr>
            <xdr:cNvSpPr/>
          </xdr:nvSpPr>
          <xdr:spPr>
            <a:xfrm>
              <a:off x="696686" y="2909506"/>
              <a:ext cx="7132320" cy="2775081"/>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0125"/>
                <a:gd name="connsiteX1" fmla="*/ 1228898 w 5486400"/>
                <a:gd name="connsiteY1" fmla="*/ 2651760 h 2870125"/>
                <a:gd name="connsiteX2" fmla="*/ 2492887 w 5486400"/>
                <a:gd name="connsiteY2" fmla="*/ 1898667 h 2870125"/>
                <a:gd name="connsiteX3" fmla="*/ 3276280 w 5486400"/>
                <a:gd name="connsiteY3" fmla="*/ 716280 h 2870125"/>
                <a:gd name="connsiteX4" fmla="*/ 4152900 w 5486400"/>
                <a:gd name="connsiteY4" fmla="*/ 152400 h 2870125"/>
                <a:gd name="connsiteX5" fmla="*/ 5486400 w 5486400"/>
                <a:gd name="connsiteY5" fmla="*/ 0 h 2870125"/>
                <a:gd name="connsiteX0" fmla="*/ 0 w 5486400"/>
                <a:gd name="connsiteY0" fmla="*/ 2849880 h 2870125"/>
                <a:gd name="connsiteX1" fmla="*/ 1228898 w 5486400"/>
                <a:gd name="connsiteY1" fmla="*/ 2651760 h 2870125"/>
                <a:gd name="connsiteX2" fmla="*/ 2492887 w 5486400"/>
                <a:gd name="connsiteY2" fmla="*/ 1898667 h 2870125"/>
                <a:gd name="connsiteX3" fmla="*/ 3495146 w 5486400"/>
                <a:gd name="connsiteY3" fmla="*/ 862940 h 2870125"/>
                <a:gd name="connsiteX4" fmla="*/ 4152900 w 5486400"/>
                <a:gd name="connsiteY4" fmla="*/ 152400 h 2870125"/>
                <a:gd name="connsiteX5" fmla="*/ 5486400 w 5486400"/>
                <a:gd name="connsiteY5" fmla="*/ 0 h 2870125"/>
                <a:gd name="connsiteX0" fmla="*/ 0 w 5486400"/>
                <a:gd name="connsiteY0" fmla="*/ 2853418 h 2873663"/>
                <a:gd name="connsiteX1" fmla="*/ 1228898 w 5486400"/>
                <a:gd name="connsiteY1" fmla="*/ 2655298 h 2873663"/>
                <a:gd name="connsiteX2" fmla="*/ 2492887 w 5486400"/>
                <a:gd name="connsiteY2" fmla="*/ 1902205 h 2873663"/>
                <a:gd name="connsiteX3" fmla="*/ 3495146 w 5486400"/>
                <a:gd name="connsiteY3" fmla="*/ 866478 h 2873663"/>
                <a:gd name="connsiteX4" fmla="*/ 4514871 w 5486400"/>
                <a:gd name="connsiteY4" fmla="*/ 99531 h 2873663"/>
                <a:gd name="connsiteX5" fmla="*/ 5486400 w 5486400"/>
                <a:gd name="connsiteY5" fmla="*/ 3538 h 2873663"/>
                <a:gd name="connsiteX0" fmla="*/ 0 w 5486400"/>
                <a:gd name="connsiteY0" fmla="*/ 2855764 h 2876009"/>
                <a:gd name="connsiteX1" fmla="*/ 1228898 w 5486400"/>
                <a:gd name="connsiteY1" fmla="*/ 2657644 h 2876009"/>
                <a:gd name="connsiteX2" fmla="*/ 2492887 w 5486400"/>
                <a:gd name="connsiteY2" fmla="*/ 1904551 h 2876009"/>
                <a:gd name="connsiteX3" fmla="*/ 3520400 w 5486400"/>
                <a:gd name="connsiteY3" fmla="*/ 913951 h 2876009"/>
                <a:gd name="connsiteX4" fmla="*/ 4514871 w 5486400"/>
                <a:gd name="connsiteY4" fmla="*/ 101877 h 2876009"/>
                <a:gd name="connsiteX5" fmla="*/ 5486400 w 5486400"/>
                <a:gd name="connsiteY5" fmla="*/ 5884 h 28760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6009">
                  <a:moveTo>
                    <a:pt x="0" y="2855764"/>
                  </a:moveTo>
                  <a:cubicBezTo>
                    <a:pt x="276225" y="2922439"/>
                    <a:pt x="813417" y="2816180"/>
                    <a:pt x="1228898" y="2657644"/>
                  </a:cubicBezTo>
                  <a:cubicBezTo>
                    <a:pt x="1644379" y="2499108"/>
                    <a:pt x="2110970" y="2195167"/>
                    <a:pt x="2492887" y="1904551"/>
                  </a:cubicBezTo>
                  <a:cubicBezTo>
                    <a:pt x="2874804" y="1613935"/>
                    <a:pt x="3183403" y="1214397"/>
                    <a:pt x="3520400" y="913951"/>
                  </a:cubicBezTo>
                  <a:cubicBezTo>
                    <a:pt x="3857397" y="613505"/>
                    <a:pt x="4187204" y="253221"/>
                    <a:pt x="4514871" y="101877"/>
                  </a:cubicBezTo>
                  <a:cubicBezTo>
                    <a:pt x="4842538" y="-49467"/>
                    <a:pt x="4999990" y="15409"/>
                    <a:pt x="5486400" y="5884"/>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sp macro="" textlink="">
          <xdr:nvSpPr>
            <xdr:cNvPr id="169" name="right curve">
              <a:extLst>
                <a:ext uri="{FF2B5EF4-FFF2-40B4-BE49-F238E27FC236}">
                  <a16:creationId xmlns:a16="http://schemas.microsoft.com/office/drawing/2014/main" id="{609334E6-B11A-4688-918A-662E710C645D}"/>
                </a:ext>
              </a:extLst>
            </xdr:cNvPr>
            <xdr:cNvSpPr/>
          </xdr:nvSpPr>
          <xdr:spPr>
            <a:xfrm flipH="1">
              <a:off x="7791450" y="2918813"/>
              <a:ext cx="3752850" cy="2770064"/>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21072 w 5486400"/>
                <a:gd name="connsiteY4" fmla="*/ 22009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3898274 w 5486400"/>
                <a:gd name="connsiteY4" fmla="*/ 231372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2639714 w 5486400"/>
                <a:gd name="connsiteY3" fmla="*/ 817815 h 2873869"/>
                <a:gd name="connsiteX4" fmla="*/ 3898274 w 5486400"/>
                <a:gd name="connsiteY4" fmla="*/ 231372 h 2873869"/>
                <a:gd name="connsiteX5" fmla="*/ 5486400 w 5486400"/>
                <a:gd name="connsiteY5" fmla="*/ 0 h 2873869"/>
                <a:gd name="connsiteX0" fmla="*/ 0 w 5486400"/>
                <a:gd name="connsiteY0" fmla="*/ 2849880 h 2872210"/>
                <a:gd name="connsiteX1" fmla="*/ 1228898 w 5486400"/>
                <a:gd name="connsiteY1" fmla="*/ 2651760 h 2872210"/>
                <a:gd name="connsiteX2" fmla="*/ 1719790 w 5486400"/>
                <a:gd name="connsiteY2" fmla="*/ 1785851 h 2872210"/>
                <a:gd name="connsiteX3" fmla="*/ 2639714 w 5486400"/>
                <a:gd name="connsiteY3" fmla="*/ 817815 h 2872210"/>
                <a:gd name="connsiteX4" fmla="*/ 3898274 w 5486400"/>
                <a:gd name="connsiteY4" fmla="*/ 231372 h 2872210"/>
                <a:gd name="connsiteX5" fmla="*/ 5486400 w 5486400"/>
                <a:gd name="connsiteY5" fmla="*/ 0 h 2872210"/>
                <a:gd name="connsiteX0" fmla="*/ 0 w 5486400"/>
                <a:gd name="connsiteY0" fmla="*/ 2849880 h 2870810"/>
                <a:gd name="connsiteX1" fmla="*/ 990185 w 5486400"/>
                <a:gd name="connsiteY1" fmla="*/ 2640478 h 2870810"/>
                <a:gd name="connsiteX2" fmla="*/ 1719790 w 5486400"/>
                <a:gd name="connsiteY2" fmla="*/ 1785851 h 2870810"/>
                <a:gd name="connsiteX3" fmla="*/ 2639714 w 5486400"/>
                <a:gd name="connsiteY3" fmla="*/ 817815 h 2870810"/>
                <a:gd name="connsiteX4" fmla="*/ 3898274 w 5486400"/>
                <a:gd name="connsiteY4" fmla="*/ 231372 h 2870810"/>
                <a:gd name="connsiteX5" fmla="*/ 5486400 w 5486400"/>
                <a:gd name="connsiteY5" fmla="*/ 0 h 2870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0810">
                  <a:moveTo>
                    <a:pt x="0" y="2849880"/>
                  </a:moveTo>
                  <a:cubicBezTo>
                    <a:pt x="276225" y="2916555"/>
                    <a:pt x="703553" y="2817816"/>
                    <a:pt x="990185" y="2640478"/>
                  </a:cubicBezTo>
                  <a:cubicBezTo>
                    <a:pt x="1276817" y="2463140"/>
                    <a:pt x="1444868" y="2089628"/>
                    <a:pt x="1719790" y="1785851"/>
                  </a:cubicBezTo>
                  <a:cubicBezTo>
                    <a:pt x="1994712" y="1482074"/>
                    <a:pt x="2276633" y="1076895"/>
                    <a:pt x="2639714" y="817815"/>
                  </a:cubicBezTo>
                  <a:cubicBezTo>
                    <a:pt x="3002795" y="558735"/>
                    <a:pt x="3423826" y="367674"/>
                    <a:pt x="3898274" y="231372"/>
                  </a:cubicBezTo>
                  <a:cubicBezTo>
                    <a:pt x="4372722" y="95070"/>
                    <a:pt x="4999990" y="9525"/>
                    <a:pt x="5486400" y="0"/>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cxnSp macro="">
          <xdr:nvCxnSpPr>
            <xdr:cNvPr id="170" name="bottom">
              <a:extLst>
                <a:ext uri="{FF2B5EF4-FFF2-40B4-BE49-F238E27FC236}">
                  <a16:creationId xmlns:a16="http://schemas.microsoft.com/office/drawing/2014/main" id="{C0293049-E5A6-46F3-8229-48761D41516E}"/>
                </a:ext>
              </a:extLst>
            </xdr:cNvPr>
            <xdr:cNvCxnSpPr>
              <a:cxnSpLocks/>
            </xdr:cNvCxnSpPr>
          </xdr:nvCxnSpPr>
          <xdr:spPr>
            <a:xfrm>
              <a:off x="696686" y="5771619"/>
              <a:ext cx="10847614" cy="0"/>
            </a:xfrm>
            <a:prstGeom prst="line">
              <a:avLst/>
            </a:prstGeom>
            <a:ln w="28575">
              <a:solidFill>
                <a:srgbClr val="E20000">
                  <a:alpha val="69804"/>
                </a:srgbClr>
              </a:solidFill>
            </a:ln>
          </xdr:spPr>
          <xdr:style>
            <a:lnRef idx="1">
              <a:schemeClr val="accent1"/>
            </a:lnRef>
            <a:fillRef idx="0">
              <a:schemeClr val="accent1"/>
            </a:fillRef>
            <a:effectRef idx="0">
              <a:schemeClr val="accent1"/>
            </a:effectRef>
            <a:fontRef idx="minor">
              <a:schemeClr val="tx1"/>
            </a:fontRef>
          </xdr:style>
        </xdr:cxnSp>
        <xdr:cxnSp macro="">
          <xdr:nvCxnSpPr>
            <xdr:cNvPr id="171" name="dotted center">
              <a:extLst>
                <a:ext uri="{FF2B5EF4-FFF2-40B4-BE49-F238E27FC236}">
                  <a16:creationId xmlns:a16="http://schemas.microsoft.com/office/drawing/2014/main" id="{CAB0F791-56EF-4411-A67F-8DED0259F23D}"/>
                </a:ext>
              </a:extLst>
            </xdr:cNvPr>
            <xdr:cNvCxnSpPr/>
          </xdr:nvCxnSpPr>
          <xdr:spPr>
            <a:xfrm>
              <a:off x="7018566" y="2944405"/>
              <a:ext cx="0" cy="2829659"/>
            </a:xfrm>
            <a:prstGeom prst="line">
              <a:avLst/>
            </a:prstGeom>
            <a:ln w="28575">
              <a:solidFill>
                <a:srgbClr val="E20000">
                  <a:alpha val="69804"/>
                </a:srgbClr>
              </a:solidFill>
              <a:prstDash val="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28</xdr:col>
      <xdr:colOff>133894</xdr:colOff>
      <xdr:row>146</xdr:row>
      <xdr:rowOff>121922</xdr:rowOff>
    </xdr:from>
    <xdr:to>
      <xdr:col>43</xdr:col>
      <xdr:colOff>251460</xdr:colOff>
      <xdr:row>149</xdr:row>
      <xdr:rowOff>76200</xdr:rowOff>
    </xdr:to>
    <xdr:sp macro="" textlink="">
      <xdr:nvSpPr>
        <xdr:cNvPr id="172" name="Rectangle: Rounded Corners 171">
          <a:hlinkClick xmlns:r="http://schemas.openxmlformats.org/officeDocument/2006/relationships" r:id="rId28"/>
          <a:extLst>
            <a:ext uri="{FF2B5EF4-FFF2-40B4-BE49-F238E27FC236}">
              <a16:creationId xmlns:a16="http://schemas.microsoft.com/office/drawing/2014/main" id="{C48A87A0-4D49-4B16-BFB2-D15F754E2D4D}"/>
            </a:ext>
          </a:extLst>
        </xdr:cNvPr>
        <xdr:cNvSpPr/>
      </xdr:nvSpPr>
      <xdr:spPr>
        <a:xfrm>
          <a:off x="18993394" y="42245282"/>
          <a:ext cx="4003766" cy="609598"/>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race of victim</a:t>
          </a:r>
        </a:p>
      </xdr:txBody>
    </xdr:sp>
    <xdr:clientData/>
  </xdr:twoCellAnchor>
  <xdr:twoCellAnchor>
    <xdr:from>
      <xdr:col>27</xdr:col>
      <xdr:colOff>44564</xdr:colOff>
      <xdr:row>719</xdr:row>
      <xdr:rowOff>145902</xdr:rowOff>
    </xdr:from>
    <xdr:to>
      <xdr:col>42</xdr:col>
      <xdr:colOff>161174</xdr:colOff>
      <xdr:row>729</xdr:row>
      <xdr:rowOff>174568</xdr:rowOff>
    </xdr:to>
    <xdr:sp macro="" textlink="">
      <xdr:nvSpPr>
        <xdr:cNvPr id="176" name="TextBox 175">
          <a:extLst>
            <a:ext uri="{FF2B5EF4-FFF2-40B4-BE49-F238E27FC236}">
              <a16:creationId xmlns:a16="http://schemas.microsoft.com/office/drawing/2014/main" id="{7F9DB562-37F3-46AD-A71A-F9BE465DEE52}"/>
            </a:ext>
          </a:extLst>
        </xdr:cNvPr>
        <xdr:cNvSpPr txBox="1"/>
      </xdr:nvSpPr>
      <xdr:spPr>
        <a:xfrm>
          <a:off x="18644984" y="255583542"/>
          <a:ext cx="4002810" cy="1918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hestitancy</a:t>
          </a:r>
          <a:r>
            <a:rPr lang="en-US" sz="1100" b="1" i="0" u="none" strike="noStrike" baseline="0">
              <a:solidFill>
                <a:schemeClr val="dk1"/>
              </a:solidFill>
              <a:effectLst/>
              <a:latin typeface="+mn-lt"/>
              <a:ea typeface="+mn-ea"/>
              <a:cs typeface="+mn-cs"/>
            </a:rPr>
            <a:t> to trust or seek legal recourse:</a:t>
          </a:r>
        </a:p>
        <a:p>
          <a:r>
            <a:rPr lang="en-US" sz="1100" b="0" i="0" u="none" strike="noStrike" baseline="0">
              <a:solidFill>
                <a:schemeClr val="dk1"/>
              </a:solidFill>
              <a:effectLst/>
              <a:latin typeface="+mn-lt"/>
              <a:ea typeface="+mn-ea"/>
              <a:cs typeface="+mn-cs"/>
            </a:rPr>
            <a:t>fear of retraumatization</a:t>
          </a:r>
        </a:p>
        <a:p>
          <a:r>
            <a:rPr lang="en-US" sz="1100" b="0" i="0" u="none" strike="noStrike" baseline="0">
              <a:solidFill>
                <a:schemeClr val="dk1"/>
              </a:solidFill>
              <a:effectLst/>
              <a:latin typeface="+mn-lt"/>
              <a:ea typeface="+mn-ea"/>
              <a:cs typeface="+mn-cs"/>
            </a:rPr>
            <a:t>struggled with depression</a:t>
          </a:r>
        </a:p>
        <a:p>
          <a:r>
            <a:rPr lang="en-US" sz="1100" b="0" i="0" u="none" strike="noStrike" baseline="0">
              <a:solidFill>
                <a:schemeClr val="dk1"/>
              </a:solidFill>
              <a:effectLst/>
              <a:latin typeface="+mn-lt"/>
              <a:ea typeface="+mn-ea"/>
              <a:cs typeface="+mn-cs"/>
            </a:rPr>
            <a:t>fear of dismissiveness; low priority</a:t>
          </a:r>
        </a:p>
        <a:p>
          <a:r>
            <a:rPr lang="en-US" sz="1100" b="0" i="0" u="none" strike="noStrike" baseline="0">
              <a:solidFill>
                <a:schemeClr val="dk1"/>
              </a:solidFill>
              <a:effectLst/>
              <a:latin typeface="+mn-lt"/>
              <a:ea typeface="+mn-ea"/>
              <a:cs typeface="+mn-cs"/>
            </a:rPr>
            <a:t>anxiety  from trusting same process creating egregious error</a:t>
          </a:r>
        </a:p>
        <a:p>
          <a:r>
            <a:rPr lang="en-US" sz="1100" b="0" i="0" u="none" strike="noStrike" baseline="0">
              <a:solidFill>
                <a:schemeClr val="dk1"/>
              </a:solidFill>
              <a:effectLst/>
              <a:latin typeface="+mn-lt"/>
              <a:ea typeface="+mn-ea"/>
              <a:cs typeface="+mn-cs"/>
            </a:rPr>
            <a:t>anxiety from extremely slow process of court review</a:t>
          </a:r>
        </a:p>
        <a:p>
          <a:r>
            <a:rPr lang="en-US" sz="1100" b="0" i="0" u="none" strike="noStrike" baseline="0">
              <a:solidFill>
                <a:schemeClr val="dk1"/>
              </a:solidFill>
              <a:effectLst/>
              <a:latin typeface="+mn-lt"/>
              <a:ea typeface="+mn-ea"/>
              <a:cs typeface="+mn-cs"/>
            </a:rPr>
            <a:t>anxiety from prosecutor resisting admission of being wrong</a:t>
          </a:r>
        </a:p>
        <a:p>
          <a:r>
            <a:rPr lang="en-US" sz="1100" b="0" i="0" u="none" strike="noStrike" baseline="0">
              <a:solidFill>
                <a:schemeClr val="dk1"/>
              </a:solidFill>
              <a:effectLst/>
              <a:latin typeface="+mn-lt"/>
              <a:ea typeface="+mn-ea"/>
              <a:cs typeface="+mn-cs"/>
            </a:rPr>
            <a:t>anxiety from being denied review/reversal by technicality</a:t>
          </a:r>
        </a:p>
        <a:p>
          <a:r>
            <a:rPr lang="en-US" sz="1100" b="0" i="0" u="none" strike="noStrike" baseline="0">
              <a:solidFill>
                <a:schemeClr val="dk1"/>
              </a:solidFill>
              <a:effectLst/>
              <a:latin typeface="+mn-lt"/>
              <a:ea typeface="+mn-ea"/>
              <a:cs typeface="+mn-cs"/>
            </a:rPr>
            <a:t>disillusioned with process (no longer seeking exoneration)</a:t>
          </a:r>
        </a:p>
        <a:p>
          <a:r>
            <a:rPr lang="en-US" sz="1100" b="0" i="0" u="none" strike="noStrike" baseline="0">
              <a:solidFill>
                <a:schemeClr val="dk1"/>
              </a:solidFill>
              <a:effectLst/>
              <a:latin typeface="+mn-lt"/>
              <a:ea typeface="+mn-ea"/>
              <a:cs typeface="+mn-cs"/>
            </a:rPr>
            <a:t>conflict of interest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1</xdr:col>
      <xdr:colOff>205740</xdr:colOff>
      <xdr:row>1745</xdr:row>
      <xdr:rowOff>7620</xdr:rowOff>
    </xdr:from>
    <xdr:to>
      <xdr:col>3</xdr:col>
      <xdr:colOff>1668295</xdr:colOff>
      <xdr:row>1754</xdr:row>
      <xdr:rowOff>92750</xdr:rowOff>
    </xdr:to>
    <xdr:sp macro="" textlink="">
      <xdr:nvSpPr>
        <xdr:cNvPr id="178" name="TextBox 177">
          <a:extLst>
            <a:ext uri="{FF2B5EF4-FFF2-40B4-BE49-F238E27FC236}">
              <a16:creationId xmlns:a16="http://schemas.microsoft.com/office/drawing/2014/main" id="{B59AB398-7DD5-441B-A8E8-CD91269AE958}"/>
            </a:ext>
          </a:extLst>
        </xdr:cNvPr>
        <xdr:cNvSpPr txBox="1"/>
      </xdr:nvSpPr>
      <xdr:spPr>
        <a:xfrm rot="387988">
          <a:off x="464820" y="331881480"/>
          <a:ext cx="4998235" cy="1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chemeClr val="accent2">
                  <a:lumMod val="60000"/>
                  <a:lumOff val="40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It is now easier for the accused to admit their human imperfections than for police and prosecutors to humbly and honestly admit theirs.</a:t>
          </a:r>
        </a:p>
      </xdr:txBody>
    </xdr:sp>
    <xdr:clientData/>
  </xdr:twoCellAnchor>
  <xdr:twoCellAnchor>
    <xdr:from>
      <xdr:col>1</xdr:col>
      <xdr:colOff>213360</xdr:colOff>
      <xdr:row>1745</xdr:row>
      <xdr:rowOff>22860</xdr:rowOff>
    </xdr:from>
    <xdr:to>
      <xdr:col>3</xdr:col>
      <xdr:colOff>1675915</xdr:colOff>
      <xdr:row>1754</xdr:row>
      <xdr:rowOff>107990</xdr:rowOff>
    </xdr:to>
    <xdr:sp macro="" textlink="">
      <xdr:nvSpPr>
        <xdr:cNvPr id="179" name="TextBox 178">
          <a:extLst>
            <a:ext uri="{FF2B5EF4-FFF2-40B4-BE49-F238E27FC236}">
              <a16:creationId xmlns:a16="http://schemas.microsoft.com/office/drawing/2014/main" id="{FF57CD47-45AB-48A2-90B9-1FE951E64D4C}"/>
            </a:ext>
          </a:extLst>
        </xdr:cNvPr>
        <xdr:cNvSpPr txBox="1"/>
      </xdr:nvSpPr>
      <xdr:spPr>
        <a:xfrm rot="387988">
          <a:off x="472440" y="331896720"/>
          <a:ext cx="4998235" cy="1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It is now easier for the accused to admit their human imperfections than for police and prosecutors to humbly and honestly admit theirs.</a:t>
          </a:r>
        </a:p>
      </xdr:txBody>
    </xdr:sp>
    <xdr:clientData/>
  </xdr:twoCellAnchor>
  <xdr:twoCellAnchor>
    <xdr:from>
      <xdr:col>28</xdr:col>
      <xdr:colOff>45719</xdr:colOff>
      <xdr:row>717</xdr:row>
      <xdr:rowOff>24675</xdr:rowOff>
    </xdr:from>
    <xdr:to>
      <xdr:col>55</xdr:col>
      <xdr:colOff>297180</xdr:colOff>
      <xdr:row>745</xdr:row>
      <xdr:rowOff>144780</xdr:rowOff>
    </xdr:to>
    <xdr:grpSp>
      <xdr:nvGrpSpPr>
        <xdr:cNvPr id="190" name="Group 189">
          <a:extLst>
            <a:ext uri="{FF2B5EF4-FFF2-40B4-BE49-F238E27FC236}">
              <a16:creationId xmlns:a16="http://schemas.microsoft.com/office/drawing/2014/main" id="{61536BE0-FAAB-45CE-BEB4-751ED9E111F2}"/>
            </a:ext>
          </a:extLst>
        </xdr:cNvPr>
        <xdr:cNvGrpSpPr/>
      </xdr:nvGrpSpPr>
      <xdr:grpSpPr>
        <a:xfrm>
          <a:off x="18905219" y="254898435"/>
          <a:ext cx="6972301" cy="5804625"/>
          <a:chOff x="10157459" y="255066075"/>
          <a:chExt cx="6972301" cy="5804625"/>
        </a:xfrm>
      </xdr:grpSpPr>
      <xdr:sp macro="" textlink="">
        <xdr:nvSpPr>
          <xdr:cNvPr id="180" name="TextBox 179">
            <a:extLst>
              <a:ext uri="{FF2B5EF4-FFF2-40B4-BE49-F238E27FC236}">
                <a16:creationId xmlns:a16="http://schemas.microsoft.com/office/drawing/2014/main" id="{CD6F3515-2D06-44CB-BD86-4F36A207CD03}"/>
              </a:ext>
            </a:extLst>
          </xdr:cNvPr>
          <xdr:cNvSpPr txBox="1"/>
        </xdr:nvSpPr>
        <xdr:spPr>
          <a:xfrm>
            <a:off x="12877799" y="25506607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1 denied review</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never heard back from them</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convinced of your innocence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case lacks adequate documents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do not handle this type of case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prioritizing assistance to others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other</a:t>
            </a:r>
            <a:endParaRPr lang="en-US" sz="1100">
              <a:latin typeface="Times New Roman" panose="02020603050405020304" pitchFamily="18" charset="0"/>
              <a:cs typeface="Times New Roman" panose="02020603050405020304" pitchFamily="18" charset="0"/>
            </a:endParaRPr>
          </a:p>
        </xdr:txBody>
      </xdr:sp>
      <xdr:sp macro="" textlink="">
        <xdr:nvSpPr>
          <xdr:cNvPr id="181" name="TextBox 180">
            <a:extLst>
              <a:ext uri="{FF2B5EF4-FFF2-40B4-BE49-F238E27FC236}">
                <a16:creationId xmlns:a16="http://schemas.microsoft.com/office/drawing/2014/main" id="{BA064907-5F78-4B66-BC56-054620AF5B56}"/>
              </a:ext>
            </a:extLst>
          </xdr:cNvPr>
          <xdr:cNvSpPr txBox="1"/>
        </xdr:nvSpPr>
        <xdr:spPr>
          <a:xfrm>
            <a:off x="15041879" y="25890655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8 disillusioned with process</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at all and eager to try again</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somewhat but hanging on to hope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increasingly disapppointed</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tempted to give up trying</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fully disillusioned, gave up hope</a:t>
            </a:r>
            <a:endParaRPr lang="en-US" sz="1100">
              <a:latin typeface="Times New Roman" panose="02020603050405020304" pitchFamily="18" charset="0"/>
              <a:cs typeface="Times New Roman" panose="02020603050405020304" pitchFamily="18" charset="0"/>
            </a:endParaRPr>
          </a:p>
        </xdr:txBody>
      </xdr:sp>
      <xdr:sp macro="" textlink="">
        <xdr:nvSpPr>
          <xdr:cNvPr id="182" name="TextBox 181">
            <a:extLst>
              <a:ext uri="{FF2B5EF4-FFF2-40B4-BE49-F238E27FC236}">
                <a16:creationId xmlns:a16="http://schemas.microsoft.com/office/drawing/2014/main" id="{D6392684-A6F1-414D-9549-29188CDED901}"/>
              </a:ext>
            </a:extLst>
          </xdr:cNvPr>
          <xdr:cNvSpPr txBox="1"/>
        </xdr:nvSpPr>
        <xdr:spPr>
          <a:xfrm>
            <a:off x="12877799" y="256353855"/>
            <a:ext cx="2087881" cy="13012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2 retraumatization risk</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trauma or risk of trauma</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losing some focus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reliving the nightmare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shutting down entirely</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complicating the damage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lethal damage, suicide</a:t>
            </a:r>
          </a:p>
        </xdr:txBody>
      </xdr:sp>
      <xdr:sp macro="" textlink="">
        <xdr:nvSpPr>
          <xdr:cNvPr id="183" name="TextBox 182">
            <a:extLst>
              <a:ext uri="{FF2B5EF4-FFF2-40B4-BE49-F238E27FC236}">
                <a16:creationId xmlns:a16="http://schemas.microsoft.com/office/drawing/2014/main" id="{83ED8BE6-4BB1-4B1A-AE80-BAFBFF50E735}"/>
              </a:ext>
            </a:extLst>
          </xdr:cNvPr>
          <xdr:cNvSpPr txBox="1"/>
        </xdr:nvSpPr>
        <xdr:spPr>
          <a:xfrm>
            <a:off x="12870179" y="2577178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3 depression</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none linked to legal-jud.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moderate level linkable to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often feel de-energized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routinely immobilized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constantly incapacitated by it</a:t>
            </a:r>
          </a:p>
          <a:p>
            <a:endParaRPr lang="en-US" sz="1100">
              <a:latin typeface="Times New Roman" panose="02020603050405020304" pitchFamily="18" charset="0"/>
              <a:cs typeface="Times New Roman" panose="02020603050405020304" pitchFamily="18" charset="0"/>
            </a:endParaRPr>
          </a:p>
        </xdr:txBody>
      </xdr:sp>
      <xdr:sp macro="" textlink="">
        <xdr:nvSpPr>
          <xdr:cNvPr id="184" name="TextBox 183">
            <a:extLst>
              <a:ext uri="{FF2B5EF4-FFF2-40B4-BE49-F238E27FC236}">
                <a16:creationId xmlns:a16="http://schemas.microsoft.com/office/drawing/2014/main" id="{17360784-B6F9-4B00-9E53-3D58AC8ED22A}"/>
              </a:ext>
            </a:extLst>
          </xdr:cNvPr>
          <xdr:cNvSpPr txBox="1"/>
        </xdr:nvSpPr>
        <xdr:spPr>
          <a:xfrm>
            <a:off x="15034259" y="25506607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5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worried it may take years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concerned it may take many years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worried it may take decades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afraid justice will come too late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terrified justice will never come </a:t>
            </a:r>
            <a:endParaRPr lang="en-US" sz="1100">
              <a:latin typeface="Times New Roman" panose="02020603050405020304" pitchFamily="18" charset="0"/>
              <a:cs typeface="Times New Roman" panose="02020603050405020304" pitchFamily="18" charset="0"/>
            </a:endParaRPr>
          </a:p>
        </xdr:txBody>
      </xdr:sp>
      <xdr:sp macro="" textlink="">
        <xdr:nvSpPr>
          <xdr:cNvPr id="185" name="TextBox 184">
            <a:extLst>
              <a:ext uri="{FF2B5EF4-FFF2-40B4-BE49-F238E27FC236}">
                <a16:creationId xmlns:a16="http://schemas.microsoft.com/office/drawing/2014/main" id="{8BDF4184-9705-4BFB-AA3B-0B132475B087}"/>
              </a:ext>
            </a:extLst>
          </xdr:cNvPr>
          <xdr:cNvSpPr txBox="1"/>
        </xdr:nvSpPr>
        <xdr:spPr>
          <a:xfrm>
            <a:off x="12870179" y="2590132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4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anxiety trusting court process</a:t>
            </a:r>
          </a:p>
          <a:p>
            <a:r>
              <a:rPr lang="en-US" sz="1100">
                <a:latin typeface="Times New Roman" panose="02020603050405020304" pitchFamily="18" charset="0"/>
                <a:cs typeface="Times New Roman" panose="02020603050405020304" pitchFamily="18" charset="0"/>
              </a:rPr>
              <a:t>slightly</a:t>
            </a:r>
            <a:r>
              <a:rPr lang="en-US" sz="1100" baseline="0">
                <a:latin typeface="Times New Roman" panose="02020603050405020304" pitchFamily="18" charset="0"/>
                <a:cs typeface="Times New Roman" panose="02020603050405020304" pitchFamily="18" charset="0"/>
              </a:rPr>
              <a:t> wary of trusting courts</a:t>
            </a:r>
          </a:p>
          <a:p>
            <a:r>
              <a:rPr lang="en-US" sz="1100" baseline="0">
                <a:latin typeface="Times New Roman" panose="02020603050405020304" pitchFamily="18" charset="0"/>
                <a:cs typeface="Times New Roman" panose="02020603050405020304" pitchFamily="18" charset="0"/>
              </a:rPr>
              <a:t>worried process will go poorly</a:t>
            </a:r>
          </a:p>
          <a:p>
            <a:r>
              <a:rPr lang="en-US" sz="1100" baseline="0">
                <a:latin typeface="Times New Roman" panose="02020603050405020304" pitchFamily="18" charset="0"/>
                <a:cs typeface="Times New Roman" panose="02020603050405020304" pitchFamily="18" charset="0"/>
              </a:rPr>
              <a:t>afraid courts cannot face its errors</a:t>
            </a:r>
          </a:p>
          <a:p>
            <a:r>
              <a:rPr lang="en-US" sz="1100" baseline="0">
                <a:latin typeface="Times New Roman" panose="02020603050405020304" pitchFamily="18" charset="0"/>
                <a:cs typeface="Times New Roman" panose="02020603050405020304" pitchFamily="18" charset="0"/>
              </a:rPr>
              <a:t>terrified having to rely on courts</a:t>
            </a:r>
          </a:p>
        </xdr:txBody>
      </xdr:sp>
      <xdr:sp macro="" textlink="">
        <xdr:nvSpPr>
          <xdr:cNvPr id="186" name="TextBox 185">
            <a:extLst>
              <a:ext uri="{FF2B5EF4-FFF2-40B4-BE49-F238E27FC236}">
                <a16:creationId xmlns:a16="http://schemas.microsoft.com/office/drawing/2014/main" id="{27A45E02-794F-4962-87B8-4C44AE6B2538}"/>
              </a:ext>
            </a:extLst>
          </xdr:cNvPr>
          <xdr:cNvSpPr txBox="1"/>
        </xdr:nvSpPr>
        <xdr:spPr>
          <a:xfrm>
            <a:off x="15026639" y="25762639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7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anxiety being out of the loop</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some vulnerability to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manipulated by the process </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controlled by the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paralyzed by the process</a:t>
            </a:r>
            <a:endParaRPr lang="en-US" sz="1100">
              <a:latin typeface="Times New Roman" panose="02020603050405020304" pitchFamily="18" charset="0"/>
              <a:cs typeface="Times New Roman" panose="02020603050405020304" pitchFamily="18" charset="0"/>
            </a:endParaRPr>
          </a:p>
        </xdr:txBody>
      </xdr:sp>
      <xdr:sp macro="" textlink="">
        <xdr:nvSpPr>
          <xdr:cNvPr id="187" name="TextBox 186">
            <a:extLst>
              <a:ext uri="{FF2B5EF4-FFF2-40B4-BE49-F238E27FC236}">
                <a16:creationId xmlns:a16="http://schemas.microsoft.com/office/drawing/2014/main" id="{DCC89C67-16AB-402A-8B7B-C70DCB214678}"/>
              </a:ext>
            </a:extLst>
          </xdr:cNvPr>
          <xdr:cNvSpPr txBox="1"/>
        </xdr:nvSpPr>
        <xdr:spPr>
          <a:xfrm>
            <a:off x="15026639" y="2563462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6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worried at all about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slightly concerned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worried about innoconce deniers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afraid of their conflicts of interest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fear judiciary opposes full justice</a:t>
            </a:r>
            <a:endParaRPr lang="en-US" sz="1100">
              <a:latin typeface="Times New Roman" panose="02020603050405020304" pitchFamily="18" charset="0"/>
              <a:cs typeface="Times New Roman" panose="02020603050405020304" pitchFamily="18" charset="0"/>
            </a:endParaRPr>
          </a:p>
        </xdr:txBody>
      </xdr:sp>
      <xdr:sp macro="" textlink="">
        <xdr:nvSpPr>
          <xdr:cNvPr id="192" name="TextBox 191">
            <a:extLst>
              <a:ext uri="{FF2B5EF4-FFF2-40B4-BE49-F238E27FC236}">
                <a16:creationId xmlns:a16="http://schemas.microsoft.com/office/drawing/2014/main" id="{EE6B22D1-A25C-4174-9990-604723F74163}"/>
              </a:ext>
            </a:extLst>
          </xdr:cNvPr>
          <xdr:cNvSpPr txBox="1"/>
        </xdr:nvSpPr>
        <xdr:spPr>
          <a:xfrm>
            <a:off x="10157459" y="259638075"/>
            <a:ext cx="2087881" cy="1232625"/>
          </a:xfrm>
          <a:prstGeom prst="rect">
            <a:avLst/>
          </a:prstGeom>
          <a:solidFill>
            <a:schemeClr val="accent6">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1 denied review</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never heard back from them</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convinced of your innocence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case lacks adequate documents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do not handle your type of case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prioritizing assistance to others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other</a:t>
            </a:r>
            <a:endParaRPr lang="en-US" sz="1100">
              <a:latin typeface="Times New Roman" panose="02020603050405020304" pitchFamily="18" charset="0"/>
              <a:cs typeface="Times New Roman" panose="02020603050405020304" pitchFamily="18" charset="0"/>
            </a:endParaRPr>
          </a:p>
        </xdr:txBody>
      </xdr:sp>
    </xdr:grpSp>
    <xdr:clientData/>
  </xdr:twoCellAnchor>
  <xdr:twoCellAnchor>
    <xdr:from>
      <xdr:col>29</xdr:col>
      <xdr:colOff>0</xdr:colOff>
      <xdr:row>756</xdr:row>
      <xdr:rowOff>0</xdr:rowOff>
    </xdr:from>
    <xdr:to>
      <xdr:col>50</xdr:col>
      <xdr:colOff>100216</xdr:colOff>
      <xdr:row>759</xdr:row>
      <xdr:rowOff>166518</xdr:rowOff>
    </xdr:to>
    <xdr:sp macro="" textlink="">
      <xdr:nvSpPr>
        <xdr:cNvPr id="191" name="TextBox 190">
          <a:extLst>
            <a:ext uri="{FF2B5EF4-FFF2-40B4-BE49-F238E27FC236}">
              <a16:creationId xmlns:a16="http://schemas.microsoft.com/office/drawing/2014/main" id="{30F48D42-9402-46C9-BA3E-1DD51B5A74AD}"/>
            </a:ext>
          </a:extLst>
        </xdr:cNvPr>
        <xdr:cNvSpPr txBox="1"/>
      </xdr:nvSpPr>
      <xdr:spPr>
        <a:xfrm>
          <a:off x="19118580" y="262653780"/>
          <a:ext cx="5472316" cy="738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Painful</a:t>
          </a:r>
          <a:r>
            <a:rPr lang="en-US" sz="1100" b="1" i="0" u="none" strike="noStrike" baseline="0">
              <a:solidFill>
                <a:schemeClr val="dk1"/>
              </a:solidFill>
              <a:effectLst/>
              <a:latin typeface="+mn-lt"/>
              <a:ea typeface="+mn-ea"/>
              <a:cs typeface="+mn-cs"/>
            </a:rPr>
            <a:t> experiences with the adversarial legal-judicial system helps account for the estimated high volume of unexonerated innocent. This tool exists independent of the judiciary and can either complement it or compete with it. </a:t>
          </a:r>
        </a:p>
        <a:p>
          <a:endParaRPr lang="en-US" sz="1100" b="1" i="0" u="none" strike="noStrike" baseline="0">
            <a:solidFill>
              <a:schemeClr val="dk1"/>
            </a:solidFill>
            <a:effectLst/>
            <a:latin typeface="+mn-lt"/>
            <a:ea typeface="+mn-ea"/>
            <a:cs typeface="+mn-cs"/>
          </a:endParaRPr>
        </a:p>
        <a:p>
          <a:r>
            <a:rPr lang="en-US">
              <a:effectLst/>
            </a:rPr>
            <a:t>legitimacy</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EIT option</a:t>
          </a:r>
        </a:p>
        <a:p>
          <a:endParaRPr lang="en-US" sz="1100"/>
        </a:p>
      </xdr:txBody>
    </xdr:sp>
    <xdr:clientData/>
  </xdr:twoCellAnchor>
  <xdr:twoCellAnchor>
    <xdr:from>
      <xdr:col>0</xdr:col>
      <xdr:colOff>100363</xdr:colOff>
      <xdr:row>1648</xdr:row>
      <xdr:rowOff>4662</xdr:rowOff>
    </xdr:from>
    <xdr:to>
      <xdr:col>5</xdr:col>
      <xdr:colOff>13097</xdr:colOff>
      <xdr:row>1660</xdr:row>
      <xdr:rowOff>50466</xdr:rowOff>
    </xdr:to>
    <xdr:sp macro="" textlink="">
      <xdr:nvSpPr>
        <xdr:cNvPr id="193" name="Text Box 12">
          <a:extLst>
            <a:ext uri="{FF2B5EF4-FFF2-40B4-BE49-F238E27FC236}">
              <a16:creationId xmlns:a16="http://schemas.microsoft.com/office/drawing/2014/main" id="{D32AA4BB-3114-4AD3-BE8E-05F27E5D1D53}"/>
            </a:ext>
          </a:extLst>
        </xdr:cNvPr>
        <xdr:cNvSpPr txBox="1"/>
      </xdr:nvSpPr>
      <xdr:spPr>
        <a:xfrm rot="21221143">
          <a:off x="100363" y="314916402"/>
          <a:ext cx="5871574" cy="2148924"/>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In this present</a:t>
          </a:r>
          <a:r>
            <a:rPr lang="en-US" sz="18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crisis, to paraphrase Ronald Reagan, the criminal justice system is not the solution to the problem. The criminal justice system is the problem.</a:t>
          </a:r>
          <a:endParaRPr lang="en-US" sz="16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96582</xdr:colOff>
      <xdr:row>1663</xdr:row>
      <xdr:rowOff>19533</xdr:rowOff>
    </xdr:from>
    <xdr:to>
      <xdr:col>5</xdr:col>
      <xdr:colOff>9316</xdr:colOff>
      <xdr:row>1676</xdr:row>
      <xdr:rowOff>46490</xdr:rowOff>
    </xdr:to>
    <xdr:sp macro="" textlink="">
      <xdr:nvSpPr>
        <xdr:cNvPr id="194" name="Text Box 12">
          <a:extLst>
            <a:ext uri="{FF2B5EF4-FFF2-40B4-BE49-F238E27FC236}">
              <a16:creationId xmlns:a16="http://schemas.microsoft.com/office/drawing/2014/main" id="{D31C5533-6FAE-4F2B-BA13-B4D14A94AB5E}"/>
            </a:ext>
          </a:extLst>
        </xdr:cNvPr>
        <xdr:cNvSpPr txBox="1"/>
      </xdr:nvSpPr>
      <xdr:spPr>
        <a:xfrm rot="328490">
          <a:off x="96582" y="317560173"/>
          <a:ext cx="5871574" cy="2305337"/>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It is difficult to get either side to see the adversarial system’s conflict of interest, to paraphrase Sinclair Lewis, when their power depends on them not seeing it.</a:t>
          </a:r>
        </a:p>
      </xdr:txBody>
    </xdr:sp>
    <xdr:clientData/>
  </xdr:twoCellAnchor>
  <xdr:twoCellAnchor>
    <xdr:from>
      <xdr:col>0</xdr:col>
      <xdr:colOff>146320</xdr:colOff>
      <xdr:row>1678</xdr:row>
      <xdr:rowOff>79589</xdr:rowOff>
    </xdr:from>
    <xdr:to>
      <xdr:col>5</xdr:col>
      <xdr:colOff>59054</xdr:colOff>
      <xdr:row>1693</xdr:row>
      <xdr:rowOff>19647</xdr:rowOff>
    </xdr:to>
    <xdr:sp macro="" textlink="">
      <xdr:nvSpPr>
        <xdr:cNvPr id="195" name="Text Box 12">
          <a:extLst>
            <a:ext uri="{FF2B5EF4-FFF2-40B4-BE49-F238E27FC236}">
              <a16:creationId xmlns:a16="http://schemas.microsoft.com/office/drawing/2014/main" id="{D25B20CA-E327-49E1-A060-ACCD57BFDF37}"/>
            </a:ext>
          </a:extLst>
        </xdr:cNvPr>
        <xdr:cNvSpPr txBox="1"/>
      </xdr:nvSpPr>
      <xdr:spPr>
        <a:xfrm rot="21221143">
          <a:off x="146320" y="320249129"/>
          <a:ext cx="5871574" cy="2568958"/>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The adversarial system</a:t>
          </a:r>
          <a:r>
            <a:rPr lang="en-US" sz="18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divides human beings into winners and losers of a court battle. It anchors objectified human beings to untested beliefs. Meanwwhile, the many lives it impacts remains anchored to painful reality.</a:t>
          </a:r>
          <a:endPar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1945640</xdr:colOff>
      <xdr:row>105</xdr:row>
      <xdr:rowOff>53340</xdr:rowOff>
    </xdr:from>
    <xdr:to>
      <xdr:col>2</xdr:col>
      <xdr:colOff>2264981</xdr:colOff>
      <xdr:row>105</xdr:row>
      <xdr:rowOff>259080</xdr:rowOff>
    </xdr:to>
    <xdr:sp macro="" textlink="">
      <xdr:nvSpPr>
        <xdr:cNvPr id="2" name="Rectangle 1">
          <a:hlinkClick xmlns:r="http://schemas.openxmlformats.org/officeDocument/2006/relationships" r:id="rId1" tooltip="Case information"/>
          <a:extLst>
            <a:ext uri="{FF2B5EF4-FFF2-40B4-BE49-F238E27FC236}">
              <a16:creationId xmlns:a16="http://schemas.microsoft.com/office/drawing/2014/main" id="{8EC67611-E2EA-4F02-B968-07581E2C6AFB}"/>
            </a:ext>
          </a:extLst>
        </xdr:cNvPr>
        <xdr:cNvSpPr/>
      </xdr:nvSpPr>
      <xdr:spPr>
        <a:xfrm>
          <a:off x="3286760" y="33901380"/>
          <a:ext cx="319341" cy="205740"/>
        </a:xfrm>
        <a:prstGeom prst="rect">
          <a:avLst/>
        </a:prstGeom>
        <a:solidFill>
          <a:srgbClr val="EAE3D2"/>
        </a:solidFill>
        <a:ln w="19050">
          <a:noFill/>
        </a:ln>
        <a:effectLst>
          <a:outerShdw blurRad="63500" sx="102000" sy="102000" algn="ctr"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indent="0" algn="ctr"/>
          <a:r>
            <a:rPr lang="en-US" sz="1400">
              <a:solidFill>
                <a:sysClr val="windowText" lastClr="000000"/>
              </a:solidFill>
              <a:latin typeface="Arial Black" panose="020B0A04020102020204" pitchFamily="34" charset="0"/>
              <a:ea typeface="+mn-ea"/>
              <a:cs typeface="+mn-cs"/>
            </a:rPr>
            <a:t>A</a:t>
          </a:r>
        </a:p>
      </xdr:txBody>
    </xdr:sp>
    <xdr:clientData/>
  </xdr:twoCellAnchor>
  <xdr:twoCellAnchor>
    <xdr:from>
      <xdr:col>2</xdr:col>
      <xdr:colOff>2269700</xdr:colOff>
      <xdr:row>105</xdr:row>
      <xdr:rowOff>53340</xdr:rowOff>
    </xdr:from>
    <xdr:to>
      <xdr:col>3</xdr:col>
      <xdr:colOff>137941</xdr:colOff>
      <xdr:row>105</xdr:row>
      <xdr:rowOff>259080</xdr:rowOff>
    </xdr:to>
    <xdr:sp macro="" textlink="">
      <xdr:nvSpPr>
        <xdr:cNvPr id="3" name="Rectangle 2">
          <a:hlinkClick xmlns:r="http://schemas.openxmlformats.org/officeDocument/2006/relationships" r:id="rId2" tooltip="Documentation for verfication"/>
          <a:extLst>
            <a:ext uri="{FF2B5EF4-FFF2-40B4-BE49-F238E27FC236}">
              <a16:creationId xmlns:a16="http://schemas.microsoft.com/office/drawing/2014/main" id="{60FFE168-D82A-42E0-8D50-F1E0610B229C}"/>
            </a:ext>
          </a:extLst>
        </xdr:cNvPr>
        <xdr:cNvSpPr/>
      </xdr:nvSpPr>
      <xdr:spPr>
        <a:xfrm>
          <a:off x="3610820" y="33901380"/>
          <a:ext cx="321881" cy="205740"/>
        </a:xfrm>
        <a:prstGeom prst="rect">
          <a:avLst/>
        </a:prstGeom>
        <a:solidFill>
          <a:schemeClr val="accent1">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B</a:t>
          </a:r>
        </a:p>
      </xdr:txBody>
    </xdr:sp>
    <xdr:clientData/>
  </xdr:twoCellAnchor>
  <xdr:twoCellAnchor>
    <xdr:from>
      <xdr:col>3</xdr:col>
      <xdr:colOff>150279</xdr:colOff>
      <xdr:row>105</xdr:row>
      <xdr:rowOff>53340</xdr:rowOff>
    </xdr:from>
    <xdr:to>
      <xdr:col>3</xdr:col>
      <xdr:colOff>469620</xdr:colOff>
      <xdr:row>105</xdr:row>
      <xdr:rowOff>259080</xdr:rowOff>
    </xdr:to>
    <xdr:sp macro="" textlink="">
      <xdr:nvSpPr>
        <xdr:cNvPr id="4" name="Rectangle 3">
          <a:hlinkClick xmlns:r="http://schemas.openxmlformats.org/officeDocument/2006/relationships" r:id="rId3" tooltip="Factors in your wrongful conviction"/>
          <a:extLst>
            <a:ext uri="{FF2B5EF4-FFF2-40B4-BE49-F238E27FC236}">
              <a16:creationId xmlns:a16="http://schemas.microsoft.com/office/drawing/2014/main" id="{F44B5A07-FE18-4A40-997D-DF47B50D9071}"/>
            </a:ext>
          </a:extLst>
        </xdr:cNvPr>
        <xdr:cNvSpPr/>
      </xdr:nvSpPr>
      <xdr:spPr>
        <a:xfrm>
          <a:off x="3945039" y="33901380"/>
          <a:ext cx="319341" cy="205740"/>
        </a:xfrm>
        <a:prstGeom prst="rect">
          <a:avLst/>
        </a:prstGeom>
        <a:solidFill>
          <a:srgbClr val="FFC0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C</a:t>
          </a:r>
        </a:p>
      </xdr:txBody>
    </xdr:sp>
    <xdr:clientData/>
  </xdr:twoCellAnchor>
  <xdr:twoCellAnchor>
    <xdr:from>
      <xdr:col>3</xdr:col>
      <xdr:colOff>474339</xdr:colOff>
      <xdr:row>105</xdr:row>
      <xdr:rowOff>53340</xdr:rowOff>
    </xdr:from>
    <xdr:to>
      <xdr:col>3</xdr:col>
      <xdr:colOff>793680</xdr:colOff>
      <xdr:row>105</xdr:row>
      <xdr:rowOff>259080</xdr:rowOff>
    </xdr:to>
    <xdr:sp macro="" textlink="">
      <xdr:nvSpPr>
        <xdr:cNvPr id="5" name="Rectangle 4">
          <a:hlinkClick xmlns:r="http://schemas.openxmlformats.org/officeDocument/2006/relationships" r:id="rId4" tooltip="Requests &amp; responses for exoneration help"/>
          <a:extLst>
            <a:ext uri="{FF2B5EF4-FFF2-40B4-BE49-F238E27FC236}">
              <a16:creationId xmlns:a16="http://schemas.microsoft.com/office/drawing/2014/main" id="{6F9DEAB1-6F44-477C-AD21-70678101262E}"/>
            </a:ext>
          </a:extLst>
        </xdr:cNvPr>
        <xdr:cNvSpPr/>
      </xdr:nvSpPr>
      <xdr:spPr>
        <a:xfrm>
          <a:off x="4269099" y="33901380"/>
          <a:ext cx="319341" cy="205740"/>
        </a:xfrm>
        <a:prstGeom prst="rect">
          <a:avLst/>
        </a:prstGeom>
        <a:solidFill>
          <a:schemeClr val="accent4">
            <a:lumMod val="40000"/>
            <a:lumOff val="6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D</a:t>
          </a:r>
        </a:p>
      </xdr:txBody>
    </xdr:sp>
    <xdr:clientData/>
  </xdr:twoCellAnchor>
  <xdr:twoCellAnchor>
    <xdr:from>
      <xdr:col>3</xdr:col>
      <xdr:colOff>798399</xdr:colOff>
      <xdr:row>105</xdr:row>
      <xdr:rowOff>53340</xdr:rowOff>
    </xdr:from>
    <xdr:to>
      <xdr:col>3</xdr:col>
      <xdr:colOff>1117740</xdr:colOff>
      <xdr:row>105</xdr:row>
      <xdr:rowOff>259080</xdr:rowOff>
    </xdr:to>
    <xdr:sp macro="" textlink="">
      <xdr:nvSpPr>
        <xdr:cNvPr id="6" name="Rectangle 5">
          <a:hlinkClick xmlns:r="http://schemas.openxmlformats.org/officeDocument/2006/relationships" r:id="rId5" tooltip="Collateral consequences of conviction"/>
          <a:extLst>
            <a:ext uri="{FF2B5EF4-FFF2-40B4-BE49-F238E27FC236}">
              <a16:creationId xmlns:a16="http://schemas.microsoft.com/office/drawing/2014/main" id="{2C0CED27-7A2D-497B-A79C-A213B65598F2}"/>
            </a:ext>
          </a:extLst>
        </xdr:cNvPr>
        <xdr:cNvSpPr/>
      </xdr:nvSpPr>
      <xdr:spPr>
        <a:xfrm>
          <a:off x="4593159" y="33901380"/>
          <a:ext cx="319341" cy="205740"/>
        </a:xfrm>
        <a:prstGeom prst="rect">
          <a:avLst/>
        </a:prstGeom>
        <a:solidFill>
          <a:srgbClr val="FFFF00"/>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E</a:t>
          </a:r>
        </a:p>
      </xdr:txBody>
    </xdr:sp>
    <xdr:clientData/>
  </xdr:twoCellAnchor>
  <xdr:twoCellAnchor>
    <xdr:from>
      <xdr:col>3</xdr:col>
      <xdr:colOff>1131046</xdr:colOff>
      <xdr:row>105</xdr:row>
      <xdr:rowOff>53340</xdr:rowOff>
    </xdr:from>
    <xdr:to>
      <xdr:col>3</xdr:col>
      <xdr:colOff>1450387</xdr:colOff>
      <xdr:row>105</xdr:row>
      <xdr:rowOff>259080</xdr:rowOff>
    </xdr:to>
    <xdr:sp macro="" textlink="">
      <xdr:nvSpPr>
        <xdr:cNvPr id="7" name="Rectangle 6">
          <a:hlinkClick xmlns:r="http://schemas.openxmlformats.org/officeDocument/2006/relationships" r:id="rId6" tooltip="Claimant narrative"/>
          <a:extLst>
            <a:ext uri="{FF2B5EF4-FFF2-40B4-BE49-F238E27FC236}">
              <a16:creationId xmlns:a16="http://schemas.microsoft.com/office/drawing/2014/main" id="{D8413DD6-08E3-4C97-818F-DBB6A52FD086}"/>
            </a:ext>
          </a:extLst>
        </xdr:cNvPr>
        <xdr:cNvSpPr/>
      </xdr:nvSpPr>
      <xdr:spPr>
        <a:xfrm>
          <a:off x="4925806" y="33901380"/>
          <a:ext cx="319341" cy="205740"/>
        </a:xfrm>
        <a:prstGeom prst="rect">
          <a:avLst/>
        </a:prstGeom>
        <a:solidFill>
          <a:srgbClr val="B9FFD9"/>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F</a:t>
          </a:r>
        </a:p>
      </xdr:txBody>
    </xdr:sp>
    <xdr:clientData/>
  </xdr:twoCellAnchor>
  <xdr:twoCellAnchor>
    <xdr:from>
      <xdr:col>3</xdr:col>
      <xdr:colOff>1455105</xdr:colOff>
      <xdr:row>105</xdr:row>
      <xdr:rowOff>53340</xdr:rowOff>
    </xdr:from>
    <xdr:to>
      <xdr:col>3</xdr:col>
      <xdr:colOff>1776260</xdr:colOff>
      <xdr:row>105</xdr:row>
      <xdr:rowOff>259080</xdr:rowOff>
    </xdr:to>
    <xdr:sp macro="" textlink="">
      <xdr:nvSpPr>
        <xdr:cNvPr id="8" name="Rectangle 7">
          <a:hlinkClick xmlns:r="http://schemas.openxmlformats.org/officeDocument/2006/relationships" r:id="rId7" tooltip="Compensation"/>
          <a:extLst>
            <a:ext uri="{FF2B5EF4-FFF2-40B4-BE49-F238E27FC236}">
              <a16:creationId xmlns:a16="http://schemas.microsoft.com/office/drawing/2014/main" id="{276E53BC-B14B-474D-B878-7C0125541753}"/>
            </a:ext>
          </a:extLst>
        </xdr:cNvPr>
        <xdr:cNvSpPr/>
      </xdr:nvSpPr>
      <xdr:spPr>
        <a:xfrm>
          <a:off x="5249865" y="33901380"/>
          <a:ext cx="321155" cy="205740"/>
        </a:xfrm>
        <a:prstGeom prst="rect">
          <a:avLst/>
        </a:prstGeom>
        <a:solidFill>
          <a:srgbClr val="FFE1FF"/>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G</a:t>
          </a:r>
        </a:p>
      </xdr:txBody>
    </xdr:sp>
    <xdr:clientData/>
  </xdr:twoCellAnchor>
  <xdr:twoCellAnchor>
    <xdr:from>
      <xdr:col>3</xdr:col>
      <xdr:colOff>1781946</xdr:colOff>
      <xdr:row>105</xdr:row>
      <xdr:rowOff>53340</xdr:rowOff>
    </xdr:from>
    <xdr:to>
      <xdr:col>4</xdr:col>
      <xdr:colOff>132787</xdr:colOff>
      <xdr:row>105</xdr:row>
      <xdr:rowOff>259080</xdr:rowOff>
    </xdr:to>
    <xdr:sp macro="" textlink="">
      <xdr:nvSpPr>
        <xdr:cNvPr id="9" name="Rectangle 8">
          <a:hlinkClick xmlns:r="http://schemas.openxmlformats.org/officeDocument/2006/relationships" r:id="rId8" tooltip="You're not alone"/>
          <a:extLst>
            <a:ext uri="{FF2B5EF4-FFF2-40B4-BE49-F238E27FC236}">
              <a16:creationId xmlns:a16="http://schemas.microsoft.com/office/drawing/2014/main" id="{E2C8A742-D708-4B92-9A8B-B0F5ABC440F2}"/>
            </a:ext>
          </a:extLst>
        </xdr:cNvPr>
        <xdr:cNvSpPr/>
      </xdr:nvSpPr>
      <xdr:spPr>
        <a:xfrm>
          <a:off x="5576706" y="33901380"/>
          <a:ext cx="324421" cy="205740"/>
        </a:xfrm>
        <a:prstGeom prst="rect">
          <a:avLst/>
        </a:prstGeom>
        <a:solidFill>
          <a:schemeClr val="accent2">
            <a:lumMod val="60000"/>
            <a:lumOff val="40000"/>
          </a:schemeClr>
        </a:solidFill>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a:solidFill>
                <a:schemeClr val="tx1"/>
              </a:solidFill>
              <a:latin typeface="Arial Black" panose="020B0A04020102020204" pitchFamily="34" charset="0"/>
            </a:rPr>
            <a:t>H</a:t>
          </a:r>
        </a:p>
      </xdr:txBody>
    </xdr:sp>
    <xdr:clientData/>
  </xdr:twoCellAnchor>
  <xdr:twoCellAnchor>
    <xdr:from>
      <xdr:col>0</xdr:col>
      <xdr:colOff>7620</xdr:colOff>
      <xdr:row>13</xdr:row>
      <xdr:rowOff>137160</xdr:rowOff>
    </xdr:from>
    <xdr:to>
      <xdr:col>1</xdr:col>
      <xdr:colOff>15240</xdr:colOff>
      <xdr:row>13</xdr:row>
      <xdr:rowOff>434340</xdr:rowOff>
    </xdr:to>
    <xdr:sp macro="" textlink="">
      <xdr:nvSpPr>
        <xdr:cNvPr id="10" name="Arrow: Down 9">
          <a:hlinkClick xmlns:r="http://schemas.openxmlformats.org/officeDocument/2006/relationships" r:id="rId9" tooltip="SYNOPSIS entry"/>
          <a:extLst>
            <a:ext uri="{FF2B5EF4-FFF2-40B4-BE49-F238E27FC236}">
              <a16:creationId xmlns:a16="http://schemas.microsoft.com/office/drawing/2014/main" id="{0C94D938-E343-4734-B3C8-E4A27AE4C688}"/>
            </a:ext>
          </a:extLst>
        </xdr:cNvPr>
        <xdr:cNvSpPr/>
      </xdr:nvSpPr>
      <xdr:spPr>
        <a:xfrm>
          <a:off x="7620" y="319278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7620</xdr:colOff>
      <xdr:row>32</xdr:row>
      <xdr:rowOff>144780</xdr:rowOff>
    </xdr:from>
    <xdr:to>
      <xdr:col>1</xdr:col>
      <xdr:colOff>15240</xdr:colOff>
      <xdr:row>32</xdr:row>
      <xdr:rowOff>441960</xdr:rowOff>
    </xdr:to>
    <xdr:sp macro="" textlink="">
      <xdr:nvSpPr>
        <xdr:cNvPr id="11" name="Arrow: Down 10">
          <a:hlinkClick xmlns:r="http://schemas.openxmlformats.org/officeDocument/2006/relationships" r:id="rId10" tooltip="SUMMARY entry"/>
          <a:extLst>
            <a:ext uri="{FF2B5EF4-FFF2-40B4-BE49-F238E27FC236}">
              <a16:creationId xmlns:a16="http://schemas.microsoft.com/office/drawing/2014/main" id="{3724B570-7027-4214-A9C5-3402EAF75FE6}"/>
            </a:ext>
          </a:extLst>
        </xdr:cNvPr>
        <xdr:cNvSpPr/>
      </xdr:nvSpPr>
      <xdr:spPr>
        <a:xfrm>
          <a:off x="7620" y="894588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860</xdr:row>
      <xdr:rowOff>373380</xdr:rowOff>
    </xdr:from>
    <xdr:to>
      <xdr:col>1</xdr:col>
      <xdr:colOff>15240</xdr:colOff>
      <xdr:row>861</xdr:row>
      <xdr:rowOff>678180</xdr:rowOff>
    </xdr:to>
    <xdr:sp macro="" textlink="">
      <xdr:nvSpPr>
        <xdr:cNvPr id="12" name="Arrow: Up 11">
          <a:hlinkClick xmlns:r="http://schemas.openxmlformats.org/officeDocument/2006/relationships" r:id="rId11" tooltip="FLIPSIDE displayed above"/>
          <a:extLst>
            <a:ext uri="{FF2B5EF4-FFF2-40B4-BE49-F238E27FC236}">
              <a16:creationId xmlns:a16="http://schemas.microsoft.com/office/drawing/2014/main" id="{3CF58C41-1EB1-41EE-834F-AF1A9AC0CAE0}"/>
            </a:ext>
          </a:extLst>
        </xdr:cNvPr>
        <xdr:cNvSpPr/>
      </xdr:nvSpPr>
      <xdr:spPr>
        <a:xfrm>
          <a:off x="0" y="28746450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0</xdr:colOff>
      <xdr:row>870</xdr:row>
      <xdr:rowOff>0</xdr:rowOff>
    </xdr:from>
    <xdr:to>
      <xdr:col>1</xdr:col>
      <xdr:colOff>15240</xdr:colOff>
      <xdr:row>870</xdr:row>
      <xdr:rowOff>685800</xdr:rowOff>
    </xdr:to>
    <xdr:sp macro="" textlink="">
      <xdr:nvSpPr>
        <xdr:cNvPr id="13" name="Arrow: Up 12">
          <a:hlinkClick xmlns:r="http://schemas.openxmlformats.org/officeDocument/2006/relationships" r:id="rId12" tooltip="SUMMARY displayed above"/>
          <a:extLst>
            <a:ext uri="{FF2B5EF4-FFF2-40B4-BE49-F238E27FC236}">
              <a16:creationId xmlns:a16="http://schemas.microsoft.com/office/drawing/2014/main" id="{F844B664-EA20-4C56-B46F-9A4F29735AF7}"/>
            </a:ext>
          </a:extLst>
        </xdr:cNvPr>
        <xdr:cNvSpPr/>
      </xdr:nvSpPr>
      <xdr:spPr>
        <a:xfrm>
          <a:off x="0" y="29080206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98331</xdr:colOff>
      <xdr:row>1698</xdr:row>
      <xdr:rowOff>28423</xdr:rowOff>
    </xdr:from>
    <xdr:to>
      <xdr:col>5</xdr:col>
      <xdr:colOff>11065</xdr:colOff>
      <xdr:row>1708</xdr:row>
      <xdr:rowOff>127915</xdr:rowOff>
    </xdr:to>
    <xdr:sp macro="" textlink="">
      <xdr:nvSpPr>
        <xdr:cNvPr id="14" name="Text Box 12">
          <a:extLst>
            <a:ext uri="{FF2B5EF4-FFF2-40B4-BE49-F238E27FC236}">
              <a16:creationId xmlns:a16="http://schemas.microsoft.com/office/drawing/2014/main" id="{1A79851E-75DB-42B1-9864-2E64A872C3D8}"/>
            </a:ext>
          </a:extLst>
        </xdr:cNvPr>
        <xdr:cNvSpPr txBox="1"/>
      </xdr:nvSpPr>
      <xdr:spPr>
        <a:xfrm rot="21221143">
          <a:off x="98331" y="323710783"/>
          <a:ext cx="5871574" cy="1852092"/>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20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Whether law</a:t>
          </a:r>
          <a:r>
            <a:rPr lang="en-US" sz="20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breaker or law enforcer</a:t>
          </a:r>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indulging your need at another's expense lets you become the evil you fear in others.</a:t>
          </a:r>
        </a:p>
      </xdr:txBody>
    </xdr:sp>
    <xdr:clientData/>
  </xdr:twoCellAnchor>
  <xdr:twoCellAnchor>
    <xdr:from>
      <xdr:col>0</xdr:col>
      <xdr:colOff>45720</xdr:colOff>
      <xdr:row>1793</xdr:row>
      <xdr:rowOff>0</xdr:rowOff>
    </xdr:from>
    <xdr:to>
      <xdr:col>3</xdr:col>
      <xdr:colOff>1737360</xdr:colOff>
      <xdr:row>1793</xdr:row>
      <xdr:rowOff>0</xdr:rowOff>
    </xdr:to>
    <xdr:grpSp>
      <xdr:nvGrpSpPr>
        <xdr:cNvPr id="15" name="Group 14">
          <a:extLst>
            <a:ext uri="{FF2B5EF4-FFF2-40B4-BE49-F238E27FC236}">
              <a16:creationId xmlns:a16="http://schemas.microsoft.com/office/drawing/2014/main" id="{DE5F2C76-2585-42E6-8804-0E2B274B7A37}"/>
            </a:ext>
          </a:extLst>
        </xdr:cNvPr>
        <xdr:cNvGrpSpPr/>
      </xdr:nvGrpSpPr>
      <xdr:grpSpPr>
        <a:xfrm>
          <a:off x="45720" y="340339680"/>
          <a:ext cx="5486400" cy="0"/>
          <a:chOff x="45720" y="340583520"/>
          <a:chExt cx="5486400" cy="6762750"/>
        </a:xfrm>
      </xdr:grpSpPr>
      <xdr:pic>
        <xdr:nvPicPr>
          <xdr:cNvPr id="16" name="Ronald Reagan">
            <a:extLst>
              <a:ext uri="{FF2B5EF4-FFF2-40B4-BE49-F238E27FC236}">
                <a16:creationId xmlns:a16="http://schemas.microsoft.com/office/drawing/2014/main" id="{FB7B7309-94C9-496D-A9CC-2B3A09D78F0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5720" y="340583520"/>
            <a:ext cx="5410200" cy="6762750"/>
          </a:xfrm>
          <a:prstGeom prst="rect">
            <a:avLst/>
          </a:prstGeom>
        </xdr:spPr>
      </xdr:pic>
      <xdr:sp macro="" textlink="">
        <xdr:nvSpPr>
          <xdr:cNvPr id="17" name="TextBox 16">
            <a:extLst>
              <a:ext uri="{FF2B5EF4-FFF2-40B4-BE49-F238E27FC236}">
                <a16:creationId xmlns:a16="http://schemas.microsoft.com/office/drawing/2014/main" id="{00B38394-33DC-4E0E-A0E9-DC917E0464B2}"/>
              </a:ext>
            </a:extLst>
          </xdr:cNvPr>
          <xdr:cNvSpPr txBox="1"/>
        </xdr:nvSpPr>
        <xdr:spPr>
          <a:xfrm>
            <a:off x="68580" y="341779860"/>
            <a:ext cx="2255520" cy="3497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ts val="2400"/>
              </a:lnSpc>
              <a:spcBef>
                <a:spcPts val="0"/>
              </a:spcBef>
              <a:spcAft>
                <a:spcPts val="0"/>
              </a:spcAft>
              <a:buClrTx/>
              <a:buSzTx/>
              <a:buFontTx/>
              <a:buNone/>
              <a:tabLst/>
              <a:defRPr/>
            </a:pP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panose="020B0604020202020204" pitchFamily="34" charset="0"/>
                <a:ea typeface="+mn-ea"/>
                <a:cs typeface="Arial" panose="020B0604020202020204" pitchFamily="34" charset="0"/>
              </a:rPr>
              <a:t>          </a:t>
            </a:r>
            <a:r>
              <a:rPr lang="en-US" sz="1800" b="1"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panose="020B0604020202020204" pitchFamily="34" charset="0"/>
                <a:ea typeface="+mn-ea"/>
                <a:cs typeface="Arial" panose="020B0604020202020204" pitchFamily="34" charset="0"/>
              </a:rPr>
              <a:t>  </a:t>
            </a: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"In this present crisis,"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to paraphrase Ronald Reagan,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"the </a:t>
            </a:r>
            <a:r>
              <a:rPr lang="en-US" sz="1800" b="1">
                <a:ln>
                  <a:solidFill>
                    <a:schemeClr val="tx1"/>
                  </a:solidFill>
                </a:ln>
                <a:solidFill>
                  <a:srgbClr val="FFABAD"/>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criminal justice system</a:t>
            </a:r>
            <a:r>
              <a:rPr lang="en-US" sz="1800" b="1" baseline="0">
                <a:ln>
                  <a:solidFill>
                    <a:schemeClr val="tx1"/>
                  </a:solidFill>
                </a:ln>
                <a:solidFill>
                  <a:srgbClr val="FFABAD"/>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spc="-100"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is not the solution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to the problem.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The </a:t>
            </a:r>
            <a:r>
              <a:rPr lang="en-US" sz="1800" b="1">
                <a:ln>
                  <a:solidFill>
                    <a:schemeClr val="tx1"/>
                  </a:solidFill>
                </a:ln>
                <a:solidFill>
                  <a:srgbClr val="FFABAD"/>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criminal justice system </a:t>
            </a:r>
          </a:p>
          <a:p>
            <a:pPr marL="0" marR="0" lvl="0" indent="0" defTabSz="914400" rtl="0" eaLnBrk="1" fontAlgn="auto" latinLnBrk="0" hangingPunct="1">
              <a:lnSpc>
                <a:spcPts val="2400"/>
              </a:lnSpc>
              <a:spcBef>
                <a:spcPts val="0"/>
              </a:spcBef>
              <a:spcAft>
                <a:spcPts val="0"/>
              </a:spcAft>
              <a:buClrTx/>
              <a:buSzTx/>
              <a:buFontTx/>
              <a:buNone/>
              <a:tabLst/>
              <a:defRPr/>
            </a:pPr>
            <a:r>
              <a:rPr lang="en-US" sz="1800" b="1" i="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is</a:t>
            </a: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 the problem."</a:t>
            </a:r>
            <a:endParaRPr lang="en-US" sz="180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cs typeface="Arial" panose="020B0604020202020204" pitchFamily="34" charset="0"/>
            </a:endParaRPr>
          </a:p>
        </xdr:txBody>
      </xdr:sp>
      <xdr:sp macro="" textlink="">
        <xdr:nvSpPr>
          <xdr:cNvPr id="18" name="TextBox 17">
            <a:extLst>
              <a:ext uri="{FF2B5EF4-FFF2-40B4-BE49-F238E27FC236}">
                <a16:creationId xmlns:a16="http://schemas.microsoft.com/office/drawing/2014/main" id="{D388B8B5-9DE5-45DF-BD44-79A675D12A44}"/>
              </a:ext>
            </a:extLst>
          </xdr:cNvPr>
          <xdr:cNvSpPr txBox="1"/>
        </xdr:nvSpPr>
        <xdr:spPr>
          <a:xfrm>
            <a:off x="53340" y="340629240"/>
            <a:ext cx="5478780" cy="1219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The </a:t>
            </a:r>
            <a:r>
              <a:rPr lang="en-US" sz="1800" b="1">
                <a:ln>
                  <a:solidFill>
                    <a:schemeClr val="tx1"/>
                  </a:solidFill>
                </a:ln>
                <a:solidFill>
                  <a:srgbClr val="FFABAD"/>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criminal justice system </a:t>
            </a: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finds itself in a crisis by being that part of </a:t>
            </a:r>
            <a:r>
              <a:rPr lang="en-US" sz="2000" b="1" spc="-100"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government</a:t>
            </a:r>
            <a:r>
              <a:rPr lang="en-US" sz="20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 </a:t>
            </a:r>
            <a:r>
              <a:rPr lang="en-US" sz="1800" b="1">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with far more power than accountability. </a:t>
            </a:r>
          </a:p>
        </xdr:txBody>
      </xdr:sp>
      <xdr:sp macro="" textlink="">
        <xdr:nvSpPr>
          <xdr:cNvPr id="19" name="TextBox 18">
            <a:extLst>
              <a:ext uri="{FF2B5EF4-FFF2-40B4-BE49-F238E27FC236}">
                <a16:creationId xmlns:a16="http://schemas.microsoft.com/office/drawing/2014/main" id="{7B6C5CB1-B1C5-4255-829D-0362F3E9C0AD}"/>
              </a:ext>
            </a:extLst>
          </xdr:cNvPr>
          <xdr:cNvSpPr txBox="1"/>
        </xdr:nvSpPr>
        <xdr:spPr>
          <a:xfrm>
            <a:off x="91440" y="345239340"/>
            <a:ext cx="5067300" cy="1127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1800" b="1" spc="-100"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Its </a:t>
            </a:r>
            <a:r>
              <a:rPr lang="en-US" sz="1800" b="1" spc="-100" baseline="0">
                <a:ln>
                  <a:solidFill>
                    <a:schemeClr val="tx1"/>
                  </a:solidFill>
                </a:ln>
                <a:solidFill>
                  <a:srgbClr val="FFABAD"/>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adversarial system </a:t>
            </a:r>
            <a:r>
              <a:rPr lang="en-US" sz="1800" b="1" spc="-100"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gets anchored in untested beliefs, while the lives it impacts remains anchored painfully to reality.</a:t>
            </a:r>
          </a:p>
        </xdr:txBody>
      </xdr:sp>
      <xdr:sp macro="" textlink="">
        <xdr:nvSpPr>
          <xdr:cNvPr id="20" name="TextBox 19">
            <a:extLst>
              <a:ext uri="{FF2B5EF4-FFF2-40B4-BE49-F238E27FC236}">
                <a16:creationId xmlns:a16="http://schemas.microsoft.com/office/drawing/2014/main" id="{3C00A484-53B5-4088-BC43-2DF3CB82F47C}"/>
              </a:ext>
            </a:extLst>
          </xdr:cNvPr>
          <xdr:cNvSpPr txBox="1"/>
        </xdr:nvSpPr>
        <xdr:spPr>
          <a:xfrm>
            <a:off x="91440" y="346344240"/>
            <a:ext cx="5265420" cy="777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1800" b="1" spc="-100" baseline="0">
                <a:ln>
                  <a:solidFill>
                    <a:schemeClr val="tx1"/>
                  </a:solidFill>
                </a:ln>
                <a:solidFill>
                  <a:schemeClr val="bg1"/>
                </a:solidFill>
                <a:effectLst>
                  <a:glow rad="12700">
                    <a:schemeClr val="bg1">
                      <a:alpha val="85000"/>
                    </a:schemeClr>
                  </a:glow>
                  <a:outerShdw dist="38100" dir="2400000" algn="tl" rotWithShape="0">
                    <a:srgbClr val="000000"/>
                  </a:outerShdw>
                </a:effectLst>
                <a:latin typeface="Arial Black" panose="020B0A04020102020204" pitchFamily="34" charset="0"/>
                <a:ea typeface="+mn-ea"/>
                <a:cs typeface="Arial" panose="020B0604020202020204" pitchFamily="34" charset="0"/>
              </a:rPr>
              <a:t>Reality is what happens when your beliefs have you looking the other way.</a:t>
            </a:r>
          </a:p>
        </xdr:txBody>
      </xdr:sp>
    </xdr:grpSp>
    <xdr:clientData/>
  </xdr:twoCellAnchor>
  <xdr:twoCellAnchor>
    <xdr:from>
      <xdr:col>35</xdr:col>
      <xdr:colOff>125334</xdr:colOff>
      <xdr:row>55</xdr:row>
      <xdr:rowOff>152976</xdr:rowOff>
    </xdr:from>
    <xdr:to>
      <xdr:col>58</xdr:col>
      <xdr:colOff>227667</xdr:colOff>
      <xdr:row>58</xdr:row>
      <xdr:rowOff>454479</xdr:rowOff>
    </xdr:to>
    <xdr:sp macro="" textlink="">
      <xdr:nvSpPr>
        <xdr:cNvPr id="21" name="Text Box 4">
          <a:extLst>
            <a:ext uri="{FF2B5EF4-FFF2-40B4-BE49-F238E27FC236}">
              <a16:creationId xmlns:a16="http://schemas.microsoft.com/office/drawing/2014/main" id="{66C2B43E-09B1-4A39-BEC1-BDDA834C9CF1}"/>
            </a:ext>
          </a:extLst>
        </xdr:cNvPr>
        <xdr:cNvSpPr txBox="1"/>
      </xdr:nvSpPr>
      <xdr:spPr>
        <a:xfrm>
          <a:off x="18341340" y="21321336"/>
          <a:ext cx="0" cy="1505463"/>
        </a:xfrm>
        <a:prstGeom prst="rect">
          <a:avLst/>
        </a:prstGeom>
        <a:solidFill>
          <a:srgbClr val="FFE1FF">
            <a:alpha val="85098"/>
          </a:srgbClr>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2800"/>
            </a:lnSpc>
            <a:spcBef>
              <a:spcPts val="0"/>
            </a:spcBef>
            <a:spcAft>
              <a:spcPts val="0"/>
            </a:spcAft>
            <a:tabLst>
              <a:tab pos="3200400" algn="r"/>
            </a:tabLst>
          </a:pP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We know without doubt that the vast majority of </a:t>
          </a:r>
          <a:r>
            <a:rPr lang="en-US" sz="1600" b="1" u="none" strike="noStrike">
              <a:ln w="3175" cap="rnd" cmpd="sng" algn="ctr">
                <a:solidFill>
                  <a:srgbClr val="7030A0"/>
                </a:solidFill>
                <a:prstDash val="solid"/>
                <a:bevel/>
              </a:ln>
              <a:solidFill>
                <a:srgbClr val="FFFF00"/>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innocent defendants</a:t>
          </a:r>
          <a:r>
            <a:rPr lang="en-US" sz="1600" b="1" u="none" strike="noStrike">
              <a:ln w="3175" cap="rnd" cmpd="sng" algn="ctr">
                <a:solidFill>
                  <a:srgbClr val="7030A0"/>
                </a:solidFill>
                <a:prstDash val="solid"/>
                <a:bevel/>
              </a:ln>
              <a:solidFill>
                <a:srgbClr val="70AD47"/>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who are </a:t>
          </a:r>
          <a:r>
            <a:rPr lang="en-US" sz="1600" b="1" u="none" strike="noStrike">
              <a:ln w="3175" cap="rnd" cmpd="sng" algn="ctr">
                <a:solidFill>
                  <a:srgbClr val="7030A0"/>
                </a:solidFill>
                <a:prstDash val="solid"/>
                <a:bevel/>
              </a:ln>
              <a:solidFill>
                <a:schemeClr val="tx1"/>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convicted</a:t>
          </a:r>
          <a:r>
            <a:rPr lang="en-US" sz="1600" b="1" u="none" strike="noStrike">
              <a:ln w="3175" cap="rnd" cmpd="sng" algn="ctr">
                <a:solidFill>
                  <a:srgbClr val="7030A0"/>
                </a:solidFill>
                <a:prstDash val="solid"/>
                <a:bevel/>
              </a:ln>
              <a:solidFill>
                <a:srgbClr val="25FF88"/>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of crimes</a:t>
          </a:r>
          <a:r>
            <a:rPr lang="en-US" sz="1600" b="1" u="none" strike="noStrike">
              <a:ln w="3175" cap="rnd" cmpd="sng" algn="ctr">
                <a:solidFill>
                  <a:srgbClr val="7030A0"/>
                </a:solidFill>
                <a:prstDash val="solid"/>
                <a:bevel/>
              </a:ln>
              <a:solidFill>
                <a:srgbClr val="B9FFD9"/>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B9FFD9"/>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800" b="1" u="none" strike="noStrike">
              <a:ln w="3175" cap="rnd" cmpd="sng" algn="ctr">
                <a:solidFill>
                  <a:srgbClr val="7030A0"/>
                </a:solidFill>
                <a:prstDash val="solid"/>
                <a:bevel/>
              </a:ln>
              <a:solidFill>
                <a:srgbClr val="FF7C80"/>
              </a:solidFill>
              <a:effectLst>
                <a:outerShdw blurRad="50800" dist="127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are never identified and cleared</a:t>
          </a: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a:p>
          <a:pPr marL="685800" marR="349250" indent="-228600" algn="ctr">
            <a:lnSpc>
              <a:spcPts val="1400"/>
            </a:lnSpc>
            <a:spcBef>
              <a:spcPts val="600"/>
            </a:spcBef>
            <a:spcAft>
              <a:spcPts val="0"/>
            </a:spcAft>
            <a:tabLst>
              <a:tab pos="3200400" algn="r"/>
            </a:tabLst>
          </a:pPr>
          <a:r>
            <a:rPr lang="en-US" sz="1050">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Samuel R. Gross, </a:t>
          </a:r>
          <a:r>
            <a:rPr lang="en-US" sz="1050" i="1">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NRE</a:t>
          </a:r>
          <a:endParaRPr lang="en-US" sz="105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763269</xdr:colOff>
      <xdr:row>1732</xdr:row>
      <xdr:rowOff>24766</xdr:rowOff>
    </xdr:from>
    <xdr:to>
      <xdr:col>4</xdr:col>
      <xdr:colOff>156844</xdr:colOff>
      <xdr:row>1741</xdr:row>
      <xdr:rowOff>17146</xdr:rowOff>
    </xdr:to>
    <xdr:sp macro="" textlink="">
      <xdr:nvSpPr>
        <xdr:cNvPr id="22" name="Text Box 9">
          <a:extLst>
            <a:ext uri="{FF2B5EF4-FFF2-40B4-BE49-F238E27FC236}">
              <a16:creationId xmlns:a16="http://schemas.microsoft.com/office/drawing/2014/main" id="{E2A8B05A-2610-4EE0-9676-9CF654E47876}"/>
            </a:ext>
          </a:extLst>
        </xdr:cNvPr>
        <xdr:cNvSpPr txBox="1"/>
      </xdr:nvSpPr>
      <xdr:spPr>
        <a:xfrm rot="582896">
          <a:off x="2104389" y="329665966"/>
          <a:ext cx="3820795" cy="1569720"/>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nSpc>
              <a:spcPts val="3200"/>
            </a:lnSpc>
            <a:spcBef>
              <a:spcPts val="0"/>
            </a:spcBef>
            <a:spcAft>
              <a:spcPts val="0"/>
            </a:spcAft>
            <a:tabLst>
              <a:tab pos="3200400" algn="r"/>
            </a:tabLst>
          </a:pPr>
          <a:r>
            <a:rPr lang="en-US" sz="18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What often gets categorized as justice is no justice at all.</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228599</xdr:colOff>
      <xdr:row>1723</xdr:row>
      <xdr:rowOff>167641</xdr:rowOff>
    </xdr:from>
    <xdr:to>
      <xdr:col>3</xdr:col>
      <xdr:colOff>1920239</xdr:colOff>
      <xdr:row>1732</xdr:row>
      <xdr:rowOff>160021</xdr:rowOff>
    </xdr:to>
    <xdr:sp macro="" textlink="">
      <xdr:nvSpPr>
        <xdr:cNvPr id="23" name="Text Box 7">
          <a:extLst>
            <a:ext uri="{FF2B5EF4-FFF2-40B4-BE49-F238E27FC236}">
              <a16:creationId xmlns:a16="http://schemas.microsoft.com/office/drawing/2014/main" id="{EE15AB45-B126-44F8-94AD-06C9FCC1035F}"/>
            </a:ext>
          </a:extLst>
        </xdr:cNvPr>
        <xdr:cNvSpPr txBox="1"/>
      </xdr:nvSpPr>
      <xdr:spPr>
        <a:xfrm rot="21249537">
          <a:off x="228599" y="328231501"/>
          <a:ext cx="5486400" cy="1569720"/>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nSpc>
              <a:spcPts val="3200"/>
            </a:lnSpc>
            <a:spcBef>
              <a:spcPts val="0"/>
            </a:spcBef>
            <a:spcAft>
              <a:spcPts val="0"/>
            </a:spcAft>
            <a:tabLst>
              <a:tab pos="3200400" algn="r"/>
            </a:tabLst>
          </a:pPr>
          <a:r>
            <a:rPr lang="en-US" sz="18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Any unfairness in the process for justice rarely results in the fairness of justice</a:t>
          </a:r>
          <a:r>
            <a:rPr lang="en-US" sz="1800" b="1" u="sng">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27</xdr:col>
      <xdr:colOff>45719</xdr:colOff>
      <xdr:row>714</xdr:row>
      <xdr:rowOff>489495</xdr:rowOff>
    </xdr:from>
    <xdr:to>
      <xdr:col>42</xdr:col>
      <xdr:colOff>165100</xdr:colOff>
      <xdr:row>719</xdr:row>
      <xdr:rowOff>55881</xdr:rowOff>
    </xdr:to>
    <xdr:sp macro="" textlink="">
      <xdr:nvSpPr>
        <xdr:cNvPr id="24" name="TextBox 23">
          <a:extLst>
            <a:ext uri="{FF2B5EF4-FFF2-40B4-BE49-F238E27FC236}">
              <a16:creationId xmlns:a16="http://schemas.microsoft.com/office/drawing/2014/main" id="{6AFFEB7A-9B22-4C13-9178-C929A1F966E1}"/>
            </a:ext>
          </a:extLst>
        </xdr:cNvPr>
        <xdr:cNvSpPr txBox="1"/>
      </xdr:nvSpPr>
      <xdr:spPr>
        <a:xfrm>
          <a:off x="18341340" y="254220255"/>
          <a:ext cx="0" cy="12732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Request</a:t>
          </a:r>
          <a:r>
            <a:rPr lang="en-US" sz="1100" b="1" i="0" u="none" strike="noStrike" baseline="0">
              <a:solidFill>
                <a:schemeClr val="dk1"/>
              </a:solidFill>
              <a:effectLst/>
              <a:latin typeface="+mn-lt"/>
              <a:ea typeface="+mn-ea"/>
              <a:cs typeface="+mn-cs"/>
            </a:rPr>
            <a:t> not honored:</a:t>
          </a:r>
        </a:p>
        <a:p>
          <a:r>
            <a:rPr lang="en-US" sz="1100" b="0" i="0" u="none" strike="noStrike" baseline="0">
              <a:solidFill>
                <a:schemeClr val="dk1"/>
              </a:solidFill>
              <a:effectLst/>
              <a:latin typeface="+mn-lt"/>
              <a:ea typeface="+mn-ea"/>
              <a:cs typeface="+mn-cs"/>
            </a:rPr>
            <a:t>Prioritizing assistance to claimants on death row</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life sentance</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with long sentences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Prioritizing assistance to claimants still in prison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61</xdr:col>
      <xdr:colOff>268876</xdr:colOff>
      <xdr:row>713</xdr:row>
      <xdr:rowOff>117565</xdr:rowOff>
    </xdr:from>
    <xdr:to>
      <xdr:col>74</xdr:col>
      <xdr:colOff>207917</xdr:colOff>
      <xdr:row>714</xdr:row>
      <xdr:rowOff>1763486</xdr:rowOff>
    </xdr:to>
    <xdr:sp macro="" textlink="">
      <xdr:nvSpPr>
        <xdr:cNvPr id="25" name="TextBox 24">
          <a:extLst>
            <a:ext uri="{FF2B5EF4-FFF2-40B4-BE49-F238E27FC236}">
              <a16:creationId xmlns:a16="http://schemas.microsoft.com/office/drawing/2014/main" id="{85E2CFC1-1AC8-4BDE-AC8C-11322E0D2EFC}"/>
            </a:ext>
          </a:extLst>
        </xdr:cNvPr>
        <xdr:cNvSpPr txBox="1"/>
      </xdr:nvSpPr>
      <xdr:spPr>
        <a:xfrm>
          <a:off x="18341340" y="253673065"/>
          <a:ext cx="0" cy="822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review URL</a:t>
          </a:r>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link does not work</a:t>
          </a:r>
        </a:p>
        <a:p>
          <a:r>
            <a:rPr lang="en-US" sz="1100" b="0" i="0" u="none" strike="noStrike" baseline="0">
              <a:solidFill>
                <a:schemeClr val="dk1"/>
              </a:solidFill>
              <a:effectLst/>
              <a:latin typeface="+mn-lt"/>
              <a:ea typeface="+mn-ea"/>
              <a:cs typeface="+mn-cs"/>
            </a:rPr>
            <a:t>link works unreliably</a:t>
          </a:r>
        </a:p>
        <a:p>
          <a:r>
            <a:rPr lang="en-US" sz="1100" b="0" i="0" u="none" strike="noStrike" baseline="0">
              <a:solidFill>
                <a:schemeClr val="dk1"/>
              </a:solidFill>
              <a:effectLst/>
              <a:latin typeface="+mn-lt"/>
              <a:ea typeface="+mn-ea"/>
              <a:cs typeface="+mn-cs"/>
            </a:rPr>
            <a:t>link works, document(s) not found</a:t>
          </a:r>
        </a:p>
        <a:p>
          <a:r>
            <a:rPr lang="en-US" sz="1100" b="0" i="0" u="none" strike="noStrike" baseline="0">
              <a:solidFill>
                <a:schemeClr val="dk1"/>
              </a:solidFill>
              <a:effectLst/>
              <a:latin typeface="+mn-lt"/>
              <a:ea typeface="+mn-ea"/>
              <a:cs typeface="+mn-cs"/>
            </a:rPr>
            <a:t>link works, some of document(s) found</a:t>
          </a:r>
        </a:p>
        <a:p>
          <a:r>
            <a:rPr lang="en-US" sz="1100" b="0" i="0" u="none" strike="noStrike" baseline="0">
              <a:solidFill>
                <a:schemeClr val="dk1"/>
              </a:solidFill>
              <a:effectLst/>
              <a:latin typeface="+mn-lt"/>
              <a:ea typeface="+mn-ea"/>
              <a:cs typeface="+mn-cs"/>
            </a:rPr>
            <a:t>link works, all of document(s) found</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39</xdr:col>
      <xdr:colOff>76200</xdr:colOff>
      <xdr:row>727</xdr:row>
      <xdr:rowOff>21771</xdr:rowOff>
    </xdr:from>
    <xdr:to>
      <xdr:col>39</xdr:col>
      <xdr:colOff>250372</xdr:colOff>
      <xdr:row>727</xdr:row>
      <xdr:rowOff>67490</xdr:rowOff>
    </xdr:to>
    <xdr:sp macro="" textlink="">
      <xdr:nvSpPr>
        <xdr:cNvPr id="26" name="TextBox 25">
          <a:extLst>
            <a:ext uri="{FF2B5EF4-FFF2-40B4-BE49-F238E27FC236}">
              <a16:creationId xmlns:a16="http://schemas.microsoft.com/office/drawing/2014/main" id="{9BA4AFE1-0971-4459-9BDE-9E3BAF48FD34}"/>
            </a:ext>
          </a:extLst>
        </xdr:cNvPr>
        <xdr:cNvSpPr txBox="1"/>
      </xdr:nvSpPr>
      <xdr:spPr>
        <a:xfrm>
          <a:off x="18341340" y="256968171"/>
          <a:ext cx="0"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57</xdr:col>
      <xdr:colOff>18507</xdr:colOff>
      <xdr:row>791</xdr:row>
      <xdr:rowOff>139337</xdr:rowOff>
    </xdr:from>
    <xdr:to>
      <xdr:col>61</xdr:col>
      <xdr:colOff>261257</xdr:colOff>
      <xdr:row>791</xdr:row>
      <xdr:rowOff>1077686</xdr:rowOff>
    </xdr:to>
    <xdr:sp macro="" textlink="">
      <xdr:nvSpPr>
        <xdr:cNvPr id="27" name="TextBox 26">
          <a:extLst>
            <a:ext uri="{FF2B5EF4-FFF2-40B4-BE49-F238E27FC236}">
              <a16:creationId xmlns:a16="http://schemas.microsoft.com/office/drawing/2014/main" id="{FBA40D7A-E51B-4C8B-A3D3-8A4F10EC6790}"/>
            </a:ext>
          </a:extLst>
        </xdr:cNvPr>
        <xdr:cNvSpPr txBox="1"/>
      </xdr:nvSpPr>
      <xdr:spPr>
        <a:xfrm>
          <a:off x="18341340" y="271076057"/>
          <a:ext cx="0" cy="816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options:</a:t>
          </a:r>
          <a:endParaRPr lang="en-US" sz="1100" b="1"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during incarceration</a:t>
          </a:r>
        </a:p>
        <a:p>
          <a:r>
            <a:rPr lang="en-US" sz="1100" b="0" i="0" u="none" strike="noStrike" baseline="0">
              <a:solidFill>
                <a:schemeClr val="dk1"/>
              </a:solidFill>
              <a:effectLst/>
              <a:latin typeface="+mn-lt"/>
              <a:ea typeface="+mn-ea"/>
              <a:cs typeface="+mn-cs"/>
            </a:rPr>
            <a:t>since incarceration</a:t>
          </a:r>
        </a:p>
        <a:p>
          <a:r>
            <a:rPr lang="en-US" sz="1100" b="0" i="0" u="none" strike="noStrike" baseline="0">
              <a:solidFill>
                <a:schemeClr val="dk1"/>
              </a:solidFill>
              <a:effectLst/>
              <a:latin typeface="+mn-lt"/>
              <a:ea typeface="+mn-ea"/>
              <a:cs typeface="+mn-cs"/>
            </a:rPr>
            <a:t>during and since incarceration</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83</xdr:col>
      <xdr:colOff>223067</xdr:colOff>
      <xdr:row>1195</xdr:row>
      <xdr:rowOff>284025</xdr:rowOff>
    </xdr:from>
    <xdr:to>
      <xdr:col>87</xdr:col>
      <xdr:colOff>240846</xdr:colOff>
      <xdr:row>1249</xdr:row>
      <xdr:rowOff>0</xdr:rowOff>
    </xdr:to>
    <xdr:sp macro="" textlink="">
      <xdr:nvSpPr>
        <xdr:cNvPr id="29" name="TextBox 28">
          <a:extLst>
            <a:ext uri="{FF2B5EF4-FFF2-40B4-BE49-F238E27FC236}">
              <a16:creationId xmlns:a16="http://schemas.microsoft.com/office/drawing/2014/main" id="{CCA0508E-4731-499A-A49C-2FCEA1572533}"/>
            </a:ext>
          </a:extLst>
        </xdr:cNvPr>
        <xdr:cNvSpPr txBox="1"/>
      </xdr:nvSpPr>
      <xdr:spPr>
        <a:xfrm>
          <a:off x="18341340" y="3060115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how know</a:t>
          </a:r>
          <a:r>
            <a:rPr lang="en-US" sz="1100" b="1" i="0" u="none" strike="noStrike" baseline="0">
              <a:solidFill>
                <a:schemeClr val="dk1"/>
              </a:solidFill>
              <a:effectLst/>
              <a:latin typeface="+mn-lt"/>
              <a:ea typeface="+mn-ea"/>
              <a:cs typeface="+mn-cs"/>
            </a:rPr>
            <a:t> each other:</a:t>
          </a:r>
        </a:p>
        <a:p>
          <a:r>
            <a:rPr lang="en-US" sz="1100" b="0" i="0" u="none" strike="noStrike" baseline="0">
              <a:solidFill>
                <a:schemeClr val="dk1"/>
              </a:solidFill>
              <a:effectLst/>
              <a:latin typeface="+mn-lt"/>
              <a:ea typeface="+mn-ea"/>
              <a:cs typeface="+mn-cs"/>
            </a:rPr>
            <a:t>family</a:t>
          </a:r>
        </a:p>
        <a:p>
          <a:r>
            <a:rPr lang="en-US" sz="1100" b="0" i="0" u="none" strike="noStrike" baseline="0">
              <a:solidFill>
                <a:schemeClr val="dk1"/>
              </a:solidFill>
              <a:effectLst/>
              <a:latin typeface="+mn-lt"/>
              <a:ea typeface="+mn-ea"/>
              <a:cs typeface="+mn-cs"/>
            </a:rPr>
            <a:t>friend</a:t>
          </a:r>
        </a:p>
        <a:p>
          <a:r>
            <a:rPr lang="en-US" sz="1100" b="0" i="0" u="none" strike="noStrike" baseline="0">
              <a:solidFill>
                <a:schemeClr val="dk1"/>
              </a:solidFill>
              <a:effectLst/>
              <a:latin typeface="+mn-lt"/>
              <a:ea typeface="+mn-ea"/>
              <a:cs typeface="+mn-cs"/>
            </a:rPr>
            <a:t>work/school colleague</a:t>
          </a:r>
        </a:p>
        <a:p>
          <a:r>
            <a:rPr lang="en-US" sz="1100" b="0" i="0" u="none" strike="noStrike" baseline="0">
              <a:solidFill>
                <a:schemeClr val="dk1"/>
              </a:solidFill>
              <a:effectLst/>
              <a:latin typeface="+mn-lt"/>
              <a:ea typeface="+mn-ea"/>
              <a:cs typeface="+mn-cs"/>
            </a:rPr>
            <a:t>casual acquaintance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professional acquaintance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social media only</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by referral only</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do not personally know (yet)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other</a:t>
          </a:r>
          <a:endParaRPr lang="en-US">
            <a:effectLst/>
          </a:endParaRPr>
        </a:p>
        <a:p>
          <a:endParaRPr lang="en-US" sz="1100" b="0" i="0" u="none" strike="noStrike" baseline="0">
            <a:solidFill>
              <a:schemeClr val="dk1"/>
            </a:solidFill>
            <a:effectLst/>
            <a:latin typeface="+mn-lt"/>
            <a:ea typeface="+mn-ea"/>
            <a:cs typeface="+mn-cs"/>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0</xdr:col>
      <xdr:colOff>16328</xdr:colOff>
      <xdr:row>2061</xdr:row>
      <xdr:rowOff>149134</xdr:rowOff>
    </xdr:from>
    <xdr:to>
      <xdr:col>3</xdr:col>
      <xdr:colOff>1652452</xdr:colOff>
      <xdr:row>2075</xdr:row>
      <xdr:rowOff>4354</xdr:rowOff>
    </xdr:to>
    <xdr:sp macro="" textlink="">
      <xdr:nvSpPr>
        <xdr:cNvPr id="30" name="TextBox 29">
          <a:extLst>
            <a:ext uri="{FF2B5EF4-FFF2-40B4-BE49-F238E27FC236}">
              <a16:creationId xmlns:a16="http://schemas.microsoft.com/office/drawing/2014/main" id="{BD2B99B9-181E-44B0-9E39-577FFAE3F5E2}"/>
            </a:ext>
          </a:extLst>
        </xdr:cNvPr>
        <xdr:cNvSpPr txBox="1"/>
      </xdr:nvSpPr>
      <xdr:spPr>
        <a:xfrm>
          <a:off x="16328" y="340339680"/>
          <a:ext cx="543088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en-US" sz="1800" b="1">
              <a:solidFill>
                <a:sysClr val="windowText" lastClr="000000"/>
              </a:solidFill>
              <a:effectLst>
                <a:glow rad="25400">
                  <a:schemeClr val="bg1"/>
                </a:glow>
                <a:outerShdw dist="38100" dir="2400000" algn="tl" rotWithShape="0">
                  <a:srgbClr val="000000"/>
                </a:outerShdw>
              </a:effectLst>
              <a:latin typeface="Arial Black" panose="020B0A04020102020204" pitchFamily="34" charset="0"/>
              <a:ea typeface="+mn-ea"/>
              <a:cs typeface="Arial" panose="020B0604020202020204" pitchFamily="34" charset="0"/>
            </a:rPr>
            <a:t>Prosecutors are essentially accountable</a:t>
          </a:r>
          <a:r>
            <a:rPr lang="en-US" sz="1800" b="1" baseline="0">
              <a:solidFill>
                <a:sysClr val="windowText" lastClr="000000"/>
              </a:solidFill>
              <a:effectLst>
                <a:glow rad="25400">
                  <a:schemeClr val="bg1"/>
                </a:glow>
                <a:outerShdw dist="38100" dir="2400000" algn="tl" rotWithShape="0">
                  <a:srgbClr val="000000"/>
                </a:outerShdw>
              </a:effectLst>
              <a:latin typeface="Arial Black" panose="020B0A04020102020204" pitchFamily="34" charset="0"/>
              <a:ea typeface="+mn-ea"/>
              <a:cs typeface="Arial" panose="020B0604020202020204" pitchFamily="34" charset="0"/>
            </a:rPr>
            <a:t> to no one. They enjoy immunities, </a:t>
          </a:r>
          <a:endParaRPr lang="en-US" sz="1800" b="1">
            <a:solidFill>
              <a:sysClr val="windowText" lastClr="000000"/>
            </a:solidFill>
            <a:effectLst>
              <a:glow rad="25400">
                <a:schemeClr val="bg1"/>
              </a:glow>
              <a:outerShdw dist="38100" dir="2400000" algn="tl" rotWithShape="0">
                <a:srgbClr val="000000"/>
              </a:outerShdw>
            </a:effectLst>
            <a:latin typeface="Arial Black" panose="020B0A04020102020204" pitchFamily="34" charset="0"/>
            <a:ea typeface="+mn-ea"/>
            <a:cs typeface="Arial" panose="020B0604020202020204" pitchFamily="34" charset="0"/>
          </a:endParaRPr>
        </a:p>
      </xdr:txBody>
    </xdr:sp>
    <xdr:clientData/>
  </xdr:twoCellAnchor>
  <xdr:twoCellAnchor>
    <xdr:from>
      <xdr:col>46</xdr:col>
      <xdr:colOff>190500</xdr:colOff>
      <xdr:row>1558</xdr:row>
      <xdr:rowOff>116408</xdr:rowOff>
    </xdr:from>
    <xdr:to>
      <xdr:col>64</xdr:col>
      <xdr:colOff>196931</xdr:colOff>
      <xdr:row>1580</xdr:row>
      <xdr:rowOff>28574</xdr:rowOff>
    </xdr:to>
    <xdr:sp macro="" textlink="">
      <xdr:nvSpPr>
        <xdr:cNvPr id="31" name="TextBox 30">
          <a:extLst>
            <a:ext uri="{FF2B5EF4-FFF2-40B4-BE49-F238E27FC236}">
              <a16:creationId xmlns:a16="http://schemas.microsoft.com/office/drawing/2014/main" id="{FFC0E268-312D-4022-BB52-F34AEC1CDB09}"/>
            </a:ext>
          </a:extLst>
        </xdr:cNvPr>
        <xdr:cNvSpPr txBox="1"/>
      </xdr:nvSpPr>
      <xdr:spPr>
        <a:xfrm>
          <a:off x="18341340" y="3060115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how know</a:t>
          </a:r>
          <a:r>
            <a:rPr lang="en-US" sz="1100" b="1" i="0" u="none" strike="noStrike" baseline="0">
              <a:solidFill>
                <a:schemeClr val="dk1"/>
              </a:solidFill>
              <a:effectLst/>
              <a:latin typeface="+mn-lt"/>
              <a:ea typeface="+mn-ea"/>
              <a:cs typeface="+mn-cs"/>
            </a:rPr>
            <a:t> each other:</a:t>
          </a:r>
        </a:p>
        <a:p>
          <a:r>
            <a:rPr lang="en-US" sz="1100" b="0" i="0" u="none" strike="noStrike" baseline="0">
              <a:solidFill>
                <a:schemeClr val="dk1"/>
              </a:solidFill>
              <a:effectLst/>
              <a:latin typeface="+mn-lt"/>
              <a:ea typeface="+mn-ea"/>
              <a:cs typeface="+mn-cs"/>
            </a:rPr>
            <a:t>I pledge my reputation that I have no personal relation with claimant or their supporters</a:t>
          </a:r>
        </a:p>
        <a:p>
          <a:r>
            <a:rPr lang="en-US" sz="1100" b="0" i="0" u="none" strike="noStrike" baseline="0">
              <a:solidFill>
                <a:schemeClr val="dk1"/>
              </a:solidFill>
              <a:effectLst/>
              <a:latin typeface="+mn-lt"/>
              <a:ea typeface="+mn-ea"/>
              <a:cs typeface="+mn-cs"/>
            </a:rPr>
            <a:t>I pledge my </a:t>
          </a:r>
          <a:r>
            <a:rPr lang="en-US" sz="1100" b="0" i="0" baseline="0">
              <a:solidFill>
                <a:schemeClr val="dk1"/>
              </a:solidFill>
              <a:effectLst/>
              <a:latin typeface="+mn-lt"/>
              <a:ea typeface="+mn-ea"/>
              <a:cs typeface="+mn-cs"/>
            </a:rPr>
            <a:t>reputation</a:t>
          </a:r>
          <a:r>
            <a:rPr lang="en-US" sz="1100" b="0" i="0" u="none" strike="noStrike" baseline="0">
              <a:solidFill>
                <a:schemeClr val="dk1"/>
              </a:solidFill>
              <a:effectLst/>
              <a:latin typeface="+mn-lt"/>
              <a:ea typeface="+mn-ea"/>
              <a:cs typeface="+mn-cs"/>
            </a:rPr>
            <a:t> that I have only a professional relation with claimant through: ____</a:t>
          </a:r>
        </a:p>
        <a:p>
          <a:r>
            <a:rPr lang="en-US" sz="1100" b="0" i="0" u="none" strike="noStrike" baseline="0">
              <a:solidFill>
                <a:schemeClr val="dk1"/>
              </a:solidFill>
              <a:effectLst/>
              <a:latin typeface="+mn-lt"/>
              <a:ea typeface="+mn-ea"/>
              <a:cs typeface="+mn-cs"/>
            </a:rPr>
            <a:t>I pledge my </a:t>
          </a:r>
          <a:r>
            <a:rPr lang="en-US" sz="1100" b="0" i="0" baseline="0">
              <a:solidFill>
                <a:schemeClr val="dk1"/>
              </a:solidFill>
              <a:effectLst/>
              <a:latin typeface="+mn-lt"/>
              <a:ea typeface="+mn-ea"/>
              <a:cs typeface="+mn-cs"/>
            </a:rPr>
            <a:t>reputation</a:t>
          </a:r>
          <a:r>
            <a:rPr lang="en-US" sz="1100" b="0" i="0" u="none" strike="noStrike" baseline="0">
              <a:solidFill>
                <a:schemeClr val="dk1"/>
              </a:solidFill>
              <a:effectLst/>
              <a:latin typeface="+mn-lt"/>
              <a:ea typeface="+mn-ea"/>
              <a:cs typeface="+mn-cs"/>
            </a:rPr>
            <a:t> that I only know claimant through a common contact</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I was involved in the claimant's prosecution in some extent</a:t>
          </a:r>
        </a:p>
        <a:p>
          <a:r>
            <a:rPr lang="en-US" sz="1100" b="0" i="0" u="none" strike="noStrike" baseline="0">
              <a:solidFill>
                <a:schemeClr val="dk1"/>
              </a:solidFill>
              <a:effectLst/>
              <a:latin typeface="+mn-lt"/>
              <a:ea typeface="+mn-ea"/>
              <a:cs typeface="+mn-cs"/>
            </a:rPr>
            <a:t>I am a member of the criminal justice system never involved in this case</a:t>
          </a:r>
        </a:p>
        <a:p>
          <a:r>
            <a:rPr lang="en-US" sz="1100" b="0" i="0" u="none" strike="noStrike" baseline="0">
              <a:solidFill>
                <a:schemeClr val="dk1"/>
              </a:solidFill>
              <a:effectLst/>
              <a:latin typeface="+mn-lt"/>
              <a:ea typeface="+mn-ea"/>
              <a:cs typeface="+mn-cs"/>
            </a:rPr>
            <a:t>I personally know victim that led to claimant's indictment and conviction</a:t>
          </a:r>
        </a:p>
        <a:p>
          <a:r>
            <a:rPr lang="en-US" sz="1100" b="0" i="0" u="none" strike="noStrike" baseline="0">
              <a:solidFill>
                <a:schemeClr val="dk1"/>
              </a:solidFill>
              <a:effectLst/>
              <a:latin typeface="+mn-lt"/>
              <a:ea typeface="+mn-ea"/>
              <a:cs typeface="+mn-cs"/>
            </a:rPr>
            <a:t>I am the complainant behind claimant's indictment and conviction</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 I am fully independent and do not personally know claimant or any listed supporter ]]</a:t>
          </a:r>
        </a:p>
        <a:p>
          <a:r>
            <a:rPr lang="en-US" sz="1100" b="1" i="0" u="none" strike="noStrike" baseline="0">
              <a:solidFill>
                <a:schemeClr val="dk1"/>
              </a:solidFill>
              <a:effectLst/>
              <a:latin typeface="+mn-lt"/>
              <a:ea typeface="+mn-ea"/>
              <a:cs typeface="+mn-cs"/>
            </a:rPr>
            <a:t>I do not personally know claimant nor any listed supporters nor previously involved in this case</a:t>
          </a:r>
        </a:p>
        <a:p>
          <a:r>
            <a:rPr lang="en-US" sz="1100" b="0" i="0" u="none" strike="noStrike" baseline="0">
              <a:solidFill>
                <a:schemeClr val="dk1"/>
              </a:solidFill>
              <a:effectLst/>
              <a:latin typeface="+mn-lt"/>
              <a:ea typeface="+mn-ea"/>
              <a:cs typeface="+mn-cs"/>
            </a:rPr>
            <a:t>[ I am fully independent and accountable to the professional entity identified below ]</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I personally know proxy or one or more of claimant's listed supporters</a:t>
          </a:r>
        </a:p>
        <a:p>
          <a:r>
            <a:rPr lang="en-US" sz="1100" b="0" i="0" u="none" strike="noStrike" baseline="0">
              <a:solidFill>
                <a:schemeClr val="dk1"/>
              </a:solidFill>
              <a:effectLst/>
              <a:latin typeface="+mn-lt"/>
              <a:ea typeface="+mn-ea"/>
              <a:cs typeface="+mn-cs"/>
            </a:rPr>
            <a:t>I personally know claimant but I am not (yet) a listed supporter</a:t>
          </a:r>
        </a:p>
        <a:p>
          <a:r>
            <a:rPr lang="en-US" sz="1100" b="0" i="0" u="none" strike="noStrike" baseline="0">
              <a:solidFill>
                <a:schemeClr val="dk1"/>
              </a:solidFill>
              <a:effectLst/>
              <a:latin typeface="+mn-lt"/>
              <a:ea typeface="+mn-ea"/>
              <a:cs typeface="+mn-cs"/>
            </a:rPr>
            <a:t>I am one of claimant's listed supporters</a:t>
          </a:r>
        </a:p>
        <a:p>
          <a:r>
            <a:rPr lang="en-US" sz="1100" b="0" i="0" u="none" strike="noStrike" baseline="0">
              <a:solidFill>
                <a:schemeClr val="dk1"/>
              </a:solidFill>
              <a:effectLst/>
              <a:latin typeface="+mn-lt"/>
              <a:ea typeface="+mn-ea"/>
              <a:cs typeface="+mn-cs"/>
            </a:rPr>
            <a:t>I am claimant's proxy supporter</a:t>
          </a:r>
        </a:p>
        <a:p>
          <a:r>
            <a:rPr lang="en-US" sz="1100" b="0" i="0" u="none" strike="noStrike" baseline="0">
              <a:solidFill>
                <a:schemeClr val="dk1"/>
              </a:solidFill>
              <a:effectLst/>
              <a:latin typeface="+mn-lt"/>
              <a:ea typeface="+mn-ea"/>
              <a:cs typeface="+mn-cs"/>
            </a:rPr>
            <a:t>I am the claimant</a:t>
          </a:r>
        </a:p>
        <a:p>
          <a:r>
            <a:rPr lang="en-US" sz="1100" b="0" i="0" u="none" strike="noStrike" baseline="0">
              <a:solidFill>
                <a:schemeClr val="dk1"/>
              </a:solidFill>
              <a:effectLst/>
              <a:latin typeface="+mn-lt"/>
              <a:ea typeface="+mn-ea"/>
              <a:cs typeface="+mn-cs"/>
            </a:rPr>
            <a:t>Other: _____</a:t>
          </a:r>
          <a:endParaRPr lang="en-US">
            <a:effectLst/>
          </a:endParaRPr>
        </a:p>
        <a:p>
          <a:endParaRPr lang="en-US" sz="1100" b="0" i="0" u="none" strike="noStrike" baseline="0">
            <a:solidFill>
              <a:schemeClr val="dk1"/>
            </a:solidFill>
            <a:effectLst/>
            <a:latin typeface="+mn-lt"/>
            <a:ea typeface="+mn-ea"/>
            <a:cs typeface="+mn-cs"/>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0</xdr:col>
      <xdr:colOff>238125</xdr:colOff>
      <xdr:row>2119</xdr:row>
      <xdr:rowOff>160020</xdr:rowOff>
    </xdr:from>
    <xdr:to>
      <xdr:col>3</xdr:col>
      <xdr:colOff>1259205</xdr:colOff>
      <xdr:row>2130</xdr:row>
      <xdr:rowOff>80010</xdr:rowOff>
    </xdr:to>
    <xdr:sp macro="" textlink="">
      <xdr:nvSpPr>
        <xdr:cNvPr id="32" name="TextBox 31">
          <a:extLst>
            <a:ext uri="{FF2B5EF4-FFF2-40B4-BE49-F238E27FC236}">
              <a16:creationId xmlns:a16="http://schemas.microsoft.com/office/drawing/2014/main" id="{A8AC3816-7F39-4C90-8B4E-5D5D70EF564C}"/>
            </a:ext>
          </a:extLst>
        </xdr:cNvPr>
        <xdr:cNvSpPr txBox="1"/>
      </xdr:nvSpPr>
      <xdr:spPr>
        <a:xfrm>
          <a:off x="238125" y="340339680"/>
          <a:ext cx="4815840" cy="0"/>
        </a:xfrm>
        <a:prstGeom prst="rect">
          <a:avLst/>
        </a:prstGeom>
        <a:solidFill>
          <a:srgbClr val="FFCCCC">
            <a:alpha val="30196"/>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Tahoma" panose="020B0604030504040204" pitchFamily="34" charset="0"/>
              <a:ea typeface="Tahoma" panose="020B0604030504040204" pitchFamily="34" charset="0"/>
              <a:cs typeface="Tahoma" panose="020B0604030504040204" pitchFamily="34" charset="0"/>
            </a:rPr>
            <a:t>innocence denier</a:t>
          </a:r>
        </a:p>
        <a:p>
          <a:r>
            <a:rPr lang="en-US" sz="2000" b="1">
              <a:latin typeface="Tahoma" panose="020B0604030504040204" pitchFamily="34" charset="0"/>
              <a:ea typeface="Tahoma" panose="020B0604030504040204" pitchFamily="34" charset="0"/>
              <a:cs typeface="Tahoma" panose="020B0604030504040204" pitchFamily="34" charset="0"/>
            </a:rPr>
            <a:t>innocence consciousness</a:t>
          </a:r>
        </a:p>
        <a:p>
          <a:endParaRPr lang="en-US" sz="1100"/>
        </a:p>
      </xdr:txBody>
    </xdr:sp>
    <xdr:clientData/>
  </xdr:twoCellAnchor>
  <xdr:twoCellAnchor>
    <xdr:from>
      <xdr:col>1</xdr:col>
      <xdr:colOff>723900</xdr:colOff>
      <xdr:row>2125</xdr:row>
      <xdr:rowOff>20955</xdr:rowOff>
    </xdr:from>
    <xdr:to>
      <xdr:col>4</xdr:col>
      <xdr:colOff>32385</xdr:colOff>
      <xdr:row>2135</xdr:row>
      <xdr:rowOff>120015</xdr:rowOff>
    </xdr:to>
    <xdr:sp macro="" textlink="">
      <xdr:nvSpPr>
        <xdr:cNvPr id="33" name="TextBox 32">
          <a:extLst>
            <a:ext uri="{FF2B5EF4-FFF2-40B4-BE49-F238E27FC236}">
              <a16:creationId xmlns:a16="http://schemas.microsoft.com/office/drawing/2014/main" id="{7C543118-4883-4D64-9474-0C207C885A3D}"/>
            </a:ext>
          </a:extLst>
        </xdr:cNvPr>
        <xdr:cNvSpPr txBox="1"/>
      </xdr:nvSpPr>
      <xdr:spPr>
        <a:xfrm>
          <a:off x="982980" y="340339680"/>
          <a:ext cx="4817745" cy="0"/>
        </a:xfrm>
        <a:prstGeom prst="rect">
          <a:avLst/>
        </a:prstGeom>
        <a:solidFill>
          <a:srgbClr val="FFCCCC">
            <a:alpha val="30196"/>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Tahoma" panose="020B0604030504040204" pitchFamily="34" charset="0"/>
              <a:ea typeface="Tahoma" panose="020B0604030504040204" pitchFamily="34" charset="0"/>
              <a:cs typeface="Tahoma" panose="020B0604030504040204" pitchFamily="34" charset="0"/>
            </a:rPr>
            <a:t>incentivized conviction rates?</a:t>
          </a:r>
        </a:p>
        <a:p>
          <a:endParaRPr lang="en-US" sz="1100"/>
        </a:p>
        <a:p>
          <a:endParaRPr lang="en-US" sz="1100"/>
        </a:p>
        <a:p>
          <a:r>
            <a:rPr lang="en-US"/>
            <a:t>Four types of prosecutorial misconduct are offering inadmissible evidence in court, suppressing evidence from the defense, encouraging deceit from witnesses, and prosecutorial bluffing (threats or intimidation).</a:t>
          </a:r>
          <a:endParaRPr lang="en-US" sz="1100"/>
        </a:p>
      </xdr:txBody>
    </xdr:sp>
    <xdr:clientData/>
  </xdr:twoCellAnchor>
  <xdr:twoCellAnchor>
    <xdr:from>
      <xdr:col>1</xdr:col>
      <xdr:colOff>1905</xdr:colOff>
      <xdr:row>2133</xdr:row>
      <xdr:rowOff>110490</xdr:rowOff>
    </xdr:from>
    <xdr:to>
      <xdr:col>3</xdr:col>
      <xdr:colOff>1238250</xdr:colOff>
      <xdr:row>2144</xdr:row>
      <xdr:rowOff>34290</xdr:rowOff>
    </xdr:to>
    <xdr:sp macro="" textlink="">
      <xdr:nvSpPr>
        <xdr:cNvPr id="34" name="TextBox 33">
          <a:hlinkClick xmlns:r="http://schemas.openxmlformats.org/officeDocument/2006/relationships" r:id="rId14"/>
          <a:extLst>
            <a:ext uri="{FF2B5EF4-FFF2-40B4-BE49-F238E27FC236}">
              <a16:creationId xmlns:a16="http://schemas.microsoft.com/office/drawing/2014/main" id="{AAD60260-7556-4796-9377-AE1D9AB70C60}"/>
            </a:ext>
          </a:extLst>
        </xdr:cNvPr>
        <xdr:cNvSpPr txBox="1"/>
      </xdr:nvSpPr>
      <xdr:spPr>
        <a:xfrm>
          <a:off x="260985" y="340339680"/>
          <a:ext cx="4772025" cy="0"/>
        </a:xfrm>
        <a:prstGeom prst="rect">
          <a:avLst/>
        </a:prstGeom>
        <a:solidFill>
          <a:srgbClr val="FFCCCC">
            <a:alpha val="30196"/>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latin typeface="Tahoma" panose="020B0604030504040204" pitchFamily="34" charset="0"/>
              <a:ea typeface="Tahoma" panose="020B0604030504040204" pitchFamily="34" charset="0"/>
              <a:cs typeface="Tahoma" panose="020B0604030504040204" pitchFamily="34" charset="0"/>
            </a:rPr>
            <a:t>4 types of prosecutorial</a:t>
          </a:r>
          <a:r>
            <a:rPr lang="en-US" sz="2000" b="1" baseline="0">
              <a:latin typeface="Tahoma" panose="020B0604030504040204" pitchFamily="34" charset="0"/>
              <a:ea typeface="Tahoma" panose="020B0604030504040204" pitchFamily="34" charset="0"/>
              <a:cs typeface="Tahoma" panose="020B0604030504040204" pitchFamily="34" charset="0"/>
            </a:rPr>
            <a:t> misconduct</a:t>
          </a:r>
          <a:endParaRPr lang="en-US" sz="2000" b="1">
            <a:latin typeface="Tahoma" panose="020B0604030504040204" pitchFamily="34" charset="0"/>
            <a:ea typeface="Tahoma" panose="020B0604030504040204" pitchFamily="34" charset="0"/>
            <a:cs typeface="Tahoma" panose="020B0604030504040204" pitchFamily="34" charset="0"/>
          </a:endParaRPr>
        </a:p>
        <a:p>
          <a:endParaRPr lang="en-US" sz="1100"/>
        </a:p>
        <a:p>
          <a:endParaRPr lang="en-US" sz="1100"/>
        </a:p>
        <a:p>
          <a:r>
            <a:rPr lang="en-US"/>
            <a:t>Four types of prosecutorial misconduct are offering inadmissible evidence in court, suppressing evidence from the defense, encouraging deceit from witnesses, and prosecutorial bluffing (threats or intimidation).</a:t>
          </a:r>
          <a:endParaRPr lang="en-US" sz="1100"/>
        </a:p>
      </xdr:txBody>
    </xdr:sp>
    <xdr:clientData/>
  </xdr:twoCellAnchor>
  <xdr:twoCellAnchor>
    <xdr:from>
      <xdr:col>41</xdr:col>
      <xdr:colOff>62592</xdr:colOff>
      <xdr:row>163</xdr:row>
      <xdr:rowOff>102054</xdr:rowOff>
    </xdr:from>
    <xdr:to>
      <xdr:col>58</xdr:col>
      <xdr:colOff>291192</xdr:colOff>
      <xdr:row>172</xdr:row>
      <xdr:rowOff>174171</xdr:rowOff>
    </xdr:to>
    <xdr:sp macro="" textlink="">
      <xdr:nvSpPr>
        <xdr:cNvPr id="35" name="TextBox 34">
          <a:extLst>
            <a:ext uri="{FF2B5EF4-FFF2-40B4-BE49-F238E27FC236}">
              <a16:creationId xmlns:a16="http://schemas.microsoft.com/office/drawing/2014/main" id="{ECAC4803-8F27-499C-8F58-F6FB8569A848}"/>
            </a:ext>
          </a:extLst>
        </xdr:cNvPr>
        <xdr:cNvSpPr txBox="1"/>
      </xdr:nvSpPr>
      <xdr:spPr>
        <a:xfrm>
          <a:off x="18341340" y="46004934"/>
          <a:ext cx="0" cy="2350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Involvement</a:t>
          </a:r>
          <a:r>
            <a:rPr lang="en-US" sz="1100"/>
            <a:t>:</a:t>
          </a:r>
        </a:p>
        <a:p>
          <a:endParaRPr lang="en-US" sz="1100"/>
        </a:p>
        <a:p>
          <a:r>
            <a:rPr lang="en-US" sz="1100"/>
            <a:t>alleged crime never occured</a:t>
          </a:r>
        </a:p>
        <a:p>
          <a:r>
            <a:rPr lang="en-US" sz="1100"/>
            <a:t>not</a:t>
          </a:r>
          <a:r>
            <a:rPr lang="en-US" sz="1100" baseline="0"/>
            <a:t> present during alleged incident nor played any role</a:t>
          </a:r>
        </a:p>
        <a:p>
          <a:r>
            <a:rPr lang="en-US" sz="1100" baseline="0"/>
            <a:t>present after </a:t>
          </a:r>
          <a:r>
            <a:rPr lang="en-US" sz="1100" baseline="0">
              <a:solidFill>
                <a:schemeClr val="dk1"/>
              </a:solidFill>
              <a:effectLst/>
              <a:latin typeface="+mn-lt"/>
              <a:ea typeface="+mn-ea"/>
              <a:cs typeface="+mn-cs"/>
            </a:rPr>
            <a:t>alleged</a:t>
          </a:r>
          <a:r>
            <a:rPr lang="en-US" sz="1100" baseline="0"/>
            <a:t> incident but played no role in any criminal act</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present prior to alleged incident but played no role in any criminal act</a:t>
          </a:r>
          <a:endParaRPr lang="en-US">
            <a:effectLst/>
          </a:endParaRPr>
        </a:p>
        <a:p>
          <a:r>
            <a:rPr lang="en-US" sz="1100" baseline="0">
              <a:solidFill>
                <a:schemeClr val="dk1"/>
              </a:solidFill>
              <a:effectLst/>
              <a:latin typeface="+mn-lt"/>
              <a:ea typeface="+mn-ea"/>
              <a:cs typeface="+mn-cs"/>
            </a:rPr>
            <a:t>present during alleged incident but never witnessed any criminal act</a:t>
          </a:r>
          <a:endParaRPr lang="en-US" sz="1100" baseline="0"/>
        </a:p>
        <a:p>
          <a:r>
            <a:rPr lang="en-US" sz="1100" baseline="0"/>
            <a:t>present during alleged incident but played </a:t>
          </a:r>
          <a:r>
            <a:rPr lang="en-US" sz="1100"/>
            <a:t>no role in any</a:t>
          </a:r>
          <a:r>
            <a:rPr lang="en-US" sz="1100" baseline="0"/>
            <a:t> criminal act</a:t>
          </a:r>
        </a:p>
        <a:p>
          <a:r>
            <a:rPr lang="en-US" sz="1100" baseline="0">
              <a:solidFill>
                <a:schemeClr val="dk1"/>
              </a:solidFill>
              <a:effectLst/>
              <a:latin typeface="+mn-lt"/>
              <a:ea typeface="+mn-ea"/>
              <a:cs typeface="+mn-cs"/>
            </a:rPr>
            <a:t>present during alleged incident as another but unidentified victim</a:t>
          </a:r>
          <a:endParaRPr lang="en-US" sz="1100"/>
        </a:p>
        <a:p>
          <a:r>
            <a:rPr lang="en-US" sz="1100"/>
            <a:t>played a minimal role in situation</a:t>
          </a:r>
          <a:r>
            <a:rPr lang="en-US" sz="1100" baseline="0"/>
            <a:t> in a way not explicitly criminal</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involved in assisting complainant but played no role in alleged criminal act</a:t>
          </a:r>
          <a:endParaRPr lang="en-US">
            <a:effectLst/>
          </a:endParaRPr>
        </a:p>
        <a:p>
          <a:r>
            <a:rPr lang="en-US" sz="1100" baseline="0"/>
            <a:t>entrapped by police or informant to act in way not explicitly criminal</a:t>
          </a:r>
        </a:p>
        <a:p>
          <a:r>
            <a:rPr lang="en-US" sz="1100" baseline="0"/>
            <a:t>other (of actual innocence)</a:t>
          </a:r>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a:p>
      </xdr:txBody>
    </xdr:sp>
    <xdr:clientData/>
  </xdr:twoCellAnchor>
  <xdr:twoCellAnchor>
    <xdr:from>
      <xdr:col>58</xdr:col>
      <xdr:colOff>522514</xdr:colOff>
      <xdr:row>148</xdr:row>
      <xdr:rowOff>302079</xdr:rowOff>
    </xdr:from>
    <xdr:to>
      <xdr:col>67</xdr:col>
      <xdr:colOff>127907</xdr:colOff>
      <xdr:row>159</xdr:row>
      <xdr:rowOff>130629</xdr:rowOff>
    </xdr:to>
    <xdr:sp macro="" textlink="">
      <xdr:nvSpPr>
        <xdr:cNvPr id="36" name="TextBox 35">
          <a:extLst>
            <a:ext uri="{FF2B5EF4-FFF2-40B4-BE49-F238E27FC236}">
              <a16:creationId xmlns:a16="http://schemas.microsoft.com/office/drawing/2014/main" id="{3769EC28-6887-4ECA-91D7-B0923E932E4E}"/>
            </a:ext>
          </a:extLst>
        </xdr:cNvPr>
        <xdr:cNvSpPr txBox="1"/>
      </xdr:nvSpPr>
      <xdr:spPr>
        <a:xfrm>
          <a:off x="18341340" y="42699759"/>
          <a:ext cx="0" cy="21983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Crimes you were convicted of: </a:t>
          </a:r>
        </a:p>
        <a:p>
          <a:r>
            <a:rPr lang="en-US" sz="1100"/>
            <a:t>murder</a:t>
          </a:r>
        </a:p>
        <a:p>
          <a:r>
            <a:rPr lang="en-US" sz="1100" baseline="0"/>
            <a:t>attempted murder</a:t>
          </a:r>
        </a:p>
        <a:p>
          <a:r>
            <a:rPr lang="en-US" sz="1100" baseline="0"/>
            <a:t>sexual assualt/rape</a:t>
          </a:r>
        </a:p>
        <a:p>
          <a:r>
            <a:rPr lang="en-US" sz="1100" baseline="0"/>
            <a:t>sexual assault of minor</a:t>
          </a:r>
        </a:p>
        <a:p>
          <a:r>
            <a:rPr lang="en-US" sz="1100" baseline="0"/>
            <a:t>burglary</a:t>
          </a:r>
        </a:p>
        <a:p>
          <a:r>
            <a:rPr lang="en-US" sz="1100" baseline="0"/>
            <a:t>robbery</a:t>
          </a:r>
        </a:p>
        <a:p>
          <a:r>
            <a:rPr lang="en-US" sz="1100" baseline="0"/>
            <a:t>arson</a:t>
          </a:r>
        </a:p>
        <a:p>
          <a:r>
            <a:rPr lang="en-US" sz="1100" baseline="0"/>
            <a:t>other (explain in box)</a:t>
          </a:r>
        </a:p>
      </xdr:txBody>
    </xdr:sp>
    <xdr:clientData/>
  </xdr:twoCellAnchor>
  <xdr:twoCellAnchor>
    <xdr:from>
      <xdr:col>32</xdr:col>
      <xdr:colOff>194583</xdr:colOff>
      <xdr:row>242</xdr:row>
      <xdr:rowOff>154306</xdr:rowOff>
    </xdr:from>
    <xdr:to>
      <xdr:col>38</xdr:col>
      <xdr:colOff>160020</xdr:colOff>
      <xdr:row>246</xdr:row>
      <xdr:rowOff>226696</xdr:rowOff>
    </xdr:to>
    <xdr:sp macro="" textlink="">
      <xdr:nvSpPr>
        <xdr:cNvPr id="37" name="TextBox 36">
          <a:extLst>
            <a:ext uri="{FF2B5EF4-FFF2-40B4-BE49-F238E27FC236}">
              <a16:creationId xmlns:a16="http://schemas.microsoft.com/office/drawing/2014/main" id="{511301F6-2CE0-4B16-B021-E7B90E92C54B}"/>
            </a:ext>
          </a:extLst>
        </xdr:cNvPr>
        <xdr:cNvSpPr txBox="1"/>
      </xdr:nvSpPr>
      <xdr:spPr>
        <a:xfrm>
          <a:off x="18341340" y="64063246"/>
          <a:ext cx="0"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If multiple sentences: </a:t>
          </a:r>
        </a:p>
        <a:p>
          <a:r>
            <a:rPr lang="en-US" sz="1100" b="0" i="0" u="none" strike="noStrike" baseline="0">
              <a:solidFill>
                <a:schemeClr val="dk1"/>
              </a:solidFill>
              <a:latin typeface="+mn-lt"/>
              <a:ea typeface="+mn-ea"/>
              <a:cs typeface="+mn-cs"/>
            </a:rPr>
            <a:t>concurrent</a:t>
          </a:r>
        </a:p>
        <a:p>
          <a:r>
            <a:rPr lang="en-US" sz="1100" b="0" i="0" u="none" strike="noStrike" baseline="0">
              <a:solidFill>
                <a:schemeClr val="dk1"/>
              </a:solidFill>
              <a:latin typeface="+mn-lt"/>
              <a:ea typeface="+mn-ea"/>
              <a:cs typeface="+mn-cs"/>
            </a:rPr>
            <a:t>consecutive</a:t>
          </a:r>
        </a:p>
        <a:p>
          <a:endParaRPr lang="en-US" sz="1100"/>
        </a:p>
        <a:p>
          <a:endParaRPr lang="en-US" sz="1100" baseline="0"/>
        </a:p>
      </xdr:txBody>
    </xdr:sp>
    <xdr:clientData/>
  </xdr:twoCellAnchor>
  <xdr:twoCellAnchor>
    <xdr:from>
      <xdr:col>60</xdr:col>
      <xdr:colOff>323849</xdr:colOff>
      <xdr:row>150</xdr:row>
      <xdr:rowOff>42182</xdr:rowOff>
    </xdr:from>
    <xdr:to>
      <xdr:col>70</xdr:col>
      <xdr:colOff>183695</xdr:colOff>
      <xdr:row>163</xdr:row>
      <xdr:rowOff>130628</xdr:rowOff>
    </xdr:to>
    <xdr:sp macro="" textlink="">
      <xdr:nvSpPr>
        <xdr:cNvPr id="38" name="TextBox 37">
          <a:extLst>
            <a:ext uri="{FF2B5EF4-FFF2-40B4-BE49-F238E27FC236}">
              <a16:creationId xmlns:a16="http://schemas.microsoft.com/office/drawing/2014/main" id="{32916A90-1AA4-450D-B592-688BED06A170}"/>
            </a:ext>
          </a:extLst>
        </xdr:cNvPr>
        <xdr:cNvSpPr txBox="1"/>
      </xdr:nvSpPr>
      <xdr:spPr>
        <a:xfrm>
          <a:off x="18341340" y="43041842"/>
          <a:ext cx="0" cy="29916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relation to claimant: </a:t>
          </a:r>
        </a:p>
        <a:p>
          <a:r>
            <a:rPr lang="en-US" sz="1100" b="0" i="0" u="none" strike="noStrike" baseline="0">
              <a:solidFill>
                <a:schemeClr val="dk1"/>
              </a:solidFill>
              <a:latin typeface="+mn-lt"/>
              <a:ea typeface="+mn-ea"/>
              <a:cs typeface="+mn-cs"/>
            </a:rPr>
            <a:t>[spouse at time of conviction]</a:t>
          </a:r>
        </a:p>
        <a:p>
          <a:r>
            <a:rPr lang="en-US" sz="1100" b="0" i="0" baseline="0">
              <a:solidFill>
                <a:schemeClr val="dk1"/>
              </a:solidFill>
              <a:effectLst/>
              <a:latin typeface="+mn-lt"/>
              <a:ea typeface="+mn-ea"/>
              <a:cs typeface="+mn-cs"/>
            </a:rPr>
            <a:t>trusted </a:t>
          </a:r>
          <a:r>
            <a:rPr lang="en-US" sz="1100" b="0" i="0" u="none" strike="noStrike" baseline="0">
              <a:solidFill>
                <a:schemeClr val="dk1"/>
              </a:solidFill>
              <a:latin typeface="+mn-lt"/>
              <a:ea typeface="+mn-ea"/>
              <a:cs typeface="+mn-cs"/>
            </a:rPr>
            <a:t>family member</a:t>
          </a:r>
        </a:p>
        <a:p>
          <a:r>
            <a:rPr lang="en-US" sz="1100" b="0" i="0" u="none" strike="noStrike" baseline="0">
              <a:solidFill>
                <a:schemeClr val="dk1"/>
              </a:solidFill>
              <a:latin typeface="+mn-lt"/>
              <a:ea typeface="+mn-ea"/>
              <a:cs typeface="+mn-cs"/>
            </a:rPr>
            <a:t>trusted friend </a:t>
          </a:r>
        </a:p>
        <a:p>
          <a:r>
            <a:rPr lang="en-US" sz="1100" b="0" i="0" u="none" strike="noStrike" baseline="0">
              <a:solidFill>
                <a:schemeClr val="dk1"/>
              </a:solidFill>
              <a:latin typeface="+mn-lt"/>
              <a:ea typeface="+mn-ea"/>
              <a:cs typeface="+mn-cs"/>
            </a:rPr>
            <a:t>trusted colleague</a:t>
          </a:r>
        </a:p>
        <a:p>
          <a:endParaRPr lang="en-US" sz="1100" b="0" i="0" u="none" strike="noStrike" baseline="0">
            <a:solidFill>
              <a:schemeClr val="dk1"/>
            </a:solidFill>
            <a:latin typeface="+mn-lt"/>
            <a:ea typeface="+mn-ea"/>
            <a:cs typeface="+mn-cs"/>
          </a:endParaRPr>
        </a:p>
        <a:p>
          <a:endParaRPr lang="en-US" sz="1100" b="0" i="0" u="none" strike="noStrike" baseline="0">
            <a:solidFill>
              <a:schemeClr val="dk1"/>
            </a:solidFill>
            <a:latin typeface="+mn-lt"/>
            <a:ea typeface="+mn-ea"/>
            <a:cs typeface="+mn-cs"/>
          </a:endParaRPr>
        </a:p>
        <a:p>
          <a:r>
            <a:rPr lang="en-US" sz="1100"/>
            <a:t>defense lawyer</a:t>
          </a:r>
          <a:r>
            <a:rPr lang="en-US" sz="1100" baseline="0"/>
            <a:t> at trial</a:t>
          </a:r>
        </a:p>
        <a:p>
          <a:r>
            <a:rPr lang="en-US" sz="1100" baseline="0"/>
            <a:t>defense lawyer after trial</a:t>
          </a:r>
        </a:p>
        <a:p>
          <a:r>
            <a:rPr lang="en-US" sz="1100" baseline="0"/>
            <a:t>appellate lawyer</a:t>
          </a:r>
        </a:p>
        <a:p>
          <a:r>
            <a:rPr lang="en-US" sz="1100" baseline="0"/>
            <a:t>investigative journalist</a:t>
          </a:r>
        </a:p>
        <a:p>
          <a:r>
            <a:rPr lang="en-US" sz="1100" baseline="0"/>
            <a:t>activist</a:t>
          </a:r>
        </a:p>
        <a:p>
          <a:r>
            <a:rPr lang="en-US" sz="1100" baseline="0"/>
            <a:t>Innocence Project staff/volunteer</a:t>
          </a:r>
        </a:p>
        <a:p>
          <a:r>
            <a:rPr lang="en-US" sz="1100" baseline="0"/>
            <a:t>criminal justice system victim advocate</a:t>
          </a:r>
        </a:p>
        <a:p>
          <a:r>
            <a:rPr lang="en-US" sz="1100" baseline="0"/>
            <a:t>other</a:t>
          </a:r>
          <a:endParaRPr lang="en-US" sz="1100"/>
        </a:p>
        <a:p>
          <a:endParaRPr lang="en-US" sz="1100" baseline="0"/>
        </a:p>
      </xdr:txBody>
    </xdr:sp>
    <xdr:clientData/>
  </xdr:twoCellAnchor>
  <xdr:twoCellAnchor>
    <xdr:from>
      <xdr:col>53</xdr:col>
      <xdr:colOff>297996</xdr:colOff>
      <xdr:row>160</xdr:row>
      <xdr:rowOff>32657</xdr:rowOff>
    </xdr:from>
    <xdr:to>
      <xdr:col>61</xdr:col>
      <xdr:colOff>115661</xdr:colOff>
      <xdr:row>164</xdr:row>
      <xdr:rowOff>138794</xdr:rowOff>
    </xdr:to>
    <xdr:sp macro="" textlink="">
      <xdr:nvSpPr>
        <xdr:cNvPr id="39" name="TextBox 38">
          <a:extLst>
            <a:ext uri="{FF2B5EF4-FFF2-40B4-BE49-F238E27FC236}">
              <a16:creationId xmlns:a16="http://schemas.microsoft.com/office/drawing/2014/main" id="{31A01B69-7456-45C0-954A-9DBDE3751143}"/>
            </a:ext>
          </a:extLst>
        </xdr:cNvPr>
        <xdr:cNvSpPr txBox="1"/>
      </xdr:nvSpPr>
      <xdr:spPr>
        <a:xfrm>
          <a:off x="18341340" y="45371657"/>
          <a:ext cx="0" cy="8605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language: </a:t>
          </a:r>
        </a:p>
        <a:p>
          <a:r>
            <a:rPr lang="en-US" sz="1100" b="0" i="0" u="none" strike="noStrike" baseline="0">
              <a:solidFill>
                <a:schemeClr val="dk1"/>
              </a:solidFill>
              <a:latin typeface="+mn-lt"/>
              <a:ea typeface="+mn-ea"/>
              <a:cs typeface="+mn-cs"/>
            </a:rPr>
            <a:t>English</a:t>
          </a:r>
        </a:p>
        <a:p>
          <a:r>
            <a:rPr lang="en-US" sz="1100" b="0" i="0" u="none" strike="noStrike" baseline="0">
              <a:solidFill>
                <a:schemeClr val="dk1"/>
              </a:solidFill>
              <a:latin typeface="+mn-lt"/>
              <a:ea typeface="+mn-ea"/>
              <a:cs typeface="+mn-cs"/>
            </a:rPr>
            <a:t>Spanish</a:t>
          </a:r>
        </a:p>
        <a:p>
          <a:r>
            <a:rPr lang="en-US" sz="1100" b="0" i="0" u="none" strike="noStrike" baseline="0">
              <a:solidFill>
                <a:schemeClr val="dk1"/>
              </a:solidFill>
              <a:latin typeface="+mn-lt"/>
              <a:ea typeface="+mn-ea"/>
              <a:cs typeface="+mn-cs"/>
            </a:rPr>
            <a:t>other (explain in </a:t>
          </a:r>
        </a:p>
        <a:p>
          <a:r>
            <a:rPr lang="en-US" sz="1100" b="0" i="0" u="none" strike="noStrike" baseline="0">
              <a:solidFill>
                <a:schemeClr val="dk1"/>
              </a:solidFill>
              <a:latin typeface="+mn-lt"/>
              <a:ea typeface="+mn-ea"/>
              <a:cs typeface="+mn-cs"/>
            </a:rPr>
            <a:t>box)</a:t>
          </a:r>
        </a:p>
        <a:p>
          <a:endParaRPr lang="en-US" sz="1100" b="0" i="0" u="none" strike="noStrike" baseline="0">
            <a:solidFill>
              <a:schemeClr val="dk1"/>
            </a:solidFill>
            <a:latin typeface="+mn-lt"/>
            <a:ea typeface="+mn-ea"/>
            <a:cs typeface="+mn-cs"/>
          </a:endParaRPr>
        </a:p>
        <a:p>
          <a:endParaRPr lang="en-US" sz="1100"/>
        </a:p>
        <a:p>
          <a:endParaRPr lang="en-US" sz="1100" baseline="0"/>
        </a:p>
      </xdr:txBody>
    </xdr:sp>
    <xdr:clientData/>
  </xdr:twoCellAnchor>
  <xdr:twoCellAnchor>
    <xdr:from>
      <xdr:col>0</xdr:col>
      <xdr:colOff>38099</xdr:colOff>
      <xdr:row>2361</xdr:row>
      <xdr:rowOff>38100</xdr:rowOff>
    </xdr:from>
    <xdr:to>
      <xdr:col>2</xdr:col>
      <xdr:colOff>628649</xdr:colOff>
      <xdr:row>2363</xdr:row>
      <xdr:rowOff>133350</xdr:rowOff>
    </xdr:to>
    <xdr:sp macro="" textlink="">
      <xdr:nvSpPr>
        <xdr:cNvPr id="40" name="Rectangle: Beveled 39">
          <a:hlinkClick xmlns:r="http://schemas.openxmlformats.org/officeDocument/2006/relationships" r:id="rId15"/>
          <a:extLst>
            <a:ext uri="{FF2B5EF4-FFF2-40B4-BE49-F238E27FC236}">
              <a16:creationId xmlns:a16="http://schemas.microsoft.com/office/drawing/2014/main" id="{0DC5F12E-273E-4F7C-805C-FC36A5D46A07}"/>
            </a:ext>
          </a:extLst>
        </xdr:cNvPr>
        <xdr:cNvSpPr/>
      </xdr:nvSpPr>
      <xdr:spPr>
        <a:xfrm>
          <a:off x="38099" y="340339680"/>
          <a:ext cx="1931670" cy="0"/>
        </a:xfrm>
        <a:prstGeom prst="bevel">
          <a:avLst>
            <a:gd name="adj" fmla="val 15064"/>
          </a:avLst>
        </a:prstGeom>
        <a:gradFill flip="none" rotWithShape="1">
          <a:gsLst>
            <a:gs pos="0">
              <a:schemeClr val="accent4">
                <a:tint val="66000"/>
                <a:satMod val="160000"/>
              </a:schemeClr>
            </a:gs>
            <a:gs pos="50000">
              <a:schemeClr val="accent4">
                <a:tint val="44500"/>
                <a:satMod val="160000"/>
              </a:schemeClr>
            </a:gs>
            <a:gs pos="100000">
              <a:schemeClr val="accent4">
                <a:tint val="23500"/>
                <a:satMod val="160000"/>
              </a:schemeClr>
            </a:gs>
          </a:gsLst>
          <a:lin ang="16200000" scaled="1"/>
          <a:tileRect/>
        </a:gra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US" sz="1800">
              <a:solidFill>
                <a:srgbClr val="C00000"/>
              </a:solidFill>
              <a:latin typeface="Arial Black" panose="020B0A04020102020204" pitchFamily="34" charset="0"/>
            </a:rPr>
            <a:t>back to top</a:t>
          </a:r>
        </a:p>
      </xdr:txBody>
    </xdr:sp>
    <xdr:clientData/>
  </xdr:twoCellAnchor>
  <xdr:twoCellAnchor>
    <xdr:from>
      <xdr:col>33</xdr:col>
      <xdr:colOff>228600</xdr:colOff>
      <xdr:row>2389</xdr:row>
      <xdr:rowOff>114300</xdr:rowOff>
    </xdr:from>
    <xdr:to>
      <xdr:col>45</xdr:col>
      <xdr:colOff>142875</xdr:colOff>
      <xdr:row>2394</xdr:row>
      <xdr:rowOff>85725</xdr:rowOff>
    </xdr:to>
    <xdr:sp macro="" textlink="">
      <xdr:nvSpPr>
        <xdr:cNvPr id="41" name="TextBox 40">
          <a:extLst>
            <a:ext uri="{FF2B5EF4-FFF2-40B4-BE49-F238E27FC236}">
              <a16:creationId xmlns:a16="http://schemas.microsoft.com/office/drawing/2014/main" id="{D34DF3CE-7FF8-4727-84C2-CB1E2CA73ED2}"/>
            </a:ext>
          </a:extLst>
        </xdr:cNvPr>
        <xdr:cNvSpPr txBox="1"/>
      </xdr:nvSpPr>
      <xdr:spPr>
        <a:xfrm>
          <a:off x="18341340" y="3403396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gender: </a:t>
          </a:r>
        </a:p>
        <a:p>
          <a:r>
            <a:rPr lang="en-US" sz="1100" b="0" i="0" u="none" strike="noStrike" baseline="0">
              <a:solidFill>
                <a:schemeClr val="dk1"/>
              </a:solidFill>
              <a:latin typeface="+mn-lt"/>
              <a:ea typeface="+mn-ea"/>
              <a:cs typeface="+mn-cs"/>
            </a:rPr>
            <a:t>male</a:t>
          </a:r>
        </a:p>
        <a:p>
          <a:r>
            <a:rPr lang="en-US" sz="1100" b="0" i="0" u="none" strike="noStrike" baseline="0">
              <a:solidFill>
                <a:schemeClr val="dk1"/>
              </a:solidFill>
              <a:latin typeface="+mn-lt"/>
              <a:ea typeface="+mn-ea"/>
              <a:cs typeface="+mn-cs"/>
            </a:rPr>
            <a:t>female</a:t>
          </a:r>
        </a:p>
        <a:p>
          <a:r>
            <a:rPr lang="en-US" sz="1100" b="0" i="0" u="none" strike="noStrike" baseline="0">
              <a:solidFill>
                <a:schemeClr val="dk1"/>
              </a:solidFill>
              <a:latin typeface="+mn-lt"/>
              <a:ea typeface="+mn-ea"/>
              <a:cs typeface="+mn-cs"/>
            </a:rPr>
            <a:t>other (explain in box)</a:t>
          </a:r>
          <a:endParaRPr lang="en-US" sz="1100"/>
        </a:p>
        <a:p>
          <a:endParaRPr lang="en-US" sz="1100" baseline="0"/>
        </a:p>
      </xdr:txBody>
    </xdr:sp>
    <xdr:clientData/>
  </xdr:twoCellAnchor>
  <xdr:twoCellAnchor>
    <xdr:from>
      <xdr:col>39</xdr:col>
      <xdr:colOff>200025</xdr:colOff>
      <xdr:row>2405</xdr:row>
      <xdr:rowOff>57150</xdr:rowOff>
    </xdr:from>
    <xdr:to>
      <xdr:col>52</xdr:col>
      <xdr:colOff>57150</xdr:colOff>
      <xdr:row>2409</xdr:row>
      <xdr:rowOff>142875</xdr:rowOff>
    </xdr:to>
    <xdr:sp macro="" textlink="">
      <xdr:nvSpPr>
        <xdr:cNvPr id="42" name="TextBox 41">
          <a:extLst>
            <a:ext uri="{FF2B5EF4-FFF2-40B4-BE49-F238E27FC236}">
              <a16:creationId xmlns:a16="http://schemas.microsoft.com/office/drawing/2014/main" id="{B50F519B-8A27-4838-8AD8-A6342CE7B120}"/>
            </a:ext>
          </a:extLst>
        </xdr:cNvPr>
        <xdr:cNvSpPr txBox="1"/>
      </xdr:nvSpPr>
      <xdr:spPr>
        <a:xfrm>
          <a:off x="18341340" y="3403396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language: </a:t>
          </a:r>
        </a:p>
        <a:p>
          <a:r>
            <a:rPr lang="en-US" sz="1100" b="0" i="0" u="none" strike="noStrike" baseline="0">
              <a:solidFill>
                <a:schemeClr val="dk1"/>
              </a:solidFill>
              <a:latin typeface="+mn-lt"/>
              <a:ea typeface="+mn-ea"/>
              <a:cs typeface="+mn-cs"/>
            </a:rPr>
            <a:t>English</a:t>
          </a:r>
        </a:p>
        <a:p>
          <a:r>
            <a:rPr lang="en-US" sz="1100" b="0" i="0" u="none" strike="noStrike" baseline="0">
              <a:solidFill>
                <a:schemeClr val="dk1"/>
              </a:solidFill>
              <a:latin typeface="+mn-lt"/>
              <a:ea typeface="+mn-ea"/>
              <a:cs typeface="+mn-cs"/>
            </a:rPr>
            <a:t>Spanish</a:t>
          </a:r>
        </a:p>
        <a:p>
          <a:r>
            <a:rPr lang="en-US" sz="1100" b="0" i="0" u="none" strike="noStrike" baseline="0">
              <a:solidFill>
                <a:schemeClr val="dk1"/>
              </a:solidFill>
              <a:latin typeface="+mn-lt"/>
              <a:ea typeface="+mn-ea"/>
              <a:cs typeface="+mn-cs"/>
            </a:rPr>
            <a:t>other (explain in </a:t>
          </a:r>
        </a:p>
        <a:p>
          <a:r>
            <a:rPr lang="en-US" sz="1100" b="0" i="0" u="none" strike="noStrike" baseline="0">
              <a:solidFill>
                <a:schemeClr val="dk1"/>
              </a:solidFill>
              <a:latin typeface="+mn-lt"/>
              <a:ea typeface="+mn-ea"/>
              <a:cs typeface="+mn-cs"/>
            </a:rPr>
            <a:t>box)</a:t>
          </a:r>
        </a:p>
        <a:p>
          <a:endParaRPr lang="en-US" sz="1100" b="0" i="0" u="none" strike="noStrike" baseline="0">
            <a:solidFill>
              <a:schemeClr val="dk1"/>
            </a:solidFill>
            <a:latin typeface="+mn-lt"/>
            <a:ea typeface="+mn-ea"/>
            <a:cs typeface="+mn-cs"/>
          </a:endParaRPr>
        </a:p>
        <a:p>
          <a:endParaRPr lang="en-US" sz="1100"/>
        </a:p>
        <a:p>
          <a:endParaRPr lang="en-US" sz="1100" baseline="0"/>
        </a:p>
      </xdr:txBody>
    </xdr:sp>
    <xdr:clientData/>
  </xdr:twoCellAnchor>
  <xdr:twoCellAnchor>
    <xdr:from>
      <xdr:col>39</xdr:col>
      <xdr:colOff>171450</xdr:colOff>
      <xdr:row>2393</xdr:row>
      <xdr:rowOff>152400</xdr:rowOff>
    </xdr:from>
    <xdr:to>
      <xdr:col>52</xdr:col>
      <xdr:colOff>28575</xdr:colOff>
      <xdr:row>2402</xdr:row>
      <xdr:rowOff>57150</xdr:rowOff>
    </xdr:to>
    <xdr:sp macro="" textlink="">
      <xdr:nvSpPr>
        <xdr:cNvPr id="43" name="TextBox 42">
          <a:extLst>
            <a:ext uri="{FF2B5EF4-FFF2-40B4-BE49-F238E27FC236}">
              <a16:creationId xmlns:a16="http://schemas.microsoft.com/office/drawing/2014/main" id="{E084008A-B076-436C-B1A7-3D226FB9372F}"/>
            </a:ext>
          </a:extLst>
        </xdr:cNvPr>
        <xdr:cNvSpPr txBox="1"/>
      </xdr:nvSpPr>
      <xdr:spPr>
        <a:xfrm>
          <a:off x="18341340" y="3403396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race: </a:t>
          </a:r>
        </a:p>
        <a:p>
          <a:r>
            <a:rPr lang="en-US" sz="1100" b="0" i="0" u="none" strike="noStrike" baseline="0">
              <a:solidFill>
                <a:schemeClr val="dk1"/>
              </a:solidFill>
              <a:latin typeface="+mn-lt"/>
              <a:ea typeface="+mn-ea"/>
              <a:cs typeface="+mn-cs"/>
            </a:rPr>
            <a:t>primarily white</a:t>
          </a:r>
        </a:p>
        <a:p>
          <a:r>
            <a:rPr lang="en-US" sz="1100" b="0" i="0" u="none" strike="noStrike" baseline="0">
              <a:solidFill>
                <a:schemeClr val="dk1"/>
              </a:solidFill>
              <a:latin typeface="+mn-lt"/>
              <a:ea typeface="+mn-ea"/>
              <a:cs typeface="+mn-cs"/>
            </a:rPr>
            <a:t>primarily black</a:t>
          </a:r>
        </a:p>
        <a:p>
          <a:r>
            <a:rPr lang="en-US" sz="1100" b="0" i="0" u="none" strike="noStrike" baseline="0">
              <a:solidFill>
                <a:schemeClr val="dk1"/>
              </a:solidFill>
              <a:latin typeface="+mn-lt"/>
              <a:ea typeface="+mn-ea"/>
              <a:cs typeface="+mn-cs"/>
            </a:rPr>
            <a:t>nonwhite hispanic</a:t>
          </a:r>
        </a:p>
        <a:p>
          <a:r>
            <a:rPr lang="en-US" sz="1100" b="0" i="0" u="none" strike="noStrike" baseline="0">
              <a:solidFill>
                <a:schemeClr val="dk1"/>
              </a:solidFill>
              <a:latin typeface="+mn-lt"/>
              <a:ea typeface="+mn-ea"/>
              <a:cs typeface="+mn-cs"/>
            </a:rPr>
            <a:t>other (explain in box)</a:t>
          </a:r>
          <a:endParaRPr lang="en-US" sz="1100"/>
        </a:p>
        <a:p>
          <a:endParaRPr lang="en-US" sz="1100" baseline="0"/>
        </a:p>
      </xdr:txBody>
    </xdr:sp>
    <xdr:clientData/>
  </xdr:twoCellAnchor>
  <xdr:twoCellAnchor>
    <xdr:from>
      <xdr:col>27</xdr:col>
      <xdr:colOff>95250</xdr:colOff>
      <xdr:row>2394</xdr:row>
      <xdr:rowOff>133350</xdr:rowOff>
    </xdr:from>
    <xdr:to>
      <xdr:col>39</xdr:col>
      <xdr:colOff>9525</xdr:colOff>
      <xdr:row>2401</xdr:row>
      <xdr:rowOff>95250</xdr:rowOff>
    </xdr:to>
    <xdr:sp macro="" textlink="">
      <xdr:nvSpPr>
        <xdr:cNvPr id="44" name="TextBox 43">
          <a:extLst>
            <a:ext uri="{FF2B5EF4-FFF2-40B4-BE49-F238E27FC236}">
              <a16:creationId xmlns:a16="http://schemas.microsoft.com/office/drawing/2014/main" id="{D908226F-F652-49C4-8DD1-A2D965E6F312}"/>
            </a:ext>
          </a:extLst>
        </xdr:cNvPr>
        <xdr:cNvSpPr txBox="1"/>
      </xdr:nvSpPr>
      <xdr:spPr>
        <a:xfrm>
          <a:off x="18341340" y="3403396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how long knowing claimant: </a:t>
          </a:r>
        </a:p>
        <a:p>
          <a:r>
            <a:rPr lang="en-US" sz="1100" b="0" i="0" u="none" strike="noStrike" baseline="0">
              <a:solidFill>
                <a:schemeClr val="dk1"/>
              </a:solidFill>
              <a:latin typeface="+mn-lt"/>
              <a:ea typeface="+mn-ea"/>
              <a:cs typeface="+mn-cs"/>
            </a:rPr>
            <a:t>since claimant's childhood</a:t>
          </a:r>
        </a:p>
        <a:p>
          <a:r>
            <a:rPr lang="en-US" sz="1100" b="0" i="0" u="none" strike="noStrike" baseline="0">
              <a:solidFill>
                <a:schemeClr val="dk1"/>
              </a:solidFill>
              <a:latin typeface="+mn-lt"/>
              <a:ea typeface="+mn-ea"/>
              <a:cs typeface="+mn-cs"/>
            </a:rPr>
            <a:t>since before conviction</a:t>
          </a:r>
        </a:p>
        <a:p>
          <a:r>
            <a:rPr lang="en-US" sz="1100" b="0" i="0" u="none" strike="noStrike" baseline="0">
              <a:solidFill>
                <a:schemeClr val="dk1"/>
              </a:solidFill>
              <a:latin typeface="+mn-lt"/>
              <a:ea typeface="+mn-ea"/>
              <a:cs typeface="+mn-cs"/>
            </a:rPr>
            <a:t>since incarceration</a:t>
          </a:r>
        </a:p>
        <a:p>
          <a:r>
            <a:rPr lang="en-US" sz="1100" b="0" i="0" u="none" strike="noStrike" baseline="0">
              <a:solidFill>
                <a:schemeClr val="dk1"/>
              </a:solidFill>
              <a:latin typeface="+mn-lt"/>
              <a:ea typeface="+mn-ea"/>
              <a:cs typeface="+mn-cs"/>
            </a:rPr>
            <a:t>since release from incarceration</a:t>
          </a:r>
        </a:p>
        <a:p>
          <a:endParaRPr lang="en-US" sz="1100" b="0" i="0" u="none" strike="noStrike" baseline="0">
            <a:solidFill>
              <a:schemeClr val="dk1"/>
            </a:solidFill>
            <a:latin typeface="+mn-lt"/>
            <a:ea typeface="+mn-ea"/>
            <a:cs typeface="+mn-cs"/>
          </a:endParaRPr>
        </a:p>
        <a:p>
          <a:endParaRPr lang="en-US" sz="1100"/>
        </a:p>
        <a:p>
          <a:endParaRPr lang="en-US" sz="1100" baseline="0"/>
        </a:p>
      </xdr:txBody>
    </xdr:sp>
    <xdr:clientData/>
  </xdr:twoCellAnchor>
  <xdr:twoCellAnchor>
    <xdr:from>
      <xdr:col>55</xdr:col>
      <xdr:colOff>408214</xdr:colOff>
      <xdr:row>246</xdr:row>
      <xdr:rowOff>760640</xdr:rowOff>
    </xdr:from>
    <xdr:to>
      <xdr:col>63</xdr:col>
      <xdr:colOff>83002</xdr:colOff>
      <xdr:row>251</xdr:row>
      <xdr:rowOff>163286</xdr:rowOff>
    </xdr:to>
    <xdr:sp macro="" textlink="">
      <xdr:nvSpPr>
        <xdr:cNvPr id="45" name="TextBox 44">
          <a:extLst>
            <a:ext uri="{FF2B5EF4-FFF2-40B4-BE49-F238E27FC236}">
              <a16:creationId xmlns:a16="http://schemas.microsoft.com/office/drawing/2014/main" id="{9B9BB601-467D-490F-B6C7-7349835B606C}"/>
            </a:ext>
          </a:extLst>
        </xdr:cNvPr>
        <xdr:cNvSpPr txBox="1"/>
      </xdr:nvSpPr>
      <xdr:spPr>
        <a:xfrm>
          <a:off x="18341340" y="65302040"/>
          <a:ext cx="0" cy="9266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Co-defendant(s): </a:t>
          </a:r>
        </a:p>
        <a:p>
          <a:endParaRPr lang="en-US" sz="1100"/>
        </a:p>
        <a:p>
          <a:endParaRPr lang="en-US" sz="1100" baseline="0"/>
        </a:p>
      </xdr:txBody>
    </xdr:sp>
    <xdr:clientData/>
  </xdr:twoCellAnchor>
  <xdr:twoCellAnchor>
    <xdr:from>
      <xdr:col>58</xdr:col>
      <xdr:colOff>103413</xdr:colOff>
      <xdr:row>205</xdr:row>
      <xdr:rowOff>259897</xdr:rowOff>
    </xdr:from>
    <xdr:to>
      <xdr:col>65</xdr:col>
      <xdr:colOff>235402</xdr:colOff>
      <xdr:row>219</xdr:row>
      <xdr:rowOff>152400</xdr:rowOff>
    </xdr:to>
    <xdr:sp macro="" textlink="">
      <xdr:nvSpPr>
        <xdr:cNvPr id="46" name="TextBox 45">
          <a:extLst>
            <a:ext uri="{FF2B5EF4-FFF2-40B4-BE49-F238E27FC236}">
              <a16:creationId xmlns:a16="http://schemas.microsoft.com/office/drawing/2014/main" id="{6221B5DD-8642-4AB1-B399-E15BBC599357}"/>
            </a:ext>
          </a:extLst>
        </xdr:cNvPr>
        <xdr:cNvSpPr txBox="1"/>
      </xdr:nvSpPr>
      <xdr:spPr>
        <a:xfrm>
          <a:off x="18341340" y="57798517"/>
          <a:ext cx="0" cy="2490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Relation to complainant: </a:t>
          </a:r>
        </a:p>
        <a:p>
          <a:r>
            <a:rPr lang="en-US" sz="1100"/>
            <a:t>partner</a:t>
          </a:r>
        </a:p>
        <a:p>
          <a:r>
            <a:rPr lang="en-US" sz="1100"/>
            <a:t>family</a:t>
          </a:r>
        </a:p>
        <a:p>
          <a:r>
            <a:rPr lang="en-US" sz="1100"/>
            <a:t>close</a:t>
          </a:r>
          <a:r>
            <a:rPr lang="en-US" sz="1100" baseline="0"/>
            <a:t> </a:t>
          </a:r>
          <a:r>
            <a:rPr lang="en-US" sz="1100"/>
            <a:t>friend</a:t>
          </a:r>
        </a:p>
        <a:p>
          <a:r>
            <a:rPr lang="en-US" sz="1100"/>
            <a:t>casual</a:t>
          </a:r>
          <a:r>
            <a:rPr lang="en-US" sz="1100" baseline="0"/>
            <a:t> friend</a:t>
          </a:r>
          <a:endParaRPr lang="en-US" sz="1100"/>
        </a:p>
        <a:p>
          <a:r>
            <a:rPr lang="en-US" sz="1100"/>
            <a:t>acquaintance</a:t>
          </a:r>
        </a:p>
        <a:p>
          <a:r>
            <a:rPr lang="en-US" sz="1100"/>
            <a:t>stranger</a:t>
          </a:r>
        </a:p>
        <a:p>
          <a:endParaRPr lang="en-US" sz="1100"/>
        </a:p>
        <a:p>
          <a:r>
            <a:rPr lang="en-US" sz="1100" baseline="0"/>
            <a:t>=IF(D$110&gt;1,"NAME ","")</a:t>
          </a:r>
        </a:p>
        <a:p>
          <a:endParaRPr lang="en-US" sz="1100" baseline="0"/>
        </a:p>
        <a:p>
          <a:endParaRPr lang="en-US" sz="1100" baseline="0"/>
        </a:p>
        <a:p>
          <a:r>
            <a:rPr lang="en-US" sz="1100" baseline="0"/>
            <a:t>=IF(E$110&gt;1,"charged as?","")</a:t>
          </a:r>
        </a:p>
        <a:p>
          <a:endParaRPr lang="en-US" sz="1100" baseline="0"/>
        </a:p>
      </xdr:txBody>
    </xdr:sp>
    <xdr:clientData/>
  </xdr:twoCellAnchor>
  <xdr:twoCellAnchor>
    <xdr:from>
      <xdr:col>42</xdr:col>
      <xdr:colOff>73478</xdr:colOff>
      <xdr:row>181</xdr:row>
      <xdr:rowOff>58512</xdr:rowOff>
    </xdr:from>
    <xdr:to>
      <xdr:col>59</xdr:col>
      <xdr:colOff>29935</xdr:colOff>
      <xdr:row>186</xdr:row>
      <xdr:rowOff>87086</xdr:rowOff>
    </xdr:to>
    <xdr:sp macro="" textlink="">
      <xdr:nvSpPr>
        <xdr:cNvPr id="47" name="TextBox 46">
          <a:extLst>
            <a:ext uri="{FF2B5EF4-FFF2-40B4-BE49-F238E27FC236}">
              <a16:creationId xmlns:a16="http://schemas.microsoft.com/office/drawing/2014/main" id="{E2AD9624-1717-4D36-8881-FEB5686189E6}"/>
            </a:ext>
          </a:extLst>
        </xdr:cNvPr>
        <xdr:cNvSpPr txBox="1"/>
      </xdr:nvSpPr>
      <xdr:spPr>
        <a:xfrm>
          <a:off x="18341340" y="51219192"/>
          <a:ext cx="0" cy="16440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t>
          </a:r>
        </a:p>
        <a:p>
          <a:endParaRPr lang="en-US" sz="1100"/>
        </a:p>
        <a:p>
          <a:r>
            <a:rPr lang="en-US" sz="1100"/>
            <a:t>charge - innocent</a:t>
          </a:r>
          <a:endParaRPr lang="en-US" sz="1100" baseline="0"/>
        </a:p>
        <a:p>
          <a:endParaRPr lang="en-US" sz="1100" baseline="0"/>
        </a:p>
        <a:p>
          <a:r>
            <a:rPr lang="en-US" sz="1200">
              <a:solidFill>
                <a:schemeClr val="dk1"/>
              </a:solidFill>
              <a:effectLst/>
              <a:latin typeface="Abadi Extra Light" panose="020B0204020104020204" pitchFamily="34" charset="0"/>
              <a:ea typeface="+mn-ea"/>
              <a:cs typeface="+mn-cs"/>
            </a:rPr>
            <a:t>Do you know if the co-defendants also claim innocence? </a:t>
          </a:r>
        </a:p>
        <a:p>
          <a:r>
            <a:rPr lang="en-US" sz="1200">
              <a:solidFill>
                <a:schemeClr val="dk1"/>
              </a:solidFill>
              <a:effectLst/>
              <a:latin typeface="Abadi Extra Light" panose="020B0204020104020204" pitchFamily="34" charset="0"/>
              <a:ea typeface="+mn-ea"/>
              <a:cs typeface="+mn-cs"/>
            </a:rPr>
            <a:t>Do you claim to be innocent of all of the above charges? </a:t>
          </a:r>
        </a:p>
        <a:p>
          <a:r>
            <a:rPr lang="en-US" sz="1200" b="1">
              <a:solidFill>
                <a:schemeClr val="dk1"/>
              </a:solidFill>
              <a:effectLst/>
              <a:latin typeface="Abadi Extra Light" panose="020B0204020104020204" pitchFamily="34" charset="0"/>
              <a:ea typeface="+mn-ea"/>
              <a:cs typeface="+mn-cs"/>
            </a:rPr>
            <a:t>If not</a:t>
          </a:r>
          <a:r>
            <a:rPr lang="en-US" sz="1200">
              <a:solidFill>
                <a:schemeClr val="dk1"/>
              </a:solidFill>
              <a:effectLst/>
              <a:latin typeface="Abadi Extra Light" panose="020B0204020104020204" pitchFamily="34" charset="0"/>
              <a:ea typeface="+mn-ea"/>
              <a:cs typeface="+mn-cs"/>
            </a:rPr>
            <a:t>, which charges are you innocent of? </a:t>
          </a:r>
        </a:p>
        <a:p>
          <a:r>
            <a:rPr lang="en-US" sz="1200">
              <a:solidFill>
                <a:schemeClr val="dk1"/>
              </a:solidFill>
              <a:effectLst/>
              <a:latin typeface="Abadi Extra Light" panose="020B0204020104020204" pitchFamily="34" charset="0"/>
              <a:ea typeface="+mn-ea"/>
              <a:cs typeface="+mn-cs"/>
            </a:rPr>
            <a:t>Do you know who committed the crime(s) of which you are convicted? </a:t>
          </a:r>
        </a:p>
        <a:p>
          <a:r>
            <a:rPr lang="en-US" sz="1200" b="1">
              <a:solidFill>
                <a:schemeClr val="dk1"/>
              </a:solidFill>
              <a:effectLst/>
              <a:latin typeface="Abadi Extra Light" panose="020B0204020104020204" pitchFamily="34" charset="0"/>
              <a:ea typeface="+mn-ea"/>
              <a:cs typeface="+mn-cs"/>
            </a:rPr>
            <a:t>If yes</a:t>
          </a:r>
          <a:r>
            <a:rPr lang="en-US" sz="1200">
              <a:solidFill>
                <a:schemeClr val="dk1"/>
              </a:solidFill>
              <a:effectLst/>
              <a:latin typeface="Abadi Extra Light" panose="020B0204020104020204" pitchFamily="34" charset="0"/>
              <a:ea typeface="+mn-ea"/>
              <a:cs typeface="+mn-cs"/>
            </a:rPr>
            <a:t>, who? How do you know this person is the real perpetrator?</a:t>
          </a:r>
        </a:p>
        <a:p>
          <a:endParaRPr lang="en-US" sz="1100" baseline="0"/>
        </a:p>
        <a:p>
          <a:endParaRPr lang="en-US" sz="1100" baseline="0"/>
        </a:p>
        <a:p>
          <a:endParaRPr lang="en-US" sz="1100" baseline="0"/>
        </a:p>
        <a:p>
          <a:endParaRPr lang="en-US" sz="1100" baseline="0"/>
        </a:p>
        <a:p>
          <a:endParaRPr lang="en-US" sz="1100" baseline="0"/>
        </a:p>
        <a:p>
          <a:endParaRPr lang="en-US" sz="1100"/>
        </a:p>
      </xdr:txBody>
    </xdr:sp>
    <xdr:clientData/>
  </xdr:twoCellAnchor>
  <xdr:twoCellAnchor>
    <xdr:from>
      <xdr:col>53</xdr:col>
      <xdr:colOff>182335</xdr:colOff>
      <xdr:row>187</xdr:row>
      <xdr:rowOff>287112</xdr:rowOff>
    </xdr:from>
    <xdr:to>
      <xdr:col>73</xdr:col>
      <xdr:colOff>21771</xdr:colOff>
      <xdr:row>197</xdr:row>
      <xdr:rowOff>1</xdr:rowOff>
    </xdr:to>
    <xdr:sp macro="" textlink="">
      <xdr:nvSpPr>
        <xdr:cNvPr id="48" name="TextBox 47">
          <a:extLst>
            <a:ext uri="{FF2B5EF4-FFF2-40B4-BE49-F238E27FC236}">
              <a16:creationId xmlns:a16="http://schemas.microsoft.com/office/drawing/2014/main" id="{847AE56C-8BCB-42D9-8816-2E01F47FD75C}"/>
            </a:ext>
          </a:extLst>
        </xdr:cNvPr>
        <xdr:cNvSpPr txBox="1"/>
      </xdr:nvSpPr>
      <xdr:spPr>
        <a:xfrm>
          <a:off x="18341340" y="53253732"/>
          <a:ext cx="0" cy="25627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dk1"/>
              </a:solidFill>
              <a:effectLst/>
              <a:latin typeface="Abadi Extra Light" panose="020B0204020104020204" pitchFamily="34" charset="0"/>
              <a:ea typeface="+mn-ea"/>
              <a:cs typeface="+mn-cs"/>
            </a:rPr>
            <a:t>Do you claim to be innocent of all of the above charges? </a:t>
          </a:r>
        </a:p>
        <a:p>
          <a:r>
            <a:rPr lang="en-US" sz="1600" b="1">
              <a:solidFill>
                <a:schemeClr val="dk1"/>
              </a:solidFill>
              <a:effectLst/>
              <a:latin typeface="Abadi Extra Light" panose="020B0204020104020204" pitchFamily="34" charset="0"/>
              <a:ea typeface="+mn-ea"/>
              <a:cs typeface="+mn-cs"/>
            </a:rPr>
            <a:t>If not</a:t>
          </a:r>
          <a:r>
            <a:rPr lang="en-US" sz="1600">
              <a:solidFill>
                <a:schemeClr val="dk1"/>
              </a:solidFill>
              <a:effectLst/>
              <a:latin typeface="Abadi Extra Light" panose="020B0204020104020204" pitchFamily="34" charset="0"/>
              <a:ea typeface="+mn-ea"/>
              <a:cs typeface="+mn-cs"/>
            </a:rPr>
            <a:t>, which charges are you innocent of? </a:t>
          </a:r>
        </a:p>
        <a:p>
          <a:r>
            <a:rPr lang="en-US" sz="1600">
              <a:solidFill>
                <a:schemeClr val="dk1"/>
              </a:solidFill>
              <a:effectLst/>
              <a:latin typeface="Abadi Extra Light" panose="020B0204020104020204" pitchFamily="34" charset="0"/>
              <a:ea typeface="+mn-ea"/>
              <a:cs typeface="+mn-cs"/>
            </a:rPr>
            <a:t>Do you know who committed the crime(s) of which you are convicted? </a:t>
          </a:r>
        </a:p>
        <a:p>
          <a:r>
            <a:rPr lang="en-US" sz="1600" b="1">
              <a:solidFill>
                <a:schemeClr val="dk1"/>
              </a:solidFill>
              <a:effectLst/>
              <a:latin typeface="Abadi Extra Light" panose="020B0204020104020204" pitchFamily="34" charset="0"/>
              <a:ea typeface="+mn-ea"/>
              <a:cs typeface="+mn-cs"/>
            </a:rPr>
            <a:t>If yes</a:t>
          </a:r>
          <a:r>
            <a:rPr lang="en-US" sz="1600">
              <a:solidFill>
                <a:schemeClr val="dk1"/>
              </a:solidFill>
              <a:effectLst/>
              <a:latin typeface="Abadi Extra Light" panose="020B0204020104020204" pitchFamily="34" charset="0"/>
              <a:ea typeface="+mn-ea"/>
              <a:cs typeface="+mn-cs"/>
            </a:rPr>
            <a:t>, who? How do you know this person is the real perpetrator?</a:t>
          </a:r>
        </a:p>
        <a:p>
          <a:endParaRPr lang="en-US" sz="1100" baseline="0"/>
        </a:p>
        <a:p>
          <a:r>
            <a:rPr lang="en-US" sz="1100" baseline="0"/>
            <a:t>fully innocent</a:t>
          </a:r>
        </a:p>
        <a:p>
          <a:r>
            <a:rPr lang="en-US" sz="1100" baseline="0"/>
            <a:t>complicit but not to any illegal degree</a:t>
          </a:r>
        </a:p>
        <a:p>
          <a:r>
            <a:rPr lang="en-US" sz="1100" baseline="0"/>
            <a:t>only marginally complicit</a:t>
          </a:r>
        </a:p>
        <a:p>
          <a:r>
            <a:rPr lang="en-US" sz="1100" baseline="0"/>
            <a:t>not fully innocent</a:t>
          </a:r>
        </a:p>
        <a:p>
          <a:endParaRPr lang="en-US" sz="1100" baseline="0"/>
        </a:p>
        <a:p>
          <a:endParaRPr lang="en-US" sz="1100"/>
        </a:p>
      </xdr:txBody>
    </xdr:sp>
    <xdr:clientData/>
  </xdr:twoCellAnchor>
  <xdr:twoCellAnchor>
    <xdr:from>
      <xdr:col>35</xdr:col>
      <xdr:colOff>175260</xdr:colOff>
      <xdr:row>224</xdr:row>
      <xdr:rowOff>29120</xdr:rowOff>
    </xdr:from>
    <xdr:to>
      <xdr:col>47</xdr:col>
      <xdr:colOff>91712</xdr:colOff>
      <xdr:row>229</xdr:row>
      <xdr:rowOff>31842</xdr:rowOff>
    </xdr:to>
    <xdr:sp macro="" textlink="">
      <xdr:nvSpPr>
        <xdr:cNvPr id="49" name="TextBox 48">
          <a:extLst>
            <a:ext uri="{FF2B5EF4-FFF2-40B4-BE49-F238E27FC236}">
              <a16:creationId xmlns:a16="http://schemas.microsoft.com/office/drawing/2014/main" id="{57FB27D6-1135-4E84-A392-3A23AC0D4879}"/>
            </a:ext>
          </a:extLst>
        </xdr:cNvPr>
        <xdr:cNvSpPr txBox="1"/>
      </xdr:nvSpPr>
      <xdr:spPr>
        <a:xfrm>
          <a:off x="18341340" y="61156760"/>
          <a:ext cx="0" cy="6961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Initial statements to police: </a:t>
          </a:r>
        </a:p>
        <a:p>
          <a:endParaRPr lang="en-US" sz="1100"/>
        </a:p>
        <a:p>
          <a:endParaRPr lang="en-US" sz="1100" baseline="0"/>
        </a:p>
      </xdr:txBody>
    </xdr:sp>
    <xdr:clientData/>
  </xdr:twoCellAnchor>
  <xdr:twoCellAnchor>
    <xdr:from>
      <xdr:col>47</xdr:col>
      <xdr:colOff>79466</xdr:colOff>
      <xdr:row>224</xdr:row>
      <xdr:rowOff>34560</xdr:rowOff>
    </xdr:from>
    <xdr:to>
      <xdr:col>62</xdr:col>
      <xdr:colOff>206828</xdr:colOff>
      <xdr:row>242</xdr:row>
      <xdr:rowOff>152399</xdr:rowOff>
    </xdr:to>
    <xdr:sp macro="" textlink="">
      <xdr:nvSpPr>
        <xdr:cNvPr id="50" name="TextBox 49">
          <a:extLst>
            <a:ext uri="{FF2B5EF4-FFF2-40B4-BE49-F238E27FC236}">
              <a16:creationId xmlns:a16="http://schemas.microsoft.com/office/drawing/2014/main" id="{4B8A3EC9-5F2F-4182-99E5-394DD9B1CD39}"/>
            </a:ext>
          </a:extLst>
        </xdr:cNvPr>
        <xdr:cNvSpPr txBox="1"/>
      </xdr:nvSpPr>
      <xdr:spPr>
        <a:xfrm>
          <a:off x="18341340" y="61162200"/>
          <a:ext cx="0" cy="2899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Your understanding of your statements to police: </a:t>
          </a:r>
        </a:p>
        <a:p>
          <a:r>
            <a:rPr lang="en-US" sz="1100">
              <a:solidFill>
                <a:srgbClr val="7030A0"/>
              </a:solidFill>
              <a:latin typeface="Arial Black" panose="020B0A04020102020204" pitchFamily="34" charset="0"/>
            </a:rPr>
            <a:t>[</a:t>
          </a:r>
          <a:r>
            <a:rPr lang="en-US" sz="1100" i="1">
              <a:solidFill>
                <a:srgbClr val="7030A0"/>
              </a:solidFill>
              <a:latin typeface="Arial Black" panose="020B0A04020102020204" pitchFamily="34" charset="0"/>
            </a:rPr>
            <a:t>in situ</a:t>
          </a:r>
          <a:r>
            <a:rPr lang="en-US" sz="1100" i="1" baseline="0">
              <a:solidFill>
                <a:srgbClr val="7030A0"/>
              </a:solidFill>
              <a:latin typeface="Arial Black" panose="020B0A04020102020204" pitchFamily="34" charset="0"/>
            </a:rPr>
            <a:t> </a:t>
          </a:r>
          <a:r>
            <a:rPr lang="en-US" sz="1100" baseline="0">
              <a:solidFill>
                <a:srgbClr val="7030A0"/>
              </a:solidFill>
              <a:latin typeface="Arial Black" panose="020B0A04020102020204" pitchFamily="34" charset="0"/>
            </a:rPr>
            <a:t>Impact Relating]</a:t>
          </a:r>
          <a:endParaRPr lang="en-US" sz="1100">
            <a:solidFill>
              <a:srgbClr val="7030A0"/>
            </a:solidFill>
            <a:latin typeface="Arial Black" panose="020B0A04020102020204" pitchFamily="34" charset="0"/>
          </a:endParaRPr>
        </a:p>
        <a:p>
          <a:r>
            <a:rPr lang="en-US" sz="1100" baseline="0"/>
            <a:t>asserting right to remain silent</a:t>
          </a:r>
        </a:p>
        <a:p>
          <a:r>
            <a:rPr lang="en-US" sz="1100" baseline="0"/>
            <a:t>not yet a suspect nor "person of interest"</a:t>
          </a:r>
        </a:p>
        <a:p>
          <a:r>
            <a:rPr lang="en-US" sz="1100" baseline="0"/>
            <a:t>feared arrest if wasn't openly cooperative</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providing helpful information to investigate alleged incident</a:t>
          </a:r>
          <a:endParaRPr lang="en-US">
            <a:effectLst/>
          </a:endParaRPr>
        </a:p>
        <a:p>
          <a:r>
            <a:rPr lang="en-US" sz="1100" baseline="0"/>
            <a:t>providing helpful information to investigate someone else</a:t>
          </a:r>
        </a:p>
        <a:p>
          <a:r>
            <a:rPr lang="en-US" sz="1100" baseline="0"/>
            <a:t>implicate actual perpetrator</a:t>
          </a:r>
        </a:p>
        <a:p>
          <a:r>
            <a:rPr lang="en-US" sz="1100" baseline="0"/>
            <a:t>inquire what police were investigating</a:t>
          </a:r>
        </a:p>
        <a:p>
          <a:r>
            <a:rPr lang="en-US" sz="1100" baseline="0"/>
            <a:t>inquire about a matter of law ostensibly being enforced</a:t>
          </a:r>
        </a:p>
        <a:p>
          <a:r>
            <a:rPr lang="en-US" sz="1100" baseline="0"/>
            <a:t>inquire about nature of accusation(s)</a:t>
          </a:r>
        </a:p>
        <a:p>
          <a:r>
            <a:rPr lang="en-US" sz="1100" baseline="0"/>
            <a:t>inquire who was making accusation(s)</a:t>
          </a:r>
        </a:p>
        <a:p>
          <a:r>
            <a:rPr lang="en-US" sz="1100" baseline="0"/>
            <a:t>admit being present but having no criminal role</a:t>
          </a:r>
        </a:p>
        <a:p>
          <a:r>
            <a:rPr lang="en-US" sz="1100" baseline="0"/>
            <a:t>deny being present with any criminal role</a:t>
          </a:r>
        </a:p>
        <a:p>
          <a:r>
            <a:rPr lang="en-US" sz="1100" baseline="0"/>
            <a:t>admit to involvement assumed not to be criminal</a:t>
          </a:r>
        </a:p>
        <a:p>
          <a:r>
            <a:rPr lang="en-US" sz="1100" baseline="0"/>
            <a:t>other (explain below)</a:t>
          </a:r>
        </a:p>
        <a:p>
          <a:endParaRPr lang="en-US" sz="1100" baseline="0"/>
        </a:p>
        <a:p>
          <a:endParaRPr lang="en-US" sz="1100" baseline="0"/>
        </a:p>
        <a:p>
          <a:endParaRPr lang="en-US" sz="1100" baseline="0"/>
        </a:p>
      </xdr:txBody>
    </xdr:sp>
    <xdr:clientData/>
  </xdr:twoCellAnchor>
  <xdr:twoCellAnchor>
    <xdr:from>
      <xdr:col>28</xdr:col>
      <xdr:colOff>247650</xdr:colOff>
      <xdr:row>174</xdr:row>
      <xdr:rowOff>308884</xdr:rowOff>
    </xdr:from>
    <xdr:to>
      <xdr:col>41</xdr:col>
      <xdr:colOff>10885</xdr:colOff>
      <xdr:row>178</xdr:row>
      <xdr:rowOff>370114</xdr:rowOff>
    </xdr:to>
    <xdr:sp macro="" textlink="">
      <xdr:nvSpPr>
        <xdr:cNvPr id="51" name="TextBox 50">
          <a:extLst>
            <a:ext uri="{FF2B5EF4-FFF2-40B4-BE49-F238E27FC236}">
              <a16:creationId xmlns:a16="http://schemas.microsoft.com/office/drawing/2014/main" id="{FE10F25D-0A3A-4B3B-8264-3BD6E51100E4}"/>
            </a:ext>
          </a:extLst>
        </xdr:cNvPr>
        <xdr:cNvSpPr txBox="1"/>
      </xdr:nvSpPr>
      <xdr:spPr>
        <a:xfrm>
          <a:off x="18341340" y="49252144"/>
          <a:ext cx="0" cy="1585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t>
          </a:r>
        </a:p>
        <a:p>
          <a:r>
            <a:rPr lang="en-US" sz="1100"/>
            <a:t>never </a:t>
          </a:r>
          <a:r>
            <a:rPr lang="en-US" sz="1100" strike="sngStrike" baseline="0"/>
            <a:t>offered or was </a:t>
          </a:r>
          <a:r>
            <a:rPr lang="en-US" sz="1100"/>
            <a:t>open</a:t>
          </a:r>
          <a:r>
            <a:rPr lang="en-US" sz="1100" baseline="0"/>
            <a:t> to any plea deal</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coerced into a plea deal with threats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tricked into a plea deal with lies</a:t>
          </a:r>
          <a:endParaRPr lang="en-US">
            <a:effectLst/>
          </a:endParaRPr>
        </a:p>
        <a:p>
          <a:r>
            <a:rPr lang="en-US" sz="1100"/>
            <a:t>considered plea deal if better for my loved</a:t>
          </a:r>
          <a:r>
            <a:rPr lang="en-US" sz="1100" baseline="0"/>
            <a:t> ones</a:t>
          </a:r>
          <a:endParaRPr lang="en-US" sz="1100"/>
        </a:p>
        <a:p>
          <a:r>
            <a:rPr lang="en-US" sz="1100"/>
            <a:t>willingly "plea bargained" to lesser charge</a:t>
          </a:r>
        </a:p>
        <a:p>
          <a:r>
            <a:rPr lang="en-US" sz="1100" baseline="0"/>
            <a:t>other</a:t>
          </a:r>
        </a:p>
        <a:p>
          <a:endParaRPr lang="en-US" sz="1100" baseline="0"/>
        </a:p>
        <a:p>
          <a:endParaRPr lang="en-US" sz="1100"/>
        </a:p>
      </xdr:txBody>
    </xdr:sp>
    <xdr:clientData/>
  </xdr:twoCellAnchor>
  <xdr:twoCellAnchor>
    <xdr:from>
      <xdr:col>41</xdr:col>
      <xdr:colOff>77833</xdr:colOff>
      <xdr:row>174</xdr:row>
      <xdr:rowOff>308884</xdr:rowOff>
    </xdr:from>
    <xdr:to>
      <xdr:col>53</xdr:col>
      <xdr:colOff>445225</xdr:colOff>
      <xdr:row>178</xdr:row>
      <xdr:rowOff>347254</xdr:rowOff>
    </xdr:to>
    <xdr:sp macro="" textlink="">
      <xdr:nvSpPr>
        <xdr:cNvPr id="52" name="TextBox 51">
          <a:extLst>
            <a:ext uri="{FF2B5EF4-FFF2-40B4-BE49-F238E27FC236}">
              <a16:creationId xmlns:a16="http://schemas.microsoft.com/office/drawing/2014/main" id="{9BE0F1E8-E344-414E-AE54-D8656A14A432}"/>
            </a:ext>
          </a:extLst>
        </xdr:cNvPr>
        <xdr:cNvSpPr txBox="1"/>
      </xdr:nvSpPr>
      <xdr:spPr>
        <a:xfrm>
          <a:off x="18341340" y="49252144"/>
          <a:ext cx="0" cy="15623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Plea bargaining</a:t>
          </a:r>
          <a:r>
            <a:rPr lang="en-US" sz="1100"/>
            <a:t>:</a:t>
          </a:r>
        </a:p>
        <a:p>
          <a:r>
            <a:rPr lang="en-US" sz="1100"/>
            <a:t>never open</a:t>
          </a:r>
          <a:r>
            <a:rPr lang="en-US" sz="1100" baseline="0"/>
            <a:t> to any plea deal</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coerced into a plea deal with threats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tricked into a plea deal with lies</a:t>
          </a:r>
          <a:endParaRPr lang="en-US">
            <a:effectLst/>
          </a:endParaRPr>
        </a:p>
        <a:p>
          <a:r>
            <a:rPr lang="en-US" sz="1100"/>
            <a:t>accepted plea deal to save others</a:t>
          </a:r>
        </a:p>
        <a:p>
          <a:r>
            <a:rPr lang="en-US" sz="1100"/>
            <a:t>willingly plea-bargained to lesser charge</a:t>
          </a:r>
        </a:p>
        <a:p>
          <a:r>
            <a:rPr lang="en-US" sz="1100" baseline="0"/>
            <a:t>other (explain below)</a:t>
          </a:r>
        </a:p>
        <a:p>
          <a:endParaRPr lang="en-US" sz="1100" baseline="0"/>
        </a:p>
        <a:p>
          <a:endParaRPr lang="en-US" sz="1100"/>
        </a:p>
      </xdr:txBody>
    </xdr:sp>
    <xdr:clientData/>
  </xdr:twoCellAnchor>
  <xdr:twoCellAnchor>
    <xdr:from>
      <xdr:col>52</xdr:col>
      <xdr:colOff>19049</xdr:colOff>
      <xdr:row>178</xdr:row>
      <xdr:rowOff>25855</xdr:rowOff>
    </xdr:from>
    <xdr:to>
      <xdr:col>64</xdr:col>
      <xdr:colOff>247649</xdr:colOff>
      <xdr:row>183</xdr:row>
      <xdr:rowOff>522515</xdr:rowOff>
    </xdr:to>
    <xdr:sp macro="" textlink="">
      <xdr:nvSpPr>
        <xdr:cNvPr id="53" name="TextBox 52">
          <a:extLst>
            <a:ext uri="{FF2B5EF4-FFF2-40B4-BE49-F238E27FC236}">
              <a16:creationId xmlns:a16="http://schemas.microsoft.com/office/drawing/2014/main" id="{B3DA26DF-8B77-4CEC-9F39-7106DB79AAF8}"/>
            </a:ext>
          </a:extLst>
        </xdr:cNvPr>
        <xdr:cNvSpPr txBox="1"/>
      </xdr:nvSpPr>
      <xdr:spPr>
        <a:xfrm>
          <a:off x="18341340" y="50493115"/>
          <a:ext cx="0" cy="1952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Conviction based</a:t>
          </a:r>
          <a:r>
            <a:rPr lang="en-US" sz="1100" b="1" baseline="0"/>
            <a:t> upon</a:t>
          </a:r>
          <a:r>
            <a:rPr lang="en-US" sz="1100" b="1"/>
            <a:t>:</a:t>
          </a:r>
        </a:p>
        <a:p>
          <a:endParaRPr lang="en-US" sz="1100"/>
        </a:p>
        <a:p>
          <a:r>
            <a:rPr lang="en-US" sz="1100"/>
            <a:t>admission of guilt to initial</a:t>
          </a:r>
          <a:r>
            <a:rPr lang="en-US" sz="1100" baseline="0"/>
            <a:t> charge</a:t>
          </a:r>
          <a:endParaRPr lang="en-US" sz="1100"/>
        </a:p>
        <a:p>
          <a:r>
            <a:rPr lang="en-US" sz="1100" baseline="0"/>
            <a:t>plea bargain</a:t>
          </a:r>
        </a:p>
        <a:p>
          <a:r>
            <a:rPr lang="en-US" sz="1100" baseline="0"/>
            <a:t>bench trial</a:t>
          </a:r>
        </a:p>
        <a:p>
          <a:r>
            <a:rPr lang="en-US" sz="1100" baseline="0"/>
            <a:t>jury trial</a:t>
          </a:r>
        </a:p>
        <a:p>
          <a:r>
            <a:rPr lang="en-US" sz="1100" baseline="0"/>
            <a:t>jury retrial after mistrial</a:t>
          </a:r>
        </a:p>
        <a:p>
          <a:r>
            <a:rPr lang="en-US" sz="1100" baseline="0"/>
            <a:t>other </a:t>
          </a:r>
        </a:p>
        <a:p>
          <a:endParaRPr lang="en-US" sz="1100"/>
        </a:p>
      </xdr:txBody>
    </xdr:sp>
    <xdr:clientData/>
  </xdr:twoCellAnchor>
  <xdr:twoCellAnchor>
    <xdr:from>
      <xdr:col>45</xdr:col>
      <xdr:colOff>27214</xdr:colOff>
      <xdr:row>262</xdr:row>
      <xdr:rowOff>144508</xdr:rowOff>
    </xdr:from>
    <xdr:to>
      <xdr:col>65</xdr:col>
      <xdr:colOff>127363</xdr:colOff>
      <xdr:row>268</xdr:row>
      <xdr:rowOff>182879</xdr:rowOff>
    </xdr:to>
    <xdr:sp macro="" textlink="">
      <xdr:nvSpPr>
        <xdr:cNvPr id="54" name="TextBox 53">
          <a:extLst>
            <a:ext uri="{FF2B5EF4-FFF2-40B4-BE49-F238E27FC236}">
              <a16:creationId xmlns:a16="http://schemas.microsoft.com/office/drawing/2014/main" id="{6164D610-199F-432B-A878-2324D6B1520A}"/>
            </a:ext>
          </a:extLst>
        </xdr:cNvPr>
        <xdr:cNvSpPr txBox="1"/>
      </xdr:nvSpPr>
      <xdr:spPr>
        <a:xfrm>
          <a:off x="18341340" y="68297788"/>
          <a:ext cx="0" cy="11813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Response:</a:t>
          </a:r>
        </a:p>
        <a:p>
          <a:r>
            <a:rPr lang="en-US" sz="1100"/>
            <a:t>never received</a:t>
          </a:r>
          <a:r>
            <a:rPr lang="en-US" sz="1100" baseline="0"/>
            <a:t> reply</a:t>
          </a:r>
          <a:endParaRPr lang="en-US" sz="1100"/>
        </a:p>
        <a:p>
          <a:r>
            <a:rPr lang="en-US" sz="1100"/>
            <a:t>stated</a:t>
          </a:r>
          <a:r>
            <a:rPr lang="en-US" sz="1100" baseline="0"/>
            <a:t> my case did not merit their review</a:t>
          </a:r>
        </a:p>
        <a:p>
          <a:r>
            <a:rPr lang="en-US" sz="1100"/>
            <a:t>affirmed my</a:t>
          </a:r>
          <a:r>
            <a:rPr lang="en-US" sz="1100" baseline="0"/>
            <a:t> case merited review but had to prioritize their resources for another whose liberty was more in jeopardy</a:t>
          </a:r>
        </a:p>
        <a:p>
          <a:r>
            <a:rPr lang="en-US" sz="1100" baseline="0"/>
            <a:t>other (explain in box below)</a:t>
          </a:r>
          <a:endParaRPr lang="en-US" sz="1100"/>
        </a:p>
        <a:p>
          <a:endParaRPr lang="en-US" sz="1100" baseline="0"/>
        </a:p>
      </xdr:txBody>
    </xdr:sp>
    <xdr:clientData/>
  </xdr:twoCellAnchor>
  <xdr:twoCellAnchor>
    <xdr:from>
      <xdr:col>55</xdr:col>
      <xdr:colOff>417740</xdr:colOff>
      <xdr:row>251</xdr:row>
      <xdr:rowOff>155666</xdr:rowOff>
    </xdr:from>
    <xdr:to>
      <xdr:col>63</xdr:col>
      <xdr:colOff>75111</xdr:colOff>
      <xdr:row>264</xdr:row>
      <xdr:rowOff>138522</xdr:rowOff>
    </xdr:to>
    <xdr:sp macro="" textlink="">
      <xdr:nvSpPr>
        <xdr:cNvPr id="55" name="TextBox 54">
          <a:extLst>
            <a:ext uri="{FF2B5EF4-FFF2-40B4-BE49-F238E27FC236}">
              <a16:creationId xmlns:a16="http://schemas.microsoft.com/office/drawing/2014/main" id="{B6A2AA1C-7A0B-4747-BA7A-59DB0E674C0B}"/>
            </a:ext>
          </a:extLst>
        </xdr:cNvPr>
        <xdr:cNvSpPr txBox="1"/>
      </xdr:nvSpPr>
      <xdr:spPr>
        <a:xfrm>
          <a:off x="18341340" y="66221066"/>
          <a:ext cx="0" cy="2451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Appeal result/relief: </a:t>
          </a:r>
        </a:p>
        <a:p>
          <a:endParaRPr lang="en-US" sz="1100" b="0" i="0" u="none" strike="noStrike" baseline="0">
            <a:solidFill>
              <a:schemeClr val="dk1"/>
            </a:solidFill>
            <a:latin typeface="+mn-lt"/>
            <a:ea typeface="+mn-ea"/>
            <a:cs typeface="+mn-cs"/>
          </a:endParaRPr>
        </a:p>
        <a:p>
          <a:r>
            <a:rPr lang="en-US" sz="1100"/>
            <a:t>affirmed all</a:t>
          </a:r>
          <a:r>
            <a:rPr lang="en-US" sz="1100" baseline="0"/>
            <a:t> convictions and sentences</a:t>
          </a:r>
          <a:endParaRPr lang="en-US" sz="1100"/>
        </a:p>
        <a:p>
          <a:r>
            <a:rPr lang="en-US" sz="1100"/>
            <a:t>affirmed all</a:t>
          </a:r>
          <a:r>
            <a:rPr lang="en-US" sz="1100" baseline="0"/>
            <a:t> convictions, threw out sentence</a:t>
          </a:r>
        </a:p>
        <a:p>
          <a:r>
            <a:rPr lang="en-US" sz="1100" baseline="0"/>
            <a:t>affirmed convictions in part, and threw out part</a:t>
          </a:r>
        </a:p>
        <a:p>
          <a:r>
            <a:rPr lang="en-US" sz="1100" baseline="0"/>
            <a:t>threw out all convictions</a:t>
          </a:r>
        </a:p>
        <a:p>
          <a:r>
            <a:rPr lang="en-US" sz="1100" baseline="0"/>
            <a:t>other (explain below)</a:t>
          </a:r>
        </a:p>
        <a:p>
          <a:endParaRPr lang="en-US" sz="1100" baseline="0"/>
        </a:p>
        <a:p>
          <a:endParaRPr lang="en-US" sz="1100"/>
        </a:p>
        <a:p>
          <a:r>
            <a:rPr lang="en-US" sz="1100"/>
            <a:t>remanded back to trial court</a:t>
          </a:r>
        </a:p>
        <a:p>
          <a:endParaRPr lang="en-US" sz="1100"/>
        </a:p>
        <a:p>
          <a:endParaRPr lang="en-US" sz="1100" baseline="0"/>
        </a:p>
      </xdr:txBody>
    </xdr:sp>
    <xdr:clientData/>
  </xdr:twoCellAnchor>
  <xdr:twoCellAnchor>
    <xdr:from>
      <xdr:col>37</xdr:col>
      <xdr:colOff>121920</xdr:colOff>
      <xdr:row>459</xdr:row>
      <xdr:rowOff>99060</xdr:rowOff>
    </xdr:from>
    <xdr:to>
      <xdr:col>44</xdr:col>
      <xdr:colOff>213360</xdr:colOff>
      <xdr:row>460</xdr:row>
      <xdr:rowOff>167640</xdr:rowOff>
    </xdr:to>
    <xdr:sp macro="" textlink="">
      <xdr:nvSpPr>
        <xdr:cNvPr id="56" name="Rectangle: Beveled 55">
          <a:hlinkClick xmlns:r="http://schemas.openxmlformats.org/officeDocument/2006/relationships" r:id="rId16"/>
          <a:extLst>
            <a:ext uri="{FF2B5EF4-FFF2-40B4-BE49-F238E27FC236}">
              <a16:creationId xmlns:a16="http://schemas.microsoft.com/office/drawing/2014/main" id="{00C173F6-95CE-425A-B2E2-3F0E1FA4B5CF}"/>
            </a:ext>
          </a:extLst>
        </xdr:cNvPr>
        <xdr:cNvSpPr/>
      </xdr:nvSpPr>
      <xdr:spPr>
        <a:xfrm>
          <a:off x="18341340" y="118879620"/>
          <a:ext cx="0" cy="24384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rgbClr val="9BFFC8"/>
              </a:solidFill>
            </a:rPr>
            <a:t>click here for support</a:t>
          </a:r>
        </a:p>
      </xdr:txBody>
    </xdr:sp>
    <xdr:clientData/>
  </xdr:twoCellAnchor>
  <xdr:twoCellAnchor>
    <xdr:from>
      <xdr:col>63</xdr:col>
      <xdr:colOff>100148</xdr:colOff>
      <xdr:row>250</xdr:row>
      <xdr:rowOff>9524</xdr:rowOff>
    </xdr:from>
    <xdr:to>
      <xdr:col>75</xdr:col>
      <xdr:colOff>178525</xdr:colOff>
      <xdr:row>261</xdr:row>
      <xdr:rowOff>37010</xdr:rowOff>
    </xdr:to>
    <xdr:sp macro="" textlink="">
      <xdr:nvSpPr>
        <xdr:cNvPr id="57" name="TextBox 56">
          <a:extLst>
            <a:ext uri="{FF2B5EF4-FFF2-40B4-BE49-F238E27FC236}">
              <a16:creationId xmlns:a16="http://schemas.microsoft.com/office/drawing/2014/main" id="{104E98E0-B5F1-40C0-BC4A-34E6B0D23BA6}"/>
            </a:ext>
          </a:extLst>
        </xdr:cNvPr>
        <xdr:cNvSpPr txBox="1"/>
      </xdr:nvSpPr>
      <xdr:spPr>
        <a:xfrm>
          <a:off x="18341340" y="65884424"/>
          <a:ext cx="0" cy="21229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Sentence severity:</a:t>
          </a:r>
        </a:p>
        <a:p>
          <a:r>
            <a:rPr lang="en-US" sz="1100"/>
            <a:t>death row</a:t>
          </a:r>
        </a:p>
        <a:p>
          <a:r>
            <a:rPr lang="en-US" sz="1100"/>
            <a:t>life sentence</a:t>
          </a:r>
          <a:r>
            <a:rPr lang="en-US" sz="1100" baseline="0"/>
            <a:t> without chance for parole</a:t>
          </a:r>
        </a:p>
        <a:p>
          <a:r>
            <a:rPr lang="en-US" sz="1100" baseline="0"/>
            <a:t>life sentence with possibility of parole</a:t>
          </a:r>
        </a:p>
        <a:p>
          <a:r>
            <a:rPr lang="en-US" sz="1100" baseline="0">
              <a:solidFill>
                <a:schemeClr val="dk1"/>
              </a:solidFill>
              <a:effectLst/>
              <a:latin typeface="+mn-lt"/>
              <a:ea typeface="+mn-ea"/>
              <a:cs typeface="+mn-cs"/>
            </a:rPr>
            <a:t>lengthy </a:t>
          </a:r>
          <a:r>
            <a:rPr lang="en-US" sz="1100" baseline="0"/>
            <a:t>"trial penalty" sentence</a:t>
          </a:r>
        </a:p>
        <a:p>
          <a:r>
            <a:rPr lang="en-US" sz="1100" baseline="0"/>
            <a:t>indeterminent sentence with no set outdate</a:t>
          </a:r>
        </a:p>
        <a:p>
          <a:r>
            <a:rPr lang="en-US" sz="1100" baseline="0"/>
            <a:t>due to start next sentence after this one</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facing risk of civil commitment</a:t>
          </a:r>
          <a:endParaRPr lang="en-US">
            <a:effectLst/>
          </a:endParaRPr>
        </a:p>
        <a:p>
          <a:r>
            <a:rPr lang="en-US" sz="1100" baseline="0"/>
            <a:t>facing risk of deportation</a:t>
          </a:r>
          <a:endParaRPr lang="en-US" sz="1100"/>
        </a:p>
        <a:p>
          <a:endParaRPr lang="en-US" sz="1100" baseline="0"/>
        </a:p>
      </xdr:txBody>
    </xdr:sp>
    <xdr:clientData/>
  </xdr:twoCellAnchor>
  <xdr:twoCellAnchor>
    <xdr:from>
      <xdr:col>1</xdr:col>
      <xdr:colOff>1008381</xdr:colOff>
      <xdr:row>1773</xdr:row>
      <xdr:rowOff>33019</xdr:rowOff>
    </xdr:from>
    <xdr:to>
      <xdr:col>3</xdr:col>
      <xdr:colOff>1203109</xdr:colOff>
      <xdr:row>1791</xdr:row>
      <xdr:rowOff>84446</xdr:rowOff>
    </xdr:to>
    <xdr:sp macro="" textlink="">
      <xdr:nvSpPr>
        <xdr:cNvPr id="58" name="Text Box 8">
          <a:extLst>
            <a:ext uri="{FF2B5EF4-FFF2-40B4-BE49-F238E27FC236}">
              <a16:creationId xmlns:a16="http://schemas.microsoft.com/office/drawing/2014/main" id="{0E5F2E60-3F5D-44FB-90AE-C474465FAA2F}"/>
            </a:ext>
          </a:extLst>
        </xdr:cNvPr>
        <xdr:cNvSpPr txBox="1"/>
      </xdr:nvSpPr>
      <xdr:spPr>
        <a:xfrm rot="343004">
          <a:off x="1267461" y="336867499"/>
          <a:ext cx="3730408" cy="3206107"/>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Guilty</a:t>
          </a:r>
          <a:r>
            <a:rPr lang="en-US" sz="1100">
              <a:effectLst/>
              <a:latin typeface="+mn-lt"/>
              <a:ea typeface="+mn-ea"/>
              <a:cs typeface="+mn-cs"/>
            </a:rPr>
            <a:t> </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or innocent? I’m not talking about you,</a:t>
          </a:r>
          <a:r>
            <a:rPr lang="en-US" sz="2000" b="1" baseline="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but about them</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Who shall exonerate those who remain slow to exonerate others they falsely condemn?</a:t>
          </a:r>
        </a:p>
      </xdr:txBody>
    </xdr:sp>
    <xdr:clientData/>
  </xdr:twoCellAnchor>
  <xdr:twoCellAnchor>
    <xdr:from>
      <xdr:col>1</xdr:col>
      <xdr:colOff>68417</xdr:colOff>
      <xdr:row>1711</xdr:row>
      <xdr:rowOff>102874</xdr:rowOff>
    </xdr:from>
    <xdr:to>
      <xdr:col>4</xdr:col>
      <xdr:colOff>21609</xdr:colOff>
      <xdr:row>1720</xdr:row>
      <xdr:rowOff>100127</xdr:rowOff>
    </xdr:to>
    <xdr:sp macro="" textlink="">
      <xdr:nvSpPr>
        <xdr:cNvPr id="59" name="Text Box 8">
          <a:extLst>
            <a:ext uri="{FF2B5EF4-FFF2-40B4-BE49-F238E27FC236}">
              <a16:creationId xmlns:a16="http://schemas.microsoft.com/office/drawing/2014/main" id="{49D846FE-367F-43F8-90D7-B6B110268149}"/>
            </a:ext>
          </a:extLst>
        </xdr:cNvPr>
        <xdr:cNvSpPr txBox="1"/>
      </xdr:nvSpPr>
      <xdr:spPr>
        <a:xfrm rot="565750">
          <a:off x="327497" y="326063614"/>
          <a:ext cx="5462452" cy="1574593"/>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3200"/>
            </a:lnSpc>
            <a:spcBef>
              <a:spcPts val="0"/>
            </a:spcBef>
            <a:spcAft>
              <a:spcPts val="0"/>
            </a:spcAft>
            <a:tabLst>
              <a:tab pos="3200400" algn="r"/>
            </a:tabLst>
          </a:pP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"It is better that ten guilty persons </a:t>
          </a:r>
          <a:r>
            <a:rPr lang="en-US" sz="2000" b="1" spc="-20">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escape than that one innocent suffer</a:t>
          </a:r>
          <a:r>
            <a:rPr lang="en-US" sz="20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400">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31</xdr:col>
      <xdr:colOff>30480</xdr:colOff>
      <xdr:row>1734</xdr:row>
      <xdr:rowOff>99060</xdr:rowOff>
    </xdr:from>
    <xdr:to>
      <xdr:col>53</xdr:col>
      <xdr:colOff>161867</xdr:colOff>
      <xdr:row>1745</xdr:row>
      <xdr:rowOff>110310</xdr:rowOff>
    </xdr:to>
    <xdr:sp macro="" textlink="">
      <xdr:nvSpPr>
        <xdr:cNvPr id="60" name="TextBox 59">
          <a:extLst>
            <a:ext uri="{FF2B5EF4-FFF2-40B4-BE49-F238E27FC236}">
              <a16:creationId xmlns:a16="http://schemas.microsoft.com/office/drawing/2014/main" id="{6B2F8CEB-022A-4966-9FA1-CC9C94110A13}"/>
            </a:ext>
          </a:extLst>
        </xdr:cNvPr>
        <xdr:cNvSpPr txBox="1"/>
      </xdr:nvSpPr>
      <xdr:spPr>
        <a:xfrm>
          <a:off x="18341340" y="330090780"/>
          <a:ext cx="0" cy="1946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who can access my profile:</a:t>
          </a:r>
        </a:p>
        <a:p>
          <a:r>
            <a:rPr lang="en-US" sz="1100" b="0" i="0" u="none" strike="noStrike" baseline="0">
              <a:solidFill>
                <a:schemeClr val="dk1"/>
              </a:solidFill>
              <a:effectLst/>
              <a:latin typeface="+mn-lt"/>
              <a:ea typeface="+mn-ea"/>
              <a:cs typeface="+mn-cs"/>
            </a:rPr>
            <a:t>no one yet (unpublished)</a:t>
          </a:r>
        </a:p>
        <a:p>
          <a:r>
            <a:rPr lang="en-US" sz="1100" b="0" i="0" u="none" strike="noStrike" baseline="0">
              <a:solidFill>
                <a:schemeClr val="dk1"/>
              </a:solidFill>
              <a:effectLst/>
              <a:latin typeface="+mn-lt"/>
              <a:ea typeface="+mn-ea"/>
              <a:cs typeface="+mn-cs"/>
            </a:rPr>
            <a:t>white list: only those claimant (or proxy) names</a:t>
          </a:r>
        </a:p>
        <a:p>
          <a:r>
            <a:rPr lang="en-US" sz="1100" b="0" i="0" u="none" strike="noStrike" baseline="0">
              <a:solidFill>
                <a:schemeClr val="dk1"/>
              </a:solidFill>
              <a:effectLst/>
              <a:latin typeface="+mn-lt"/>
              <a:ea typeface="+mn-ea"/>
              <a:cs typeface="+mn-cs"/>
            </a:rPr>
            <a:t>white list and by automated agree-to-terms request</a:t>
          </a:r>
        </a:p>
        <a:p>
          <a:r>
            <a:rPr lang="en-US" sz="1100" b="0" i="0" u="none" strike="noStrike" baseline="0">
              <a:solidFill>
                <a:schemeClr val="dk1"/>
              </a:solidFill>
              <a:effectLst/>
              <a:latin typeface="+mn-lt"/>
              <a:ea typeface="+mn-ea"/>
              <a:cs typeface="+mn-cs"/>
            </a:rPr>
            <a:t>white list and by personal request, pending my approval</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white list and by personal request, pending proxy approval</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white list and by personal request, pending supporter approval</a:t>
          </a:r>
          <a:endParaRPr lang="en-US">
            <a:effectLst/>
          </a:endParaRPr>
        </a:p>
        <a:p>
          <a:r>
            <a:rPr lang="en-US" sz="1100" b="0" i="0" u="none" strike="noStrike" baseline="0">
              <a:solidFill>
                <a:schemeClr val="dk1"/>
              </a:solidFill>
              <a:effectLst/>
              <a:latin typeface="+mn-lt"/>
              <a:ea typeface="+mn-ea"/>
              <a:cs typeface="+mn-cs"/>
            </a:rPr>
            <a:t>black list: exclude only those claimant (or proxy) names</a:t>
          </a:r>
        </a:p>
        <a:p>
          <a:r>
            <a:rPr lang="en-US" sz="1100" b="0" i="0" u="none" strike="noStrike" baseline="0">
              <a:solidFill>
                <a:schemeClr val="dk1"/>
              </a:solidFill>
              <a:effectLst/>
              <a:latin typeface="+mn-lt"/>
              <a:ea typeface="+mn-ea"/>
              <a:cs typeface="+mn-cs"/>
            </a:rPr>
            <a:t>open to all site registrants</a:t>
          </a:r>
        </a:p>
        <a:p>
          <a:r>
            <a:rPr lang="en-US" sz="1100" b="0" i="0" u="none" strike="noStrike" baseline="0">
              <a:solidFill>
                <a:schemeClr val="dk1"/>
              </a:solidFill>
              <a:effectLst/>
              <a:latin typeface="+mn-lt"/>
              <a:ea typeface="+mn-ea"/>
              <a:cs typeface="+mn-cs"/>
            </a:rPr>
            <a:t>open to anyone</a:t>
          </a:r>
        </a:p>
        <a:p>
          <a:endParaRPr lang="en-US">
            <a:effectLst/>
          </a:endParaRPr>
        </a:p>
        <a:p>
          <a:endParaRPr lang="en-US" sz="1100"/>
        </a:p>
      </xdr:txBody>
    </xdr:sp>
    <xdr:clientData/>
  </xdr:twoCellAnchor>
  <xdr:twoCellAnchor>
    <xdr:from>
      <xdr:col>0</xdr:col>
      <xdr:colOff>190500</xdr:colOff>
      <xdr:row>687</xdr:row>
      <xdr:rowOff>168275</xdr:rowOff>
    </xdr:from>
    <xdr:to>
      <xdr:col>1</xdr:col>
      <xdr:colOff>572135</xdr:colOff>
      <xdr:row>688</xdr:row>
      <xdr:rowOff>983615</xdr:rowOff>
    </xdr:to>
    <xdr:sp macro="" textlink="">
      <xdr:nvSpPr>
        <xdr:cNvPr id="61" name="Text Box 3">
          <a:extLst>
            <a:ext uri="{FF2B5EF4-FFF2-40B4-BE49-F238E27FC236}">
              <a16:creationId xmlns:a16="http://schemas.microsoft.com/office/drawing/2014/main" id="{0FB9CDED-9A3D-4E9A-B85B-B0AE77E006E7}"/>
            </a:ext>
          </a:extLst>
        </xdr:cNvPr>
        <xdr:cNvSpPr txBox="1"/>
      </xdr:nvSpPr>
      <xdr:spPr>
        <a:xfrm>
          <a:off x="190500" y="241851815"/>
          <a:ext cx="640715" cy="100584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1384300</xdr:colOff>
      <xdr:row>688</xdr:row>
      <xdr:rowOff>4069080</xdr:rowOff>
    </xdr:from>
    <xdr:to>
      <xdr:col>4</xdr:col>
      <xdr:colOff>51435</xdr:colOff>
      <xdr:row>690</xdr:row>
      <xdr:rowOff>327660</xdr:rowOff>
    </xdr:to>
    <xdr:sp macro="" textlink="">
      <xdr:nvSpPr>
        <xdr:cNvPr id="62" name="Text Box 4">
          <a:extLst>
            <a:ext uri="{FF2B5EF4-FFF2-40B4-BE49-F238E27FC236}">
              <a16:creationId xmlns:a16="http://schemas.microsoft.com/office/drawing/2014/main" id="{2DAE734F-5352-4595-9CDF-910A30BFEC9C}"/>
            </a:ext>
          </a:extLst>
        </xdr:cNvPr>
        <xdr:cNvSpPr txBox="1"/>
      </xdr:nvSpPr>
      <xdr:spPr>
        <a:xfrm>
          <a:off x="5179060" y="245943120"/>
          <a:ext cx="640715" cy="101346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198120</xdr:colOff>
      <xdr:row>639</xdr:row>
      <xdr:rowOff>8255</xdr:rowOff>
    </xdr:from>
    <xdr:to>
      <xdr:col>1</xdr:col>
      <xdr:colOff>579755</xdr:colOff>
      <xdr:row>639</xdr:row>
      <xdr:rowOff>1014095</xdr:rowOff>
    </xdr:to>
    <xdr:sp macro="" textlink="">
      <xdr:nvSpPr>
        <xdr:cNvPr id="63" name="Text Box 3">
          <a:extLst>
            <a:ext uri="{FF2B5EF4-FFF2-40B4-BE49-F238E27FC236}">
              <a16:creationId xmlns:a16="http://schemas.microsoft.com/office/drawing/2014/main" id="{15BA72AE-C39B-451F-96B7-E6F3F54D7A1A}"/>
            </a:ext>
          </a:extLst>
        </xdr:cNvPr>
        <xdr:cNvSpPr txBox="1"/>
      </xdr:nvSpPr>
      <xdr:spPr>
        <a:xfrm>
          <a:off x="198120" y="216324815"/>
          <a:ext cx="640715" cy="100584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xdr:col>
      <xdr:colOff>1391920</xdr:colOff>
      <xdr:row>639</xdr:row>
      <xdr:rowOff>4450080</xdr:rowOff>
    </xdr:from>
    <xdr:to>
      <xdr:col>4</xdr:col>
      <xdr:colOff>59055</xdr:colOff>
      <xdr:row>641</xdr:row>
      <xdr:rowOff>327660</xdr:rowOff>
    </xdr:to>
    <xdr:sp macro="" textlink="">
      <xdr:nvSpPr>
        <xdr:cNvPr id="64" name="Text Box 4">
          <a:extLst>
            <a:ext uri="{FF2B5EF4-FFF2-40B4-BE49-F238E27FC236}">
              <a16:creationId xmlns:a16="http://schemas.microsoft.com/office/drawing/2014/main" id="{8088F1F0-06EF-437E-9426-CBB0A3127F80}"/>
            </a:ext>
          </a:extLst>
        </xdr:cNvPr>
        <xdr:cNvSpPr txBox="1"/>
      </xdr:nvSpPr>
      <xdr:spPr>
        <a:xfrm>
          <a:off x="5186680" y="220766640"/>
          <a:ext cx="640715" cy="101346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marL="0" marR="0" algn="ctr">
            <a:lnSpc>
              <a:spcPts val="7200"/>
            </a:lnSpc>
            <a:spcBef>
              <a:spcPts val="0"/>
            </a:spcBef>
            <a:spcAft>
              <a:spcPts val="0"/>
            </a:spcAft>
          </a:pPr>
          <a:r>
            <a:rPr lang="en-US" sz="7200" b="1">
              <a:ln w="10160" cap="flat" cmpd="sng" algn="ctr">
                <a:solidFill>
                  <a:srgbClr val="548235"/>
                </a:solidFill>
                <a:prstDash val="solid"/>
                <a:round/>
              </a:ln>
              <a:solidFill>
                <a:srgbClr val="00B050"/>
              </a:solidFill>
              <a:effectLst>
                <a:outerShdw blurRad="38100" dist="22860" dir="5400000" algn="tl">
                  <a:srgbClr val="000000">
                    <a:alpha val="30000"/>
                  </a:srgb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57</xdr:col>
      <xdr:colOff>365760</xdr:colOff>
      <xdr:row>1000</xdr:row>
      <xdr:rowOff>163285</xdr:rowOff>
    </xdr:from>
    <xdr:to>
      <xdr:col>75</xdr:col>
      <xdr:colOff>185058</xdr:colOff>
      <xdr:row>1038</xdr:row>
      <xdr:rowOff>157841</xdr:rowOff>
    </xdr:to>
    <xdr:sp macro="" textlink="">
      <xdr:nvSpPr>
        <xdr:cNvPr id="65" name="Rectangle: Rounded Corners 64">
          <a:extLst>
            <a:ext uri="{FF2B5EF4-FFF2-40B4-BE49-F238E27FC236}">
              <a16:creationId xmlns:a16="http://schemas.microsoft.com/office/drawing/2014/main" id="{EEE15558-15A1-4A39-8D7E-4376E0E34E0D}"/>
            </a:ext>
          </a:extLst>
        </xdr:cNvPr>
        <xdr:cNvSpPr/>
      </xdr:nvSpPr>
      <xdr:spPr>
        <a:xfrm>
          <a:off x="18341340" y="29752290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400">
              <a:solidFill>
                <a:schemeClr val="tx1"/>
              </a:solidFill>
            </a:rPr>
            <a:t>calculation</a:t>
          </a:r>
          <a:r>
            <a:rPr lang="en-US" sz="1400" baseline="0">
              <a:solidFill>
                <a:schemeClr val="tx1"/>
              </a:solidFill>
            </a:rPr>
            <a:t> of situation depression from Challenging and Aspiring response data; rule out endogynous depression</a:t>
          </a:r>
        </a:p>
        <a:p>
          <a:pPr algn="l"/>
          <a:r>
            <a:rPr lang="en-US" sz="1400" baseline="0">
              <a:solidFill>
                <a:schemeClr val="tx1"/>
              </a:solidFill>
            </a:rPr>
            <a:t>Any use of antidepressants to be informed by situational depression, with antidepressants as option to remove the intensity of the pain but not to enable the etiological situation. </a:t>
          </a:r>
          <a:endParaRPr lang="en-US" sz="1100">
            <a:solidFill>
              <a:schemeClr val="tx1"/>
            </a:solidFill>
          </a:endParaRPr>
        </a:p>
      </xdr:txBody>
    </xdr:sp>
    <xdr:clientData/>
  </xdr:twoCellAnchor>
  <xdr:twoCellAnchor>
    <xdr:from>
      <xdr:col>0</xdr:col>
      <xdr:colOff>99059</xdr:colOff>
      <xdr:row>137</xdr:row>
      <xdr:rowOff>155664</xdr:rowOff>
    </xdr:from>
    <xdr:to>
      <xdr:col>5</xdr:col>
      <xdr:colOff>83819</xdr:colOff>
      <xdr:row>145</xdr:row>
      <xdr:rowOff>186144</xdr:rowOff>
    </xdr:to>
    <xdr:sp macro="" textlink="">
      <xdr:nvSpPr>
        <xdr:cNvPr id="66" name="Rectangle: Rounded Corners 65">
          <a:extLst>
            <a:ext uri="{FF2B5EF4-FFF2-40B4-BE49-F238E27FC236}">
              <a16:creationId xmlns:a16="http://schemas.microsoft.com/office/drawing/2014/main" id="{47AC16C2-EFD3-49AA-9EF5-B4FFB33BBBBC}"/>
            </a:ext>
          </a:extLst>
        </xdr:cNvPr>
        <xdr:cNvSpPr/>
      </xdr:nvSpPr>
      <xdr:spPr>
        <a:xfrm>
          <a:off x="99059" y="40434984"/>
          <a:ext cx="5943600" cy="1645920"/>
        </a:xfrm>
        <a:prstGeom prst="roundRect">
          <a:avLst>
            <a:gd name="adj" fmla="val 5176"/>
          </a:avLst>
        </a:prstGeom>
        <a:solidFill>
          <a:srgbClr val="007832">
            <a:alpha val="80000"/>
          </a:srgbClr>
        </a:solidFill>
        <a:ln w="50800">
          <a:solidFill>
            <a:srgbClr val="00CC5C">
              <a:alpha val="40000"/>
            </a:srgb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2000">
              <a:latin typeface="Tahoma" panose="020B0604030504040204" pitchFamily="34" charset="0"/>
              <a:ea typeface="Tahoma" panose="020B0604030504040204" pitchFamily="34" charset="0"/>
              <a:cs typeface="Tahoma" panose="020B0604030504040204" pitchFamily="34" charset="0"/>
            </a:rPr>
            <a:t>This tool is in pilot</a:t>
          </a:r>
          <a:r>
            <a:rPr lang="en-US" sz="2000" baseline="0">
              <a:latin typeface="Tahoma" panose="020B0604030504040204" pitchFamily="34" charset="0"/>
              <a:ea typeface="Tahoma" panose="020B0604030504040204" pitchFamily="34" charset="0"/>
              <a:cs typeface="Tahoma" panose="020B0604030504040204" pitchFamily="34" charset="0"/>
            </a:rPr>
            <a:t> mode. It aims to calculate a likelihood of innocence compared to known cases of exoneration. It can be improved by feedback from each person utilizing it and receiving it. </a:t>
          </a:r>
          <a:endParaRPr lang="en-US" sz="2000">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39</xdr:col>
      <xdr:colOff>34833</xdr:colOff>
      <xdr:row>837</xdr:row>
      <xdr:rowOff>101235</xdr:rowOff>
    </xdr:from>
    <xdr:to>
      <xdr:col>70</xdr:col>
      <xdr:colOff>89262</xdr:colOff>
      <xdr:row>844</xdr:row>
      <xdr:rowOff>21771</xdr:rowOff>
    </xdr:to>
    <xdr:sp macro="" textlink="">
      <xdr:nvSpPr>
        <xdr:cNvPr id="67" name="Rectangle: Rounded Corners 66">
          <a:extLst>
            <a:ext uri="{FF2B5EF4-FFF2-40B4-BE49-F238E27FC236}">
              <a16:creationId xmlns:a16="http://schemas.microsoft.com/office/drawing/2014/main" id="{E6D04B1B-18FA-4C01-992C-6AA11DF67313}"/>
            </a:ext>
          </a:extLst>
        </xdr:cNvPr>
        <xdr:cNvSpPr/>
      </xdr:nvSpPr>
      <xdr:spPr>
        <a:xfrm>
          <a:off x="18341340" y="280486755"/>
          <a:ext cx="0" cy="2016036"/>
        </a:xfrm>
        <a:prstGeom prst="roundRect">
          <a:avLst>
            <a:gd name="adj" fmla="val 5176"/>
          </a:avLst>
        </a:prstGeom>
        <a:solidFill>
          <a:srgbClr val="F19B61">
            <a:alpha val="12157"/>
          </a:srgbClr>
        </a:solidFill>
        <a:ln w="76200">
          <a:solidFill>
            <a:srgbClr val="9BFFC8"/>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400">
              <a:solidFill>
                <a:schemeClr val="accent2">
                  <a:lumMod val="75000"/>
                </a:schemeClr>
              </a:solidFill>
            </a:rPr>
            <a:t>Despite </a:t>
          </a:r>
          <a:r>
            <a:rPr lang="en-US" sz="1400">
              <a:solidFill>
                <a:schemeClr val="accent2">
                  <a:lumMod val="75000"/>
                </a:schemeClr>
              </a:solidFill>
              <a:latin typeface="+mn-lt"/>
              <a:ea typeface="+mn-ea"/>
              <a:cs typeface="+mn-cs"/>
            </a:rPr>
            <a:t>challenging [CHALLENGING] needs, [NAME] aspires toward [ASPRING].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solidFill>
              <a:schemeClr val="accent2">
                <a:lumMod val="75000"/>
              </a:schemeClr>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accent2">
                  <a:lumMod val="75000"/>
                </a:schemeClr>
              </a:solidFill>
              <a:latin typeface="+mn-lt"/>
              <a:ea typeface="+mn-ea"/>
              <a:cs typeface="+mn-cs"/>
            </a:rPr>
            <a:t>Despite challenging [CHALLENGING] needs, [NAME] aspires toward [ASPRING]. </a:t>
          </a:r>
        </a:p>
        <a:p>
          <a:pPr algn="l"/>
          <a:endParaRPr lang="en-US" sz="1400">
            <a:solidFill>
              <a:schemeClr val="accent2">
                <a:lumMod val="75000"/>
              </a:schemeClr>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accent2">
                  <a:lumMod val="75000"/>
                </a:schemeClr>
              </a:solidFill>
              <a:latin typeface="+mn-lt"/>
              <a:ea typeface="+mn-ea"/>
              <a:cs typeface="+mn-cs"/>
            </a:rPr>
            <a:t>Despite challenging [CHALLENGING] needs, [NAME] aspires toward [ASPRING]. </a:t>
          </a:r>
        </a:p>
        <a:p>
          <a:pPr algn="l"/>
          <a:endParaRPr lang="en-US" sz="1400">
            <a:solidFill>
              <a:schemeClr val="accent2">
                <a:lumMod val="75000"/>
              </a:schemeClr>
            </a:solidFill>
          </a:endParaRPr>
        </a:p>
        <a:p>
          <a:pPr algn="l"/>
          <a:endParaRPr lang="en-US" sz="1400">
            <a:solidFill>
              <a:schemeClr val="accent2">
                <a:lumMod val="75000"/>
              </a:schemeClr>
            </a:solidFill>
          </a:endParaRPr>
        </a:p>
      </xdr:txBody>
    </xdr:sp>
    <xdr:clientData/>
  </xdr:twoCellAnchor>
  <xdr:twoCellAnchor>
    <xdr:from>
      <xdr:col>79</xdr:col>
      <xdr:colOff>1084</xdr:colOff>
      <xdr:row>87</xdr:row>
      <xdr:rowOff>152400</xdr:rowOff>
    </xdr:from>
    <xdr:to>
      <xdr:col>88</xdr:col>
      <xdr:colOff>13058</xdr:colOff>
      <xdr:row>97</xdr:row>
      <xdr:rowOff>38100</xdr:rowOff>
    </xdr:to>
    <xdr:sp macro="" textlink="">
      <xdr:nvSpPr>
        <xdr:cNvPr id="69" name="Arrow: Right 68">
          <a:hlinkClick xmlns:r="http://schemas.openxmlformats.org/officeDocument/2006/relationships" r:id="rId17" tooltip="&gt;&gt; click here if you could use some help with this &lt;&lt;"/>
          <a:extLst>
            <a:ext uri="{FF2B5EF4-FFF2-40B4-BE49-F238E27FC236}">
              <a16:creationId xmlns:a16="http://schemas.microsoft.com/office/drawing/2014/main" id="{BC36FCB3-36FF-4267-A62E-40A2DD589078}"/>
            </a:ext>
          </a:extLst>
        </xdr:cNvPr>
        <xdr:cNvSpPr/>
      </xdr:nvSpPr>
      <xdr:spPr>
        <a:xfrm>
          <a:off x="18341340" y="30198060"/>
          <a:ext cx="0" cy="1790700"/>
        </a:xfrm>
        <a:prstGeom prst="rightArrow">
          <a:avLst>
            <a:gd name="adj1" fmla="val 100000"/>
            <a:gd name="adj2" fmla="val 10822"/>
          </a:avLst>
        </a:prstGeom>
        <a:scene3d>
          <a:camera prst="orthographicFront"/>
          <a:lightRig rig="threePt" dir="t"/>
        </a:scene3d>
        <a:sp3d>
          <a:bevelT prst="angle"/>
        </a:sp3d>
      </xdr:spPr>
      <xdr:style>
        <a:lnRef idx="0">
          <a:schemeClr val="accent2"/>
        </a:lnRef>
        <a:fillRef idx="3">
          <a:schemeClr val="accent2"/>
        </a:fillRef>
        <a:effectRef idx="3">
          <a:schemeClr val="accent2"/>
        </a:effectRef>
        <a:fontRef idx="minor">
          <a:schemeClr val="lt1"/>
        </a:fontRef>
      </xdr:style>
      <xdr:txBody>
        <a:bodyPr vertOverflow="clip" horzOverflow="clip" lIns="137160" rtlCol="0" anchor="ctr"/>
        <a:lstStyle/>
        <a:p>
          <a:pPr>
            <a:lnSpc>
              <a:spcPts val="1400"/>
            </a:lnSpc>
            <a:spcAft>
              <a:spcPts val="600"/>
            </a:spcAft>
          </a:pPr>
          <a:r>
            <a:rPr lang="en-US" sz="140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Recounting this information risks</a:t>
          </a:r>
          <a:r>
            <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 re-traumatizing those most deeply affected by it. The proxy is there for support, and we support the proxy. </a:t>
          </a:r>
          <a:endParaRPr lang="en-US" sz="1400">
            <a:effectLst>
              <a:outerShdw blurRad="50800" dist="38100" dir="2700000" algn="tl" rotWithShape="0">
                <a:prstClr val="black">
                  <a:alpha val="40000"/>
                </a:prstClr>
              </a:outerShdw>
            </a:effectLst>
            <a:latin typeface="Arial Black" panose="020B0A04020102020204" pitchFamily="34" charset="0"/>
          </a:endParaRPr>
        </a:p>
        <a:p>
          <a:pPr>
            <a:lnSpc>
              <a:spcPts val="1400"/>
            </a:lnSpc>
          </a:pPr>
          <a:r>
            <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rPr>
            <a:t>If needing direct support to get through this, please contact us. Don't let any temporary pain stop you from receiving overdue justice. </a:t>
          </a:r>
        </a:p>
        <a:p>
          <a:pPr algn="ctr">
            <a:lnSpc>
              <a:spcPts val="1400"/>
            </a:lnSpc>
          </a:pPr>
          <a:endParaRPr lang="en-US" sz="1400" baseline="0">
            <a:solidFill>
              <a:schemeClr val="lt1"/>
            </a:solidFill>
            <a:effectLst>
              <a:outerShdw blurRad="50800" dist="38100" dir="2700000" algn="tl" rotWithShape="0">
                <a:prstClr val="black">
                  <a:alpha val="40000"/>
                </a:prstClr>
              </a:outerShdw>
            </a:effectLst>
            <a:latin typeface="Arial Black" panose="020B0A04020102020204" pitchFamily="34" charset="0"/>
            <a:ea typeface="+mn-ea"/>
            <a:cs typeface="+mn-cs"/>
          </a:endParaRPr>
        </a:p>
        <a:p>
          <a:pPr algn="ctr">
            <a:lnSpc>
              <a:spcPts val="1400"/>
            </a:lnSpc>
          </a:pPr>
          <a:r>
            <a:rPr lang="en-US" sz="2000" baseline="0">
              <a:ln w="3175">
                <a:solidFill>
                  <a:schemeClr val="bg1"/>
                </a:solidFill>
              </a:ln>
              <a:solidFill>
                <a:srgbClr val="FFABAD"/>
              </a:solidFill>
              <a:effectLst>
                <a:outerShdw blurRad="50800" dist="38100" dir="2700000" algn="tl" rotWithShape="0">
                  <a:prstClr val="black">
                    <a:alpha val="40000"/>
                  </a:prstClr>
                </a:outerShdw>
              </a:effectLst>
              <a:latin typeface="Arial Black" panose="020B0A04020102020204" pitchFamily="34" charset="0"/>
              <a:ea typeface="+mn-ea"/>
              <a:cs typeface="+mn-cs"/>
            </a:rPr>
            <a:t>CLICK HERE</a:t>
          </a:r>
          <a:r>
            <a:rPr lang="en-US" sz="2000" baseline="0">
              <a:solidFill>
                <a:srgbClr val="FFABAD"/>
              </a:solidFill>
              <a:effectLst>
                <a:outerShdw blurRad="50800" dist="38100" dir="2700000" algn="tl" rotWithShape="0">
                  <a:prstClr val="black">
                    <a:alpha val="40000"/>
                  </a:prstClr>
                </a:outerShdw>
              </a:effectLst>
              <a:latin typeface="Arial Black" panose="020B0A04020102020204" pitchFamily="34" charset="0"/>
              <a:ea typeface="+mn-ea"/>
              <a:cs typeface="+mn-cs"/>
            </a:rPr>
            <a:t>.</a:t>
          </a:r>
          <a:endParaRPr lang="en-US" sz="1400">
            <a:solidFill>
              <a:srgbClr val="FFABAD"/>
            </a:solidFill>
            <a:effectLst>
              <a:outerShdw blurRad="50800" dist="38100" dir="2700000" algn="tl" rotWithShape="0">
                <a:prstClr val="black">
                  <a:alpha val="40000"/>
                </a:prstClr>
              </a:outerShdw>
            </a:effectLst>
            <a:latin typeface="Arial Black" panose="020B0A04020102020204" pitchFamily="34" charset="0"/>
          </a:endParaRPr>
        </a:p>
      </xdr:txBody>
    </xdr:sp>
    <xdr:clientData/>
  </xdr:twoCellAnchor>
  <xdr:twoCellAnchor>
    <xdr:from>
      <xdr:col>1</xdr:col>
      <xdr:colOff>337144</xdr:colOff>
      <xdr:row>688</xdr:row>
      <xdr:rowOff>663397</xdr:rowOff>
    </xdr:from>
    <xdr:to>
      <xdr:col>3</xdr:col>
      <xdr:colOff>1804779</xdr:colOff>
      <xdr:row>688</xdr:row>
      <xdr:rowOff>4292129</xdr:rowOff>
    </xdr:to>
    <xdr:sp macro="" textlink="">
      <xdr:nvSpPr>
        <xdr:cNvPr id="70" name="TextBox 69">
          <a:extLst>
            <a:ext uri="{FF2B5EF4-FFF2-40B4-BE49-F238E27FC236}">
              <a16:creationId xmlns:a16="http://schemas.microsoft.com/office/drawing/2014/main" id="{2D31F39A-381C-475E-BDD4-2502649432A1}"/>
            </a:ext>
          </a:extLst>
        </xdr:cNvPr>
        <xdr:cNvSpPr txBox="1"/>
      </xdr:nvSpPr>
      <xdr:spPr>
        <a:xfrm rot="21085390">
          <a:off x="596224" y="242537437"/>
          <a:ext cx="5003315" cy="3628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No one sits above the law, yet no law sits above need. Laws exist to serve needs, but whose? </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And all needs sit equal before nature.</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moral question persists: whose needs get best served by which enforced laws? </a:t>
          </a:r>
        </a:p>
        <a:p>
          <a:endPar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16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answer determines the level of legitimacy, the level of widely earned trust to serve these needs.</a:t>
          </a:r>
        </a:p>
      </xdr:txBody>
    </xdr:sp>
    <xdr:clientData/>
  </xdr:twoCellAnchor>
  <xdr:twoCellAnchor>
    <xdr:from>
      <xdr:col>1</xdr:col>
      <xdr:colOff>243335</xdr:colOff>
      <xdr:row>639</xdr:row>
      <xdr:rowOff>1099136</xdr:rowOff>
    </xdr:from>
    <xdr:to>
      <xdr:col>3</xdr:col>
      <xdr:colOff>1710970</xdr:colOff>
      <xdr:row>639</xdr:row>
      <xdr:rowOff>4671929</xdr:rowOff>
    </xdr:to>
    <xdr:sp macro="" textlink="">
      <xdr:nvSpPr>
        <xdr:cNvPr id="71" name="TextBox 70">
          <a:hlinkClick xmlns:r="http://schemas.openxmlformats.org/officeDocument/2006/relationships" r:id="rId18"/>
          <a:extLst>
            <a:ext uri="{FF2B5EF4-FFF2-40B4-BE49-F238E27FC236}">
              <a16:creationId xmlns:a16="http://schemas.microsoft.com/office/drawing/2014/main" id="{09058A5A-D907-4356-9376-FC78F1B01EFA}"/>
            </a:ext>
          </a:extLst>
        </xdr:cNvPr>
        <xdr:cNvSpPr txBox="1"/>
      </xdr:nvSpPr>
      <xdr:spPr>
        <a:xfrm rot="513505">
          <a:off x="502415" y="217415696"/>
          <a:ext cx="5003315" cy="3572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The demand for professional help to review these viable claims of innocence far outstrips the meager supply.</a:t>
          </a:r>
        </a:p>
        <a:p>
          <a:endParaRPr lang="en-US" sz="24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endParaRPr>
        </a:p>
        <a:p>
          <a:r>
            <a:rPr lang="en-US" sz="24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Innocence Projects remain overwhelmed. We can help fill that gap.</a:t>
          </a:r>
        </a:p>
      </xdr:txBody>
    </xdr:sp>
    <xdr:clientData/>
  </xdr:twoCellAnchor>
  <xdr:twoCellAnchor>
    <xdr:from>
      <xdr:col>26</xdr:col>
      <xdr:colOff>0</xdr:colOff>
      <xdr:row>794</xdr:row>
      <xdr:rowOff>9797</xdr:rowOff>
    </xdr:from>
    <xdr:to>
      <xdr:col>26</xdr:col>
      <xdr:colOff>0</xdr:colOff>
      <xdr:row>811</xdr:row>
      <xdr:rowOff>117566</xdr:rowOff>
    </xdr:to>
    <xdr:grpSp>
      <xdr:nvGrpSpPr>
        <xdr:cNvPr id="72" name="Group 71">
          <a:extLst>
            <a:ext uri="{FF2B5EF4-FFF2-40B4-BE49-F238E27FC236}">
              <a16:creationId xmlns:a16="http://schemas.microsoft.com/office/drawing/2014/main" id="{AEF14F52-D8B4-4D8C-A6A4-A26B27325B2C}"/>
            </a:ext>
          </a:extLst>
        </xdr:cNvPr>
        <xdr:cNvGrpSpPr/>
      </xdr:nvGrpSpPr>
      <xdr:grpSpPr>
        <a:xfrm>
          <a:off x="18341340" y="272272397"/>
          <a:ext cx="0" cy="3231969"/>
          <a:chOff x="18954206" y="257674654"/>
          <a:chExt cx="8586650" cy="3210198"/>
        </a:xfrm>
      </xdr:grpSpPr>
      <xdr:sp macro="" textlink="">
        <xdr:nvSpPr>
          <xdr:cNvPr id="73" name="TextBox 72">
            <a:extLst>
              <a:ext uri="{FF2B5EF4-FFF2-40B4-BE49-F238E27FC236}">
                <a16:creationId xmlns:a16="http://schemas.microsoft.com/office/drawing/2014/main" id="{7697959B-D109-41BB-A380-36D2BDABADC8}"/>
              </a:ext>
            </a:extLst>
          </xdr:cNvPr>
          <xdr:cNvSpPr txBox="1"/>
        </xdr:nvSpPr>
        <xdr:spPr>
          <a:xfrm>
            <a:off x="20367172" y="257811541"/>
            <a:ext cx="2176054" cy="20533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i="0" u="none" strike="noStrike">
                <a:solidFill>
                  <a:schemeClr val="dk1"/>
                </a:solidFill>
                <a:effectLst/>
                <a:latin typeface="+mn-lt"/>
                <a:ea typeface="+mn-ea"/>
                <a:cs typeface="+mn-cs"/>
              </a:rPr>
              <a:t>Challenging</a:t>
            </a:r>
            <a:r>
              <a:rPr lang="en-US" sz="1600" b="1" i="0" u="none" strike="noStrike" baseline="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items</a:t>
            </a: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r>
              <a:rPr lang="en-US" sz="1600" b="1" i="0" u="none" strike="noStrike">
                <a:solidFill>
                  <a:schemeClr val="dk1"/>
                </a:solidFill>
                <a:effectLst/>
                <a:latin typeface="+mn-lt"/>
                <a:ea typeface="+mn-ea"/>
                <a:cs typeface="+mn-cs"/>
              </a:rPr>
              <a:t>Aspiring</a:t>
            </a:r>
            <a:r>
              <a:rPr lang="en-US" sz="1100" b="1" i="0" baseline="0">
                <a:solidFill>
                  <a:schemeClr val="dk1"/>
                </a:solidFill>
                <a:effectLst/>
                <a:latin typeface="+mn-lt"/>
                <a:ea typeface="+mn-ea"/>
                <a:cs typeface="+mn-cs"/>
              </a:rPr>
              <a:t>:</a:t>
            </a:r>
            <a:endParaRPr lang="en-US">
              <a:effectLst/>
            </a:endParaRPr>
          </a:p>
          <a:p>
            <a:pPr eaLnBrk="1" fontAlgn="auto" latinLnBrk="0" hangingPunct="1"/>
            <a:r>
              <a:rPr lang="en-US" sz="1100">
                <a:solidFill>
                  <a:schemeClr val="dk1"/>
                </a:solidFill>
                <a:effectLst/>
                <a:latin typeface="+mn-lt"/>
                <a:ea typeface="+mn-ea"/>
                <a:cs typeface="+mn-cs"/>
              </a:rPr>
              <a:t>items</a:t>
            </a:r>
          </a:p>
          <a:p>
            <a:pPr eaLnBrk="1" fontAlgn="auto" latinLnBrk="0" hangingPunct="1"/>
            <a:endParaRPr lang="en-US">
              <a:effectLst/>
            </a:endParaRPr>
          </a:p>
          <a:p>
            <a:r>
              <a:rPr lang="en-US" sz="1600" b="1" i="0" u="none" strike="noStrike">
                <a:solidFill>
                  <a:schemeClr val="dk1"/>
                </a:solidFill>
                <a:effectLst/>
                <a:latin typeface="+mn-lt"/>
                <a:ea typeface="+mn-ea"/>
                <a:cs typeface="+mn-cs"/>
              </a:rPr>
              <a:t>Seeking</a:t>
            </a:r>
            <a:r>
              <a:rPr lang="en-US" sz="1100" b="1" i="0" baseline="0">
                <a:solidFill>
                  <a:schemeClr val="dk1"/>
                </a:solidFill>
                <a:effectLst/>
                <a:latin typeface="+mn-lt"/>
                <a:ea typeface="+mn-ea"/>
                <a:cs typeface="+mn-cs"/>
              </a:rPr>
              <a:t>:</a:t>
            </a:r>
            <a:endParaRPr lang="en-US">
              <a:effectLst/>
            </a:endParaRPr>
          </a:p>
          <a:p>
            <a:pPr eaLnBrk="1" fontAlgn="auto" latinLnBrk="0" hangingPunct="1"/>
            <a:r>
              <a:rPr lang="en-US" sz="1100">
                <a:solidFill>
                  <a:schemeClr val="dk1"/>
                </a:solidFill>
                <a:effectLst/>
                <a:latin typeface="+mn-lt"/>
                <a:ea typeface="+mn-ea"/>
                <a:cs typeface="+mn-cs"/>
              </a:rPr>
              <a:t>items</a:t>
            </a:r>
          </a:p>
          <a:p>
            <a:pPr eaLnBrk="1" fontAlgn="auto" latinLnBrk="0" hangingPunct="1"/>
            <a:endParaRPr lang="en-US">
              <a:effectLst/>
            </a:endParaRPr>
          </a:p>
          <a:p>
            <a:endParaRPr lang="en-US" sz="1100"/>
          </a:p>
        </xdr:txBody>
      </xdr:sp>
      <xdr:sp macro="" textlink="">
        <xdr:nvSpPr>
          <xdr:cNvPr id="74" name="TextBox 73">
            <a:extLst>
              <a:ext uri="{FF2B5EF4-FFF2-40B4-BE49-F238E27FC236}">
                <a16:creationId xmlns:a16="http://schemas.microsoft.com/office/drawing/2014/main" id="{659A0381-E5E1-412D-830A-13556C2B1D6C}"/>
              </a:ext>
            </a:extLst>
          </xdr:cNvPr>
          <xdr:cNvSpPr txBox="1"/>
        </xdr:nvSpPr>
        <xdr:spPr>
          <a:xfrm>
            <a:off x="18954206" y="257674654"/>
            <a:ext cx="1521822" cy="1154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CCC impacting how:</a:t>
            </a:r>
            <a:endParaRPr lang="en-US" sz="1100" b="1"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not applicable</a:t>
            </a:r>
          </a:p>
          <a:p>
            <a:r>
              <a:rPr lang="en-US" sz="1100" b="0" i="0" u="none" strike="noStrike" baseline="0">
                <a:solidFill>
                  <a:schemeClr val="dk1"/>
                </a:solidFill>
                <a:effectLst/>
                <a:latin typeface="+mn-lt"/>
                <a:ea typeface="+mn-ea"/>
                <a:cs typeface="+mn-cs"/>
              </a:rPr>
              <a:t>temporary</a:t>
            </a:r>
          </a:p>
          <a:p>
            <a:r>
              <a:rPr lang="en-US" sz="1100" b="0" i="0" u="none" strike="noStrike" baseline="0">
                <a:solidFill>
                  <a:schemeClr val="dk1"/>
                </a:solidFill>
                <a:effectLst/>
                <a:latin typeface="+mn-lt"/>
                <a:ea typeface="+mn-ea"/>
                <a:cs typeface="+mn-cs"/>
              </a:rPr>
              <a:t>lasting</a:t>
            </a:r>
          </a:p>
          <a:p>
            <a:r>
              <a:rPr lang="en-US" sz="1100" b="0" i="0" u="none" strike="noStrike" baseline="0">
                <a:solidFill>
                  <a:schemeClr val="dk1"/>
                </a:solidFill>
                <a:effectLst/>
                <a:latin typeface="+mn-lt"/>
                <a:ea typeface="+mn-ea"/>
                <a:cs typeface="+mn-cs"/>
              </a:rPr>
              <a:t>permanent</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75" name="TextBox 74">
            <a:extLst>
              <a:ext uri="{FF2B5EF4-FFF2-40B4-BE49-F238E27FC236}">
                <a16:creationId xmlns:a16="http://schemas.microsoft.com/office/drawing/2014/main" id="{EAA8D045-3FA4-4CA3-B351-5158D4F6C0E1}"/>
              </a:ext>
            </a:extLst>
          </xdr:cNvPr>
          <xdr:cNvSpPr txBox="1"/>
        </xdr:nvSpPr>
        <xdr:spPr>
          <a:xfrm>
            <a:off x="19173008" y="259929086"/>
            <a:ext cx="3649072" cy="955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stripped of</a:t>
            </a:r>
            <a:r>
              <a:rPr lang="en-US" sz="1100" b="1" i="0" u="none" strike="noStrike" baseline="0">
                <a:solidFill>
                  <a:schemeClr val="dk1"/>
                </a:solidFill>
                <a:effectLst/>
                <a:latin typeface="+mn-lt"/>
                <a:ea typeface="+mn-ea"/>
                <a:cs typeface="+mn-cs"/>
              </a:rPr>
              <a:t> basic civil and human rights:</a:t>
            </a:r>
          </a:p>
          <a:p>
            <a:r>
              <a:rPr lang="en-US" sz="1100" b="0" i="0" u="none" strike="noStrike" baseline="0">
                <a:solidFill>
                  <a:schemeClr val="dk1"/>
                </a:solidFill>
                <a:effectLst/>
                <a:latin typeface="+mn-lt"/>
                <a:ea typeface="+mn-ea"/>
                <a:cs typeface="+mn-cs"/>
              </a:rPr>
              <a:t>right to vote</a:t>
            </a:r>
          </a:p>
          <a:p>
            <a:r>
              <a:rPr lang="en-US" sz="1100" b="0" i="0" u="none" strike="noStrike" baseline="0">
                <a:solidFill>
                  <a:schemeClr val="dk1"/>
                </a:solidFill>
                <a:effectLst/>
                <a:latin typeface="+mn-lt"/>
                <a:ea typeface="+mn-ea"/>
                <a:cs typeface="+mn-cs"/>
              </a:rPr>
              <a:t>right to serve on juries</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legal discriminations</a:t>
            </a:r>
          </a:p>
          <a:p>
            <a:r>
              <a:rPr lang="en-US" sz="1100" b="0" i="0" u="none" strike="noStrike" baseline="0">
                <a:solidFill>
                  <a:schemeClr val="dk1"/>
                </a:solidFill>
                <a:effectLst/>
                <a:latin typeface="+mn-lt"/>
                <a:ea typeface="+mn-ea"/>
                <a:cs typeface="+mn-cs"/>
              </a:rPr>
              <a:t>employment discrimination</a:t>
            </a:r>
          </a:p>
          <a:p>
            <a:r>
              <a:rPr lang="en-US" sz="1100" b="0" i="0" u="none" strike="noStrike" baseline="0">
                <a:solidFill>
                  <a:schemeClr val="dk1"/>
                </a:solidFill>
                <a:effectLst/>
                <a:latin typeface="+mn-lt"/>
                <a:ea typeface="+mn-ea"/>
                <a:cs typeface="+mn-cs"/>
              </a:rPr>
              <a:t>housing discrimination</a:t>
            </a:r>
          </a:p>
          <a:p>
            <a:r>
              <a:rPr lang="en-US" sz="1100" b="0" i="0" u="none" strike="noStrike" baseline="0">
                <a:solidFill>
                  <a:schemeClr val="dk1"/>
                </a:solidFill>
                <a:effectLst/>
                <a:latin typeface="+mn-lt"/>
                <a:ea typeface="+mn-ea"/>
                <a:cs typeface="+mn-cs"/>
              </a:rPr>
              <a:t>access to education</a:t>
            </a:r>
          </a:p>
          <a:p>
            <a:r>
              <a:rPr lang="en-US" sz="1100" b="0" i="0" u="none" strike="noStrike" baseline="0">
                <a:solidFill>
                  <a:schemeClr val="dk1"/>
                </a:solidFill>
                <a:effectLst/>
                <a:latin typeface="+mn-lt"/>
                <a:ea typeface="+mn-ea"/>
                <a:cs typeface="+mn-cs"/>
              </a:rPr>
              <a:t>basic public benefits</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Required to register for life</a:t>
            </a:r>
          </a:p>
          <a:p>
            <a:r>
              <a:rPr lang="en-US" sz="1100" b="0" i="0" u="none" strike="noStrike" baseline="0">
                <a:solidFill>
                  <a:schemeClr val="dk1"/>
                </a:solidFill>
                <a:effectLst/>
                <a:latin typeface="+mn-lt"/>
                <a:ea typeface="+mn-ea"/>
                <a:cs typeface="+mn-cs"/>
              </a:rPr>
              <a:t>access to education</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76" name="Rectangle: Rounded Corners 75">
            <a:extLst>
              <a:ext uri="{FF2B5EF4-FFF2-40B4-BE49-F238E27FC236}">
                <a16:creationId xmlns:a16="http://schemas.microsoft.com/office/drawing/2014/main" id="{2EA78408-461E-450E-BFA5-5A3BDA372ACE}"/>
              </a:ext>
            </a:extLst>
          </xdr:cNvPr>
          <xdr:cNvSpPr/>
        </xdr:nvSpPr>
        <xdr:spPr>
          <a:xfrm>
            <a:off x="22731547" y="257725818"/>
            <a:ext cx="1338943" cy="2291443"/>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7" name="Rectangle: Rounded Corners 76">
            <a:extLst>
              <a:ext uri="{FF2B5EF4-FFF2-40B4-BE49-F238E27FC236}">
                <a16:creationId xmlns:a16="http://schemas.microsoft.com/office/drawing/2014/main" id="{77BC2710-45EA-49FF-8E89-2C1FD5B10669}"/>
              </a:ext>
            </a:extLst>
          </xdr:cNvPr>
          <xdr:cNvSpPr/>
        </xdr:nvSpPr>
        <xdr:spPr>
          <a:xfrm>
            <a:off x="25025168" y="257747589"/>
            <a:ext cx="2194560" cy="2291443"/>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8" name="TextBox 77">
            <a:extLst>
              <a:ext uri="{FF2B5EF4-FFF2-40B4-BE49-F238E27FC236}">
                <a16:creationId xmlns:a16="http://schemas.microsoft.com/office/drawing/2014/main" id="{82EA0559-3C2A-499C-9343-399E6C54C831}"/>
              </a:ext>
            </a:extLst>
          </xdr:cNvPr>
          <xdr:cNvSpPr txBox="1"/>
        </xdr:nvSpPr>
        <xdr:spPr>
          <a:xfrm>
            <a:off x="24479794" y="257907336"/>
            <a:ext cx="2092233" cy="20108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parent(s)</a:t>
            </a:r>
          </a:p>
          <a:p>
            <a:r>
              <a:rPr lang="en-US" sz="1100" b="0" i="0" u="none" strike="noStrike" baseline="0">
                <a:solidFill>
                  <a:schemeClr val="dk1"/>
                </a:solidFill>
                <a:effectLst/>
                <a:latin typeface="+mn-lt"/>
                <a:ea typeface="+mn-ea"/>
                <a:cs typeface="+mn-cs"/>
              </a:rPr>
              <a:t>dependent sibling(s)</a:t>
            </a:r>
          </a:p>
          <a:p>
            <a:r>
              <a:rPr lang="en-US" sz="1100" b="0" i="0" u="none" strike="noStrike" baseline="0">
                <a:solidFill>
                  <a:schemeClr val="dk1"/>
                </a:solidFill>
                <a:effectLst/>
                <a:latin typeface="+mn-lt"/>
                <a:ea typeface="+mn-ea"/>
                <a:cs typeface="+mn-cs"/>
              </a:rPr>
              <a:t>dependent children(s)</a:t>
            </a:r>
          </a:p>
          <a:p>
            <a:r>
              <a:rPr lang="en-US" sz="1100" b="0" i="0" u="none" strike="noStrike" baseline="0">
                <a:solidFill>
                  <a:schemeClr val="dk1"/>
                </a:solidFill>
                <a:effectLst/>
                <a:latin typeface="+mn-lt"/>
                <a:ea typeface="+mn-ea"/>
                <a:cs typeface="+mn-cs"/>
              </a:rPr>
              <a:t>dependent grandchild(ren)</a:t>
            </a:r>
          </a:p>
          <a:p>
            <a:r>
              <a:rPr lang="en-US" sz="1100" b="0" i="0" u="none" strike="noStrike" baseline="0">
                <a:solidFill>
                  <a:schemeClr val="dk1"/>
                </a:solidFill>
                <a:effectLst/>
                <a:latin typeface="+mn-lt"/>
                <a:ea typeface="+mn-ea"/>
                <a:cs typeface="+mn-cs"/>
              </a:rPr>
              <a:t>dependent other(s)</a:t>
            </a:r>
          </a:p>
          <a:p>
            <a:r>
              <a:rPr lang="en-US" sz="1100" b="0" i="0" u="none" strike="noStrike" baseline="0">
                <a:solidFill>
                  <a:schemeClr val="dk1"/>
                </a:solidFill>
                <a:effectLst/>
                <a:latin typeface="+mn-lt"/>
                <a:ea typeface="+mn-ea"/>
                <a:cs typeface="+mn-cs"/>
              </a:rPr>
              <a:t>friend(s)</a:t>
            </a:r>
          </a:p>
          <a:p>
            <a:r>
              <a:rPr lang="en-US" sz="1100" b="0" i="0" u="none" strike="noStrike" baseline="0">
                <a:solidFill>
                  <a:schemeClr val="dk1"/>
                </a:solidFill>
                <a:effectLst/>
                <a:latin typeface="+mn-lt"/>
                <a:ea typeface="+mn-ea"/>
                <a:cs typeface="+mn-cs"/>
              </a:rPr>
              <a:t>employer(s)</a:t>
            </a:r>
          </a:p>
          <a:p>
            <a:r>
              <a:rPr lang="en-US" sz="1100" b="0" i="0" u="none" strike="noStrike" baseline="0">
                <a:solidFill>
                  <a:schemeClr val="dk1"/>
                </a:solidFill>
                <a:effectLst/>
                <a:latin typeface="+mn-lt"/>
                <a:ea typeface="+mn-ea"/>
                <a:cs typeface="+mn-cs"/>
              </a:rPr>
              <a:t>business partner(s)</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sp macro="" textlink="">
        <xdr:nvSpPr>
          <xdr:cNvPr id="79" name="TextBox 78">
            <a:extLst>
              <a:ext uri="{FF2B5EF4-FFF2-40B4-BE49-F238E27FC236}">
                <a16:creationId xmlns:a16="http://schemas.microsoft.com/office/drawing/2014/main" id="{1E6C92A6-08A1-40C8-8A70-5496151C7730}"/>
              </a:ext>
            </a:extLst>
          </xdr:cNvPr>
          <xdr:cNvSpPr txBox="1"/>
        </xdr:nvSpPr>
        <xdr:spPr>
          <a:xfrm>
            <a:off x="25448623" y="258310107"/>
            <a:ext cx="2092233" cy="20032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a:t>
            </a:r>
          </a:p>
          <a:p>
            <a:r>
              <a:rPr lang="en-US" sz="1100" b="0" i="0" u="none" strike="noStrike" baseline="0">
                <a:solidFill>
                  <a:schemeClr val="dk1"/>
                </a:solidFill>
                <a:effectLst/>
                <a:latin typeface="+mn-lt"/>
                <a:ea typeface="+mn-ea"/>
                <a:cs typeface="+mn-cs"/>
              </a:rPr>
              <a:t>family member(s)</a:t>
            </a:r>
          </a:p>
          <a:p>
            <a:r>
              <a:rPr lang="en-US" sz="1100" b="0" i="0" u="none" strike="noStrike" baseline="0">
                <a:solidFill>
                  <a:schemeClr val="dk1"/>
                </a:solidFill>
                <a:effectLst/>
                <a:latin typeface="+mn-lt"/>
                <a:ea typeface="+mn-ea"/>
                <a:cs typeface="+mn-cs"/>
              </a:rPr>
              <a:t>friend(s)</a:t>
            </a:r>
          </a:p>
          <a:p>
            <a:r>
              <a:rPr lang="en-US" sz="1100" b="0" i="0" u="none" strike="noStrike" baseline="0">
                <a:solidFill>
                  <a:schemeClr val="dk1"/>
                </a:solidFill>
                <a:effectLst/>
                <a:latin typeface="+mn-lt"/>
                <a:ea typeface="+mn-ea"/>
                <a:cs typeface="+mn-cs"/>
              </a:rPr>
              <a:t>family &amp; friend(s)</a:t>
            </a:r>
          </a:p>
          <a:p>
            <a:r>
              <a:rPr lang="en-US" sz="1100" b="0" i="0" u="none" strike="noStrike" baseline="0">
                <a:solidFill>
                  <a:schemeClr val="dk1"/>
                </a:solidFill>
                <a:effectLst/>
                <a:latin typeface="+mn-lt"/>
                <a:ea typeface="+mn-ea"/>
                <a:cs typeface="+mn-cs"/>
              </a:rPr>
              <a:t>coworker(s)</a:t>
            </a:r>
          </a:p>
          <a:p>
            <a:r>
              <a:rPr lang="en-US" sz="1100" b="0" i="0" u="none" strike="noStrike" baseline="0">
                <a:solidFill>
                  <a:schemeClr val="dk1"/>
                </a:solidFill>
                <a:effectLst/>
                <a:latin typeface="+mn-lt"/>
                <a:ea typeface="+mn-ea"/>
                <a:cs typeface="+mn-cs"/>
              </a:rPr>
              <a:t>employer(s)</a:t>
            </a:r>
          </a:p>
          <a:p>
            <a:r>
              <a:rPr lang="en-US" sz="1100" b="0" i="0" u="none" strike="noStrike" baseline="0">
                <a:solidFill>
                  <a:schemeClr val="dk1"/>
                </a:solidFill>
                <a:effectLst/>
                <a:latin typeface="+mn-lt"/>
                <a:ea typeface="+mn-ea"/>
                <a:cs typeface="+mn-cs"/>
              </a:rPr>
              <a:t>other(s)</a:t>
            </a: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grpSp>
    <xdr:clientData/>
  </xdr:twoCellAnchor>
  <xdr:twoCellAnchor>
    <xdr:from>
      <xdr:col>62</xdr:col>
      <xdr:colOff>87085</xdr:colOff>
      <xdr:row>812</xdr:row>
      <xdr:rowOff>0</xdr:rowOff>
    </xdr:from>
    <xdr:to>
      <xdr:col>70</xdr:col>
      <xdr:colOff>130628</xdr:colOff>
      <xdr:row>820</xdr:row>
      <xdr:rowOff>0</xdr:rowOff>
    </xdr:to>
    <xdr:sp macro="" textlink="">
      <xdr:nvSpPr>
        <xdr:cNvPr id="80" name="TextBox 79">
          <a:extLst>
            <a:ext uri="{FF2B5EF4-FFF2-40B4-BE49-F238E27FC236}">
              <a16:creationId xmlns:a16="http://schemas.microsoft.com/office/drawing/2014/main" id="{99B13B92-4AD8-42FB-A01F-07DDA0A6B6BE}"/>
            </a:ext>
          </a:extLst>
        </xdr:cNvPr>
        <xdr:cNvSpPr txBox="1"/>
      </xdr:nvSpPr>
      <xdr:spPr>
        <a:xfrm>
          <a:off x="18341340" y="275577300"/>
          <a:ext cx="0" cy="1638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a:solidFill>
                <a:schemeClr val="dk1"/>
              </a:solidFill>
              <a:effectLst/>
              <a:latin typeface="+mn-lt"/>
              <a:ea typeface="+mn-ea"/>
              <a:cs typeface="+mn-cs"/>
            </a:rPr>
            <a:t>CCC impacting whom:</a:t>
          </a:r>
        </a:p>
        <a:p>
          <a:r>
            <a:rPr lang="en-US" sz="1100">
              <a:solidFill>
                <a:schemeClr val="dk1"/>
              </a:solidFill>
              <a:effectLst/>
              <a:latin typeface="+mn-lt"/>
              <a:ea typeface="+mn-ea"/>
              <a:cs typeface="+mn-cs"/>
            </a:rPr>
            <a:t>impacting everyone I know</a:t>
          </a:r>
        </a:p>
        <a:p>
          <a:r>
            <a:rPr lang="en-US" sz="1100">
              <a:solidFill>
                <a:schemeClr val="dk1"/>
              </a:solidFill>
              <a:effectLst/>
              <a:latin typeface="+mn-lt"/>
              <a:ea typeface="+mn-ea"/>
              <a:cs typeface="+mn-cs"/>
            </a:rPr>
            <a:t>impacting close friend(s)</a:t>
          </a:r>
        </a:p>
        <a:p>
          <a:r>
            <a:rPr lang="en-US" sz="1100">
              <a:solidFill>
                <a:schemeClr val="dk1"/>
              </a:solidFill>
              <a:effectLst/>
              <a:latin typeface="+mn-lt"/>
              <a:ea typeface="+mn-ea"/>
              <a:cs typeface="+mn-cs"/>
            </a:rPr>
            <a:t>impacting close friends &amp; family</a:t>
          </a:r>
        </a:p>
        <a:p>
          <a:r>
            <a:rPr lang="en-US" sz="1100">
              <a:solidFill>
                <a:schemeClr val="dk1"/>
              </a:solidFill>
              <a:effectLst/>
              <a:latin typeface="+mn-lt"/>
              <a:ea typeface="+mn-ea"/>
              <a:cs typeface="+mn-cs"/>
            </a:rPr>
            <a:t>impacting only family members</a:t>
          </a:r>
        </a:p>
        <a:p>
          <a:r>
            <a:rPr lang="en-US" sz="1100">
              <a:solidFill>
                <a:schemeClr val="dk1"/>
              </a:solidFill>
              <a:effectLst/>
              <a:latin typeface="+mn-lt"/>
              <a:ea typeface="+mn-ea"/>
              <a:cs typeface="+mn-cs"/>
            </a:rPr>
            <a:t>impacting only my (then) partner</a:t>
          </a:r>
        </a:p>
        <a:p>
          <a:r>
            <a:rPr lang="en-US" sz="1100">
              <a:solidFill>
                <a:schemeClr val="dk1"/>
              </a:solidFill>
              <a:effectLst/>
              <a:latin typeface="+mn-lt"/>
              <a:ea typeface="+mn-ea"/>
              <a:cs typeface="+mn-cs"/>
            </a:rPr>
            <a:t>impacting (then) partner &amp; kids</a:t>
          </a:r>
        </a:p>
        <a:p>
          <a:r>
            <a:rPr lang="en-US" sz="1100">
              <a:solidFill>
                <a:schemeClr val="dk1"/>
              </a:solidFill>
              <a:effectLst/>
              <a:latin typeface="+mn-lt"/>
              <a:ea typeface="+mn-ea"/>
              <a:cs typeface="+mn-cs"/>
            </a:rPr>
            <a:t>impactig only my child(ren)</a:t>
          </a:r>
        </a:p>
        <a:p>
          <a:r>
            <a:rPr lang="en-US" sz="1100">
              <a:solidFill>
                <a:schemeClr val="dk1"/>
              </a:solidFill>
              <a:effectLst/>
              <a:latin typeface="+mn-lt"/>
              <a:ea typeface="+mn-ea"/>
              <a:cs typeface="+mn-cs"/>
            </a:rPr>
            <a:t>impactig only my grandchild(ren)</a:t>
          </a:r>
          <a:endParaRPr lang="en-US" sz="1100"/>
        </a:p>
      </xdr:txBody>
    </xdr:sp>
    <xdr:clientData/>
  </xdr:twoCellAnchor>
  <xdr:twoCellAnchor>
    <xdr:from>
      <xdr:col>2</xdr:col>
      <xdr:colOff>1132114</xdr:colOff>
      <xdr:row>1061</xdr:row>
      <xdr:rowOff>76200</xdr:rowOff>
    </xdr:from>
    <xdr:to>
      <xdr:col>5</xdr:col>
      <xdr:colOff>174171</xdr:colOff>
      <xdr:row>1061</xdr:row>
      <xdr:rowOff>350520</xdr:rowOff>
    </xdr:to>
    <xdr:sp macro="" textlink="">
      <xdr:nvSpPr>
        <xdr:cNvPr id="81" name="Arrow: Up 80">
          <a:hlinkClick xmlns:r="http://schemas.openxmlformats.org/officeDocument/2006/relationships" r:id="rId19"/>
          <a:extLst>
            <a:ext uri="{FF2B5EF4-FFF2-40B4-BE49-F238E27FC236}">
              <a16:creationId xmlns:a16="http://schemas.microsoft.com/office/drawing/2014/main" id="{3CE053CC-E83B-4C86-B29A-56A4568ADBB6}"/>
            </a:ext>
          </a:extLst>
        </xdr:cNvPr>
        <xdr:cNvSpPr/>
      </xdr:nvSpPr>
      <xdr:spPr>
        <a:xfrm>
          <a:off x="2473234" y="297599100"/>
          <a:ext cx="3659777" cy="274320"/>
        </a:xfrm>
        <a:prstGeom prst="upArrow">
          <a:avLst>
            <a:gd name="adj1" fmla="val 90284"/>
            <a:gd name="adj2" fmla="val 31349"/>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100"/>
            <a:t>If</a:t>
          </a:r>
          <a:r>
            <a:rPr lang="en-US" sz="1100" baseline="0"/>
            <a:t> officially exonerated, will you seek compensation?</a:t>
          </a:r>
          <a:endParaRPr lang="en-US" sz="1100"/>
        </a:p>
      </xdr:txBody>
    </xdr:sp>
    <xdr:clientData/>
  </xdr:twoCellAnchor>
  <xdr:twoCellAnchor>
    <xdr:from>
      <xdr:col>60</xdr:col>
      <xdr:colOff>134981</xdr:colOff>
      <xdr:row>820</xdr:row>
      <xdr:rowOff>108856</xdr:rowOff>
    </xdr:from>
    <xdr:to>
      <xdr:col>70</xdr:col>
      <xdr:colOff>97970</xdr:colOff>
      <xdr:row>837</xdr:row>
      <xdr:rowOff>32656</xdr:rowOff>
    </xdr:to>
    <xdr:sp macro="" textlink="">
      <xdr:nvSpPr>
        <xdr:cNvPr id="82" name="Text Box 1">
          <a:extLst>
            <a:ext uri="{FF2B5EF4-FFF2-40B4-BE49-F238E27FC236}">
              <a16:creationId xmlns:a16="http://schemas.microsoft.com/office/drawing/2014/main" id="{209B52A1-722F-43A3-B085-ECEC7F440BAA}"/>
            </a:ext>
          </a:extLst>
        </xdr:cNvPr>
        <xdr:cNvSpPr txBox="1"/>
      </xdr:nvSpPr>
      <xdr:spPr>
        <a:xfrm>
          <a:off x="18341340" y="277324456"/>
          <a:ext cx="0" cy="3093720"/>
        </a:xfrm>
        <a:prstGeom prst="rect">
          <a:avLst/>
        </a:prstGeom>
        <a:solidFill>
          <a:schemeClr val="bg1">
            <a:lumMod val="95000"/>
          </a:schemeClr>
        </a:solidFill>
        <a:ln w="38100">
          <a:solidFill>
            <a:srgbClr val="D088FC"/>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Challenging: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not challenged at all</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only slightly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moderately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significantly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severely challenged</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0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Aspiring: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don't seek it nor think about it much</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desire it but feel it's unlikely to happen</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hope it'll happen but I can do little about it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struggle to make it happen but unsuccessfully</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feel I've reached it but not maintained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sense I can maintaine it with help like this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 maintain it without help like this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000">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b="1">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Seeking:</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not important at all right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low priority right now</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important but can wait for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must have it as soon as possible</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increasingly consuming my focus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0"/>
            </a:spcAft>
          </a:pPr>
          <a:r>
            <a:rPr lang="en-US" sz="1100">
              <a:solidFill>
                <a:srgbClr val="000000"/>
              </a:solidFill>
              <a:effectLst/>
              <a:latin typeface="Calibri" panose="020F0502020204030204" pitchFamily="34" charset="0"/>
              <a:ea typeface="Times New Roman" panose="02020603050405020304" pitchFamily="18" charset="0"/>
              <a:cs typeface="Calibri" panose="020F0502020204030204" pitchFamily="34" charset="0"/>
            </a:rPr>
            <a:t>can't go on any further without it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59</xdr:col>
      <xdr:colOff>125185</xdr:colOff>
      <xdr:row>268</xdr:row>
      <xdr:rowOff>177166</xdr:rowOff>
    </xdr:from>
    <xdr:to>
      <xdr:col>68</xdr:col>
      <xdr:colOff>217714</xdr:colOff>
      <xdr:row>274</xdr:row>
      <xdr:rowOff>52251</xdr:rowOff>
    </xdr:to>
    <xdr:sp macro="" textlink="">
      <xdr:nvSpPr>
        <xdr:cNvPr id="83" name="TextBox 82">
          <a:extLst>
            <a:ext uri="{FF2B5EF4-FFF2-40B4-BE49-F238E27FC236}">
              <a16:creationId xmlns:a16="http://schemas.microsoft.com/office/drawing/2014/main" id="{DB36DBB4-FA34-468F-B8C5-3F13379186FA}"/>
            </a:ext>
          </a:extLst>
        </xdr:cNvPr>
        <xdr:cNvSpPr txBox="1"/>
      </xdr:nvSpPr>
      <xdr:spPr>
        <a:xfrm>
          <a:off x="18341340" y="69473446"/>
          <a:ext cx="0" cy="10028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baseline="0">
              <a:solidFill>
                <a:schemeClr val="dk1"/>
              </a:solidFill>
              <a:latin typeface="+mn-lt"/>
              <a:ea typeface="+mn-ea"/>
              <a:cs typeface="+mn-cs"/>
            </a:rPr>
            <a:t>SOR:</a:t>
          </a:r>
        </a:p>
        <a:p>
          <a:r>
            <a:rPr lang="en-US" sz="1100"/>
            <a:t>not applicable</a:t>
          </a:r>
        </a:p>
        <a:p>
          <a:r>
            <a:rPr lang="en-US" sz="1100"/>
            <a:t>already</a:t>
          </a:r>
          <a:r>
            <a:rPr lang="en-US" sz="1100" baseline="0"/>
            <a:t> removed from registry</a:t>
          </a:r>
        </a:p>
        <a:p>
          <a:r>
            <a:rPr lang="en-US" sz="1100" baseline="0"/>
            <a:t>still on registry until [CONVICTION YEAR + 20]</a:t>
          </a:r>
        </a:p>
        <a:p>
          <a:r>
            <a:rPr lang="en-US" sz="1100" baseline="0"/>
            <a:t>on registry for life</a:t>
          </a:r>
          <a:endParaRPr lang="en-US" sz="1100"/>
        </a:p>
        <a:p>
          <a:endParaRPr lang="en-US" sz="1100" baseline="0"/>
        </a:p>
      </xdr:txBody>
    </xdr:sp>
    <xdr:clientData/>
  </xdr:twoCellAnchor>
  <xdr:twoCellAnchor editAs="oneCell">
    <xdr:from>
      <xdr:col>2</xdr:col>
      <xdr:colOff>1817915</xdr:colOff>
      <xdr:row>764</xdr:row>
      <xdr:rowOff>468086</xdr:rowOff>
    </xdr:from>
    <xdr:to>
      <xdr:col>3</xdr:col>
      <xdr:colOff>1785737</xdr:colOff>
      <xdr:row>764</xdr:row>
      <xdr:rowOff>1995352</xdr:rowOff>
    </xdr:to>
    <xdr:pic>
      <xdr:nvPicPr>
        <xdr:cNvPr id="84" name="Picture 83" descr="Maps, Country, America, States, Land, Geography, Us">
          <a:hlinkClick xmlns:r="http://schemas.openxmlformats.org/officeDocument/2006/relationships" r:id="rId20"/>
          <a:extLst>
            <a:ext uri="{FF2B5EF4-FFF2-40B4-BE49-F238E27FC236}">
              <a16:creationId xmlns:a16="http://schemas.microsoft.com/office/drawing/2014/main" id="{505E1577-A752-415A-971B-483B7331B18B}"/>
            </a:ext>
          </a:extLst>
        </xdr:cNvPr>
        <xdr:cNvPicPr>
          <a:picLocks noChangeAspect="1" noChangeArrowheads="1"/>
        </xdr:cNvPicPr>
      </xdr:nvPicPr>
      <xdr:blipFill>
        <a:blip xmlns:r="http://schemas.openxmlformats.org/officeDocument/2006/relationships" r:embed="rId21" cstate="print">
          <a:duotone>
            <a:schemeClr val="bg2">
              <a:shade val="45000"/>
              <a:satMod val="135000"/>
            </a:schemeClr>
            <a:prstClr val="white"/>
          </a:duotone>
          <a:extLst>
            <a:ext uri="{BEBA8EAE-BF5A-486C-A8C5-ECC9F3942E4B}">
              <a14:imgProps xmlns:a14="http://schemas.microsoft.com/office/drawing/2010/main">
                <a14:imgLayer r:embed="rId22">
                  <a14:imgEffect>
                    <a14:artisticGlowEdges/>
                  </a14:imgEffect>
                </a14:imgLayer>
              </a14:imgProps>
            </a:ext>
            <a:ext uri="{28A0092B-C50C-407E-A947-70E740481C1C}">
              <a14:useLocalDpi xmlns:a14="http://schemas.microsoft.com/office/drawing/2010/main" val="0"/>
            </a:ext>
          </a:extLst>
        </a:blip>
        <a:srcRect/>
        <a:stretch>
          <a:fillRect/>
        </a:stretch>
      </xdr:blipFill>
      <xdr:spPr bwMode="auto">
        <a:xfrm>
          <a:off x="3159035" y="264783026"/>
          <a:ext cx="2421462" cy="1527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39</xdr:col>
      <xdr:colOff>70720</xdr:colOff>
      <xdr:row>254</xdr:row>
      <xdr:rowOff>97973</xdr:rowOff>
    </xdr:from>
    <xdr:to>
      <xdr:col>45</xdr:col>
      <xdr:colOff>239486</xdr:colOff>
      <xdr:row>257</xdr:row>
      <xdr:rowOff>108859</xdr:rowOff>
    </xdr:to>
    <xdr:sp macro="" textlink="">
      <xdr:nvSpPr>
        <xdr:cNvPr id="85" name="Rectangle: Rounded Corners 84">
          <a:extLst>
            <a:ext uri="{FF2B5EF4-FFF2-40B4-BE49-F238E27FC236}">
              <a16:creationId xmlns:a16="http://schemas.microsoft.com/office/drawing/2014/main" id="{B34FCAD1-8C7E-4A65-A027-EFED3C97BB36}"/>
            </a:ext>
          </a:extLst>
        </xdr:cNvPr>
        <xdr:cNvSpPr/>
      </xdr:nvSpPr>
      <xdr:spPr>
        <a:xfrm>
          <a:off x="18341340" y="66734873"/>
          <a:ext cx="0" cy="864326"/>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solidFill>
                <a:srgbClr val="D088FC"/>
              </a:solidFill>
              <a:latin typeface="+mn-lt"/>
              <a:ea typeface="+mn-ea"/>
              <a:cs typeface="+mn-cs"/>
            </a:rPr>
            <a:t>CHECK CALCULATIONS AFTER LIST OPTIONS</a:t>
          </a:r>
          <a:r>
            <a:rPr lang="en-US" sz="1600" b="1" baseline="0">
              <a:solidFill>
                <a:srgbClr val="D088FC"/>
              </a:solidFill>
              <a:latin typeface="+mn-lt"/>
              <a:ea typeface="+mn-ea"/>
              <a:cs typeface="+mn-cs"/>
            </a:rPr>
            <a:t> EDIT</a:t>
          </a:r>
          <a:endParaRPr lang="en-US" sz="1600" b="1">
            <a:solidFill>
              <a:srgbClr val="D088FC"/>
            </a:solidFill>
            <a:latin typeface="+mn-lt"/>
            <a:ea typeface="+mn-ea"/>
            <a:cs typeface="+mn-cs"/>
          </a:endParaRPr>
        </a:p>
      </xdr:txBody>
    </xdr:sp>
    <xdr:clientData/>
  </xdr:twoCellAnchor>
  <xdr:twoCellAnchor>
    <xdr:from>
      <xdr:col>0</xdr:col>
      <xdr:colOff>228600</xdr:colOff>
      <xdr:row>639</xdr:row>
      <xdr:rowOff>21771</xdr:rowOff>
    </xdr:from>
    <xdr:to>
      <xdr:col>4</xdr:col>
      <xdr:colOff>10885</xdr:colOff>
      <xdr:row>640</xdr:row>
      <xdr:rowOff>21771</xdr:rowOff>
    </xdr:to>
    <xdr:sp macro="" textlink="">
      <xdr:nvSpPr>
        <xdr:cNvPr id="86" name="Rectangle: Rounded Corners 85">
          <a:hlinkClick xmlns:r="http://schemas.openxmlformats.org/officeDocument/2006/relationships" r:id="rId23"/>
          <a:extLst>
            <a:ext uri="{FF2B5EF4-FFF2-40B4-BE49-F238E27FC236}">
              <a16:creationId xmlns:a16="http://schemas.microsoft.com/office/drawing/2014/main" id="{FE544244-F0D4-439E-8F20-233650DD75A2}"/>
            </a:ext>
          </a:extLst>
        </xdr:cNvPr>
        <xdr:cNvSpPr/>
      </xdr:nvSpPr>
      <xdr:spPr>
        <a:xfrm>
          <a:off x="228600" y="216338331"/>
          <a:ext cx="5550625" cy="4953000"/>
        </a:xfrm>
        <a:prstGeom prst="roundRect">
          <a:avLst>
            <a:gd name="adj" fmla="val 1556"/>
          </a:avLst>
        </a:prstGeom>
        <a:solidFill>
          <a:srgbClr val="FFE1FF">
            <a:alpha val="10196"/>
          </a:srgbClr>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900" b="1">
            <a:solidFill>
              <a:srgbClr val="FFC000"/>
            </a:solidFill>
            <a:latin typeface="Tahoma" panose="020B0604030504040204" pitchFamily="34" charset="0"/>
            <a:ea typeface="Tahoma" panose="020B0604030504040204" pitchFamily="34" charset="0"/>
            <a:cs typeface="Tahoma" panose="020B0604030504040204" pitchFamily="34" charset="0"/>
          </a:endParaRPr>
        </a:p>
        <a:p>
          <a:pPr algn="ctr"/>
          <a:r>
            <a:rPr lang="en-US" sz="1800" b="1">
              <a:solidFill>
                <a:srgbClr val="FFC000"/>
              </a:solidFill>
              <a:latin typeface="Tahoma" panose="020B0604030504040204" pitchFamily="34" charset="0"/>
              <a:ea typeface="Tahoma" panose="020B0604030504040204" pitchFamily="34" charset="0"/>
              <a:cs typeface="Tahoma" panose="020B0604030504040204" pitchFamily="34" charset="0"/>
            </a:rPr>
            <a:t>No Evidence Required</a:t>
          </a:r>
        </a:p>
      </xdr:txBody>
    </xdr:sp>
    <xdr:clientData/>
  </xdr:twoCellAnchor>
  <xdr:twoCellAnchor>
    <xdr:from>
      <xdr:col>26</xdr:col>
      <xdr:colOff>243840</xdr:colOff>
      <xdr:row>187</xdr:row>
      <xdr:rowOff>335280</xdr:rowOff>
    </xdr:from>
    <xdr:to>
      <xdr:col>31</xdr:col>
      <xdr:colOff>42456</xdr:colOff>
      <xdr:row>201</xdr:row>
      <xdr:rowOff>177437</xdr:rowOff>
    </xdr:to>
    <xdr:sp macro="" textlink="">
      <xdr:nvSpPr>
        <xdr:cNvPr id="87" name="Rectangle: Rounded Corners 86">
          <a:extLst>
            <a:ext uri="{FF2B5EF4-FFF2-40B4-BE49-F238E27FC236}">
              <a16:creationId xmlns:a16="http://schemas.microsoft.com/office/drawing/2014/main" id="{031E7A18-CF6C-4246-BBC9-A3EAFD08147D}"/>
            </a:ext>
          </a:extLst>
        </xdr:cNvPr>
        <xdr:cNvSpPr/>
      </xdr:nvSpPr>
      <xdr:spPr>
        <a:xfrm>
          <a:off x="18341340" y="53301900"/>
          <a:ext cx="0" cy="3659777"/>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add to scoring calc, perhaps baseline prior to documentation boost</a:t>
          </a:r>
        </a:p>
      </xdr:txBody>
    </xdr:sp>
    <xdr:clientData/>
  </xdr:twoCellAnchor>
  <xdr:twoCellAnchor>
    <xdr:from>
      <xdr:col>26</xdr:col>
      <xdr:colOff>251460</xdr:colOff>
      <xdr:row>266</xdr:row>
      <xdr:rowOff>53341</xdr:rowOff>
    </xdr:from>
    <xdr:to>
      <xdr:col>31</xdr:col>
      <xdr:colOff>68582</xdr:colOff>
      <xdr:row>285</xdr:row>
      <xdr:rowOff>96883</xdr:rowOff>
    </xdr:to>
    <xdr:sp macro="" textlink="">
      <xdr:nvSpPr>
        <xdr:cNvPr id="88" name="Rectangle: Rounded Corners 87">
          <a:extLst>
            <a:ext uri="{FF2B5EF4-FFF2-40B4-BE49-F238E27FC236}">
              <a16:creationId xmlns:a16="http://schemas.microsoft.com/office/drawing/2014/main" id="{378A90CD-80AD-4113-966D-4C154EFD3F9F}"/>
            </a:ext>
          </a:extLst>
        </xdr:cNvPr>
        <xdr:cNvSpPr/>
      </xdr:nvSpPr>
      <xdr:spPr>
        <a:xfrm>
          <a:off x="18341340" y="68968621"/>
          <a:ext cx="0" cy="3922122"/>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add to scoring calc, perhaps baseline prior to documentation boost</a:t>
          </a:r>
        </a:p>
      </xdr:txBody>
    </xdr:sp>
    <xdr:clientData/>
  </xdr:twoCellAnchor>
  <xdr:twoCellAnchor>
    <xdr:from>
      <xdr:col>58</xdr:col>
      <xdr:colOff>293913</xdr:colOff>
      <xdr:row>1476</xdr:row>
      <xdr:rowOff>391882</xdr:rowOff>
    </xdr:from>
    <xdr:to>
      <xdr:col>76</xdr:col>
      <xdr:colOff>141513</xdr:colOff>
      <xdr:row>1478</xdr:row>
      <xdr:rowOff>108854</xdr:rowOff>
    </xdr:to>
    <xdr:sp macro="" textlink="">
      <xdr:nvSpPr>
        <xdr:cNvPr id="89" name="Rectangle: Rounded Corners 88">
          <a:extLst>
            <a:ext uri="{FF2B5EF4-FFF2-40B4-BE49-F238E27FC236}">
              <a16:creationId xmlns:a16="http://schemas.microsoft.com/office/drawing/2014/main" id="{8BC8918B-0C9B-4807-BC2F-D6CE5B9D7ED1}"/>
            </a:ext>
          </a:extLst>
        </xdr:cNvPr>
        <xdr:cNvSpPr/>
      </xdr:nvSpPr>
      <xdr:spPr>
        <a:xfrm>
          <a:off x="18341340" y="30601158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create</a:t>
          </a:r>
          <a:r>
            <a:rPr lang="en-US" sz="1600" baseline="0">
              <a:solidFill>
                <a:srgbClr val="00B050"/>
              </a:solidFill>
            </a:rPr>
            <a:t> AI target tabs, link here</a:t>
          </a:r>
          <a:endParaRPr lang="en-US" sz="1600">
            <a:solidFill>
              <a:srgbClr val="00B050"/>
            </a:solidFill>
          </a:endParaRPr>
        </a:p>
      </xdr:txBody>
    </xdr:sp>
    <xdr:clientData/>
  </xdr:twoCellAnchor>
  <xdr:twoCellAnchor>
    <xdr:from>
      <xdr:col>53</xdr:col>
      <xdr:colOff>141515</xdr:colOff>
      <xdr:row>896</xdr:row>
      <xdr:rowOff>174171</xdr:rowOff>
    </xdr:from>
    <xdr:to>
      <xdr:col>70</xdr:col>
      <xdr:colOff>43543</xdr:colOff>
      <xdr:row>903</xdr:row>
      <xdr:rowOff>130629</xdr:rowOff>
    </xdr:to>
    <xdr:sp macro="" textlink="">
      <xdr:nvSpPr>
        <xdr:cNvPr id="90" name="Rectangle: Rounded Corners 89">
          <a:extLst>
            <a:ext uri="{FF2B5EF4-FFF2-40B4-BE49-F238E27FC236}">
              <a16:creationId xmlns:a16="http://schemas.microsoft.com/office/drawing/2014/main" id="{EEC5F1E0-78B7-42C1-A432-29B868758AFC}"/>
            </a:ext>
          </a:extLst>
        </xdr:cNvPr>
        <xdr:cNvSpPr/>
      </xdr:nvSpPr>
      <xdr:spPr>
        <a:xfrm>
          <a:off x="18341340" y="29752290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follow up on displaying</a:t>
          </a:r>
          <a:r>
            <a:rPr lang="en-US" sz="1600" baseline="0">
              <a:solidFill>
                <a:srgbClr val="00B050"/>
              </a:solidFill>
            </a:rPr>
            <a:t> result for optimal impact </a:t>
          </a:r>
        </a:p>
        <a:p>
          <a:pPr algn="ctr"/>
          <a:r>
            <a:rPr lang="en-US" sz="1600" baseline="0">
              <a:solidFill>
                <a:srgbClr val="00B050"/>
              </a:solidFill>
            </a:rPr>
            <a:t>on display page above</a:t>
          </a:r>
          <a:endParaRPr lang="en-US" sz="1600">
            <a:solidFill>
              <a:srgbClr val="00B050"/>
            </a:solidFill>
          </a:endParaRPr>
        </a:p>
      </xdr:txBody>
    </xdr:sp>
    <xdr:clientData/>
  </xdr:twoCellAnchor>
  <xdr:twoCellAnchor>
    <xdr:from>
      <xdr:col>46</xdr:col>
      <xdr:colOff>195944</xdr:colOff>
      <xdr:row>901</xdr:row>
      <xdr:rowOff>35919</xdr:rowOff>
    </xdr:from>
    <xdr:to>
      <xdr:col>64</xdr:col>
      <xdr:colOff>195943</xdr:colOff>
      <xdr:row>907</xdr:row>
      <xdr:rowOff>79463</xdr:rowOff>
    </xdr:to>
    <xdr:sp macro="" textlink="">
      <xdr:nvSpPr>
        <xdr:cNvPr id="91" name="Rectangle: Rounded Corners 90">
          <a:extLst>
            <a:ext uri="{FF2B5EF4-FFF2-40B4-BE49-F238E27FC236}">
              <a16:creationId xmlns:a16="http://schemas.microsoft.com/office/drawing/2014/main" id="{74AB366E-AE86-4370-8F47-532E55F2D049}"/>
            </a:ext>
          </a:extLst>
        </xdr:cNvPr>
        <xdr:cNvSpPr/>
      </xdr:nvSpPr>
      <xdr:spPr>
        <a:xfrm>
          <a:off x="18341340" y="29752290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brief instructions</a:t>
          </a:r>
          <a:r>
            <a:rPr lang="en-US" sz="1600" baseline="0">
              <a:solidFill>
                <a:srgbClr val="00B050"/>
              </a:solidFill>
            </a:rPr>
            <a:t> re depression measure </a:t>
          </a:r>
        </a:p>
        <a:p>
          <a:pPr algn="ctr"/>
          <a:r>
            <a:rPr lang="en-US" sz="1600" baseline="0">
              <a:solidFill>
                <a:srgbClr val="00B050"/>
              </a:solidFill>
            </a:rPr>
            <a:t>(for baseline, to gage progress, demonstrate succes to AI)</a:t>
          </a:r>
          <a:endParaRPr lang="en-US" sz="1600">
            <a:solidFill>
              <a:srgbClr val="00B050"/>
            </a:solidFill>
          </a:endParaRPr>
        </a:p>
      </xdr:txBody>
    </xdr:sp>
    <xdr:clientData/>
  </xdr:twoCellAnchor>
  <xdr:twoCellAnchor>
    <xdr:from>
      <xdr:col>53</xdr:col>
      <xdr:colOff>424542</xdr:colOff>
      <xdr:row>1020</xdr:row>
      <xdr:rowOff>130629</xdr:rowOff>
    </xdr:from>
    <xdr:to>
      <xdr:col>59</xdr:col>
      <xdr:colOff>-1</xdr:colOff>
      <xdr:row>1027</xdr:row>
      <xdr:rowOff>163287</xdr:rowOff>
    </xdr:to>
    <xdr:sp macro="" textlink="">
      <xdr:nvSpPr>
        <xdr:cNvPr id="92" name="Rectangle: Rounded Corners 91">
          <a:extLst>
            <a:ext uri="{FF2B5EF4-FFF2-40B4-BE49-F238E27FC236}">
              <a16:creationId xmlns:a16="http://schemas.microsoft.com/office/drawing/2014/main" id="{223CE2FD-554E-4F6D-8787-3FA43B23286E}"/>
            </a:ext>
          </a:extLst>
        </xdr:cNvPr>
        <xdr:cNvSpPr/>
      </xdr:nvSpPr>
      <xdr:spPr>
        <a:xfrm rot="1190838">
          <a:off x="18341340" y="29752290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i="1">
              <a:solidFill>
                <a:srgbClr val="00B050"/>
              </a:solidFill>
            </a:rPr>
            <a:t>depression = redirection</a:t>
          </a:r>
          <a:r>
            <a:rPr lang="en-US" sz="1600" i="1" baseline="0">
              <a:solidFill>
                <a:srgbClr val="00B050"/>
              </a:solidFill>
            </a:rPr>
            <a:t> </a:t>
          </a:r>
          <a:r>
            <a:rPr lang="en-US" sz="1600" baseline="0">
              <a:solidFill>
                <a:srgbClr val="00B050"/>
              </a:solidFill>
            </a:rPr>
            <a:t>reference?</a:t>
          </a:r>
          <a:endParaRPr lang="en-US" sz="1600">
            <a:solidFill>
              <a:srgbClr val="00B050"/>
            </a:solidFill>
          </a:endParaRPr>
        </a:p>
      </xdr:txBody>
    </xdr:sp>
    <xdr:clientData/>
  </xdr:twoCellAnchor>
  <xdr:twoCellAnchor>
    <xdr:from>
      <xdr:col>56</xdr:col>
      <xdr:colOff>108858</xdr:colOff>
      <xdr:row>1476</xdr:row>
      <xdr:rowOff>370114</xdr:rowOff>
    </xdr:from>
    <xdr:to>
      <xdr:col>73</xdr:col>
      <xdr:colOff>163286</xdr:colOff>
      <xdr:row>1477</xdr:row>
      <xdr:rowOff>195943</xdr:rowOff>
    </xdr:to>
    <xdr:sp macro="" textlink="">
      <xdr:nvSpPr>
        <xdr:cNvPr id="93" name="Rectangle: Rounded Corners 92">
          <a:extLst>
            <a:ext uri="{FF2B5EF4-FFF2-40B4-BE49-F238E27FC236}">
              <a16:creationId xmlns:a16="http://schemas.microsoft.com/office/drawing/2014/main" id="{504609FD-E1B6-4518-89D5-57C17F583B97}"/>
            </a:ext>
          </a:extLst>
        </xdr:cNvPr>
        <xdr:cNvSpPr/>
      </xdr:nvSpPr>
      <xdr:spPr>
        <a:xfrm>
          <a:off x="18341340" y="30601158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b="1">
              <a:solidFill>
                <a:srgbClr val="00B050"/>
              </a:solidFill>
            </a:rPr>
            <a:t>summary of ROI offerings</a:t>
          </a:r>
        </a:p>
      </xdr:txBody>
    </xdr:sp>
    <xdr:clientData/>
  </xdr:twoCellAnchor>
  <xdr:twoCellAnchor>
    <xdr:from>
      <xdr:col>57</xdr:col>
      <xdr:colOff>315686</xdr:colOff>
      <xdr:row>442</xdr:row>
      <xdr:rowOff>119742</xdr:rowOff>
    </xdr:from>
    <xdr:to>
      <xdr:col>76</xdr:col>
      <xdr:colOff>54429</xdr:colOff>
      <xdr:row>460</xdr:row>
      <xdr:rowOff>21770</xdr:rowOff>
    </xdr:to>
    <xdr:sp macro="" textlink="">
      <xdr:nvSpPr>
        <xdr:cNvPr id="94" name="Rectangle: Rounded Corners 93">
          <a:extLst>
            <a:ext uri="{FF2B5EF4-FFF2-40B4-BE49-F238E27FC236}">
              <a16:creationId xmlns:a16="http://schemas.microsoft.com/office/drawing/2014/main" id="{D9389613-FA50-46AB-A457-8A068421C190}"/>
            </a:ext>
          </a:extLst>
        </xdr:cNvPr>
        <xdr:cNvSpPr/>
      </xdr:nvSpPr>
      <xdr:spPr>
        <a:xfrm>
          <a:off x="18341340" y="117589662"/>
          <a:ext cx="0" cy="1387928"/>
        </a:xfrm>
        <a:prstGeom prst="roundRect">
          <a:avLst>
            <a:gd name="adj" fmla="val 26352"/>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800" b="1">
              <a:solidFill>
                <a:srgbClr val="B9FFD9"/>
              </a:solidFill>
            </a:rPr>
            <a:t>add to-do list here,</a:t>
          </a:r>
          <a:endParaRPr lang="en-US" sz="1800" b="1" baseline="0">
            <a:solidFill>
              <a:srgbClr val="B9FFD9"/>
            </a:solidFill>
          </a:endParaRPr>
        </a:p>
        <a:p>
          <a:pPr algn="ctr"/>
          <a:r>
            <a:rPr lang="en-US" sz="1800" b="1" baseline="0">
              <a:solidFill>
                <a:srgbClr val="B9FFD9"/>
              </a:solidFill>
            </a:rPr>
            <a:t>or more space for boxes above,</a:t>
          </a:r>
        </a:p>
        <a:p>
          <a:pPr algn="ctr"/>
          <a:r>
            <a:rPr lang="en-US" sz="1800" b="1" baseline="0">
              <a:solidFill>
                <a:srgbClr val="B9FFD9"/>
              </a:solidFill>
            </a:rPr>
            <a:t>or encouraging NER quote</a:t>
          </a:r>
          <a:endParaRPr lang="en-US" sz="1800" b="1">
            <a:solidFill>
              <a:srgbClr val="B9FFD9"/>
            </a:solidFill>
          </a:endParaRPr>
        </a:p>
      </xdr:txBody>
    </xdr:sp>
    <xdr:clientData/>
  </xdr:twoCellAnchor>
  <xdr:twoCellAnchor>
    <xdr:from>
      <xdr:col>50</xdr:col>
      <xdr:colOff>32657</xdr:colOff>
      <xdr:row>848</xdr:row>
      <xdr:rowOff>54429</xdr:rowOff>
    </xdr:from>
    <xdr:to>
      <xdr:col>68</xdr:col>
      <xdr:colOff>206829</xdr:colOff>
      <xdr:row>851</xdr:row>
      <xdr:rowOff>163285</xdr:rowOff>
    </xdr:to>
    <xdr:sp macro="" textlink="">
      <xdr:nvSpPr>
        <xdr:cNvPr id="95" name="Rectangle: Rounded Corners 94">
          <a:extLst>
            <a:ext uri="{FF2B5EF4-FFF2-40B4-BE49-F238E27FC236}">
              <a16:creationId xmlns:a16="http://schemas.microsoft.com/office/drawing/2014/main" id="{D3E77672-6582-4E80-9CBC-5471053E1C03}"/>
            </a:ext>
          </a:extLst>
        </xdr:cNvPr>
        <xdr:cNvSpPr/>
      </xdr:nvSpPr>
      <xdr:spPr>
        <a:xfrm>
          <a:off x="18341340" y="284249949"/>
          <a:ext cx="0" cy="863236"/>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b"/>
        <a:lstStyle/>
        <a:p>
          <a:pPr algn="ctr"/>
          <a:r>
            <a:rPr lang="en-US" sz="1600">
              <a:solidFill>
                <a:srgbClr val="00B050"/>
              </a:solidFill>
            </a:rPr>
            <a:t>concatenate formula, after separating</a:t>
          </a:r>
        </a:p>
      </xdr:txBody>
    </xdr:sp>
    <xdr:clientData/>
  </xdr:twoCellAnchor>
  <xdr:twoCellAnchor>
    <xdr:from>
      <xdr:col>30</xdr:col>
      <xdr:colOff>163286</xdr:colOff>
      <xdr:row>1010</xdr:row>
      <xdr:rowOff>10882</xdr:rowOff>
    </xdr:from>
    <xdr:to>
      <xdr:col>59</xdr:col>
      <xdr:colOff>293915</xdr:colOff>
      <xdr:row>1014</xdr:row>
      <xdr:rowOff>141513</xdr:rowOff>
    </xdr:to>
    <xdr:sp macro="" textlink="">
      <xdr:nvSpPr>
        <xdr:cNvPr id="96" name="Rectangle: Rounded Corners 95">
          <a:extLst>
            <a:ext uri="{FF2B5EF4-FFF2-40B4-BE49-F238E27FC236}">
              <a16:creationId xmlns:a16="http://schemas.microsoft.com/office/drawing/2014/main" id="{2BDFBE65-A46E-45BD-95D8-72E1ADAA89FA}"/>
            </a:ext>
          </a:extLst>
        </xdr:cNvPr>
        <xdr:cNvSpPr/>
      </xdr:nvSpPr>
      <xdr:spPr>
        <a:xfrm>
          <a:off x="18341340" y="297522900"/>
          <a:ext cx="0" cy="0"/>
        </a:xfrm>
        <a:prstGeom prst="roundRect">
          <a:avLst>
            <a:gd name="adj" fmla="val 5176"/>
          </a:avLst>
        </a:prstGeom>
        <a:solidFill>
          <a:srgbClr val="7CF85A">
            <a:alpha val="89804"/>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most </a:t>
          </a:r>
          <a:r>
            <a:rPr lang="en-US" sz="1600" i="0">
              <a:solidFill>
                <a:srgbClr val="501E6E"/>
              </a:solidFill>
            </a:rPr>
            <a:t>depression as </a:t>
          </a:r>
          <a:r>
            <a:rPr lang="en-US" sz="1600" i="1">
              <a:solidFill>
                <a:srgbClr val="501E6E"/>
              </a:solidFill>
            </a:rPr>
            <a:t>redirection</a:t>
          </a:r>
          <a:r>
            <a:rPr lang="en-US" sz="1600" i="0">
              <a:solidFill>
                <a:srgbClr val="501E6E"/>
              </a:solidFill>
            </a:rPr>
            <a:t>, as the body's</a:t>
          </a:r>
          <a:r>
            <a:rPr lang="en-US" sz="1600" i="0" baseline="0">
              <a:solidFill>
                <a:srgbClr val="501E6E"/>
              </a:solidFill>
            </a:rPr>
            <a:t> intuitive shift of energy away from threats to wellbeing and toward seemingly neglected parts of wellbeing</a:t>
          </a:r>
          <a:r>
            <a:rPr lang="en-US" sz="1600" i="0" baseline="0">
              <a:solidFill>
                <a:srgbClr val="00B050"/>
              </a:solidFill>
            </a:rPr>
            <a:t>.</a:t>
          </a:r>
          <a:endParaRPr lang="en-US" sz="1600" i="0">
            <a:solidFill>
              <a:srgbClr val="00B050"/>
            </a:solidFill>
          </a:endParaRPr>
        </a:p>
      </xdr:txBody>
    </xdr:sp>
    <xdr:clientData/>
  </xdr:twoCellAnchor>
  <xdr:twoCellAnchor>
    <xdr:from>
      <xdr:col>58</xdr:col>
      <xdr:colOff>195940</xdr:colOff>
      <xdr:row>1020</xdr:row>
      <xdr:rowOff>152399</xdr:rowOff>
    </xdr:from>
    <xdr:to>
      <xdr:col>80</xdr:col>
      <xdr:colOff>178523</xdr:colOff>
      <xdr:row>1029</xdr:row>
      <xdr:rowOff>76200</xdr:rowOff>
    </xdr:to>
    <xdr:sp macro="" textlink="">
      <xdr:nvSpPr>
        <xdr:cNvPr id="97" name="Rectangle: Rounded Corners 96">
          <a:extLst>
            <a:ext uri="{FF2B5EF4-FFF2-40B4-BE49-F238E27FC236}">
              <a16:creationId xmlns:a16="http://schemas.microsoft.com/office/drawing/2014/main" id="{72BF7B1D-9F25-459E-BF94-1CB5FC8461D4}"/>
            </a:ext>
          </a:extLst>
        </xdr:cNvPr>
        <xdr:cNvSpPr/>
      </xdr:nvSpPr>
      <xdr:spPr>
        <a:xfrm>
          <a:off x="18341340" y="297522900"/>
          <a:ext cx="0" cy="0"/>
        </a:xfrm>
        <a:prstGeom prst="roundRect">
          <a:avLst>
            <a:gd name="adj" fmla="val 5176"/>
          </a:avLst>
        </a:prstGeom>
        <a:solidFill>
          <a:srgbClr val="7CF85A">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most </a:t>
          </a:r>
          <a:r>
            <a:rPr lang="en-US" sz="1600" i="0">
              <a:solidFill>
                <a:srgbClr val="501E6E"/>
              </a:solidFill>
            </a:rPr>
            <a:t>depression as </a:t>
          </a:r>
          <a:r>
            <a:rPr lang="en-US" sz="1600" i="1">
              <a:solidFill>
                <a:srgbClr val="501E6E"/>
              </a:solidFill>
            </a:rPr>
            <a:t>redirection</a:t>
          </a:r>
          <a:r>
            <a:rPr lang="en-US" sz="1600" i="0">
              <a:solidFill>
                <a:srgbClr val="501E6E"/>
              </a:solidFill>
            </a:rPr>
            <a:t>, as the body</a:t>
          </a:r>
          <a:r>
            <a:rPr lang="en-US" sz="1600" i="0" baseline="0">
              <a:solidFill>
                <a:srgbClr val="501E6E"/>
              </a:solidFill>
            </a:rPr>
            <a:t> shifting energy away from </a:t>
          </a:r>
        </a:p>
        <a:p>
          <a:pPr algn="l"/>
          <a:r>
            <a:rPr lang="en-US" sz="1600" i="0" baseline="0">
              <a:solidFill>
                <a:srgbClr val="501E6E"/>
              </a:solidFill>
            </a:rPr>
            <a:t>too much effort for others, to pull greater effort toward neglected aspects of oneself. You naturally will be depressed, according to this view, when you are coerced by the law to give up being true to yourself, to your actual innocence, to your personal integrity. Together, we can turn this around.</a:t>
          </a:r>
          <a:endParaRPr lang="en-US" sz="1600" i="0">
            <a:solidFill>
              <a:srgbClr val="00B050"/>
            </a:solidFill>
          </a:endParaRPr>
        </a:p>
      </xdr:txBody>
    </xdr:sp>
    <xdr:clientData/>
  </xdr:twoCellAnchor>
  <xdr:twoCellAnchor>
    <xdr:from>
      <xdr:col>37</xdr:col>
      <xdr:colOff>54429</xdr:colOff>
      <xdr:row>1026</xdr:row>
      <xdr:rowOff>43541</xdr:rowOff>
    </xdr:from>
    <xdr:to>
      <xdr:col>51</xdr:col>
      <xdr:colOff>65315</xdr:colOff>
      <xdr:row>1029</xdr:row>
      <xdr:rowOff>43542</xdr:rowOff>
    </xdr:to>
    <xdr:sp macro="" textlink="">
      <xdr:nvSpPr>
        <xdr:cNvPr id="98" name="Rectangle: Rounded Corners 97">
          <a:extLst>
            <a:ext uri="{FF2B5EF4-FFF2-40B4-BE49-F238E27FC236}">
              <a16:creationId xmlns:a16="http://schemas.microsoft.com/office/drawing/2014/main" id="{72D01CAC-EEFC-4F3C-A609-E183616DDE4C}"/>
            </a:ext>
          </a:extLst>
        </xdr:cNvPr>
        <xdr:cNvSpPr/>
      </xdr:nvSpPr>
      <xdr:spPr>
        <a:xfrm>
          <a:off x="18341340" y="297522900"/>
          <a:ext cx="0" cy="0"/>
        </a:xfrm>
        <a:prstGeom prst="roundRect">
          <a:avLst>
            <a:gd name="adj" fmla="val 5176"/>
          </a:avLst>
        </a:prstGeom>
        <a:solidFill>
          <a:srgbClr val="7CF85A">
            <a:alpha val="89804"/>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200" i="0" baseline="0">
              <a:solidFill>
                <a:srgbClr val="501E6E"/>
              </a:solidFill>
              <a:latin typeface="Times New Roman" panose="02020603050405020304" pitchFamily="18" charset="0"/>
              <a:cs typeface="Times New Roman" panose="02020603050405020304" pitchFamily="18" charset="0"/>
            </a:rPr>
            <a:t>By </a:t>
          </a:r>
        </a:p>
        <a:p>
          <a:pPr algn="l"/>
          <a:r>
            <a:rPr lang="en-US" sz="1200" i="0" baseline="0">
              <a:solidFill>
                <a:srgbClr val="501E6E"/>
              </a:solidFill>
              <a:latin typeface="Times New Roman" panose="02020603050405020304" pitchFamily="18" charset="0"/>
              <a:cs typeface="Times New Roman" panose="02020603050405020304" pitchFamily="18" charset="0"/>
            </a:rPr>
            <a:t>Overcoming this wrongful conviction </a:t>
          </a:r>
          <a:endParaRPr lang="en-US" sz="1200" i="0">
            <a:solidFill>
              <a:srgbClr val="00B050"/>
            </a:solidFill>
            <a:latin typeface="Times New Roman" panose="02020603050405020304" pitchFamily="18" charset="0"/>
            <a:cs typeface="Times New Roman" panose="02020603050405020304" pitchFamily="18" charset="0"/>
          </a:endParaRPr>
        </a:p>
      </xdr:txBody>
    </xdr:sp>
    <xdr:clientData/>
  </xdr:twoCellAnchor>
  <xdr:twoCellAnchor>
    <xdr:from>
      <xdr:col>43</xdr:col>
      <xdr:colOff>152400</xdr:colOff>
      <xdr:row>890</xdr:row>
      <xdr:rowOff>185052</xdr:rowOff>
    </xdr:from>
    <xdr:to>
      <xdr:col>69</xdr:col>
      <xdr:colOff>232954</xdr:colOff>
      <xdr:row>895</xdr:row>
      <xdr:rowOff>239484</xdr:rowOff>
    </xdr:to>
    <xdr:sp macro="" textlink="">
      <xdr:nvSpPr>
        <xdr:cNvPr id="99" name="Rectangle: Rounded Corners 98">
          <a:extLst>
            <a:ext uri="{FF2B5EF4-FFF2-40B4-BE49-F238E27FC236}">
              <a16:creationId xmlns:a16="http://schemas.microsoft.com/office/drawing/2014/main" id="{0EA40219-8B8F-405E-B236-D8071935C549}"/>
            </a:ext>
          </a:extLst>
        </xdr:cNvPr>
        <xdr:cNvSpPr/>
      </xdr:nvSpPr>
      <xdr:spPr>
        <a:xfrm>
          <a:off x="18341340" y="297522900"/>
          <a:ext cx="0" cy="0"/>
        </a:xfrm>
        <a:prstGeom prst="roundRect">
          <a:avLst>
            <a:gd name="adj" fmla="val 5176"/>
          </a:avLst>
        </a:prstGeom>
        <a:solidFill>
          <a:srgbClr val="7CF85A">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600" b="1" i="0">
              <a:solidFill>
                <a:srgbClr val="501E6E"/>
              </a:solidFill>
            </a:rPr>
            <a:t>Value</a:t>
          </a:r>
          <a:r>
            <a:rPr lang="en-US" sz="1600" b="1" i="0" baseline="0">
              <a:solidFill>
                <a:srgbClr val="501E6E"/>
              </a:solidFill>
            </a:rPr>
            <a:t> Relating</a:t>
          </a:r>
          <a:r>
            <a:rPr lang="en-US" sz="1600" i="0" baseline="0">
              <a:solidFill>
                <a:srgbClr val="501E6E"/>
              </a:solidFill>
            </a:rPr>
            <a:t> sees anxiety as a natural response to handling the overwhelming challenges of a wrongful conviction, or any criminal conviction of a dubious nature. If the full weight of the state crashed down upon you like a pile of bricks, each a trusted lie, wouldn't you be anxious? Together, we can turn this around.</a:t>
          </a:r>
          <a:endParaRPr lang="en-US" sz="1600" i="0">
            <a:solidFill>
              <a:srgbClr val="00B050"/>
            </a:solidFill>
          </a:endParaRPr>
        </a:p>
      </xdr:txBody>
    </xdr:sp>
    <xdr:clientData/>
  </xdr:twoCellAnchor>
  <xdr:twoCellAnchor>
    <xdr:from>
      <xdr:col>39</xdr:col>
      <xdr:colOff>217714</xdr:colOff>
      <xdr:row>475</xdr:row>
      <xdr:rowOff>566059</xdr:rowOff>
    </xdr:from>
    <xdr:to>
      <xdr:col>58</xdr:col>
      <xdr:colOff>472439</xdr:colOff>
      <xdr:row>476</xdr:row>
      <xdr:rowOff>537756</xdr:rowOff>
    </xdr:to>
    <xdr:sp macro="" textlink="">
      <xdr:nvSpPr>
        <xdr:cNvPr id="100" name="Rectangle: Rounded Corners 99">
          <a:extLst>
            <a:ext uri="{FF2B5EF4-FFF2-40B4-BE49-F238E27FC236}">
              <a16:creationId xmlns:a16="http://schemas.microsoft.com/office/drawing/2014/main" id="{F2FCC6BA-4248-4410-B04A-F1CE73480BB9}"/>
            </a:ext>
          </a:extLst>
        </xdr:cNvPr>
        <xdr:cNvSpPr/>
      </xdr:nvSpPr>
      <xdr:spPr>
        <a:xfrm>
          <a:off x="18341340" y="128406799"/>
          <a:ext cx="0" cy="543197"/>
        </a:xfrm>
        <a:prstGeom prst="roundRect">
          <a:avLst>
            <a:gd name="adj" fmla="val 50000"/>
          </a:avLst>
        </a:prstGeom>
        <a:solidFill>
          <a:srgbClr val="B9FFD9">
            <a:alpha val="20000"/>
          </a:srgbClr>
        </a:solidFill>
        <a:ln w="76200">
          <a:solidFill>
            <a:srgbClr val="D088FC"/>
          </a:solidFill>
        </a:ln>
        <a:effectLst>
          <a:glow rad="152400">
            <a:srgbClr val="D088FC">
              <a:alpha val="25000"/>
            </a:srgbClr>
          </a:glow>
          <a:outerShdw blurRad="50800" dist="38100" dir="2700000" algn="tl"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52% of exonerations involve government misconduct</a:t>
          </a:r>
        </a:p>
      </xdr:txBody>
    </xdr:sp>
    <xdr:clientData/>
  </xdr:twoCellAnchor>
  <xdr:twoCellAnchor>
    <xdr:from>
      <xdr:col>43</xdr:col>
      <xdr:colOff>87083</xdr:colOff>
      <xdr:row>242</xdr:row>
      <xdr:rowOff>119745</xdr:rowOff>
    </xdr:from>
    <xdr:to>
      <xdr:col>61</xdr:col>
      <xdr:colOff>185056</xdr:colOff>
      <xdr:row>246</xdr:row>
      <xdr:rowOff>337459</xdr:rowOff>
    </xdr:to>
    <xdr:sp macro="" textlink="">
      <xdr:nvSpPr>
        <xdr:cNvPr id="101" name="Rectangle: Rounded Corners 100">
          <a:extLst>
            <a:ext uri="{FF2B5EF4-FFF2-40B4-BE49-F238E27FC236}">
              <a16:creationId xmlns:a16="http://schemas.microsoft.com/office/drawing/2014/main" id="{638F85BA-A28C-43B0-B492-DDC498531FCA}"/>
            </a:ext>
          </a:extLst>
        </xdr:cNvPr>
        <xdr:cNvSpPr/>
      </xdr:nvSpPr>
      <xdr:spPr>
        <a:xfrm>
          <a:off x="18341340" y="64028685"/>
          <a:ext cx="0" cy="850174"/>
        </a:xfrm>
        <a:prstGeom prst="roundRect">
          <a:avLst>
            <a:gd name="adj" fmla="val 5176"/>
          </a:avLst>
        </a:prstGeom>
        <a:solidFill>
          <a:srgbClr val="F19B61">
            <a:alpha val="12157"/>
          </a:srgbClr>
        </a:solidFill>
        <a:ln w="76200">
          <a:solidFill>
            <a:schemeClr val="accent4">
              <a:lumMod val="60000"/>
              <a:lumOff val="40000"/>
            </a:schemeClr>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 hispanic</a:t>
          </a:r>
          <a:r>
            <a:rPr lang="en-US" sz="1600" b="1" baseline="0">
              <a:solidFill>
                <a:srgbClr val="D088FC"/>
              </a:solidFill>
              <a:latin typeface="+mn-lt"/>
              <a:ea typeface="+mn-ea"/>
              <a:cs typeface="+mn-cs"/>
            </a:rPr>
            <a:t> with complementary factors = x2</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a:solidFill>
                <a:srgbClr val="D088FC"/>
              </a:solidFill>
              <a:latin typeface="+mn-lt"/>
              <a:ea typeface="+mn-ea"/>
              <a:cs typeface="+mn-cs"/>
            </a:rPr>
            <a:t>IF non-white</a:t>
          </a:r>
          <a:r>
            <a:rPr lang="en-US" sz="1600" b="1" baseline="0">
              <a:solidFill>
                <a:srgbClr val="D088FC"/>
              </a:solidFill>
              <a:latin typeface="+mn-lt"/>
              <a:ea typeface="+mn-ea"/>
              <a:cs typeface="+mn-cs"/>
            </a:rPr>
            <a:t> (i.e., black)</a:t>
          </a:r>
          <a:r>
            <a:rPr lang="en-US" sz="1600" b="1">
              <a:solidFill>
                <a:srgbClr val="D088FC"/>
              </a:solidFill>
              <a:latin typeface="+mn-lt"/>
              <a:ea typeface="+mn-ea"/>
              <a:cs typeface="+mn-cs"/>
            </a:rPr>
            <a:t> with complementary factors = x4</a:t>
          </a:r>
        </a:p>
        <a:p>
          <a:pPr algn="l"/>
          <a:endParaRPr lang="en-US" sz="1600" b="1">
            <a:solidFill>
              <a:srgbClr val="D088FC"/>
            </a:solidFill>
            <a:latin typeface="+mn-lt"/>
            <a:ea typeface="+mn-ea"/>
            <a:cs typeface="+mn-cs"/>
          </a:endParaRPr>
        </a:p>
      </xdr:txBody>
    </xdr:sp>
    <xdr:clientData/>
  </xdr:twoCellAnchor>
  <xdr:twoCellAnchor>
    <xdr:from>
      <xdr:col>42</xdr:col>
      <xdr:colOff>185056</xdr:colOff>
      <xdr:row>476</xdr:row>
      <xdr:rowOff>1643745</xdr:rowOff>
    </xdr:from>
    <xdr:to>
      <xdr:col>60</xdr:col>
      <xdr:colOff>156753</xdr:colOff>
      <xdr:row>476</xdr:row>
      <xdr:rowOff>2192385</xdr:rowOff>
    </xdr:to>
    <xdr:sp macro="" textlink="">
      <xdr:nvSpPr>
        <xdr:cNvPr id="102" name="Rectangle: Rounded Corners 101">
          <a:hlinkClick xmlns:r="http://schemas.openxmlformats.org/officeDocument/2006/relationships" r:id="rId24"/>
          <a:extLst>
            <a:ext uri="{FF2B5EF4-FFF2-40B4-BE49-F238E27FC236}">
              <a16:creationId xmlns:a16="http://schemas.microsoft.com/office/drawing/2014/main" id="{99710002-7DDE-4D66-B646-39589C177394}"/>
            </a:ext>
          </a:extLst>
        </xdr:cNvPr>
        <xdr:cNvSpPr/>
      </xdr:nvSpPr>
      <xdr:spPr>
        <a:xfrm>
          <a:off x="18341340" y="130055985"/>
          <a:ext cx="0" cy="54864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52% of exonerations involve government misconduct</a:t>
          </a:r>
        </a:p>
      </xdr:txBody>
    </xdr:sp>
    <xdr:clientData/>
  </xdr:twoCellAnchor>
  <xdr:twoCellAnchor>
    <xdr:from>
      <xdr:col>36</xdr:col>
      <xdr:colOff>168640</xdr:colOff>
      <xdr:row>1476</xdr:row>
      <xdr:rowOff>112573</xdr:rowOff>
    </xdr:from>
    <xdr:to>
      <xdr:col>50</xdr:col>
      <xdr:colOff>87087</xdr:colOff>
      <xdr:row>1477</xdr:row>
      <xdr:rowOff>326570</xdr:rowOff>
    </xdr:to>
    <xdr:sp macro="" textlink="">
      <xdr:nvSpPr>
        <xdr:cNvPr id="103" name="TextBox 102">
          <a:extLst>
            <a:ext uri="{FF2B5EF4-FFF2-40B4-BE49-F238E27FC236}">
              <a16:creationId xmlns:a16="http://schemas.microsoft.com/office/drawing/2014/main" id="{BA525856-4EB8-48EB-B4E4-AB4CC78A5B93}"/>
            </a:ext>
          </a:extLst>
        </xdr:cNvPr>
        <xdr:cNvSpPr txBox="1"/>
      </xdr:nvSpPr>
      <xdr:spPr>
        <a:xfrm>
          <a:off x="18341340" y="306011580"/>
          <a:ext cx="0" cy="0"/>
        </a:xfrm>
        <a:prstGeom prst="rect">
          <a:avLst/>
        </a:prstGeom>
        <a:solidFill>
          <a:srgbClr val="B9FFD9"/>
        </a:solidFill>
        <a:ln w="19050" cmpd="sng">
          <a:solidFill>
            <a:srgbClr val="7CF85A"/>
          </a:solidFill>
        </a:ln>
        <a:effectLst>
          <a:innerShdw blurRad="63500" dist="50800" dir="27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notify options</a:t>
          </a:r>
          <a:r>
            <a:rPr lang="en-US" sz="1400" b="1" i="0" u="none" strike="noStrike" baseline="0">
              <a:solidFill>
                <a:schemeClr val="dk1"/>
              </a:solidFill>
              <a:effectLst/>
              <a:latin typeface="+mn-lt"/>
              <a:ea typeface="+mn-ea"/>
              <a:cs typeface="+mn-cs"/>
            </a:rPr>
            <a:t>:</a:t>
          </a:r>
        </a:p>
        <a:p>
          <a:r>
            <a:rPr lang="en-US" sz="1400" b="0" i="0" u="none" strike="noStrike" baseline="0">
              <a:solidFill>
                <a:schemeClr val="dk1"/>
              </a:solidFill>
              <a:effectLst/>
              <a:latin typeface="+mn-lt"/>
              <a:ea typeface="+mn-ea"/>
              <a:cs typeface="+mn-cs"/>
            </a:rPr>
            <a:t>DIY: send notification yourself [FREE]</a:t>
          </a:r>
        </a:p>
        <a:p>
          <a:r>
            <a:rPr lang="en-US" sz="1400" b="0" i="0" u="none" strike="noStrike" baseline="0">
              <a:solidFill>
                <a:schemeClr val="dk1"/>
              </a:solidFill>
              <a:effectLst/>
              <a:latin typeface="+mn-lt"/>
              <a:ea typeface="+mn-ea"/>
              <a:cs typeface="+mn-cs"/>
            </a:rPr>
            <a:t>We send notification on your behalf [$5]</a:t>
          </a:r>
        </a:p>
        <a:p>
          <a:r>
            <a:rPr lang="en-US" sz="1400" b="0" i="0" u="none" strike="noStrike" baseline="0">
              <a:solidFill>
                <a:schemeClr val="dk1"/>
              </a:solidFill>
              <a:effectLst/>
              <a:latin typeface="+mn-lt"/>
              <a:ea typeface="+mn-ea"/>
              <a:cs typeface="+mn-cs"/>
            </a:rPr>
            <a:t>We 1st contact then notify them [$15]</a:t>
          </a:r>
        </a:p>
        <a:p>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a:p>
      </xdr:txBody>
    </xdr:sp>
    <xdr:clientData/>
  </xdr:twoCellAnchor>
  <xdr:twoCellAnchor>
    <xdr:from>
      <xdr:col>53</xdr:col>
      <xdr:colOff>364581</xdr:colOff>
      <xdr:row>1476</xdr:row>
      <xdr:rowOff>373831</xdr:rowOff>
    </xdr:from>
    <xdr:to>
      <xdr:col>62</xdr:col>
      <xdr:colOff>163285</xdr:colOff>
      <xdr:row>1479</xdr:row>
      <xdr:rowOff>32657</xdr:rowOff>
    </xdr:to>
    <xdr:sp macro="" textlink="">
      <xdr:nvSpPr>
        <xdr:cNvPr id="104" name="TextBox 103">
          <a:extLst>
            <a:ext uri="{FF2B5EF4-FFF2-40B4-BE49-F238E27FC236}">
              <a16:creationId xmlns:a16="http://schemas.microsoft.com/office/drawing/2014/main" id="{D77D912D-C8FF-4043-A31B-3130FF61C612}"/>
            </a:ext>
          </a:extLst>
        </xdr:cNvPr>
        <xdr:cNvSpPr txBox="1"/>
      </xdr:nvSpPr>
      <xdr:spPr>
        <a:xfrm>
          <a:off x="18341340" y="306011580"/>
          <a:ext cx="0" cy="0"/>
        </a:xfrm>
        <a:prstGeom prst="rect">
          <a:avLst/>
        </a:prstGeom>
        <a:solidFill>
          <a:srgbClr val="B9FFD9"/>
        </a:solidFill>
        <a:ln w="19050" cmpd="sng">
          <a:solidFill>
            <a:srgbClr val="7CF85A"/>
          </a:solidFill>
        </a:ln>
        <a:effectLst>
          <a:innerShdw blurRad="63500" dist="50800" dir="27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0" u="none" strike="noStrike">
              <a:solidFill>
                <a:schemeClr val="dk1"/>
              </a:solidFill>
              <a:effectLst/>
              <a:latin typeface="+mn-lt"/>
              <a:ea typeface="+mn-ea"/>
              <a:cs typeface="+mn-cs"/>
            </a:rPr>
            <a:t>notify options</a:t>
          </a:r>
          <a:r>
            <a:rPr lang="en-US" sz="1400" b="1" i="0" u="none" strike="noStrike" baseline="0">
              <a:solidFill>
                <a:schemeClr val="dk1"/>
              </a:solidFill>
              <a:effectLst/>
              <a:latin typeface="+mn-lt"/>
              <a:ea typeface="+mn-ea"/>
              <a:cs typeface="+mn-cs"/>
            </a:rPr>
            <a:t>:</a:t>
          </a:r>
        </a:p>
        <a:p>
          <a:r>
            <a:rPr lang="en-US" sz="1400" b="0" i="0" u="none" strike="noStrike" baseline="0">
              <a:solidFill>
                <a:schemeClr val="dk1"/>
              </a:solidFill>
              <a:effectLst/>
              <a:latin typeface="+mn-lt"/>
              <a:ea typeface="+mn-ea"/>
              <a:cs typeface="+mn-cs"/>
            </a:rPr>
            <a:t>DIY: send notification yourself [FREE]</a:t>
          </a:r>
        </a:p>
        <a:p>
          <a:r>
            <a:rPr lang="en-US" sz="1400" b="0" i="0" u="none" strike="noStrike" baseline="0">
              <a:solidFill>
                <a:schemeClr val="dk1"/>
              </a:solidFill>
              <a:effectLst/>
              <a:latin typeface="+mn-lt"/>
              <a:ea typeface="+mn-ea"/>
              <a:cs typeface="+mn-cs"/>
            </a:rPr>
            <a:t>We send notification on your behalf [$5]</a:t>
          </a:r>
        </a:p>
        <a:p>
          <a:r>
            <a:rPr lang="en-US" sz="1400" b="0" i="0" u="none" strike="noStrike" baseline="0">
              <a:solidFill>
                <a:schemeClr val="dk1"/>
              </a:solidFill>
              <a:effectLst/>
              <a:latin typeface="+mn-lt"/>
              <a:ea typeface="+mn-ea"/>
              <a:cs typeface="+mn-cs"/>
            </a:rPr>
            <a:t>We qualify then notify them [$15]</a:t>
          </a:r>
        </a:p>
        <a:p>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400">
            <a:effectLst/>
          </a:endParaRPr>
        </a:p>
        <a:p>
          <a:endParaRPr lang="en-US" sz="1400"/>
        </a:p>
      </xdr:txBody>
    </xdr:sp>
    <xdr:clientData/>
  </xdr:twoCellAnchor>
  <xdr:twoCellAnchor>
    <xdr:from>
      <xdr:col>76</xdr:col>
      <xdr:colOff>41367</xdr:colOff>
      <xdr:row>58</xdr:row>
      <xdr:rowOff>336369</xdr:rowOff>
    </xdr:from>
    <xdr:to>
      <xdr:col>85</xdr:col>
      <xdr:colOff>423455</xdr:colOff>
      <xdr:row>62</xdr:row>
      <xdr:rowOff>770708</xdr:rowOff>
    </xdr:to>
    <xdr:sp macro="" textlink="">
      <xdr:nvSpPr>
        <xdr:cNvPr id="105" name="Rectangle: Rounded Corners 104">
          <a:extLst>
            <a:ext uri="{FF2B5EF4-FFF2-40B4-BE49-F238E27FC236}">
              <a16:creationId xmlns:a16="http://schemas.microsoft.com/office/drawing/2014/main" id="{D5D2C73D-FD26-4487-AC47-595EE4A963EE}"/>
            </a:ext>
          </a:extLst>
        </xdr:cNvPr>
        <xdr:cNvSpPr/>
      </xdr:nvSpPr>
      <xdr:spPr>
        <a:xfrm>
          <a:off x="18341340" y="22708689"/>
          <a:ext cx="0" cy="2080259"/>
        </a:xfrm>
        <a:prstGeom prst="roundRect">
          <a:avLst>
            <a:gd name="adj" fmla="val 5176"/>
          </a:avLst>
        </a:prstGeom>
        <a:solidFill>
          <a:srgbClr val="F19B61">
            <a:alpha val="12157"/>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r"/>
          <a:r>
            <a:rPr lang="en-US" sz="1800" b="1">
              <a:solidFill>
                <a:srgbClr val="00B050"/>
              </a:solidFill>
              <a:latin typeface="+mn-lt"/>
              <a:ea typeface="+mn-ea"/>
              <a:cs typeface="+mn-cs"/>
            </a:rPr>
            <a:t>create</a:t>
          </a:r>
          <a:r>
            <a:rPr lang="en-US" sz="1200" b="1"/>
            <a:t> </a:t>
          </a:r>
          <a:r>
            <a:rPr lang="en-US" sz="1800" b="1">
              <a:solidFill>
                <a:srgbClr val="00B050"/>
              </a:solidFill>
              <a:latin typeface="+mn-lt"/>
              <a:ea typeface="+mn-ea"/>
              <a:cs typeface="+mn-cs"/>
            </a:rPr>
            <a:t>new </a:t>
          </a:r>
        </a:p>
        <a:p>
          <a:pPr algn="r"/>
          <a:r>
            <a:rPr lang="en-US" sz="1800" b="1">
              <a:solidFill>
                <a:srgbClr val="00B050"/>
              </a:solidFill>
              <a:latin typeface="+mn-lt"/>
              <a:ea typeface="+mn-ea"/>
              <a:cs typeface="+mn-cs"/>
            </a:rPr>
            <a:t>section here for </a:t>
          </a:r>
        </a:p>
        <a:p>
          <a:pPr algn="r"/>
          <a:r>
            <a:rPr lang="en-US" sz="1800" b="1">
              <a:solidFill>
                <a:srgbClr val="00B050"/>
              </a:solidFill>
              <a:latin typeface="+mn-lt"/>
              <a:ea typeface="+mn-ea"/>
              <a:cs typeface="+mn-cs"/>
            </a:rPr>
            <a:t>INSTRUCTIONS </a:t>
          </a:r>
        </a:p>
        <a:p>
          <a:pPr algn="r"/>
          <a:r>
            <a:rPr lang="en-US" sz="1800" b="1">
              <a:solidFill>
                <a:srgbClr val="00B050"/>
              </a:solidFill>
              <a:latin typeface="+mn-lt"/>
              <a:ea typeface="+mn-ea"/>
              <a:cs typeface="+mn-cs"/>
            </a:rPr>
            <a:t>and AVAILABLE</a:t>
          </a:r>
        </a:p>
        <a:p>
          <a:pPr algn="r"/>
          <a:r>
            <a:rPr lang="en-US" sz="1800" b="1">
              <a:solidFill>
                <a:srgbClr val="00B050"/>
              </a:solidFill>
              <a:latin typeface="+mn-lt"/>
              <a:ea typeface="+mn-ea"/>
              <a:cs typeface="+mn-cs"/>
            </a:rPr>
            <a:t> SUPPORT</a:t>
          </a:r>
        </a:p>
      </xdr:txBody>
    </xdr:sp>
    <xdr:clientData/>
  </xdr:twoCellAnchor>
  <xdr:twoCellAnchor>
    <xdr:from>
      <xdr:col>33</xdr:col>
      <xdr:colOff>228600</xdr:colOff>
      <xdr:row>187</xdr:row>
      <xdr:rowOff>228602</xdr:rowOff>
    </xdr:from>
    <xdr:to>
      <xdr:col>49</xdr:col>
      <xdr:colOff>163285</xdr:colOff>
      <xdr:row>191</xdr:row>
      <xdr:rowOff>32657</xdr:rowOff>
    </xdr:to>
    <xdr:sp macro="" textlink="">
      <xdr:nvSpPr>
        <xdr:cNvPr id="106" name="Rectangle: Rounded Corners 105">
          <a:hlinkClick xmlns:r="http://schemas.openxmlformats.org/officeDocument/2006/relationships" r:id="rId25"/>
          <a:extLst>
            <a:ext uri="{FF2B5EF4-FFF2-40B4-BE49-F238E27FC236}">
              <a16:creationId xmlns:a16="http://schemas.microsoft.com/office/drawing/2014/main" id="{12DB3856-C975-4D03-9378-C58C56A7E343}"/>
            </a:ext>
          </a:extLst>
        </xdr:cNvPr>
        <xdr:cNvSpPr/>
      </xdr:nvSpPr>
      <xdr:spPr>
        <a:xfrm>
          <a:off x="18341340" y="53195222"/>
          <a:ext cx="0" cy="1328055"/>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50% of murder exonerations involve blacks convicted</a:t>
          </a:r>
          <a:r>
            <a:rPr lang="en-US" sz="1600" baseline="0">
              <a:solidFill>
                <a:srgbClr val="501E6E"/>
              </a:solidFill>
            </a:rPr>
            <a:t> of killing a white person, despite blacks r</a:t>
          </a:r>
          <a:r>
            <a:rPr lang="en-US" sz="1600">
              <a:solidFill>
                <a:srgbClr val="501E6E"/>
              </a:solidFill>
            </a:rPr>
            <a:t>epresenting only 13% of the population</a:t>
          </a:r>
        </a:p>
      </xdr:txBody>
    </xdr:sp>
    <xdr:clientData/>
  </xdr:twoCellAnchor>
  <xdr:twoCellAnchor>
    <xdr:from>
      <xdr:col>1</xdr:col>
      <xdr:colOff>385354</xdr:colOff>
      <xdr:row>144</xdr:row>
      <xdr:rowOff>152402</xdr:rowOff>
    </xdr:from>
    <xdr:to>
      <xdr:col>3</xdr:col>
      <xdr:colOff>1695994</xdr:colOff>
      <xdr:row>146</xdr:row>
      <xdr:rowOff>114302</xdr:rowOff>
    </xdr:to>
    <xdr:sp macro="" textlink="">
      <xdr:nvSpPr>
        <xdr:cNvPr id="107" name="Rectangle: Rounded Corners 106">
          <a:hlinkClick xmlns:r="http://schemas.openxmlformats.org/officeDocument/2006/relationships" r:id="rId26" tooltip="click to contact author online"/>
          <a:extLst>
            <a:ext uri="{FF2B5EF4-FFF2-40B4-BE49-F238E27FC236}">
              <a16:creationId xmlns:a16="http://schemas.microsoft.com/office/drawing/2014/main" id="{EA19F29C-B9B5-40A1-8EE7-66FF759359D8}"/>
            </a:ext>
          </a:extLst>
        </xdr:cNvPr>
        <xdr:cNvSpPr/>
      </xdr:nvSpPr>
      <xdr:spPr>
        <a:xfrm>
          <a:off x="644434" y="41871902"/>
          <a:ext cx="4846320" cy="365760"/>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click here to contact me with your feedback to </a:t>
          </a:r>
          <a:r>
            <a:rPr lang="en-US" sz="1600" baseline="0">
              <a:solidFill>
                <a:srgbClr val="501E6E"/>
              </a:solidFill>
            </a:rPr>
            <a:t>this tool</a:t>
          </a:r>
          <a:endParaRPr lang="en-US" sz="1600">
            <a:solidFill>
              <a:srgbClr val="501E6E"/>
            </a:solidFill>
          </a:endParaRPr>
        </a:p>
      </xdr:txBody>
    </xdr:sp>
    <xdr:clientData/>
  </xdr:twoCellAnchor>
  <xdr:twoCellAnchor>
    <xdr:from>
      <xdr:col>72</xdr:col>
      <xdr:colOff>185058</xdr:colOff>
      <xdr:row>1198</xdr:row>
      <xdr:rowOff>133895</xdr:rowOff>
    </xdr:from>
    <xdr:to>
      <xdr:col>85</xdr:col>
      <xdr:colOff>315685</xdr:colOff>
      <xdr:row>1249</xdr:row>
      <xdr:rowOff>0</xdr:rowOff>
    </xdr:to>
    <xdr:sp macro="" textlink="">
      <xdr:nvSpPr>
        <xdr:cNvPr id="108" name="Rectangle: Rounded Corners 107">
          <a:extLst>
            <a:ext uri="{FF2B5EF4-FFF2-40B4-BE49-F238E27FC236}">
              <a16:creationId xmlns:a16="http://schemas.microsoft.com/office/drawing/2014/main" id="{69229D2B-94EC-44DA-99F0-41A31FEE422B}"/>
            </a:ext>
          </a:extLst>
        </xdr:cNvPr>
        <xdr:cNvSpPr/>
      </xdr:nvSpPr>
      <xdr:spPr>
        <a:xfrm>
          <a:off x="18341340" y="306011580"/>
          <a:ext cx="0" cy="0"/>
        </a:xfrm>
        <a:prstGeom prst="roundRect">
          <a:avLst>
            <a:gd name="adj" fmla="val 5176"/>
          </a:avLst>
        </a:prstGeom>
        <a:solidFill>
          <a:srgbClr val="E2B5FD">
            <a:alpha val="89804"/>
          </a:srgbClr>
        </a:solidFill>
        <a:ln w="76200">
          <a:solidFill>
            <a:srgbClr val="D088FC"/>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600">
            <a:solidFill>
              <a:srgbClr val="00B050"/>
            </a:solidFill>
          </a:endParaRPr>
        </a:p>
        <a:p>
          <a:pPr algn="l"/>
          <a:r>
            <a:rPr lang="en-US" sz="1600">
              <a:solidFill>
                <a:srgbClr val="00B050"/>
              </a:solidFill>
            </a:rPr>
            <a:t>S</a:t>
          </a:r>
          <a:r>
            <a:rPr lang="en-US" sz="1600" baseline="0">
              <a:solidFill>
                <a:srgbClr val="00B050"/>
              </a:solidFill>
            </a:rPr>
            <a:t>upporter name [FIRST] [LAST]	knows felony/claim</a:t>
          </a:r>
        </a:p>
        <a:p>
          <a:pPr algn="l"/>
          <a:r>
            <a:rPr lang="en-US" sz="1600" baseline="0">
              <a:solidFill>
                <a:srgbClr val="00B050"/>
              </a:solidFill>
            </a:rPr>
            <a:t>Email address		relation to claimant</a:t>
          </a:r>
        </a:p>
        <a:p>
          <a:pPr algn="l"/>
          <a:endParaRPr lang="en-US" sz="1600" baseline="0">
            <a:solidFill>
              <a:srgbClr val="00B050"/>
            </a:solidFill>
          </a:endParaRPr>
        </a:p>
        <a:p>
          <a:pPr algn="l"/>
          <a:r>
            <a:rPr lang="en-US" sz="1600" baseline="0">
              <a:solidFill>
                <a:srgbClr val="00B050"/>
              </a:solidFill>
            </a:rPr>
            <a:t>Invitation sent [DATE] 	Response [LIST OF OPTIONS, from hard </a:t>
          </a:r>
          <a:r>
            <a:rPr lang="en-US" sz="1600" i="1" baseline="0">
              <a:solidFill>
                <a:srgbClr val="00B050"/>
              </a:solidFill>
            </a:rPr>
            <a:t>no</a:t>
          </a:r>
          <a:r>
            <a:rPr lang="en-US" sz="1600" baseline="0">
              <a:solidFill>
                <a:srgbClr val="00B050"/>
              </a:solidFill>
            </a:rPr>
            <a:t> to enthusiastic </a:t>
          </a:r>
          <a:r>
            <a:rPr lang="en-US" sz="1600" i="1" baseline="0">
              <a:solidFill>
                <a:srgbClr val="00B050"/>
              </a:solidFill>
            </a:rPr>
            <a:t>yes</a:t>
          </a:r>
          <a:r>
            <a:rPr lang="en-US" sz="1600" baseline="0">
              <a:solidFill>
                <a:srgbClr val="00B050"/>
              </a:solidFill>
            </a:rPr>
            <a:t>]</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aseline="0">
              <a:solidFill>
                <a:srgbClr val="00B050"/>
              </a:solidFill>
              <a:latin typeface="+mn-lt"/>
              <a:ea typeface="+mn-ea"/>
              <a:cs typeface="+mn-cs"/>
            </a:rPr>
            <a:t>Thank you note sent: [DATE]	Pledge: </a:t>
          </a:r>
        </a:p>
        <a:p>
          <a:pPr algn="l"/>
          <a:endParaRPr lang="en-US" sz="1600" baseline="0">
            <a:solidFill>
              <a:srgbClr val="00B050"/>
            </a:solidFill>
            <a:latin typeface="+mn-lt"/>
            <a:ea typeface="+mn-ea"/>
            <a:cs typeface="+mn-cs"/>
          </a:endParaRPr>
        </a:p>
        <a:p>
          <a:pPr algn="l"/>
          <a:r>
            <a:rPr lang="en-US" sz="1600" baseline="0">
              <a:solidFill>
                <a:srgbClr val="00B050"/>
              </a:solidFill>
            </a:rPr>
            <a:t>Contribution terms [linked from supporter # tab]</a:t>
          </a:r>
        </a:p>
        <a:p>
          <a:pPr algn="l"/>
          <a:r>
            <a:rPr lang="en-US" sz="1600" baseline="0">
              <a:solidFill>
                <a:srgbClr val="00B050"/>
              </a:solidFill>
            </a:rPr>
            <a:t>Frequency limit: </a:t>
          </a:r>
        </a:p>
        <a:p>
          <a:pPr algn="l"/>
          <a:r>
            <a:rPr lang="en-US" sz="1600" baseline="0">
              <a:solidFill>
                <a:srgbClr val="00B050"/>
              </a:solidFill>
            </a:rPr>
            <a:t>Minimum: 	</a:t>
          </a:r>
        </a:p>
        <a:p>
          <a:pPr algn="l"/>
          <a:r>
            <a:rPr lang="en-US" sz="1600" baseline="0">
              <a:solidFill>
                <a:srgbClr val="00B050"/>
              </a:solidFill>
            </a:rPr>
            <a:t>Maximum per [week/month]: </a:t>
          </a:r>
        </a:p>
        <a:p>
          <a:pPr algn="l"/>
          <a:r>
            <a:rPr lang="en-US" sz="1600" baseline="0">
              <a:solidFill>
                <a:srgbClr val="00B050"/>
              </a:solidFill>
            </a:rPr>
            <a:t>Contribution split: </a:t>
          </a:r>
        </a:p>
        <a:p>
          <a:pPr algn="l"/>
          <a:endParaRPr lang="en-US" sz="1600" baseline="0">
            <a:solidFill>
              <a:srgbClr val="00B050"/>
            </a:solidFill>
          </a:endParaRPr>
        </a:p>
        <a:p>
          <a:pPr algn="ctr"/>
          <a:endParaRPr lang="en-US" sz="1600" baseline="0">
            <a:solidFill>
              <a:srgbClr val="00B050"/>
            </a:solidFill>
          </a:endParaRPr>
        </a:p>
      </xdr:txBody>
    </xdr:sp>
    <xdr:clientData/>
  </xdr:twoCellAnchor>
  <xdr:twoCellAnchor>
    <xdr:from>
      <xdr:col>0</xdr:col>
      <xdr:colOff>205740</xdr:colOff>
      <xdr:row>1124</xdr:row>
      <xdr:rowOff>38100</xdr:rowOff>
    </xdr:from>
    <xdr:to>
      <xdr:col>4</xdr:col>
      <xdr:colOff>15240</xdr:colOff>
      <xdr:row>1137</xdr:row>
      <xdr:rowOff>45720</xdr:rowOff>
    </xdr:to>
    <xdr:sp macro="" textlink="">
      <xdr:nvSpPr>
        <xdr:cNvPr id="109" name="TextBox 108">
          <a:hlinkClick xmlns:r="http://schemas.openxmlformats.org/officeDocument/2006/relationships" r:id="rId27" tooltip="click to go to &quot;K. Notifying&quot; section"/>
          <a:extLst>
            <a:ext uri="{FF2B5EF4-FFF2-40B4-BE49-F238E27FC236}">
              <a16:creationId xmlns:a16="http://schemas.microsoft.com/office/drawing/2014/main" id="{1CDE3AB2-BB5B-47F4-B337-B6415C9FF7CD}"/>
            </a:ext>
          </a:extLst>
        </xdr:cNvPr>
        <xdr:cNvSpPr txBox="1"/>
      </xdr:nvSpPr>
      <xdr:spPr>
        <a:xfrm>
          <a:off x="205740" y="306011580"/>
          <a:ext cx="5577840" cy="0"/>
        </a:xfrm>
        <a:prstGeom prst="rect">
          <a:avLst/>
        </a:prstGeom>
        <a:solidFill>
          <a:srgbClr val="D7FFF0"/>
        </a:solid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200">
              <a:solidFill>
                <a:schemeClr val="dk1"/>
              </a:solidFill>
              <a:effectLst/>
              <a:latin typeface="Times New Roman" panose="02020603050405020304" pitchFamily="18" charset="0"/>
              <a:ea typeface="+mn-ea"/>
              <a:cs typeface="Times New Roman" panose="02020603050405020304" pitchFamily="18" charset="0"/>
            </a:rPr>
            <a:t>You have the option to </a:t>
          </a:r>
          <a:r>
            <a:rPr lang="en-US" sz="1200" b="1">
              <a:solidFill>
                <a:schemeClr val="dk1"/>
              </a:solidFill>
              <a:effectLst/>
              <a:latin typeface="Times New Roman" panose="02020603050405020304" pitchFamily="18" charset="0"/>
              <a:ea typeface="+mn-ea"/>
              <a:cs typeface="Times New Roman" panose="02020603050405020304" pitchFamily="18" charset="0"/>
            </a:rPr>
            <a:t>Do It Yourself </a:t>
          </a:r>
          <a:r>
            <a:rPr lang="en-US" sz="1200">
              <a:solidFill>
                <a:schemeClr val="dk1"/>
              </a:solidFill>
              <a:effectLst/>
              <a:latin typeface="Times New Roman" panose="02020603050405020304" pitchFamily="18" charset="0"/>
              <a:ea typeface="+mn-ea"/>
              <a:cs typeface="Times New Roman" panose="02020603050405020304" pitchFamily="18" charset="0"/>
            </a:rPr>
            <a:t>and go it alone. Fill out this form,</a:t>
          </a:r>
          <a:r>
            <a:rPr lang="en-US" sz="1200" baseline="0">
              <a:solidFill>
                <a:schemeClr val="dk1"/>
              </a:solidFill>
              <a:effectLst/>
              <a:latin typeface="Times New Roman" panose="02020603050405020304" pitchFamily="18" charset="0"/>
              <a:ea typeface="+mn-ea"/>
              <a:cs typeface="Times New Roman" panose="02020603050405020304" pitchFamily="18" charset="0"/>
            </a:rPr>
            <a:t> and use it to notify employers, landlords and debt collectors of your highly estimated innocence. You locate the co</a:t>
          </a:r>
          <a:r>
            <a:rPr lang="en-US" sz="1200">
              <a:solidFill>
                <a:schemeClr val="dk1"/>
              </a:solidFill>
              <a:effectLst/>
              <a:latin typeface="Times New Roman" panose="02020603050405020304" pitchFamily="18" charset="0"/>
              <a:ea typeface="+mn-ea"/>
              <a:cs typeface="Times New Roman" panose="02020603050405020304" pitchFamily="18" charset="0"/>
            </a:rPr>
            <a:t>ntact information yourself and</a:t>
          </a:r>
          <a:r>
            <a:rPr lang="en-US" sz="1200" baseline="0">
              <a:solidFill>
                <a:schemeClr val="dk1"/>
              </a:solidFill>
              <a:effectLst/>
              <a:latin typeface="Times New Roman" panose="02020603050405020304" pitchFamily="18" charset="0"/>
              <a:ea typeface="+mn-ea"/>
              <a:cs typeface="Times New Roman" panose="02020603050405020304" pitchFamily="18" charset="0"/>
            </a:rPr>
            <a:t> then send the notifications, using the steps above.</a:t>
          </a:r>
        </a:p>
        <a:p>
          <a:endParaRPr lang="en-US" sz="1200" baseline="0">
            <a:solidFill>
              <a:schemeClr val="dk1"/>
            </a:solidFill>
            <a:effectLst/>
            <a:latin typeface="Times New Roman" panose="02020603050405020304" pitchFamily="18" charset="0"/>
            <a:ea typeface="+mn-ea"/>
            <a:cs typeface="Times New Roman" panose="02020603050405020304" pitchFamily="18" charset="0"/>
          </a:endParaRPr>
        </a:p>
        <a:p>
          <a:pPr algn="l"/>
          <a:r>
            <a:rPr lang="en-US" sz="1200" baseline="0">
              <a:solidFill>
                <a:schemeClr val="dk1"/>
              </a:solidFill>
              <a:effectLst/>
              <a:latin typeface="Times New Roman" panose="02020603050405020304" pitchFamily="18" charset="0"/>
              <a:ea typeface="+mn-ea"/>
              <a:cs typeface="Times New Roman" panose="02020603050405020304" pitchFamily="18" charset="0"/>
            </a:rPr>
            <a:t>First, fill in the information in the </a:t>
          </a:r>
          <a:r>
            <a:rPr lang="en-US" sz="1200" b="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Notifying</a:t>
          </a:r>
          <a:r>
            <a:rPr lang="en-US" sz="1200" baseline="0">
              <a:solidFill>
                <a:schemeClr val="dk1"/>
              </a:solidFill>
              <a:effectLst/>
              <a:latin typeface="Times New Roman" panose="02020603050405020304" pitchFamily="18" charset="0"/>
              <a:ea typeface="+mn-ea"/>
              <a:cs typeface="Times New Roman" panose="02020603050405020304" pitchFamily="18" charset="0"/>
            </a:rPr>
            <a:t> section below (K). Information you enter there automatically creates each notification in the "AI0#" tabs. Review each created notification, make sure it says what you need it to say. </a:t>
          </a:r>
        </a:p>
        <a:p>
          <a:endParaRPr lang="en-US" sz="1200" baseline="0">
            <a:solidFill>
              <a:schemeClr val="dk1"/>
            </a:solidFill>
            <a:effectLst/>
            <a:latin typeface="Times New Roman" panose="02020603050405020304" pitchFamily="18" charset="0"/>
            <a:ea typeface="+mn-ea"/>
            <a:cs typeface="Times New Roman" panose="02020603050405020304" pitchFamily="18" charset="0"/>
          </a:endParaRPr>
        </a:p>
        <a:p>
          <a:r>
            <a:rPr lang="en-US" sz="1200" baseline="0">
              <a:solidFill>
                <a:schemeClr val="dk1"/>
              </a:solidFill>
              <a:effectLst/>
              <a:latin typeface="Times New Roman" panose="02020603050405020304" pitchFamily="18" charset="0"/>
              <a:ea typeface="+mn-ea"/>
              <a:cs typeface="Times New Roman" panose="02020603050405020304" pitchFamily="18" charset="0"/>
            </a:rPr>
            <a:t>If your estimated score is relatively high, this may be all you need. If not, we strongly recommend the </a:t>
          </a:r>
          <a:r>
            <a:rPr lang="en-US" sz="1200" b="1" baseline="0">
              <a:solidFill>
                <a:schemeClr val="dk1"/>
              </a:solidFill>
              <a:effectLst/>
              <a:latin typeface="Times New Roman" panose="02020603050405020304" pitchFamily="18" charset="0"/>
              <a:ea typeface="+mn-ea"/>
              <a:cs typeface="Times New Roman" panose="02020603050405020304" pitchFamily="18" charset="0"/>
            </a:rPr>
            <a:t>plan</a:t>
          </a:r>
          <a:r>
            <a:rPr lang="en-US" sz="1200" baseline="0">
              <a:solidFill>
                <a:schemeClr val="dk1"/>
              </a:solidFill>
              <a:effectLst/>
              <a:latin typeface="Times New Roman" panose="02020603050405020304" pitchFamily="18" charset="0"/>
              <a:ea typeface="+mn-ea"/>
              <a:cs typeface="Times New Roman" panose="02020603050405020304" pitchFamily="18" charset="0"/>
            </a:rPr>
            <a:t>. FREE to start, we work with you to attact support. That support helps cover the costs, and share in some of the benefits. Learn about it more below.</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205740</xdr:colOff>
      <xdr:row>1147</xdr:row>
      <xdr:rowOff>15240</xdr:rowOff>
    </xdr:from>
    <xdr:to>
      <xdr:col>4</xdr:col>
      <xdr:colOff>15240</xdr:colOff>
      <xdr:row>1191</xdr:row>
      <xdr:rowOff>0</xdr:rowOff>
    </xdr:to>
    <xdr:sp macro="" textlink="">
      <xdr:nvSpPr>
        <xdr:cNvPr id="110" name="TextBox 109">
          <a:extLst>
            <a:ext uri="{FF2B5EF4-FFF2-40B4-BE49-F238E27FC236}">
              <a16:creationId xmlns:a16="http://schemas.microsoft.com/office/drawing/2014/main" id="{803E091D-2FED-490E-9F02-15F9B0C2A794}"/>
            </a:ext>
          </a:extLst>
        </xdr:cNvPr>
        <xdr:cNvSpPr txBox="1"/>
      </xdr:nvSpPr>
      <xdr:spPr>
        <a:xfrm>
          <a:off x="205740" y="306011580"/>
          <a:ext cx="5577840" cy="0"/>
        </a:xfrm>
        <a:prstGeom prst="rect">
          <a:avLst/>
        </a:prstGeom>
        <a:noFill/>
        <a:ln w="9525" cmpd="sng">
          <a:solidFill>
            <a:srgbClr val="B9FFD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n>
                <a:noFill/>
              </a:ln>
              <a:solidFill>
                <a:schemeClr val="tx1"/>
              </a:solidFill>
              <a:effectLst/>
              <a:latin typeface="Tahoma" panose="020B0604030504040204" pitchFamily="34" charset="0"/>
              <a:ea typeface="Tahoma" panose="020B0604030504040204" pitchFamily="34" charset="0"/>
              <a:cs typeface="Tahoma" panose="020B0604030504040204" pitchFamily="34" charset="0"/>
            </a:rPr>
            <a:t>Plan</a:t>
          </a:r>
          <a:r>
            <a:rPr lang="en-US" sz="1600" b="1">
              <a:ln>
                <a:noFill/>
              </a:ln>
              <a:noFill/>
              <a:effectLst/>
              <a:latin typeface="Tahoma" panose="020B0604030504040204" pitchFamily="34" charset="0"/>
              <a:ea typeface="Tahoma" panose="020B0604030504040204" pitchFamily="34" charset="0"/>
              <a:cs typeface="Tahoma" panose="020B0604030504040204" pitchFamily="34" charset="0"/>
            </a:rPr>
            <a:t> </a:t>
          </a:r>
          <a:r>
            <a:rPr lang="en-US" sz="16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rPr>
            <a:t>start for Free</a:t>
          </a:r>
          <a:endParaRPr lang="en-US" sz="1100" b="1">
            <a:ln>
              <a:noFill/>
            </a:ln>
            <a:solidFill>
              <a:srgbClr val="00B050"/>
            </a:solidFill>
            <a:effectLst/>
            <a:latin typeface="Tahoma" panose="020B0604030504040204" pitchFamily="34" charset="0"/>
            <a:ea typeface="Tahoma" panose="020B0604030504040204" pitchFamily="34" charset="0"/>
            <a:cs typeface="Tahoma" panose="020B0604030504040204" pitchFamily="34"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Tragically, wrongful convictions destroy one’s credibility. Once accused, your protests of innocence sound self-serving as if avoiding responsibility. You know perfectly well that’s not the </a:t>
          </a:r>
          <a:r>
            <a:rPr lang="en-US" sz="1200" baseline="0">
              <a:solidFill>
                <a:schemeClr val="dk1"/>
              </a:solidFill>
              <a:effectLst/>
              <a:latin typeface="Times New Roman" panose="02020603050405020304" pitchFamily="18" charset="0"/>
              <a:ea typeface="+mn-ea"/>
              <a:cs typeface="Times New Roman" panose="02020603050405020304" pitchFamily="18" charset="0"/>
            </a:rPr>
            <a:t>case.</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Wrongful convictions also undermine earning capacity. An unearned felony robs one of eaerned income potential, to afford needed services. Talk about injustice!</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This service provides a way for overcoming both!</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The</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r>
            <a:rPr lang="en-US" sz="1200" b="1" baseline="0">
              <a:solidFill>
                <a:schemeClr val="dk1"/>
              </a:solidFill>
              <a:effectLst/>
              <a:latin typeface="Times New Roman" panose="02020603050405020304" pitchFamily="18" charset="0"/>
              <a:ea typeface="+mn-ea"/>
              <a:cs typeface="Times New Roman" panose="02020603050405020304" pitchFamily="18" charset="0"/>
            </a:rPr>
            <a:t>Plan</a:t>
          </a:r>
          <a:r>
            <a:rPr lang="en-US" sz="1200" baseline="0">
              <a:solidFill>
                <a:schemeClr val="dk1"/>
              </a:solidFill>
              <a:effectLst/>
              <a:latin typeface="Times New Roman" panose="02020603050405020304" pitchFamily="18" charset="0"/>
              <a:ea typeface="+mn-ea"/>
              <a:cs typeface="Times New Roman" panose="02020603050405020304" pitchFamily="18" charset="0"/>
            </a:rPr>
            <a:t> has you, t</a:t>
          </a:r>
          <a:r>
            <a:rPr lang="en-US" sz="1200">
              <a:solidFill>
                <a:schemeClr val="dk1"/>
              </a:solidFill>
              <a:effectLst/>
              <a:latin typeface="Times New Roman" panose="02020603050405020304" pitchFamily="18" charset="0"/>
              <a:ea typeface="+mn-ea"/>
              <a:cs typeface="Times New Roman" panose="02020603050405020304" pitchFamily="18" charset="0"/>
            </a:rPr>
            <a:t>he wrongly convicted, build up a support team for both the social capital to demonstrate your innocence </a:t>
          </a:r>
          <a:r>
            <a:rPr lang="en-US" sz="1200" i="1">
              <a:solidFill>
                <a:schemeClr val="dk1"/>
              </a:solidFill>
              <a:effectLst/>
              <a:latin typeface="Times New Roman" panose="02020603050405020304" pitchFamily="18" charset="0"/>
              <a:ea typeface="+mn-ea"/>
              <a:cs typeface="Times New Roman" panose="02020603050405020304" pitchFamily="18" charset="0"/>
            </a:rPr>
            <a:t>and</a:t>
          </a:r>
          <a:r>
            <a:rPr lang="en-US" sz="1200">
              <a:solidFill>
                <a:schemeClr val="dk1"/>
              </a:solidFill>
              <a:effectLst/>
              <a:latin typeface="Times New Roman" panose="02020603050405020304" pitchFamily="18" charset="0"/>
              <a:ea typeface="+mn-ea"/>
              <a:cs typeface="Times New Roman" panose="02020603050405020304" pitchFamily="18" charset="0"/>
            </a:rPr>
            <a:t> to help share in the costs and returns in needed services. Services like this one. At least that’s how it stands right now.</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Together, we'll:</a:t>
          </a:r>
        </a:p>
        <a:p>
          <a:r>
            <a:rPr lang="en-US" sz="1200">
              <a:solidFill>
                <a:schemeClr val="dk1"/>
              </a:solidFill>
              <a:effectLst/>
              <a:latin typeface="Times New Roman" panose="02020603050405020304" pitchFamily="18" charset="0"/>
              <a:ea typeface="+mn-ea"/>
              <a:cs typeface="Times New Roman" panose="02020603050405020304" pitchFamily="18" charset="0"/>
            </a:rPr>
            <a:t>1.  spot your most pressing needs, </a:t>
          </a:r>
        </a:p>
        <a:p>
          <a:r>
            <a:rPr lang="en-US" sz="1200">
              <a:solidFill>
                <a:schemeClr val="dk1"/>
              </a:solidFill>
              <a:effectLst/>
              <a:latin typeface="Times New Roman" panose="02020603050405020304" pitchFamily="18" charset="0"/>
              <a:ea typeface="+mn-ea"/>
              <a:cs typeface="Times New Roman" panose="02020603050405020304" pitchFamily="18" charset="0"/>
            </a:rPr>
            <a:t>2.  draft a plan to fit your situation, and to best serve your specific needs,</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3.  build the support necessary to meet</a:t>
          </a:r>
          <a:r>
            <a:rPr lang="en-US" sz="1200" baseline="0">
              <a:solidFill>
                <a:schemeClr val="dk1"/>
              </a:solidFill>
              <a:effectLst/>
              <a:latin typeface="Times New Roman" panose="02020603050405020304" pitchFamily="18" charset="0"/>
              <a:ea typeface="+mn-ea"/>
              <a:cs typeface="Times New Roman" panose="02020603050405020304" pitchFamily="18" charset="0"/>
            </a:rPr>
            <a:t> those needs,</a:t>
          </a:r>
          <a:r>
            <a:rPr lang="en-US" sz="1200">
              <a:solidFill>
                <a:schemeClr val="dk1"/>
              </a:solidFill>
              <a:effectLst/>
              <a:latin typeface="Times New Roman" panose="02020603050405020304" pitchFamily="18" charset="0"/>
              <a:ea typeface="+mn-ea"/>
              <a:cs typeface="Times New Roman" panose="02020603050405020304" pitchFamily="18" charset="0"/>
            </a:rPr>
            <a:t> to finally</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4.  compel others to respond to these neglected needs in mutually beneficial ways. </a:t>
          </a: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r>
            <a:rPr lang="en-US" sz="1400" b="1">
              <a:solidFill>
                <a:schemeClr val="dk1"/>
              </a:solidFill>
              <a:effectLst/>
              <a:latin typeface="+mn-lt"/>
              <a:ea typeface="+mn-ea"/>
              <a:cs typeface="Times New Roman" panose="02020603050405020304" pitchFamily="18" charset="0"/>
            </a:rPr>
            <a:t>Step 1</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Together,</a:t>
          </a:r>
          <a:r>
            <a:rPr lang="en-US" sz="1200" baseline="0">
              <a:solidFill>
                <a:schemeClr val="dk1"/>
              </a:solidFill>
              <a:effectLst/>
              <a:latin typeface="Times New Roman" panose="02020603050405020304" pitchFamily="18" charset="0"/>
              <a:ea typeface="+mn-ea"/>
              <a:cs typeface="Times New Roman" panose="02020603050405020304" pitchFamily="18" charset="0"/>
            </a:rPr>
            <a:t> we get our foot in the door. We compel notified employers, landlords and/or debt collectors to take notice of the unkind impact they are having on you. To avoid the risk of bad publicity, we expect them to respond.</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We start out by exchanging messages through email. Our first exchange is FREE. We invite you to name a "proxy" who can support you through this process. Someone you can trust as you risk reliving this painful past.</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The next email exchange only costs you and your proxy $5. If we agree this process is a good fit for you, you will start building a support team. You invite each one using the supporter tabs, much like the notification tabs. As the value of this service to you rises, they bear the increased costs--and share in some of its rewards.</a:t>
          </a:r>
        </a:p>
        <a:p>
          <a:pPr>
            <a:spcAft>
              <a:spcPts val="600"/>
            </a:spcAft>
          </a:pPr>
          <a:r>
            <a:rPr lang="en-US" sz="1200" baseline="0">
              <a:solidFill>
                <a:schemeClr val="dk1"/>
              </a:solidFill>
              <a:effectLst/>
              <a:latin typeface="Times New Roman" panose="02020603050405020304" pitchFamily="18" charset="0"/>
              <a:ea typeface="+mn-ea"/>
              <a:cs typeface="Times New Roman" panose="02020603050405020304" pitchFamily="18" charset="0"/>
            </a:rPr>
            <a:t>Eventually, we shift to group video-chat ($100 each). Each dollar invested gets tracked. If your support team finds it's worth it, why not others? We will use that to persuade others to invest in you as well.</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Your rebuilt life will become an attractive investment. If an employer passes you over, we can make sure their competitors will see your re-emerging value. </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2</a:t>
          </a:r>
        </a:p>
        <a:p>
          <a:pPr>
            <a:spcAft>
              <a:spcPts val="600"/>
            </a:spcAft>
          </a:pPr>
          <a:r>
            <a:rPr lang="en-US" sz="1200">
              <a:solidFill>
                <a:schemeClr val="dk1"/>
              </a:solidFill>
              <a:effectLst/>
              <a:latin typeface="Times New Roman" panose="02020603050405020304" pitchFamily="18" charset="0"/>
              <a:ea typeface="+mn-ea"/>
              <a:cs typeface="Times New Roman" panose="02020603050405020304" pitchFamily="18" charset="0"/>
            </a:rPr>
            <a:t>If we reach step two, we convince</a:t>
          </a:r>
          <a:r>
            <a:rPr lang="en-US" sz="1200" baseline="0">
              <a:solidFill>
                <a:schemeClr val="dk1"/>
              </a:solidFill>
              <a:effectLst/>
              <a:latin typeface="Times New Roman" panose="02020603050405020304" pitchFamily="18" charset="0"/>
              <a:ea typeface="+mn-ea"/>
              <a:cs typeface="Times New Roman" panose="02020603050405020304" pitchFamily="18" charset="0"/>
            </a:rPr>
            <a:t> the notified parties to start investing in your rebuilt life. To not only hire you or rent to you or negotiate debt with you, but to actively see you do better. Why would they willingly invest in you? By then, we will make it hard for them to say 'no'. </a:t>
          </a:r>
        </a:p>
        <a:p>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34</xdr:col>
      <xdr:colOff>121920</xdr:colOff>
      <xdr:row>1120</xdr:row>
      <xdr:rowOff>106680</xdr:rowOff>
    </xdr:from>
    <xdr:to>
      <xdr:col>57</xdr:col>
      <xdr:colOff>53340</xdr:colOff>
      <xdr:row>1144</xdr:row>
      <xdr:rowOff>121920</xdr:rowOff>
    </xdr:to>
    <xdr:sp macro="" textlink="">
      <xdr:nvSpPr>
        <xdr:cNvPr id="111" name="TextBox 110">
          <a:extLst>
            <a:ext uri="{FF2B5EF4-FFF2-40B4-BE49-F238E27FC236}">
              <a16:creationId xmlns:a16="http://schemas.microsoft.com/office/drawing/2014/main" id="{E608C0AE-5DD9-4CA3-8976-FA1F3AE307FE}"/>
            </a:ext>
          </a:extLst>
        </xdr:cNvPr>
        <xdr:cNvSpPr txBox="1"/>
      </xdr:nvSpPr>
      <xdr:spPr>
        <a:xfrm>
          <a:off x="18341340" y="306011580"/>
          <a:ext cx="0" cy="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dk1"/>
              </a:solidFill>
              <a:effectLst/>
              <a:latin typeface="+mn-lt"/>
              <a:ea typeface="+mn-ea"/>
              <a:cs typeface="Times New Roman" panose="02020603050405020304" pitchFamily="18" charset="0"/>
            </a:rPr>
            <a:t>Step 1</a:t>
          </a:r>
        </a:p>
        <a:p>
          <a:r>
            <a:rPr lang="en-US" sz="1100">
              <a:solidFill>
                <a:schemeClr val="dk1"/>
              </a:solidFill>
              <a:effectLst/>
              <a:latin typeface="Times New Roman" panose="02020603050405020304" pitchFamily="18" charset="0"/>
              <a:ea typeface="+mn-ea"/>
              <a:cs typeface="Times New Roman" panose="02020603050405020304" pitchFamily="18" charset="0"/>
            </a:rPr>
            <a:t>Text-based</a:t>
          </a:r>
          <a:r>
            <a:rPr lang="en-US" sz="1100" baseline="0">
              <a:solidFill>
                <a:schemeClr val="dk1"/>
              </a:solidFill>
              <a:effectLst/>
              <a:latin typeface="Times New Roman" panose="02020603050405020304" pitchFamily="18" charset="0"/>
              <a:ea typeface="+mn-ea"/>
              <a:cs typeface="Times New Roman" panose="02020603050405020304" pitchFamily="18" charset="0"/>
            </a:rPr>
            <a:t> interactions.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Name someone to serve as your proxy, someone you can trust to serve your needs when you cannot be fully present. For prisoners,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For those out of prison, but still in some form of monitored custody,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For those beyond state custody, </a:t>
          </a:r>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2</a:t>
          </a:r>
        </a:p>
        <a:p>
          <a:r>
            <a:rPr lang="en-US" sz="1100">
              <a:solidFill>
                <a:schemeClr val="dk1"/>
              </a:solidFill>
              <a:effectLst/>
              <a:latin typeface="Times New Roman" panose="02020603050405020304" pitchFamily="18" charset="0"/>
              <a:ea typeface="+mn-ea"/>
              <a:cs typeface="Times New Roman" panose="02020603050405020304" pitchFamily="18" charset="0"/>
            </a:rPr>
            <a:t>Video-conferencing</a:t>
          </a:r>
          <a:r>
            <a:rPr lang="en-US" sz="1100" baseline="0">
              <a:solidFill>
                <a:schemeClr val="dk1"/>
              </a:solidFill>
              <a:effectLst/>
              <a:latin typeface="Times New Roman" panose="02020603050405020304" pitchFamily="18" charset="0"/>
              <a:ea typeface="+mn-ea"/>
              <a:cs typeface="Times New Roman" panose="02020603050405020304" pitchFamily="18" charset="0"/>
            </a:rPr>
            <a:t> group support. </a:t>
          </a:r>
        </a:p>
        <a:p>
          <a:r>
            <a:rPr lang="en-US" sz="1100" baseline="0">
              <a:solidFill>
                <a:schemeClr val="dk1"/>
              </a:solidFill>
              <a:effectLst/>
              <a:latin typeface="Times New Roman" panose="02020603050405020304" pitchFamily="18" charset="0"/>
              <a:ea typeface="+mn-ea"/>
              <a:cs typeface="Times New Roman" panose="02020603050405020304" pitchFamily="18" charset="0"/>
            </a:rPr>
            <a:t>impact engaging, options array</a:t>
          </a:r>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pPr marL="0" indent="0"/>
          <a:r>
            <a:rPr lang="en-US" sz="1400" b="1">
              <a:solidFill>
                <a:schemeClr val="dk1"/>
              </a:solidFill>
              <a:effectLst/>
              <a:latin typeface="+mn-lt"/>
              <a:ea typeface="+mn-ea"/>
              <a:cs typeface="Times New Roman" panose="02020603050405020304" pitchFamily="18" charset="0"/>
            </a:rPr>
            <a:t>Step 3</a:t>
          </a:r>
        </a:p>
      </xdr:txBody>
    </xdr:sp>
    <xdr:clientData/>
  </xdr:twoCellAnchor>
  <xdr:twoCellAnchor>
    <xdr:from>
      <xdr:col>0</xdr:col>
      <xdr:colOff>198120</xdr:colOff>
      <xdr:row>1137</xdr:row>
      <xdr:rowOff>167640</xdr:rowOff>
    </xdr:from>
    <xdr:to>
      <xdr:col>4</xdr:col>
      <xdr:colOff>7620</xdr:colOff>
      <xdr:row>1146</xdr:row>
      <xdr:rowOff>45720</xdr:rowOff>
    </xdr:to>
    <xdr:sp macro="" textlink="">
      <xdr:nvSpPr>
        <xdr:cNvPr id="112" name="TextBox 111">
          <a:extLst>
            <a:ext uri="{FF2B5EF4-FFF2-40B4-BE49-F238E27FC236}">
              <a16:creationId xmlns:a16="http://schemas.microsoft.com/office/drawing/2014/main" id="{48D5D0AA-78A8-4B81-A8F8-BF9D6B453DE0}"/>
            </a:ext>
          </a:extLst>
        </xdr:cNvPr>
        <xdr:cNvSpPr txBox="1"/>
      </xdr:nvSpPr>
      <xdr:spPr>
        <a:xfrm>
          <a:off x="198120" y="306011580"/>
          <a:ext cx="5577840" cy="0"/>
        </a:xfrm>
        <a:prstGeom prst="rect">
          <a:avLst/>
        </a:prstGeom>
        <a:solidFill>
          <a:srgbClr val="B9FFD9"/>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rgbClr val="00B050"/>
              </a:solidFill>
              <a:effectLst/>
              <a:latin typeface="+mn-lt"/>
              <a:ea typeface="+mn-ea"/>
              <a:cs typeface="Times New Roman" panose="02020603050405020304" pitchFamily="18" charset="0"/>
            </a:rPr>
            <a:t>Benefits of going with the </a:t>
          </a:r>
          <a:r>
            <a:rPr lang="en-US" sz="1600" b="1">
              <a:solidFill>
                <a:schemeClr val="dk1"/>
              </a:solidFill>
              <a:effectLst/>
              <a:latin typeface="+mn-lt"/>
              <a:ea typeface="+mn-ea"/>
              <a:cs typeface="Times New Roman" panose="02020603050405020304" pitchFamily="18" charset="0"/>
            </a:rPr>
            <a:t>Plan</a:t>
          </a:r>
          <a:endParaRPr lang="en-US" sz="1400" b="1">
            <a:solidFill>
              <a:schemeClr val="dk1"/>
            </a:solidFill>
            <a:effectLst/>
            <a:latin typeface="+mn-lt"/>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a:t>
          </a:r>
          <a:r>
            <a:rPr lang="en-US" sz="1200" baseline="0">
              <a:solidFill>
                <a:schemeClr val="dk1"/>
              </a:solidFill>
              <a:effectLst/>
              <a:latin typeface="Times New Roman" panose="02020603050405020304" pitchFamily="18" charset="0"/>
              <a:ea typeface="+mn-ea"/>
              <a:cs typeface="Times New Roman" panose="02020603050405020304" pitchFamily="18" charset="0"/>
            </a:rPr>
            <a:t> </a:t>
          </a:r>
          <a:r>
            <a:rPr lang="en-US" sz="1200">
              <a:solidFill>
                <a:schemeClr val="dk1"/>
              </a:solidFill>
              <a:effectLst/>
              <a:latin typeface="Times New Roman" panose="02020603050405020304" pitchFamily="18" charset="0"/>
              <a:ea typeface="+mn-ea"/>
              <a:cs typeface="Times New Roman" panose="02020603050405020304" pitchFamily="18" charset="0"/>
            </a:rPr>
            <a:t>own your data</a:t>
          </a:r>
        </a:p>
        <a:p>
          <a:r>
            <a:rPr lang="en-US" sz="1200">
              <a:solidFill>
                <a:schemeClr val="dk1"/>
              </a:solidFill>
              <a:effectLst/>
              <a:latin typeface="Times New Roman" panose="02020603050405020304" pitchFamily="18" charset="0"/>
              <a:ea typeface="+mn-ea"/>
              <a:cs typeface="Times New Roman" panose="02020603050405020304" pitchFamily="18" charset="0"/>
            </a:rPr>
            <a:t>-- improve your marketable value</a:t>
          </a:r>
        </a:p>
        <a:p>
          <a:r>
            <a:rPr lang="en-US" sz="1200">
              <a:solidFill>
                <a:schemeClr val="dk1"/>
              </a:solidFill>
              <a:effectLst/>
              <a:latin typeface="Times New Roman" panose="02020603050405020304" pitchFamily="18" charset="0"/>
              <a:ea typeface="+mn-ea"/>
              <a:cs typeface="Times New Roman" panose="02020603050405020304" pitchFamily="18" charset="0"/>
            </a:rPr>
            <a:t>-- receive engaging support from others who believe</a:t>
          </a:r>
          <a:r>
            <a:rPr lang="en-US" sz="1200" baseline="0">
              <a:solidFill>
                <a:schemeClr val="dk1"/>
              </a:solidFill>
              <a:effectLst/>
              <a:latin typeface="Times New Roman" panose="02020603050405020304" pitchFamily="18" charset="0"/>
              <a:ea typeface="+mn-ea"/>
              <a:cs typeface="Times New Roman" panose="02020603050405020304" pitchFamily="18" charset="0"/>
            </a:rPr>
            <a:t> you are innocent</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r>
            <a:rPr lang="en-US" sz="1200">
              <a:solidFill>
                <a:schemeClr val="dk1"/>
              </a:solidFill>
              <a:effectLst/>
              <a:latin typeface="Times New Roman" panose="02020603050405020304" pitchFamily="18" charset="0"/>
              <a:ea typeface="+mn-ea"/>
              <a:cs typeface="Times New Roman" panose="02020603050405020304" pitchFamily="18" charset="0"/>
            </a:rPr>
            <a:t>-- disover</a:t>
          </a:r>
          <a:r>
            <a:rPr lang="en-US" sz="1200" baseline="0">
              <a:solidFill>
                <a:schemeClr val="dk1"/>
              </a:solidFill>
              <a:effectLst/>
              <a:latin typeface="Times New Roman" panose="02020603050405020304" pitchFamily="18" charset="0"/>
              <a:ea typeface="+mn-ea"/>
              <a:cs typeface="Times New Roman" panose="02020603050405020304" pitchFamily="18" charset="0"/>
            </a:rPr>
            <a:t> capacities you never knew you had</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 find opportunties to earn doing what you passionatley enjoy doing for others</a:t>
          </a:r>
        </a:p>
        <a:p>
          <a:r>
            <a:rPr lang="en-US" sz="1200" baseline="0">
              <a:solidFill>
                <a:schemeClr val="dk1"/>
              </a:solidFill>
              <a:effectLst/>
              <a:latin typeface="Times New Roman" panose="02020603050405020304" pitchFamily="18" charset="0"/>
              <a:ea typeface="+mn-ea"/>
              <a:cs typeface="Times New Roman" panose="02020603050405020304" pitchFamily="18" charset="0"/>
            </a:rPr>
            <a:t>-- learn to make life happen (rather than let life happen to you)</a:t>
          </a:r>
          <a:endParaRPr lang="en-US" sz="1200">
            <a:solidFill>
              <a:schemeClr val="dk1"/>
            </a:solidFill>
            <a:effectLst/>
            <a:latin typeface="Times New Roman" panose="02020603050405020304" pitchFamily="18" charset="0"/>
            <a:ea typeface="+mn-ea"/>
            <a:cs typeface="Times New Roman" panose="02020603050405020304" pitchFamily="18" charset="0"/>
          </a:endParaRPr>
        </a:p>
        <a:p>
          <a:endParaRPr lang="en-US"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39</xdr:col>
      <xdr:colOff>30480</xdr:colOff>
      <xdr:row>864</xdr:row>
      <xdr:rowOff>320040</xdr:rowOff>
    </xdr:from>
    <xdr:to>
      <xdr:col>59</xdr:col>
      <xdr:colOff>175260</xdr:colOff>
      <xdr:row>870</xdr:row>
      <xdr:rowOff>3886200</xdr:rowOff>
    </xdr:to>
    <xdr:sp macro="" textlink="">
      <xdr:nvSpPr>
        <xdr:cNvPr id="113" name="TextBox 112">
          <a:extLst>
            <a:ext uri="{FF2B5EF4-FFF2-40B4-BE49-F238E27FC236}">
              <a16:creationId xmlns:a16="http://schemas.microsoft.com/office/drawing/2014/main" id="{7F0BED3F-A4E3-49EC-9E4A-F03DDF159343}"/>
            </a:ext>
          </a:extLst>
        </xdr:cNvPr>
        <xdr:cNvSpPr txBox="1"/>
      </xdr:nvSpPr>
      <xdr:spPr>
        <a:xfrm>
          <a:off x="18341340" y="289483800"/>
          <a:ext cx="0" cy="5204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mn-lt"/>
              <a:ea typeface="+mn-ea"/>
              <a:cs typeface="+mn-cs"/>
            </a:rPr>
            <a:t>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A neighborhood child drew curious, peeping into Janet’s window to gawk at what she called the "man with lipstick." When caught not being home on time, the child leveled bizarre claims of sex abuse unbecoming from a child. Exposed to porn?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The child then dragged Steph into her transphobic accusations. The child claimed Steph posed with her as if she, the young child, was stabbing Steph in the chest with a butter knife. She claimed this was to scare her from talking to police, that we would say she was the aggressor. Unbelievable? Not if you already believe trans people are subhuman.</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Child testimonies back then were often coached. Trans people were easily vilified. Since no corroborating evidence was necessary back then to convict for sexual misconduct, both transwomen were wrongly convicted and sentenced to long terms in men’s prisons, where Steph’s transgender sibling and codefendant died in 2001.</a:t>
          </a:r>
          <a:br>
            <a:rPr lang="en-US" sz="900">
              <a:solidFill>
                <a:schemeClr val="dk1"/>
              </a:solidFill>
              <a:effectLst/>
              <a:latin typeface="+mn-lt"/>
              <a:ea typeface="+mn-ea"/>
              <a:cs typeface="+mn-cs"/>
            </a:rPr>
          </a:br>
          <a:br>
            <a:rPr lang="en-US" sz="900">
              <a:solidFill>
                <a:schemeClr val="dk1"/>
              </a:solidFill>
              <a:effectLst/>
              <a:latin typeface="+mn-lt"/>
              <a:ea typeface="+mn-ea"/>
              <a:cs typeface="+mn-cs"/>
            </a:rPr>
          </a:br>
          <a:r>
            <a:rPr lang="en-US" sz="900">
              <a:solidFill>
                <a:schemeClr val="dk1"/>
              </a:solidFill>
              <a:effectLst/>
              <a:latin typeface="+mn-lt"/>
              <a:ea typeface="+mn-ea"/>
              <a:cs typeface="+mn-cs"/>
            </a:rPr>
            <a:t>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 </a:t>
          </a:r>
          <a:endParaRPr lang="en-US" sz="900"/>
        </a:p>
      </xdr:txBody>
    </xdr:sp>
    <xdr:clientData/>
  </xdr:twoCellAnchor>
  <xdr:twoCellAnchor>
    <xdr:from>
      <xdr:col>34</xdr:col>
      <xdr:colOff>163830</xdr:colOff>
      <xdr:row>870</xdr:row>
      <xdr:rowOff>4259580</xdr:rowOff>
    </xdr:from>
    <xdr:to>
      <xdr:col>53</xdr:col>
      <xdr:colOff>367665</xdr:colOff>
      <xdr:row>870</xdr:row>
      <xdr:rowOff>4558665</xdr:rowOff>
    </xdr:to>
    <xdr:sp macro="" textlink="">
      <xdr:nvSpPr>
        <xdr:cNvPr id="114" name="Rectangle: Beveled 113">
          <a:extLst>
            <a:ext uri="{FF2B5EF4-FFF2-40B4-BE49-F238E27FC236}">
              <a16:creationId xmlns:a16="http://schemas.microsoft.com/office/drawing/2014/main" id="{A7153FE3-A08F-40C7-A146-666A7B44655D}"/>
            </a:ext>
          </a:extLst>
        </xdr:cNvPr>
        <xdr:cNvSpPr/>
      </xdr:nvSpPr>
      <xdr:spPr>
        <a:xfrm>
          <a:off x="18341340" y="295061640"/>
          <a:ext cx="0" cy="299085"/>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124370</xdr:colOff>
      <xdr:row>879</xdr:row>
      <xdr:rowOff>65586</xdr:rowOff>
    </xdr:from>
    <xdr:to>
      <xdr:col>53</xdr:col>
      <xdr:colOff>178798</xdr:colOff>
      <xdr:row>881</xdr:row>
      <xdr:rowOff>276225</xdr:rowOff>
    </xdr:to>
    <xdr:sp macro="" textlink="">
      <xdr:nvSpPr>
        <xdr:cNvPr id="115" name="Rectangle: Rounded Corners 114">
          <a:extLst>
            <a:ext uri="{FF2B5EF4-FFF2-40B4-BE49-F238E27FC236}">
              <a16:creationId xmlns:a16="http://schemas.microsoft.com/office/drawing/2014/main" id="{68BEEB31-AD2F-4E63-A3E9-0E72863F5293}"/>
            </a:ext>
          </a:extLst>
        </xdr:cNvPr>
        <xdr:cNvSpPr/>
      </xdr:nvSpPr>
      <xdr:spPr>
        <a:xfrm>
          <a:off x="18341340" y="297291306"/>
          <a:ext cx="0" cy="231594"/>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here</a:t>
          </a:r>
        </a:p>
      </xdr:txBody>
    </xdr:sp>
    <xdr:clientData/>
  </xdr:twoCellAnchor>
  <xdr:twoCellAnchor>
    <xdr:from>
      <xdr:col>30</xdr:col>
      <xdr:colOff>124370</xdr:colOff>
      <xdr:row>876</xdr:row>
      <xdr:rowOff>137976</xdr:rowOff>
    </xdr:from>
    <xdr:to>
      <xdr:col>53</xdr:col>
      <xdr:colOff>178798</xdr:colOff>
      <xdr:row>879</xdr:row>
      <xdr:rowOff>64770</xdr:rowOff>
    </xdr:to>
    <xdr:sp macro="" textlink="">
      <xdr:nvSpPr>
        <xdr:cNvPr id="116" name="Rectangle: Rounded Corners 115">
          <a:extLst>
            <a:ext uri="{FF2B5EF4-FFF2-40B4-BE49-F238E27FC236}">
              <a16:creationId xmlns:a16="http://schemas.microsoft.com/office/drawing/2014/main" id="{63EC8744-C073-4943-932D-57CE794E5079}"/>
            </a:ext>
          </a:extLst>
        </xdr:cNvPr>
        <xdr:cNvSpPr/>
      </xdr:nvSpPr>
      <xdr:spPr>
        <a:xfrm>
          <a:off x="18341340" y="296776956"/>
          <a:ext cx="0" cy="513534"/>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here</a:t>
          </a:r>
        </a:p>
      </xdr:txBody>
    </xdr:sp>
    <xdr:clientData/>
  </xdr:twoCellAnchor>
  <xdr:twoCellAnchor>
    <xdr:from>
      <xdr:col>0</xdr:col>
      <xdr:colOff>7620</xdr:colOff>
      <xdr:row>27</xdr:row>
      <xdr:rowOff>144780</xdr:rowOff>
    </xdr:from>
    <xdr:to>
      <xdr:col>1</xdr:col>
      <xdr:colOff>15240</xdr:colOff>
      <xdr:row>27</xdr:row>
      <xdr:rowOff>441960</xdr:rowOff>
    </xdr:to>
    <xdr:sp macro="" textlink="">
      <xdr:nvSpPr>
        <xdr:cNvPr id="117" name="Arrow: Down 116">
          <a:hlinkClick xmlns:r="http://schemas.openxmlformats.org/officeDocument/2006/relationships" r:id="rId28" tooltip="FLIPSIDE entry"/>
          <a:extLst>
            <a:ext uri="{FF2B5EF4-FFF2-40B4-BE49-F238E27FC236}">
              <a16:creationId xmlns:a16="http://schemas.microsoft.com/office/drawing/2014/main" id="{612BA4BB-6A5F-4417-8F30-F222DE4C12C4}"/>
            </a:ext>
          </a:extLst>
        </xdr:cNvPr>
        <xdr:cNvSpPr/>
      </xdr:nvSpPr>
      <xdr:spPr>
        <a:xfrm>
          <a:off x="7620" y="733806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247650</xdr:colOff>
      <xdr:row>35</xdr:row>
      <xdr:rowOff>85725</xdr:rowOff>
    </xdr:from>
    <xdr:to>
      <xdr:col>3</xdr:col>
      <xdr:colOff>1933575</xdr:colOff>
      <xdr:row>41</xdr:row>
      <xdr:rowOff>206253</xdr:rowOff>
    </xdr:to>
    <xdr:sp macro="" textlink="">
      <xdr:nvSpPr>
        <xdr:cNvPr id="118" name="Text Box 4">
          <a:extLst>
            <a:ext uri="{FF2B5EF4-FFF2-40B4-BE49-F238E27FC236}">
              <a16:creationId xmlns:a16="http://schemas.microsoft.com/office/drawing/2014/main" id="{9D060D6D-EACD-430E-90EC-5CC29D6C9DD3}"/>
            </a:ext>
          </a:extLst>
        </xdr:cNvPr>
        <xdr:cNvSpPr txBox="1"/>
      </xdr:nvSpPr>
      <xdr:spPr>
        <a:xfrm rot="21480000">
          <a:off x="247650" y="14403705"/>
          <a:ext cx="5480685" cy="2200788"/>
        </a:xfrm>
        <a:prstGeom prst="rect">
          <a:avLst/>
        </a:prstGeom>
        <a:solidFill>
          <a:srgbClr val="FF85FF"/>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marL="0" marR="0" algn="ctr">
            <a:lnSpc>
              <a:spcPts val="2400"/>
            </a:lnSpc>
            <a:spcBef>
              <a:spcPts val="0"/>
            </a:spcBef>
            <a:spcAft>
              <a:spcPts val="0"/>
            </a:spcAft>
            <a:tabLst>
              <a:tab pos="3200400" algn="r"/>
            </a:tabLst>
          </a:pP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t>
          </a: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We know without doubt </a:t>
          </a:r>
          <a:b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that the vast majority of </a:t>
          </a:r>
          <a:b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2000" b="1" u="none" strike="noStrike">
              <a:ln w="3175" cap="rnd" cmpd="sng" algn="ctr">
                <a:solidFill>
                  <a:srgbClr val="7030A0"/>
                </a:solidFill>
                <a:prstDash val="solid"/>
                <a:bevel/>
              </a:ln>
              <a:solidFill>
                <a:srgbClr val="FFFF00"/>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innocent defendants</a:t>
          </a:r>
          <a:r>
            <a:rPr lang="en-US" sz="2000" b="1" u="none" strike="noStrike">
              <a:ln w="3175" cap="rnd" cmpd="sng" algn="ctr">
                <a:solidFill>
                  <a:srgbClr val="7030A0"/>
                </a:solidFill>
                <a:prstDash val="solid"/>
                <a:bevel/>
              </a:ln>
              <a:solidFill>
                <a:srgbClr val="70AD47"/>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70AD47"/>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who are </a:t>
          </a:r>
          <a:r>
            <a:rPr lang="en-US" sz="1600" b="1" u="none" strike="noStrike">
              <a:ln w="3175" cap="rnd" cmpd="sng" algn="ctr">
                <a:solidFill>
                  <a:srgbClr val="7030A0"/>
                </a:solidFill>
                <a:prstDash val="solid"/>
                <a:bevel/>
              </a:ln>
              <a:solidFill>
                <a:schemeClr val="tx1"/>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convicted</a:t>
          </a:r>
          <a:r>
            <a:rPr lang="en-US" sz="1600" b="1" u="none" strike="noStrike">
              <a:ln w="3175" cap="rnd" cmpd="sng" algn="ctr">
                <a:solidFill>
                  <a:srgbClr val="7030A0"/>
                </a:solidFill>
                <a:prstDash val="solid"/>
                <a:bevel/>
              </a:ln>
              <a:solidFill>
                <a:srgbClr val="25FF88"/>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of crimes</a:t>
          </a:r>
          <a:r>
            <a:rPr lang="en-US" sz="1600" b="1" u="none" strike="noStrike">
              <a:ln w="3175" cap="rnd" cmpd="sng" algn="ctr">
                <a:solidFill>
                  <a:srgbClr val="7030A0"/>
                </a:solidFill>
                <a:prstDash val="solid"/>
                <a:bevel/>
              </a:ln>
              <a:solidFill>
                <a:srgbClr val="B9FFD9"/>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 </a:t>
          </a:r>
          <a:br>
            <a:rPr lang="en-US" sz="1600" b="1" u="none" strike="noStrike">
              <a:ln w="3175" cap="rnd" cmpd="sng" algn="ctr">
                <a:solidFill>
                  <a:srgbClr val="7030A0"/>
                </a:solidFill>
                <a:prstDash val="solid"/>
                <a:bevel/>
              </a:ln>
              <a:solidFill>
                <a:srgbClr val="B9FFD9"/>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br>
          <a:r>
            <a:rPr lang="en-US" sz="1800" b="1" u="none" strike="noStrike">
              <a:ln w="3175" cap="rnd" cmpd="sng" algn="ctr">
                <a:solidFill>
                  <a:srgbClr val="7030A0"/>
                </a:solidFill>
                <a:prstDash val="solid"/>
                <a:bevel/>
              </a:ln>
              <a:solidFill>
                <a:srgbClr val="FF7C80"/>
              </a:soli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are never identified and cleared</a:t>
          </a:r>
          <a:r>
            <a:rPr lang="en-US" sz="1600" b="1">
              <a:ln w="9525" cap="rnd" cmpd="sng" algn="ctr">
                <a:solidFill>
                  <a:srgbClr val="7030A0"/>
                </a:solidFill>
                <a:prstDash val="solid"/>
                <a:bevel/>
              </a:ln>
              <a:gradFill>
                <a:gsLst>
                  <a:gs pos="0">
                    <a:srgbClr val="F7FAFD"/>
                  </a:gs>
                  <a:gs pos="100000">
                    <a:srgbClr val="E2F0D9"/>
                  </a:gs>
                </a:gsLst>
                <a:lin ang="5400000" scaled="0"/>
              </a:gradFill>
              <a:effectLst>
                <a:outerShdw blurRad="50800" dist="38100" dir="2700000" algn="tl" rotWithShape="0">
                  <a:prstClr val="black">
                    <a:alpha val="40000"/>
                  </a:prstClr>
                </a:outerShdw>
              </a:effectLst>
              <a:latin typeface="Arial Black" panose="020B0A04020102020204" pitchFamily="34" charset="0"/>
              <a:ea typeface="Calibri" panose="020F0502020204030204" pitchFamily="34" charset="0"/>
              <a:cs typeface="Times New Roman" panose="02020603050405020304" pitchFamily="18" charset="0"/>
            </a:rPr>
            <a:t>.”</a:t>
          </a:r>
          <a:endParaRPr lang="en-US" sz="1100">
            <a:effectLst>
              <a:outerShdw blurRad="50800" dist="38100" dir="2700000" algn="tl" rotWithShape="0">
                <a:prstClr val="black">
                  <a:alpha val="40000"/>
                </a:prstClr>
              </a:outerShdw>
            </a:effectLst>
            <a:latin typeface="Georgia" panose="02040502050405020303" pitchFamily="18" charset="0"/>
            <a:ea typeface="Calibri" panose="020F0502020204030204" pitchFamily="34" charset="0"/>
            <a:cs typeface="Times New Roman" panose="02020603050405020304" pitchFamily="18" charset="0"/>
          </a:endParaRPr>
        </a:p>
        <a:p>
          <a:pPr marL="685800" marR="349250" indent="-228600" algn="ctr">
            <a:lnSpc>
              <a:spcPts val="1400"/>
            </a:lnSpc>
            <a:spcBef>
              <a:spcPts val="600"/>
            </a:spcBef>
            <a:spcAft>
              <a:spcPts val="0"/>
            </a:spcAft>
            <a:tabLst>
              <a:tab pos="3200400" algn="r"/>
            </a:tabLst>
          </a:pPr>
          <a:r>
            <a:rPr lang="en-US" sz="1050">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Samuel R. Gross, </a:t>
          </a:r>
          <a:r>
            <a:rPr lang="en-US" sz="1050" i="1">
              <a:ln w="9525" cap="rnd" cmpd="sng" algn="ctr">
                <a:solidFill>
                  <a:srgbClr val="7030A0"/>
                </a:solidFill>
                <a:prstDash val="solid"/>
                <a:bevel/>
              </a:ln>
              <a:solidFill>
                <a:srgbClr val="FFFFFF"/>
              </a:solidFill>
              <a:effectLst>
                <a:outerShdw blurRad="50800" dist="254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NRE</a:t>
          </a:r>
          <a:endParaRPr lang="en-US" sz="1050">
            <a:effectLst>
              <a:outerShdw blurRad="50800" dist="25400" dir="16200000">
                <a:srgbClr val="7030A0">
                  <a:alpha val="70000"/>
                </a:srgbClr>
              </a:outerShdw>
            </a:effectLst>
            <a:latin typeface="Georgia" panose="02040502050405020303" pitchFamily="18" charset="0"/>
            <a:ea typeface="Calibri" panose="020F0502020204030204" pitchFamily="34" charset="0"/>
            <a:cs typeface="Times New Roman" panose="02020603050405020304" pitchFamily="18" charset="0"/>
          </a:endParaRPr>
        </a:p>
      </xdr:txBody>
    </xdr:sp>
    <xdr:clientData/>
  </xdr:twoCellAnchor>
  <xdr:twoCellAnchor>
    <xdr:from>
      <xdr:col>2</xdr:col>
      <xdr:colOff>1493520</xdr:colOff>
      <xdr:row>1191</xdr:row>
      <xdr:rowOff>68579</xdr:rowOff>
    </xdr:from>
    <xdr:to>
      <xdr:col>3</xdr:col>
      <xdr:colOff>1783080</xdr:colOff>
      <xdr:row>1193</xdr:row>
      <xdr:rowOff>175259</xdr:rowOff>
    </xdr:to>
    <xdr:sp macro="" textlink="">
      <xdr:nvSpPr>
        <xdr:cNvPr id="119" name="Rectangle: Beveled 118">
          <a:extLst>
            <a:ext uri="{FF2B5EF4-FFF2-40B4-BE49-F238E27FC236}">
              <a16:creationId xmlns:a16="http://schemas.microsoft.com/office/drawing/2014/main" id="{A26B292F-B493-4B5B-A2E8-7709B5D95CAA}"/>
            </a:ext>
          </a:extLst>
        </xdr:cNvPr>
        <xdr:cNvSpPr/>
      </xdr:nvSpPr>
      <xdr:spPr>
        <a:xfrm>
          <a:off x="2834640" y="306011580"/>
          <a:ext cx="2743200" cy="0"/>
        </a:xfrm>
        <a:prstGeom prst="bevel">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400" b="1">
              <a:latin typeface="Tahoma" panose="020B0604030504040204" pitchFamily="34" charset="0"/>
              <a:ea typeface="Tahoma" panose="020B0604030504040204" pitchFamily="34" charset="0"/>
              <a:cs typeface="Tahoma" panose="020B0604030504040204" pitchFamily="34" charset="0"/>
            </a:rPr>
            <a:t>LEARN MORE...</a:t>
          </a:r>
        </a:p>
      </xdr:txBody>
    </xdr:sp>
    <xdr:clientData/>
  </xdr:twoCellAnchor>
  <xdr:twoCellAnchor>
    <xdr:from>
      <xdr:col>35</xdr:col>
      <xdr:colOff>116953</xdr:colOff>
      <xdr:row>874</xdr:row>
      <xdr:rowOff>101194</xdr:rowOff>
    </xdr:from>
    <xdr:to>
      <xdr:col>57</xdr:col>
      <xdr:colOff>291396</xdr:colOff>
      <xdr:row>877</xdr:row>
      <xdr:rowOff>106927</xdr:rowOff>
    </xdr:to>
    <xdr:sp macro="" textlink="">
      <xdr:nvSpPr>
        <xdr:cNvPr id="120" name="Rectangle: Rounded Corners 119">
          <a:extLst>
            <a:ext uri="{FF2B5EF4-FFF2-40B4-BE49-F238E27FC236}">
              <a16:creationId xmlns:a16="http://schemas.microsoft.com/office/drawing/2014/main" id="{CBAC1749-145D-4DCD-9E33-068DE80F07FA}"/>
            </a:ext>
          </a:extLst>
        </xdr:cNvPr>
        <xdr:cNvSpPr/>
      </xdr:nvSpPr>
      <xdr:spPr>
        <a:xfrm>
          <a:off x="18341340" y="296389654"/>
          <a:ext cx="0" cy="531513"/>
        </a:xfrm>
        <a:prstGeom prst="roundRect">
          <a:avLst>
            <a:gd name="adj" fmla="val 5176"/>
          </a:avLst>
        </a:prstGeom>
        <a:solidFill>
          <a:srgbClr val="FFFF00">
            <a:alpha val="74902"/>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3600" b="1">
              <a:solidFill>
                <a:srgbClr val="00B050"/>
              </a:solidFill>
              <a:effectLst>
                <a:outerShdw blurRad="50800" dist="38100" dir="2700000" algn="tl" rotWithShape="0">
                  <a:prstClr val="black">
                    <a:alpha val="40000"/>
                  </a:prstClr>
                </a:outerShdw>
              </a:effectLst>
            </a:rPr>
            <a:t>UNDER CONSTRUCTION</a:t>
          </a:r>
        </a:p>
      </xdr:txBody>
    </xdr:sp>
    <xdr:clientData/>
  </xdr:twoCellAnchor>
  <xdr:twoCellAnchor>
    <xdr:from>
      <xdr:col>51</xdr:col>
      <xdr:colOff>7620</xdr:colOff>
      <xdr:row>97</xdr:row>
      <xdr:rowOff>160020</xdr:rowOff>
    </xdr:from>
    <xdr:to>
      <xdr:col>58</xdr:col>
      <xdr:colOff>342900</xdr:colOff>
      <xdr:row>122</xdr:row>
      <xdr:rowOff>121920</xdr:rowOff>
    </xdr:to>
    <xdr:sp macro="" textlink="">
      <xdr:nvSpPr>
        <xdr:cNvPr id="121" name="Rectangle: Rounded Corners 120">
          <a:extLst>
            <a:ext uri="{FF2B5EF4-FFF2-40B4-BE49-F238E27FC236}">
              <a16:creationId xmlns:a16="http://schemas.microsoft.com/office/drawing/2014/main" id="{4AED7095-125C-4711-AF61-A1CC18EB4CC8}"/>
            </a:ext>
          </a:extLst>
        </xdr:cNvPr>
        <xdr:cNvSpPr/>
      </xdr:nvSpPr>
      <xdr:spPr>
        <a:xfrm>
          <a:off x="18341340" y="32110680"/>
          <a:ext cx="0" cy="5288280"/>
        </a:xfrm>
        <a:prstGeom prst="roundRect">
          <a:avLst>
            <a:gd name="adj" fmla="val 5176"/>
          </a:avLst>
        </a:prstGeom>
        <a:solidFill>
          <a:srgbClr val="ED65AC">
            <a:alpha val="90980"/>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a:solidFill>
                <a:srgbClr val="00B050"/>
              </a:solidFill>
            </a:rPr>
            <a:t>A</a:t>
          </a:r>
          <a:r>
            <a:rPr lang="en-US" sz="1600" baseline="0">
              <a:solidFill>
                <a:srgbClr val="00B050"/>
              </a:solidFill>
            </a:rPr>
            <a:t> 	A149:F295</a:t>
          </a:r>
        </a:p>
        <a:p>
          <a:pPr algn="l"/>
          <a:r>
            <a:rPr lang="en-US" sz="1600" baseline="0">
              <a:solidFill>
                <a:srgbClr val="00B050"/>
              </a:solidFill>
            </a:rPr>
            <a:t>B 	A296:F461</a:t>
          </a:r>
        </a:p>
        <a:p>
          <a:pPr algn="l"/>
          <a:r>
            <a:rPr lang="en-US" sz="1600" baseline="0">
              <a:solidFill>
                <a:srgbClr val="00B050"/>
              </a:solidFill>
            </a:rPr>
            <a:t>C1	A462:F496</a:t>
          </a:r>
        </a:p>
        <a:p>
          <a:pPr algn="l"/>
          <a:r>
            <a:rPr lang="en-US" sz="1600" baseline="0">
              <a:solidFill>
                <a:srgbClr val="00B050"/>
              </a:solidFill>
            </a:rPr>
            <a:t>C2	A497:F530</a:t>
          </a:r>
        </a:p>
        <a:p>
          <a:pPr algn="l"/>
          <a:r>
            <a:rPr lang="en-US" sz="1600" baseline="0">
              <a:solidFill>
                <a:srgbClr val="00B050"/>
              </a:solidFill>
            </a:rPr>
            <a:t>C3	A531:F564</a:t>
          </a:r>
        </a:p>
        <a:p>
          <a:pPr algn="l"/>
          <a:r>
            <a:rPr lang="en-US" sz="1600" baseline="0">
              <a:solidFill>
                <a:srgbClr val="00B050"/>
              </a:solidFill>
            </a:rPr>
            <a:t>C4	A565:F598</a:t>
          </a:r>
        </a:p>
        <a:p>
          <a:pPr algn="l"/>
          <a:r>
            <a:rPr lang="en-US" sz="1600" baseline="0">
              <a:solidFill>
                <a:srgbClr val="00B050"/>
              </a:solidFill>
            </a:rPr>
            <a:t>C5	A599:F641</a:t>
          </a:r>
        </a:p>
        <a:p>
          <a:pPr algn="l"/>
          <a:r>
            <a:rPr lang="en-US" sz="1600" baseline="0">
              <a:solidFill>
                <a:srgbClr val="00B050"/>
              </a:solidFill>
            </a:rPr>
            <a:t>C6	A642:F680</a:t>
          </a:r>
        </a:p>
        <a:p>
          <a:pPr algn="l"/>
          <a:r>
            <a:rPr lang="en-US" sz="1600" baseline="0">
              <a:solidFill>
                <a:srgbClr val="00B050"/>
              </a:solidFill>
            </a:rPr>
            <a:t>C7	A681:F690</a:t>
          </a:r>
        </a:p>
        <a:p>
          <a:pPr algn="l"/>
          <a:r>
            <a:rPr lang="en-US" sz="1600" baseline="0">
              <a:solidFill>
                <a:srgbClr val="00B050"/>
              </a:solidFill>
            </a:rPr>
            <a:t>C8	A691:F718</a:t>
          </a:r>
        </a:p>
        <a:p>
          <a:pPr algn="l"/>
          <a:r>
            <a:rPr lang="en-US" sz="1600">
              <a:solidFill>
                <a:srgbClr val="00B050"/>
              </a:solidFill>
            </a:rPr>
            <a:t>D	A719:F747</a:t>
          </a:r>
        </a:p>
        <a:p>
          <a:pPr algn="l"/>
          <a:r>
            <a:rPr lang="en-US" sz="1600">
              <a:solidFill>
                <a:srgbClr val="00B050"/>
              </a:solidFill>
            </a:rPr>
            <a:t>E	A748:F824</a:t>
          </a:r>
        </a:p>
        <a:p>
          <a:pPr algn="l"/>
          <a:r>
            <a:rPr lang="en-US" sz="1600">
              <a:solidFill>
                <a:srgbClr val="00B050"/>
              </a:solidFill>
            </a:rPr>
            <a:t>F	A825:F867</a:t>
          </a:r>
        </a:p>
        <a:p>
          <a:pPr algn="l"/>
          <a:r>
            <a:rPr lang="en-US" sz="1600">
              <a:solidFill>
                <a:srgbClr val="00B050"/>
              </a:solidFill>
            </a:rPr>
            <a:t>G	A868:F1047</a:t>
          </a:r>
        </a:p>
        <a:p>
          <a:pPr algn="l"/>
          <a:r>
            <a:rPr lang="en-US" sz="1600">
              <a:solidFill>
                <a:srgbClr val="00B050"/>
              </a:solidFill>
            </a:rPr>
            <a:t>H	A1048:F1089</a:t>
          </a:r>
        </a:p>
        <a:p>
          <a:pPr algn="l"/>
          <a:r>
            <a:rPr lang="en-US" sz="1600">
              <a:solidFill>
                <a:srgbClr val="00B050"/>
              </a:solidFill>
            </a:rPr>
            <a:t>I	A1090:F1181</a:t>
          </a:r>
        </a:p>
        <a:p>
          <a:pPr algn="l"/>
          <a:r>
            <a:rPr lang="en-US" sz="1600">
              <a:solidFill>
                <a:srgbClr val="00B050"/>
              </a:solidFill>
            </a:rPr>
            <a:t>J	A1182:F1461</a:t>
          </a:r>
        </a:p>
        <a:p>
          <a:pPr algn="l"/>
          <a:r>
            <a:rPr lang="en-US" sz="1600">
              <a:solidFill>
                <a:srgbClr val="00B050"/>
              </a:solidFill>
            </a:rPr>
            <a:t>K	A1462:F1535</a:t>
          </a:r>
        </a:p>
        <a:p>
          <a:pPr algn="l"/>
          <a:r>
            <a:rPr lang="en-US" sz="1600">
              <a:solidFill>
                <a:srgbClr val="00B050"/>
              </a:solidFill>
            </a:rPr>
            <a:t>L	A1536:F1582</a:t>
          </a:r>
        </a:p>
        <a:p>
          <a:pPr algn="l"/>
          <a:r>
            <a:rPr lang="en-US" sz="1600">
              <a:solidFill>
                <a:srgbClr val="00B050"/>
              </a:solidFill>
            </a:rPr>
            <a:t>M	A1583:F1629</a:t>
          </a:r>
        </a:p>
      </xdr:txBody>
    </xdr:sp>
    <xdr:clientData/>
  </xdr:twoCellAnchor>
  <xdr:twoCellAnchor>
    <xdr:from>
      <xdr:col>0</xdr:col>
      <xdr:colOff>0</xdr:colOff>
      <xdr:row>847</xdr:row>
      <xdr:rowOff>426720</xdr:rowOff>
    </xdr:from>
    <xdr:to>
      <xdr:col>1</xdr:col>
      <xdr:colOff>15240</xdr:colOff>
      <xdr:row>850</xdr:row>
      <xdr:rowOff>167640</xdr:rowOff>
    </xdr:to>
    <xdr:sp macro="" textlink="">
      <xdr:nvSpPr>
        <xdr:cNvPr id="122" name="Arrow: Up 121">
          <a:hlinkClick xmlns:r="http://schemas.openxmlformats.org/officeDocument/2006/relationships" r:id="rId29" tooltip="HIGHLIGHTS displayed above"/>
          <a:extLst>
            <a:ext uri="{FF2B5EF4-FFF2-40B4-BE49-F238E27FC236}">
              <a16:creationId xmlns:a16="http://schemas.microsoft.com/office/drawing/2014/main" id="{85884238-D239-4F77-B99B-68BA4D574FCE}"/>
            </a:ext>
          </a:extLst>
        </xdr:cNvPr>
        <xdr:cNvSpPr/>
      </xdr:nvSpPr>
      <xdr:spPr>
        <a:xfrm>
          <a:off x="0" y="28418028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xdr:from>
      <xdr:col>0</xdr:col>
      <xdr:colOff>7620</xdr:colOff>
      <xdr:row>15</xdr:row>
      <xdr:rowOff>30480</xdr:rowOff>
    </xdr:from>
    <xdr:to>
      <xdr:col>1</xdr:col>
      <xdr:colOff>15240</xdr:colOff>
      <xdr:row>16</xdr:row>
      <xdr:rowOff>121920</xdr:rowOff>
    </xdr:to>
    <xdr:sp macro="" textlink="">
      <xdr:nvSpPr>
        <xdr:cNvPr id="123" name="Arrow: Down 122">
          <a:hlinkClick xmlns:r="http://schemas.openxmlformats.org/officeDocument/2006/relationships" r:id="rId30" tooltip="HIGHLIGHTS entry"/>
          <a:extLst>
            <a:ext uri="{FF2B5EF4-FFF2-40B4-BE49-F238E27FC236}">
              <a16:creationId xmlns:a16="http://schemas.microsoft.com/office/drawing/2014/main" id="{A5DA23AE-EE3D-4235-A661-2E82B2AB4426}"/>
            </a:ext>
          </a:extLst>
        </xdr:cNvPr>
        <xdr:cNvSpPr/>
      </xdr:nvSpPr>
      <xdr:spPr>
        <a:xfrm>
          <a:off x="7620" y="4351020"/>
          <a:ext cx="266700" cy="297180"/>
        </a:xfrm>
        <a:prstGeom prst="downArrow">
          <a:avLst/>
        </a:prstGeom>
        <a:scene3d>
          <a:camera prst="orthographicFront"/>
          <a:lightRig rig="threePt" dir="t"/>
        </a:scene3d>
        <a:sp3d>
          <a:bevelT/>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844</xdr:row>
      <xdr:rowOff>7620</xdr:rowOff>
    </xdr:from>
    <xdr:to>
      <xdr:col>1</xdr:col>
      <xdr:colOff>15240</xdr:colOff>
      <xdr:row>844</xdr:row>
      <xdr:rowOff>693420</xdr:rowOff>
    </xdr:to>
    <xdr:sp macro="" textlink="">
      <xdr:nvSpPr>
        <xdr:cNvPr id="124" name="Arrow: Up 123">
          <a:hlinkClick xmlns:r="http://schemas.openxmlformats.org/officeDocument/2006/relationships" r:id="rId31" tooltip="SYNOPSIS displayed above"/>
          <a:extLst>
            <a:ext uri="{FF2B5EF4-FFF2-40B4-BE49-F238E27FC236}">
              <a16:creationId xmlns:a16="http://schemas.microsoft.com/office/drawing/2014/main" id="{9FE30E47-01F5-4E4A-8AD0-A52983FA9A85}"/>
            </a:ext>
          </a:extLst>
        </xdr:cNvPr>
        <xdr:cNvSpPr/>
      </xdr:nvSpPr>
      <xdr:spPr>
        <a:xfrm>
          <a:off x="0" y="282488640"/>
          <a:ext cx="274320" cy="685800"/>
        </a:xfrm>
        <a:prstGeom prst="upArrow">
          <a:avLst>
            <a:gd name="adj1" fmla="val 68627"/>
            <a:gd name="adj2" fmla="val 75000"/>
          </a:avLst>
        </a:prstGeom>
        <a:scene3d>
          <a:camera prst="orthographicFront"/>
          <a:lightRig rig="threePt" dir="t"/>
        </a:scene3d>
        <a:sp3d>
          <a:bevelT/>
        </a:sp3d>
      </xdr:spPr>
      <xdr:style>
        <a:lnRef idx="0">
          <a:schemeClr val="accent4"/>
        </a:lnRef>
        <a:fillRef idx="3">
          <a:schemeClr val="accent4"/>
        </a:fillRef>
        <a:effectRef idx="3">
          <a:schemeClr val="accent4"/>
        </a:effectRef>
        <a:fontRef idx="minor">
          <a:schemeClr val="lt1"/>
        </a:fontRef>
      </xdr:style>
      <xdr:txBody>
        <a:bodyPr vertOverflow="clip" horzOverflow="clip" vert="vert270" lIns="64008" rtlCol="0" anchor="ctr"/>
        <a:lstStyle/>
        <a:p>
          <a:pPr algn="ctr"/>
          <a:r>
            <a:rPr lang="en-US" sz="1100" b="1">
              <a:solidFill>
                <a:schemeClr val="accent2">
                  <a:lumMod val="50000"/>
                </a:schemeClr>
              </a:solidFill>
            </a:rPr>
            <a:t>review</a:t>
          </a:r>
        </a:p>
      </xdr:txBody>
    </xdr:sp>
    <xdr:clientData/>
  </xdr:twoCellAnchor>
  <xdr:twoCellAnchor editAs="oneCell">
    <xdr:from>
      <xdr:col>3</xdr:col>
      <xdr:colOff>518813</xdr:colOff>
      <xdr:row>129</xdr:row>
      <xdr:rowOff>27265</xdr:rowOff>
    </xdr:from>
    <xdr:to>
      <xdr:col>3</xdr:col>
      <xdr:colOff>1890413</xdr:colOff>
      <xdr:row>137</xdr:row>
      <xdr:rowOff>179014</xdr:rowOff>
    </xdr:to>
    <xdr:pic>
      <xdr:nvPicPr>
        <xdr:cNvPr id="125" name="Picture 124">
          <a:hlinkClick xmlns:r="http://schemas.openxmlformats.org/officeDocument/2006/relationships" r:id="rId32" tooltip="PDF online about collateral consequences of criminal convictions"/>
          <a:extLst>
            <a:ext uri="{FF2B5EF4-FFF2-40B4-BE49-F238E27FC236}">
              <a16:creationId xmlns:a16="http://schemas.microsoft.com/office/drawing/2014/main" id="{5559185C-630A-4A7E-AEB2-24E562CCFCBD}"/>
            </a:ext>
          </a:extLst>
        </xdr:cNvPr>
        <xdr:cNvPicPr>
          <a:picLocks noChangeAspect="1"/>
        </xdr:cNvPicPr>
      </xdr:nvPicPr>
      <xdr:blipFill rotWithShape="1">
        <a:blip xmlns:r="http://schemas.openxmlformats.org/officeDocument/2006/relationships" r:embed="rId33"/>
        <a:srcRect l="25795" t="14594" r="38951" b="4655"/>
        <a:stretch/>
      </xdr:blipFill>
      <xdr:spPr>
        <a:xfrm rot="330951">
          <a:off x="4313573" y="38691145"/>
          <a:ext cx="1371600" cy="176718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76201</xdr:colOff>
      <xdr:row>1191</xdr:row>
      <xdr:rowOff>22860</xdr:rowOff>
    </xdr:from>
    <xdr:to>
      <xdr:col>3</xdr:col>
      <xdr:colOff>1828801</xdr:colOff>
      <xdr:row>1193</xdr:row>
      <xdr:rowOff>174444</xdr:rowOff>
    </xdr:to>
    <xdr:sp macro="" textlink="">
      <xdr:nvSpPr>
        <xdr:cNvPr id="126" name="Rectangle: Rounded Corners 125">
          <a:extLst>
            <a:ext uri="{FF2B5EF4-FFF2-40B4-BE49-F238E27FC236}">
              <a16:creationId xmlns:a16="http://schemas.microsoft.com/office/drawing/2014/main" id="{3E804342-22EE-4D88-9B42-225D8EAA5562}"/>
            </a:ext>
          </a:extLst>
        </xdr:cNvPr>
        <xdr:cNvSpPr/>
      </xdr:nvSpPr>
      <xdr:spPr>
        <a:xfrm>
          <a:off x="335281" y="306011580"/>
          <a:ext cx="528828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2000">
              <a:solidFill>
                <a:srgbClr val="00B050"/>
              </a:solidFill>
              <a:effectLst>
                <a:outerShdw blurRad="50800" dist="38100" dir="2700000" algn="tl" rotWithShape="0">
                  <a:prstClr val="black">
                    <a:alpha val="40000"/>
                  </a:prstClr>
                </a:outerShdw>
              </a:effectLst>
            </a:rPr>
            <a:t>UNDER CONSTRUCTION</a:t>
          </a:r>
        </a:p>
      </xdr:txBody>
    </xdr:sp>
    <xdr:clientData/>
  </xdr:twoCellAnchor>
  <xdr:twoCellAnchor>
    <xdr:from>
      <xdr:col>1</xdr:col>
      <xdr:colOff>30480</xdr:colOff>
      <xdr:row>1198</xdr:row>
      <xdr:rowOff>510540</xdr:rowOff>
    </xdr:from>
    <xdr:to>
      <xdr:col>1</xdr:col>
      <xdr:colOff>716280</xdr:colOff>
      <xdr:row>1200</xdr:row>
      <xdr:rowOff>53340</xdr:rowOff>
    </xdr:to>
    <xdr:sp macro="" textlink="">
      <xdr:nvSpPr>
        <xdr:cNvPr id="127" name="Callout: Down Arrow 126">
          <a:hlinkClick xmlns:r="http://schemas.openxmlformats.org/officeDocument/2006/relationships" r:id="rId34" tooltip="CLICK on each &quot;Supporter #&quot; to go to that supporter tab"/>
          <a:extLst>
            <a:ext uri="{FF2B5EF4-FFF2-40B4-BE49-F238E27FC236}">
              <a16:creationId xmlns:a16="http://schemas.microsoft.com/office/drawing/2014/main" id="{5CFEA18B-B211-46BF-84CE-F86EAFE686DA}"/>
            </a:ext>
          </a:extLst>
        </xdr:cNvPr>
        <xdr:cNvSpPr/>
      </xdr:nvSpPr>
      <xdr:spPr>
        <a:xfrm>
          <a:off x="289560" y="306011580"/>
          <a:ext cx="685800" cy="0"/>
        </a:xfrm>
        <a:prstGeom prst="downArrowCallout">
          <a:avLst>
            <a:gd name="adj1" fmla="val 15909"/>
            <a:gd name="adj2" fmla="val 25000"/>
            <a:gd name="adj3" fmla="val 25000"/>
            <a:gd name="adj4" fmla="val 64977"/>
          </a:avLst>
        </a:prstGeom>
        <a:solidFill>
          <a:schemeClr val="accent6">
            <a:alpha val="50000"/>
          </a:schemeClr>
        </a:solidFill>
        <a:ln>
          <a:no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050" b="1"/>
            <a:t>CLICK</a:t>
          </a:r>
          <a:r>
            <a:rPr lang="en-US" sz="1050" b="1" baseline="0"/>
            <a:t> to go to tab</a:t>
          </a:r>
          <a:endParaRPr lang="en-US" sz="1050" b="1"/>
        </a:p>
      </xdr:txBody>
    </xdr:sp>
    <xdr:clientData/>
  </xdr:twoCellAnchor>
  <xdr:twoCellAnchor>
    <xdr:from>
      <xdr:col>26</xdr:col>
      <xdr:colOff>251460</xdr:colOff>
      <xdr:row>154</xdr:row>
      <xdr:rowOff>91441</xdr:rowOff>
    </xdr:from>
    <xdr:to>
      <xdr:col>31</xdr:col>
      <xdr:colOff>50076</xdr:colOff>
      <xdr:row>168</xdr:row>
      <xdr:rowOff>53341</xdr:rowOff>
    </xdr:to>
    <xdr:sp macro="" textlink="">
      <xdr:nvSpPr>
        <xdr:cNvPr id="128" name="Rectangle: Rounded Corners 127">
          <a:extLst>
            <a:ext uri="{FF2B5EF4-FFF2-40B4-BE49-F238E27FC236}">
              <a16:creationId xmlns:a16="http://schemas.microsoft.com/office/drawing/2014/main" id="{7049AED2-99B2-498E-B87B-82A1A709972F}"/>
            </a:ext>
          </a:extLst>
        </xdr:cNvPr>
        <xdr:cNvSpPr/>
      </xdr:nvSpPr>
      <xdr:spPr>
        <a:xfrm>
          <a:off x="18341340" y="43906441"/>
          <a:ext cx="0" cy="293370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00B050"/>
              </a:solidFill>
            </a:rPr>
            <a:t>add to scoring calc, perhaps baseline prior to documentation boost</a:t>
          </a:r>
        </a:p>
      </xdr:txBody>
    </xdr:sp>
    <xdr:clientData/>
  </xdr:twoCellAnchor>
  <xdr:twoCellAnchor editAs="oneCell">
    <xdr:from>
      <xdr:col>3</xdr:col>
      <xdr:colOff>76200</xdr:colOff>
      <xdr:row>2</xdr:row>
      <xdr:rowOff>53340</xdr:rowOff>
    </xdr:from>
    <xdr:to>
      <xdr:col>3</xdr:col>
      <xdr:colOff>1905000</xdr:colOff>
      <xdr:row>10</xdr:row>
      <xdr:rowOff>152400</xdr:rowOff>
    </xdr:to>
    <xdr:pic>
      <xdr:nvPicPr>
        <xdr:cNvPr id="129" name="Picture 128">
          <a:extLst>
            <a:ext uri="{FF2B5EF4-FFF2-40B4-BE49-F238E27FC236}">
              <a16:creationId xmlns:a16="http://schemas.microsoft.com/office/drawing/2014/main" id="{A800B5D0-B61E-4928-97D0-3F257F6A65AA}"/>
            </a:ext>
          </a:extLst>
        </xdr:cNvPr>
        <xdr:cNvPicPr>
          <a:picLocks noChangeAspect="1"/>
        </xdr:cNvPicPr>
      </xdr:nvPicPr>
      <xdr:blipFill rotWithShape="1">
        <a:blip xmlns:r="http://schemas.openxmlformats.org/officeDocument/2006/relationships" r:embed="rId35" cstate="hqprint">
          <a:extLst>
            <a:ext uri="{28A0092B-C50C-407E-A947-70E740481C1C}">
              <a14:useLocalDpi xmlns:a14="http://schemas.microsoft.com/office/drawing/2010/main"/>
            </a:ext>
          </a:extLst>
        </a:blip>
        <a:srcRect/>
        <a:stretch/>
      </xdr:blipFill>
      <xdr:spPr>
        <a:xfrm>
          <a:off x="3870960" y="807720"/>
          <a:ext cx="1828800" cy="1828800"/>
        </a:xfrm>
        <a:prstGeom prst="rect">
          <a:avLst/>
        </a:prstGeom>
        <a:ln>
          <a:solidFill>
            <a:srgbClr val="B9FFD9"/>
          </a:solidFill>
        </a:ln>
      </xdr:spPr>
    </xdr:pic>
    <xdr:clientData/>
  </xdr:twoCellAnchor>
  <xdr:twoCellAnchor>
    <xdr:from>
      <xdr:col>28</xdr:col>
      <xdr:colOff>0</xdr:colOff>
      <xdr:row>2120</xdr:row>
      <xdr:rowOff>0</xdr:rowOff>
    </xdr:from>
    <xdr:to>
      <xdr:col>49</xdr:col>
      <xdr:colOff>213360</xdr:colOff>
      <xdr:row>2142</xdr:row>
      <xdr:rowOff>91440</xdr:rowOff>
    </xdr:to>
    <xdr:sp macro="" textlink="">
      <xdr:nvSpPr>
        <xdr:cNvPr id="130" name="TextBox 129">
          <a:extLst>
            <a:ext uri="{FF2B5EF4-FFF2-40B4-BE49-F238E27FC236}">
              <a16:creationId xmlns:a16="http://schemas.microsoft.com/office/drawing/2014/main" id="{E803C968-5E48-4D96-8579-49C959D6B875}"/>
            </a:ext>
          </a:extLst>
        </xdr:cNvPr>
        <xdr:cNvSpPr txBox="1"/>
      </xdr:nvSpPr>
      <xdr:spPr>
        <a:xfrm>
          <a:off x="18341340" y="3403396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Central to this </a:t>
          </a:r>
          <a:r>
            <a:rPr lang="en-US" sz="1100" i="1">
              <a:solidFill>
                <a:schemeClr val="dk1"/>
              </a:solidFill>
              <a:effectLst/>
              <a:latin typeface="+mn-lt"/>
              <a:ea typeface="+mn-ea"/>
              <a:cs typeface="+mn-cs"/>
            </a:rPr>
            <a:t>competitive legitimacy</a:t>
          </a:r>
          <a:r>
            <a:rPr lang="en-US" sz="1100">
              <a:solidFill>
                <a:schemeClr val="dk1"/>
              </a:solidFill>
              <a:effectLst/>
              <a:latin typeface="+mn-lt"/>
              <a:ea typeface="+mn-ea"/>
              <a:cs typeface="+mn-cs"/>
            </a:rPr>
            <a:t> approach is the question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the adversarial justice system can be trusted to correct its own history of errors, </a:t>
          </a:r>
        </a:p>
        <a:p>
          <a:r>
            <a:rPr lang="en-US" sz="1100">
              <a:solidFill>
                <a:schemeClr val="dk1"/>
              </a:solidFill>
              <a:effectLst/>
              <a:latin typeface="+mn-lt"/>
              <a:ea typeface="+mn-ea"/>
              <a:cs typeface="+mn-cs"/>
            </a:rPr>
            <a:t>to correct current errors within statistically tolerable margins, </a:t>
          </a:r>
        </a:p>
        <a:p>
          <a:r>
            <a:rPr lang="en-US" sz="1100">
              <a:solidFill>
                <a:schemeClr val="dk1"/>
              </a:solidFill>
              <a:effectLst/>
              <a:latin typeface="+mn-lt"/>
              <a:ea typeface="+mn-ea"/>
              <a:cs typeface="+mn-cs"/>
            </a:rPr>
            <a:t>can acknowledge the damage these errors contribute not only to the individuals and their loved ones but to the social fabric itself, </a:t>
          </a:r>
        </a:p>
        <a:p>
          <a:r>
            <a:rPr lang="en-US" sz="1100">
              <a:solidFill>
                <a:schemeClr val="dk1"/>
              </a:solidFill>
              <a:effectLst/>
              <a:latin typeface="+mn-lt"/>
              <a:ea typeface="+mn-ea"/>
              <a:cs typeface="+mn-cs"/>
            </a:rPr>
            <a:t>properly compensate the exonerated, </a:t>
          </a:r>
        </a:p>
        <a:p>
          <a:r>
            <a:rPr lang="en-US" sz="1100">
              <a:solidFill>
                <a:schemeClr val="dk1"/>
              </a:solidFill>
              <a:effectLst/>
              <a:latin typeface="+mn-lt"/>
              <a:ea typeface="+mn-ea"/>
              <a:cs typeface="+mn-cs"/>
            </a:rPr>
            <a:t>can keep pace correcting wrongful convictions, can honestly acknowledge any conflicts of interests and perverse incentives reinforcing the pattern of errors, </a:t>
          </a:r>
        </a:p>
        <a:p>
          <a:r>
            <a:rPr lang="en-US" sz="1100">
              <a:solidFill>
                <a:schemeClr val="dk1"/>
              </a:solidFill>
              <a:effectLst/>
              <a:latin typeface="+mn-lt"/>
              <a:ea typeface="+mn-ea"/>
              <a:cs typeface="+mn-cs"/>
            </a:rPr>
            <a:t>identify and address patterns of structural or even interpersonal racism and other xenophobias inherent in the culture of policing (including quick-decisions with lethal outcomes),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among other things necessary for healthy functioning.</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benefit from popular</a:t>
          </a:r>
          <a:r>
            <a:rPr lang="en-US" sz="1100" baseline="0">
              <a:solidFill>
                <a:schemeClr val="dk1"/>
              </a:solidFill>
              <a:effectLst/>
              <a:latin typeface="+mn-lt"/>
              <a:ea typeface="+mn-ea"/>
              <a:cs typeface="+mn-cs"/>
            </a:rPr>
            <a:t> misbelief that all prisoners claim innocence and that police rarely make mistakes; Would you make an official correction to correct the record? If not, count that against your legitimacy.</a:t>
          </a: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baseline="0">
            <a:solidFill>
              <a:schemeClr val="dk1"/>
            </a:solidFill>
            <a:effectLst/>
            <a:latin typeface="+mn-lt"/>
            <a:ea typeface="+mn-ea"/>
            <a:cs typeface="+mn-cs"/>
          </a:endParaRPr>
        </a:p>
        <a:p>
          <a:endParaRPr lang="en-US" sz="1100"/>
        </a:p>
      </xdr:txBody>
    </xdr:sp>
    <xdr:clientData/>
  </xdr:twoCellAnchor>
  <xdr:twoCellAnchor>
    <xdr:from>
      <xdr:col>52</xdr:col>
      <xdr:colOff>45720</xdr:colOff>
      <xdr:row>2119</xdr:row>
      <xdr:rowOff>137160</xdr:rowOff>
    </xdr:from>
    <xdr:to>
      <xdr:col>68</xdr:col>
      <xdr:colOff>251460</xdr:colOff>
      <xdr:row>2130</xdr:row>
      <xdr:rowOff>38100</xdr:rowOff>
    </xdr:to>
    <xdr:sp macro="" textlink="">
      <xdr:nvSpPr>
        <xdr:cNvPr id="131" name="TextBox 130">
          <a:extLst>
            <a:ext uri="{FF2B5EF4-FFF2-40B4-BE49-F238E27FC236}">
              <a16:creationId xmlns:a16="http://schemas.microsoft.com/office/drawing/2014/main" id="{AA7307CC-9639-4649-8441-C5798982BC9C}"/>
            </a:ext>
          </a:extLst>
        </xdr:cNvPr>
        <xdr:cNvSpPr txBox="1"/>
      </xdr:nvSpPr>
      <xdr:spPr>
        <a:xfrm>
          <a:off x="18341340" y="34033968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Central to this </a:t>
          </a:r>
          <a:r>
            <a:rPr lang="en-US" sz="1100" i="1">
              <a:solidFill>
                <a:schemeClr val="dk1"/>
              </a:solidFill>
              <a:effectLst/>
              <a:latin typeface="+mn-lt"/>
              <a:ea typeface="+mn-ea"/>
              <a:cs typeface="+mn-cs"/>
            </a:rPr>
            <a:t>competitive legitimacy</a:t>
          </a:r>
          <a:r>
            <a:rPr lang="en-US" sz="1100">
              <a:solidFill>
                <a:schemeClr val="dk1"/>
              </a:solidFill>
              <a:effectLst/>
              <a:latin typeface="+mn-lt"/>
              <a:ea typeface="+mn-ea"/>
              <a:cs typeface="+mn-cs"/>
            </a:rPr>
            <a:t> approach is the question if the adversarial justice system can be trusted to correct its own history of errors, to correct current errors within statistically tolerable margins, can acknowledge the damage these errors contribute not only to the individuals and their loved ones but to the social fabric itself, properly compensate the exonerated, can keep pace correcting wrongful convictions, can honestly acknowledge any conflicts of interests and perverse incentives reinforcing the pattern of errors, identify and address patterns of structural or even interpersonal racism and other xenophobias inherent in the culture of policing (including quick-decisions with lethal outcomes), among other things necessary for healthy functioning.</a:t>
          </a:r>
          <a:endParaRPr lang="en-US" sz="1100"/>
        </a:p>
      </xdr:txBody>
    </xdr:sp>
    <xdr:clientData/>
  </xdr:twoCellAnchor>
  <xdr:twoCellAnchor>
    <xdr:from>
      <xdr:col>70</xdr:col>
      <xdr:colOff>0</xdr:colOff>
      <xdr:row>1557</xdr:row>
      <xdr:rowOff>0</xdr:rowOff>
    </xdr:from>
    <xdr:to>
      <xdr:col>83</xdr:col>
      <xdr:colOff>268877</xdr:colOff>
      <xdr:row>1594</xdr:row>
      <xdr:rowOff>70756</xdr:rowOff>
    </xdr:to>
    <xdr:sp macro="" textlink="">
      <xdr:nvSpPr>
        <xdr:cNvPr id="132" name="Rectangle: Rounded Corners 131">
          <a:extLst>
            <a:ext uri="{FF2B5EF4-FFF2-40B4-BE49-F238E27FC236}">
              <a16:creationId xmlns:a16="http://schemas.microsoft.com/office/drawing/2014/main" id="{E8DB4B41-FD4C-47A7-AA7D-2B81F17F3B9C}"/>
            </a:ext>
          </a:extLst>
        </xdr:cNvPr>
        <xdr:cNvSpPr/>
      </xdr:nvSpPr>
      <xdr:spPr>
        <a:xfrm>
          <a:off x="18341340" y="306011580"/>
          <a:ext cx="0" cy="0"/>
        </a:xfrm>
        <a:prstGeom prst="roundRect">
          <a:avLst>
            <a:gd name="adj" fmla="val 5176"/>
          </a:avLst>
        </a:prstGeom>
        <a:solidFill>
          <a:srgbClr val="F19B61">
            <a:alpha val="12157"/>
          </a:srgbClr>
        </a:solidFill>
        <a:ln w="76200">
          <a:solidFill>
            <a:srgbClr val="FF7C80"/>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a:p>
          <a:pPr algn="ctr"/>
          <a:r>
            <a:rPr lang="en-US" sz="2000" b="1">
              <a:solidFill>
                <a:srgbClr val="00B050"/>
              </a:solidFill>
              <a:latin typeface="+mn-lt"/>
              <a:ea typeface="+mn-ea"/>
              <a:cs typeface="+mn-cs"/>
            </a:rPr>
            <a:t>concluding instructions</a:t>
          </a:r>
        </a:p>
        <a:p>
          <a:pPr algn="l"/>
          <a:endParaRPr lang="en-US" sz="1100"/>
        </a:p>
        <a:p>
          <a:pPr algn="l"/>
          <a:endParaRPr lang="en-US" sz="1100"/>
        </a:p>
        <a:p>
          <a:pPr algn="l"/>
          <a:r>
            <a:rPr lang="en-US" sz="1200">
              <a:solidFill>
                <a:schemeClr val="tx1"/>
              </a:solidFill>
            </a:rPr>
            <a:t>Save this file.</a:t>
          </a:r>
          <a:r>
            <a:rPr lang="en-US" sz="1200" baseline="0">
              <a:solidFill>
                <a:schemeClr val="tx1"/>
              </a:solidFill>
            </a:rPr>
            <a:t> Then send a copy to valuerelating@gmail.com.</a:t>
          </a:r>
        </a:p>
        <a:p>
          <a:pPr algn="l"/>
          <a:endParaRPr lang="en-US" sz="1200">
            <a:solidFill>
              <a:schemeClr val="tx1"/>
            </a:solidFill>
          </a:endParaRPr>
        </a:p>
        <a:p>
          <a:pPr algn="l"/>
          <a:endParaRPr lang="en-US" sz="1200">
            <a:solidFill>
              <a:schemeClr val="tx1"/>
            </a:solidFill>
          </a:endParaRPr>
        </a:p>
        <a:p>
          <a:pPr algn="l"/>
          <a:r>
            <a:rPr lang="en-US" sz="1200">
              <a:solidFill>
                <a:schemeClr val="tx1"/>
              </a:solidFill>
            </a:rPr>
            <a:t>Go to [NOTIFIED]</a:t>
          </a:r>
          <a:r>
            <a:rPr lang="en-US" sz="1200" baseline="0">
              <a:solidFill>
                <a:schemeClr val="tx1"/>
              </a:solidFill>
            </a:rPr>
            <a:t> tab. Once there, save as PDF.</a:t>
          </a:r>
        </a:p>
        <a:p>
          <a:pPr algn="l"/>
          <a:endParaRPr lang="en-US" sz="1200" baseline="0">
            <a:solidFill>
              <a:schemeClr val="tx1"/>
            </a:solidFill>
          </a:endParaRPr>
        </a:p>
        <a:p>
          <a:pPr algn="l"/>
          <a:endParaRPr lang="en-US" sz="1100"/>
        </a:p>
      </xdr:txBody>
    </xdr:sp>
    <xdr:clientData/>
  </xdr:twoCellAnchor>
  <xdr:twoCellAnchor>
    <xdr:from>
      <xdr:col>71</xdr:col>
      <xdr:colOff>69667</xdr:colOff>
      <xdr:row>1557</xdr:row>
      <xdr:rowOff>104502</xdr:rowOff>
    </xdr:from>
    <xdr:to>
      <xdr:col>84</xdr:col>
      <xdr:colOff>195941</xdr:colOff>
      <xdr:row>1578</xdr:row>
      <xdr:rowOff>58782</xdr:rowOff>
    </xdr:to>
    <xdr:sp macro="" textlink="">
      <xdr:nvSpPr>
        <xdr:cNvPr id="133" name="TextBox 132">
          <a:extLst>
            <a:ext uri="{FF2B5EF4-FFF2-40B4-BE49-F238E27FC236}">
              <a16:creationId xmlns:a16="http://schemas.microsoft.com/office/drawing/2014/main" id="{8F211B81-8F61-47A0-846E-8607739C43F5}"/>
            </a:ext>
          </a:extLst>
        </xdr:cNvPr>
        <xdr:cNvSpPr txBox="1"/>
      </xdr:nvSpPr>
      <xdr:spPr>
        <a:xfrm>
          <a:off x="18341340" y="306011580"/>
          <a:ext cx="0" cy="0"/>
        </a:xfrm>
        <a:prstGeom prst="rect">
          <a:avLst/>
        </a:prstGeom>
        <a:gradFill>
          <a:gsLst>
            <a:gs pos="0">
              <a:schemeClr val="accent1">
                <a:lumMod val="5000"/>
                <a:lumOff val="95000"/>
                <a:alpha val="95000"/>
              </a:schemeClr>
            </a:gs>
            <a:gs pos="50000">
              <a:schemeClr val="bg1">
                <a:alpha val="85000"/>
              </a:schemeClr>
            </a:gs>
            <a:gs pos="100000">
              <a:schemeClr val="bg1">
                <a:alpha val="95000"/>
              </a:schemeClr>
            </a:gs>
          </a:gsLst>
          <a:lin ang="5400000" scaled="1"/>
        </a:gradFill>
        <a:ln w="19050" cmpd="dbl">
          <a:solidFill>
            <a:srgbClr val="7CF85A">
              <a:alpha val="50000"/>
            </a:srgb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a:ln>
                <a:solidFill>
                  <a:srgbClr val="FFFFFF"/>
                </a:solidFill>
              </a:ln>
              <a:solidFill>
                <a:srgbClr val="00B050"/>
              </a:solidFill>
              <a:effectLst>
                <a:glow rad="38100">
                  <a:schemeClr val="accent6">
                    <a:satMod val="175000"/>
                    <a:alpha val="90000"/>
                  </a:schemeClr>
                </a:glow>
              </a:effectLst>
              <a:uLnTx/>
              <a:uFillTx/>
              <a:latin typeface="Tahoma" panose="020B0604030504040204" pitchFamily="34" charset="0"/>
              <a:ea typeface="Tahoma" panose="020B0604030504040204" pitchFamily="34" charset="0"/>
              <a:cs typeface="Tahoma" panose="020B0604030504040204" pitchFamily="34" charset="0"/>
            </a:rPr>
            <a:t>Terms of Service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 agree to share this profile of yours with </a:t>
          </a:r>
          <a:r>
            <a:rPr kumimoji="0" lang="en-US" sz="1100" b="1" i="0" u="none" strike="noStrike" kern="0" cap="none" spc="0" normalizeH="0" baseline="0" noProof="0">
              <a:ln>
                <a:noFill/>
              </a:ln>
              <a:solidFill>
                <a:prstClr val="black"/>
              </a:solidFill>
              <a:effectLst/>
              <a:uLnTx/>
              <a:uFillTx/>
              <a:latin typeface="+mn-lt"/>
              <a:ea typeface="+mn-ea"/>
              <a:cs typeface="+mn-cs"/>
            </a:rPr>
            <a:t>Value Relating </a:t>
          </a:r>
          <a:r>
            <a:rPr kumimoji="0" lang="en-US" sz="1100" b="0" i="0" u="none" strike="noStrike" kern="0" cap="none" spc="0" normalizeH="0" baseline="0" noProof="0">
              <a:ln>
                <a:noFill/>
              </a:ln>
              <a:solidFill>
                <a:prstClr val="black"/>
              </a:solidFill>
              <a:effectLst/>
              <a:uLnTx/>
              <a:uFillTx/>
              <a:latin typeface="+mn-lt"/>
              <a:ea typeface="+mn-ea"/>
              <a:cs typeface="+mn-cs"/>
            </a:rPr>
            <a:t>for the exclusive purpose of serving your needs, and for any other purpose you agree to prior to Value Relating using it.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Your support team initially consists of your proxy, or key supporter, and a primary support provider (PSP) from Value Relating. You build your support as you invite supporters to help cover the costs of this service to you and can provide you with essential emotional supports.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As your team grows, </a:t>
          </a:r>
          <a:r>
            <a:rPr kumimoji="0" lang="en-US" sz="1100" b="1" i="0" u="none" strike="noStrike" kern="0" cap="none" spc="0" normalizeH="0" baseline="0" noProof="0">
              <a:ln>
                <a:noFill/>
              </a:ln>
              <a:solidFill>
                <a:prstClr val="black"/>
              </a:solidFill>
              <a:effectLst/>
              <a:uLnTx/>
              <a:uFillTx/>
              <a:latin typeface="+mn-lt"/>
              <a:ea typeface="+mn-ea"/>
              <a:cs typeface="+mn-cs"/>
            </a:rPr>
            <a:t>Value Relating</a:t>
          </a:r>
          <a:r>
            <a:rPr kumimoji="0" lang="en-US" sz="1100" b="0" i="0" u="none" strike="noStrike" kern="0" cap="none" spc="0" normalizeH="0" baseline="0" noProof="0">
              <a:ln>
                <a:noFill/>
              </a:ln>
              <a:solidFill>
                <a:prstClr val="black"/>
              </a:solidFill>
              <a:effectLst/>
              <a:uLnTx/>
              <a:uFillTx/>
              <a:latin typeface="+mn-lt"/>
              <a:ea typeface="+mn-ea"/>
              <a:cs typeface="+mn-cs"/>
            </a:rPr>
            <a:t> adds a secondary support provider (SSP) to help with the growing work load (logistics, answering questions, keeping records up to date). This SSP could eventually move up to the PSP position.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prstClr val="black"/>
              </a:solidFill>
              <a:effectLst/>
              <a:uLnTx/>
              <a:uFillTx/>
              <a:latin typeface="+mn-lt"/>
              <a:ea typeface="+mn-ea"/>
              <a:cs typeface="+mn-cs"/>
            </a:rPr>
            <a:t>Option 1</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You agree to the above terms and you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endParaRPr lang="en-US" sz="1100"/>
        </a:p>
      </xdr:txBody>
    </xdr:sp>
    <xdr:clientData/>
  </xdr:twoCellAnchor>
  <xdr:twoCellAnchor>
    <xdr:from>
      <xdr:col>76</xdr:col>
      <xdr:colOff>47745</xdr:colOff>
      <xdr:row>64</xdr:row>
      <xdr:rowOff>142243</xdr:rowOff>
    </xdr:from>
    <xdr:to>
      <xdr:col>85</xdr:col>
      <xdr:colOff>442896</xdr:colOff>
      <xdr:row>70</xdr:row>
      <xdr:rowOff>78017</xdr:rowOff>
    </xdr:to>
    <xdr:sp macro="" textlink="">
      <xdr:nvSpPr>
        <xdr:cNvPr id="134" name="Rectangle: Rounded Corners 133">
          <a:extLst>
            <a:ext uri="{FF2B5EF4-FFF2-40B4-BE49-F238E27FC236}">
              <a16:creationId xmlns:a16="http://schemas.microsoft.com/office/drawing/2014/main" id="{1845D665-2819-45A6-9739-C6A4FF61BD77}"/>
            </a:ext>
          </a:extLst>
        </xdr:cNvPr>
        <xdr:cNvSpPr/>
      </xdr:nvSpPr>
      <xdr:spPr>
        <a:xfrm>
          <a:off x="18341340" y="25425403"/>
          <a:ext cx="0" cy="1269274"/>
        </a:xfrm>
        <a:prstGeom prst="roundRect">
          <a:avLst>
            <a:gd name="adj" fmla="val 5176"/>
          </a:avLst>
        </a:prstGeom>
        <a:solidFill>
          <a:srgbClr val="F19B61">
            <a:alpha val="12157"/>
          </a:srgbClr>
        </a:solidFill>
        <a:ln w="38100">
          <a:solidFill>
            <a:srgbClr val="6B2894"/>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r"/>
          <a:r>
            <a:rPr lang="en-US" sz="1800" b="1" baseline="0">
              <a:solidFill>
                <a:srgbClr val="00B050"/>
              </a:solidFill>
              <a:latin typeface="+mn-lt"/>
              <a:ea typeface="+mn-ea"/>
              <a:cs typeface="+mn-cs"/>
            </a:rPr>
            <a:t>FREE route</a:t>
          </a:r>
          <a:br>
            <a:rPr lang="en-US" sz="1800" b="1" baseline="0">
              <a:solidFill>
                <a:srgbClr val="00B050"/>
              </a:solidFill>
              <a:latin typeface="+mn-lt"/>
              <a:ea typeface="+mn-ea"/>
              <a:cs typeface="+mn-cs"/>
            </a:rPr>
          </a:br>
          <a:r>
            <a:rPr lang="en-US" sz="1800" b="1" baseline="0">
              <a:solidFill>
                <a:srgbClr val="00B050"/>
              </a:solidFill>
              <a:latin typeface="+mn-lt"/>
              <a:ea typeface="+mn-ea"/>
              <a:cs typeface="+mn-cs"/>
            </a:rPr>
            <a:t>but not </a:t>
          </a:r>
          <a:br>
            <a:rPr lang="en-US" sz="1800" b="1" baseline="0">
              <a:solidFill>
                <a:srgbClr val="00B050"/>
              </a:solidFill>
              <a:latin typeface="+mn-lt"/>
              <a:ea typeface="+mn-ea"/>
              <a:cs typeface="+mn-cs"/>
            </a:rPr>
          </a:br>
          <a:r>
            <a:rPr lang="en-US" sz="1800" b="1" baseline="0">
              <a:solidFill>
                <a:srgbClr val="00B050"/>
              </a:solidFill>
              <a:latin typeface="+mn-lt"/>
              <a:ea typeface="+mn-ea"/>
              <a:cs typeface="+mn-cs"/>
            </a:rPr>
            <a:t>recommended</a:t>
          </a:r>
        </a:p>
        <a:p>
          <a:pPr algn="r"/>
          <a:r>
            <a:rPr lang="en-US" sz="1800" b="1" baseline="0">
              <a:solidFill>
                <a:srgbClr val="00B050"/>
              </a:solidFill>
              <a:latin typeface="+mn-lt"/>
              <a:ea typeface="+mn-ea"/>
              <a:cs typeface="+mn-cs"/>
            </a:rPr>
            <a:t>for low scores</a:t>
          </a:r>
          <a:endParaRPr lang="en-US" sz="1800" b="1">
            <a:solidFill>
              <a:srgbClr val="00B050"/>
            </a:solidFill>
            <a:latin typeface="+mn-lt"/>
            <a:ea typeface="+mn-ea"/>
            <a:cs typeface="+mn-cs"/>
          </a:endParaRPr>
        </a:p>
      </xdr:txBody>
    </xdr:sp>
    <xdr:clientData/>
  </xdr:twoCellAnchor>
  <xdr:twoCellAnchor>
    <xdr:from>
      <xdr:col>76</xdr:col>
      <xdr:colOff>55365</xdr:colOff>
      <xdr:row>71</xdr:row>
      <xdr:rowOff>107409</xdr:rowOff>
    </xdr:from>
    <xdr:to>
      <xdr:col>85</xdr:col>
      <xdr:colOff>450516</xdr:colOff>
      <xdr:row>77</xdr:row>
      <xdr:rowOff>43183</xdr:rowOff>
    </xdr:to>
    <xdr:sp macro="" textlink="">
      <xdr:nvSpPr>
        <xdr:cNvPr id="135" name="Rectangle: Rounded Corners 134">
          <a:extLst>
            <a:ext uri="{FF2B5EF4-FFF2-40B4-BE49-F238E27FC236}">
              <a16:creationId xmlns:a16="http://schemas.microsoft.com/office/drawing/2014/main" id="{CEE7F3F9-9EF2-4E75-BD70-07C3C1825CD1}"/>
            </a:ext>
          </a:extLst>
        </xdr:cNvPr>
        <xdr:cNvSpPr/>
      </xdr:nvSpPr>
      <xdr:spPr>
        <a:xfrm>
          <a:off x="18341340" y="26914569"/>
          <a:ext cx="0" cy="1269274"/>
        </a:xfrm>
        <a:prstGeom prst="roundRect">
          <a:avLst>
            <a:gd name="adj" fmla="val 5176"/>
          </a:avLst>
        </a:prstGeom>
        <a:solidFill>
          <a:srgbClr val="F19B61">
            <a:alpha val="12157"/>
          </a:srgbClr>
        </a:solidFill>
        <a:ln w="38100">
          <a:solidFill>
            <a:srgbClr val="6B2894"/>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r"/>
          <a:r>
            <a:rPr lang="en-US" sz="1800" b="1">
              <a:solidFill>
                <a:srgbClr val="00B050"/>
              </a:solidFill>
              <a:latin typeface="+mn-lt"/>
              <a:ea typeface="+mn-ea"/>
              <a:cs typeface="+mn-cs"/>
            </a:rPr>
            <a:t>Only $5 to</a:t>
          </a:r>
        </a:p>
        <a:p>
          <a:pPr algn="r"/>
          <a:r>
            <a:rPr lang="en-US" sz="1800" b="1">
              <a:solidFill>
                <a:srgbClr val="00B050"/>
              </a:solidFill>
              <a:latin typeface="+mn-lt"/>
              <a:ea typeface="+mn-ea"/>
              <a:cs typeface="+mn-cs"/>
            </a:rPr>
            <a:t>start,</a:t>
          </a:r>
          <a:r>
            <a:rPr lang="en-US" sz="1800" b="1" baseline="0">
              <a:solidFill>
                <a:srgbClr val="00B050"/>
              </a:solidFill>
              <a:latin typeface="+mn-lt"/>
              <a:ea typeface="+mn-ea"/>
              <a:cs typeface="+mn-cs"/>
            </a:rPr>
            <a:t> potential</a:t>
          </a:r>
        </a:p>
        <a:p>
          <a:pPr algn="r"/>
          <a:r>
            <a:rPr lang="en-US" sz="1800" b="1" baseline="0">
              <a:solidFill>
                <a:srgbClr val="00B050"/>
              </a:solidFill>
              <a:latin typeface="+mn-lt"/>
              <a:ea typeface="+mn-ea"/>
              <a:cs typeface="+mn-cs"/>
            </a:rPr>
            <a:t>to earn far</a:t>
          </a:r>
        </a:p>
        <a:p>
          <a:pPr algn="r"/>
          <a:r>
            <a:rPr lang="en-US" sz="1800" b="1" baseline="0">
              <a:solidFill>
                <a:srgbClr val="00B050"/>
              </a:solidFill>
              <a:latin typeface="+mn-lt"/>
              <a:ea typeface="+mn-ea"/>
              <a:cs typeface="+mn-cs"/>
            </a:rPr>
            <a:t>more in return</a:t>
          </a:r>
          <a:endParaRPr lang="en-US" sz="1800" b="1">
            <a:solidFill>
              <a:srgbClr val="00B050"/>
            </a:solidFill>
            <a:latin typeface="+mn-lt"/>
            <a:ea typeface="+mn-ea"/>
            <a:cs typeface="+mn-cs"/>
          </a:endParaRPr>
        </a:p>
      </xdr:txBody>
    </xdr:sp>
    <xdr:clientData/>
  </xdr:twoCellAnchor>
  <xdr:twoCellAnchor>
    <xdr:from>
      <xdr:col>76</xdr:col>
      <xdr:colOff>55365</xdr:colOff>
      <xdr:row>78</xdr:row>
      <xdr:rowOff>130269</xdr:rowOff>
    </xdr:from>
    <xdr:to>
      <xdr:col>85</xdr:col>
      <xdr:colOff>450516</xdr:colOff>
      <xdr:row>85</xdr:row>
      <xdr:rowOff>66043</xdr:rowOff>
    </xdr:to>
    <xdr:sp macro="" textlink="">
      <xdr:nvSpPr>
        <xdr:cNvPr id="136" name="Rectangle: Rounded Corners 135">
          <a:extLst>
            <a:ext uri="{FF2B5EF4-FFF2-40B4-BE49-F238E27FC236}">
              <a16:creationId xmlns:a16="http://schemas.microsoft.com/office/drawing/2014/main" id="{6F114DC3-523A-4F6D-BC88-DA836C197996}"/>
            </a:ext>
          </a:extLst>
        </xdr:cNvPr>
        <xdr:cNvSpPr/>
      </xdr:nvSpPr>
      <xdr:spPr>
        <a:xfrm>
          <a:off x="18341340" y="28461429"/>
          <a:ext cx="0" cy="1269274"/>
        </a:xfrm>
        <a:prstGeom prst="roundRect">
          <a:avLst>
            <a:gd name="adj" fmla="val 5176"/>
          </a:avLst>
        </a:prstGeom>
        <a:solidFill>
          <a:srgbClr val="F19B61">
            <a:alpha val="12157"/>
          </a:srgbClr>
        </a:solidFill>
        <a:ln w="38100">
          <a:solidFill>
            <a:srgbClr val="6B2894"/>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r"/>
          <a:r>
            <a:rPr lang="en-US" sz="1800" b="1">
              <a:solidFill>
                <a:srgbClr val="00B050"/>
              </a:solidFill>
              <a:latin typeface="+mn-lt"/>
              <a:ea typeface="+mn-ea"/>
              <a:cs typeface="+mn-cs"/>
            </a:rPr>
            <a:t>If get in a bind</a:t>
          </a:r>
        </a:p>
        <a:p>
          <a:pPr algn="r"/>
          <a:r>
            <a:rPr lang="en-US" sz="1800" b="1">
              <a:solidFill>
                <a:srgbClr val="00B050"/>
              </a:solidFill>
              <a:latin typeface="+mn-lt"/>
              <a:ea typeface="+mn-ea"/>
              <a:cs typeface="+mn-cs"/>
            </a:rPr>
            <a:t>then come back</a:t>
          </a:r>
        </a:p>
        <a:p>
          <a:pPr algn="r"/>
          <a:r>
            <a:rPr lang="en-US" sz="1800" b="1">
              <a:solidFill>
                <a:srgbClr val="00B050"/>
              </a:solidFill>
              <a:latin typeface="+mn-lt"/>
              <a:ea typeface="+mn-ea"/>
              <a:cs typeface="+mn-cs"/>
            </a:rPr>
            <a:t>and</a:t>
          </a:r>
          <a:r>
            <a:rPr lang="en-US" sz="1800" b="1" baseline="0">
              <a:solidFill>
                <a:srgbClr val="00B050"/>
              </a:solidFill>
              <a:latin typeface="+mn-lt"/>
              <a:ea typeface="+mn-ea"/>
              <a:cs typeface="+mn-cs"/>
            </a:rPr>
            <a:t> see what we </a:t>
          </a:r>
        </a:p>
        <a:p>
          <a:pPr algn="r"/>
          <a:r>
            <a:rPr lang="en-US" sz="1800" b="1" baseline="0">
              <a:solidFill>
                <a:srgbClr val="00B050"/>
              </a:solidFill>
              <a:latin typeface="+mn-lt"/>
              <a:ea typeface="+mn-ea"/>
              <a:cs typeface="+mn-cs"/>
            </a:rPr>
            <a:t>can do for you</a:t>
          </a:r>
          <a:endParaRPr lang="en-US" sz="1800" b="1">
            <a:solidFill>
              <a:srgbClr val="00B050"/>
            </a:solidFill>
            <a:latin typeface="+mn-lt"/>
            <a:ea typeface="+mn-ea"/>
            <a:cs typeface="+mn-cs"/>
          </a:endParaRPr>
        </a:p>
      </xdr:txBody>
    </xdr:sp>
    <xdr:clientData/>
  </xdr:twoCellAnchor>
  <xdr:twoCellAnchor>
    <xdr:from>
      <xdr:col>77</xdr:col>
      <xdr:colOff>65162</xdr:colOff>
      <xdr:row>66</xdr:row>
      <xdr:rowOff>74748</xdr:rowOff>
    </xdr:from>
    <xdr:to>
      <xdr:col>82</xdr:col>
      <xdr:colOff>454870</xdr:colOff>
      <xdr:row>71</xdr:row>
      <xdr:rowOff>22497</xdr:rowOff>
    </xdr:to>
    <xdr:sp macro="" textlink="">
      <xdr:nvSpPr>
        <xdr:cNvPr id="137" name="Rectangle: Rounded Corners 136">
          <a:hlinkClick xmlns:r="http://schemas.openxmlformats.org/officeDocument/2006/relationships" r:id="rId36"/>
          <a:extLst>
            <a:ext uri="{FF2B5EF4-FFF2-40B4-BE49-F238E27FC236}">
              <a16:creationId xmlns:a16="http://schemas.microsoft.com/office/drawing/2014/main" id="{8528C579-B9D3-4349-9037-0C6CE029D864}"/>
            </a:ext>
          </a:extLst>
        </xdr:cNvPr>
        <xdr:cNvSpPr/>
      </xdr:nvSpPr>
      <xdr:spPr>
        <a:xfrm>
          <a:off x="18341340" y="25929408"/>
          <a:ext cx="0" cy="900249"/>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Do</a:t>
          </a:r>
          <a:r>
            <a:rPr lang="en-US" sz="1400" b="1" baseline="0">
              <a:solidFill>
                <a:srgbClr val="B9FFD9"/>
              </a:solidFill>
            </a:rPr>
            <a:t> It Yourself </a:t>
          </a:r>
          <a:r>
            <a:rPr lang="en-US" sz="1400" baseline="0">
              <a:solidFill>
                <a:srgbClr val="B9FFD9"/>
              </a:solidFill>
            </a:rPr>
            <a:t>for </a:t>
          </a:r>
          <a:r>
            <a:rPr lang="en-US" sz="1400" baseline="0">
              <a:solidFill>
                <a:srgbClr val="B9FFD9"/>
              </a:solidFill>
              <a:effectLst>
                <a:glow rad="139700">
                  <a:schemeClr val="accent6">
                    <a:satMod val="175000"/>
                    <a:alpha val="40000"/>
                  </a:schemeClr>
                </a:glow>
              </a:effectLst>
            </a:rPr>
            <a:t>free</a:t>
          </a:r>
          <a:r>
            <a:rPr lang="en-US" sz="1400" baseline="0">
              <a:solidFill>
                <a:srgbClr val="B9FFD9"/>
              </a:solidFill>
            </a:rPr>
            <a:t>. With a high estimate of innocence, you may not need our help.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start your DIY option.</a:t>
          </a:r>
          <a:endParaRPr lang="en-US" sz="1400">
            <a:solidFill>
              <a:srgbClr val="B9FFD9"/>
            </a:solidFill>
          </a:endParaRPr>
        </a:p>
      </xdr:txBody>
    </xdr:sp>
    <xdr:clientData/>
  </xdr:twoCellAnchor>
  <xdr:twoCellAnchor>
    <xdr:from>
      <xdr:col>77</xdr:col>
      <xdr:colOff>65162</xdr:colOff>
      <xdr:row>73</xdr:row>
      <xdr:rowOff>85634</xdr:rowOff>
    </xdr:from>
    <xdr:to>
      <xdr:col>82</xdr:col>
      <xdr:colOff>454870</xdr:colOff>
      <xdr:row>78</xdr:row>
      <xdr:rowOff>33383</xdr:rowOff>
    </xdr:to>
    <xdr:sp macro="" textlink="">
      <xdr:nvSpPr>
        <xdr:cNvPr id="138" name="Rectangle: Rounded Corners 137">
          <a:extLst>
            <a:ext uri="{FF2B5EF4-FFF2-40B4-BE49-F238E27FC236}">
              <a16:creationId xmlns:a16="http://schemas.microsoft.com/office/drawing/2014/main" id="{DC576636-3427-4669-A740-6A85D37CD082}"/>
            </a:ext>
          </a:extLst>
        </xdr:cNvPr>
        <xdr:cNvSpPr/>
      </xdr:nvSpPr>
      <xdr:spPr>
        <a:xfrm>
          <a:off x="18341340" y="27464294"/>
          <a:ext cx="0" cy="900249"/>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Receive Support </a:t>
          </a:r>
          <a:r>
            <a:rPr lang="en-US" sz="1400" b="0" baseline="0">
              <a:solidFill>
                <a:srgbClr val="B9FFD9"/>
              </a:solidFill>
            </a:rPr>
            <a:t>starting for</a:t>
          </a:r>
          <a:r>
            <a:rPr lang="en-US" sz="1400" baseline="0">
              <a:solidFill>
                <a:srgbClr val="B9FFD9"/>
              </a:solidFill>
            </a:rPr>
            <a:t> </a:t>
          </a:r>
          <a:r>
            <a:rPr lang="en-US" sz="1400" baseline="0">
              <a:solidFill>
                <a:srgbClr val="B9FFD9"/>
              </a:solidFill>
              <a:effectLst>
                <a:glow rad="139700">
                  <a:schemeClr val="accent6">
                    <a:satMod val="175000"/>
                    <a:alpha val="40000"/>
                  </a:schemeClr>
                </a:glow>
              </a:effectLst>
            </a:rPr>
            <a:t>$5</a:t>
          </a:r>
          <a:r>
            <a:rPr lang="en-US" sz="1400" baseline="0">
              <a:solidFill>
                <a:srgbClr val="B9FFD9"/>
              </a:solidFill>
            </a:rPr>
            <a:t>. You've already been through hell. Let us take you to heaven.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learn more.</a:t>
          </a:r>
          <a:endParaRPr lang="en-US" sz="1400">
            <a:solidFill>
              <a:srgbClr val="B9FFD9"/>
            </a:solidFill>
          </a:endParaRPr>
        </a:p>
      </xdr:txBody>
    </xdr:sp>
    <xdr:clientData/>
  </xdr:twoCellAnchor>
  <xdr:twoCellAnchor>
    <xdr:from>
      <xdr:col>77</xdr:col>
      <xdr:colOff>65162</xdr:colOff>
      <xdr:row>81</xdr:row>
      <xdr:rowOff>85635</xdr:rowOff>
    </xdr:from>
    <xdr:to>
      <xdr:col>82</xdr:col>
      <xdr:colOff>454870</xdr:colOff>
      <xdr:row>86</xdr:row>
      <xdr:rowOff>33383</xdr:rowOff>
    </xdr:to>
    <xdr:sp macro="" textlink="">
      <xdr:nvSpPr>
        <xdr:cNvPr id="139" name="Rectangle: Rounded Corners 138">
          <a:extLst>
            <a:ext uri="{FF2B5EF4-FFF2-40B4-BE49-F238E27FC236}">
              <a16:creationId xmlns:a16="http://schemas.microsoft.com/office/drawing/2014/main" id="{F4518A27-4F6E-4328-9ECD-A667962244FF}"/>
            </a:ext>
          </a:extLst>
        </xdr:cNvPr>
        <xdr:cNvSpPr/>
      </xdr:nvSpPr>
      <xdr:spPr>
        <a:xfrm>
          <a:off x="18341340" y="28988295"/>
          <a:ext cx="0" cy="900248"/>
        </a:xfrm>
        <a:prstGeom prst="roundRect">
          <a:avLst>
            <a:gd name="adj" fmla="val 5176"/>
          </a:avLst>
        </a:prstGeom>
        <a:solidFill>
          <a:srgbClr val="6B2894">
            <a:alpha val="67059"/>
          </a:srgbClr>
        </a:solidFill>
        <a:ln w="76200">
          <a:solidFill>
            <a:srgbClr val="501E6E"/>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l"/>
          <a:r>
            <a:rPr lang="en-US" sz="1400" b="1">
              <a:solidFill>
                <a:srgbClr val="B9FFD9"/>
              </a:solidFill>
            </a:rPr>
            <a:t>If you find the</a:t>
          </a:r>
          <a:r>
            <a:rPr lang="en-US" sz="1400" baseline="0">
              <a:solidFill>
                <a:srgbClr val="B9FFD9"/>
              </a:solidFill>
            </a:rPr>
            <a:t> </a:t>
          </a:r>
          <a:r>
            <a:rPr lang="en-US" sz="1400" baseline="0">
              <a:solidFill>
                <a:srgbClr val="B9FFD9"/>
              </a:solidFill>
              <a:effectLst>
                <a:glow rad="139700">
                  <a:schemeClr val="accent6">
                    <a:satMod val="175000"/>
                    <a:alpha val="40000"/>
                  </a:schemeClr>
                </a:glow>
              </a:effectLst>
            </a:rPr>
            <a:t>free</a:t>
          </a:r>
          <a:r>
            <a:rPr lang="en-US" sz="1400" baseline="0">
              <a:solidFill>
                <a:srgbClr val="B9FFD9"/>
              </a:solidFill>
            </a:rPr>
            <a:t> route frustrating, give this support route a try. </a:t>
          </a:r>
          <a:r>
            <a:rPr lang="en-US" sz="1600" b="1" spc="100" baseline="0">
              <a:solidFill>
                <a:srgbClr val="B9FFD9"/>
              </a:solidFill>
            </a:rPr>
            <a:t>CLICK</a:t>
          </a:r>
          <a:r>
            <a:rPr lang="en-US" sz="1600" spc="100" baseline="0">
              <a:solidFill>
                <a:srgbClr val="B9FFD9"/>
              </a:solidFill>
            </a:rPr>
            <a:t> </a:t>
          </a:r>
          <a:r>
            <a:rPr lang="en-US" sz="1600" b="1" spc="100" baseline="0">
              <a:solidFill>
                <a:srgbClr val="B9FFD9"/>
              </a:solidFill>
            </a:rPr>
            <a:t>here</a:t>
          </a:r>
          <a:r>
            <a:rPr lang="en-US" sz="1600" spc="100" baseline="0">
              <a:solidFill>
                <a:srgbClr val="B9FFD9"/>
              </a:solidFill>
            </a:rPr>
            <a:t> </a:t>
          </a:r>
          <a:r>
            <a:rPr lang="en-US" sz="1400" baseline="0">
              <a:solidFill>
                <a:srgbClr val="B9FFD9"/>
              </a:solidFill>
            </a:rPr>
            <a:t>to learn how.</a:t>
          </a:r>
          <a:endParaRPr lang="en-US" sz="1400">
            <a:solidFill>
              <a:srgbClr val="B9FFD9"/>
            </a:solidFill>
          </a:endParaRPr>
        </a:p>
      </xdr:txBody>
    </xdr:sp>
    <xdr:clientData/>
  </xdr:twoCellAnchor>
  <xdr:twoCellAnchor>
    <xdr:from>
      <xdr:col>87</xdr:col>
      <xdr:colOff>36858</xdr:colOff>
      <xdr:row>78</xdr:row>
      <xdr:rowOff>178166</xdr:rowOff>
    </xdr:from>
    <xdr:to>
      <xdr:col>93</xdr:col>
      <xdr:colOff>402618</xdr:colOff>
      <xdr:row>82</xdr:row>
      <xdr:rowOff>25764</xdr:rowOff>
    </xdr:to>
    <xdr:sp macro="" textlink="">
      <xdr:nvSpPr>
        <xdr:cNvPr id="140" name="Rectangle: Rounded Corners 139">
          <a:extLst>
            <a:ext uri="{FF2B5EF4-FFF2-40B4-BE49-F238E27FC236}">
              <a16:creationId xmlns:a16="http://schemas.microsoft.com/office/drawing/2014/main" id="{A66227DD-A6AB-4BC3-8A5D-CE7EEB3C5815}"/>
            </a:ext>
          </a:extLst>
        </xdr:cNvPr>
        <xdr:cNvSpPr/>
      </xdr:nvSpPr>
      <xdr:spPr>
        <a:xfrm>
          <a:off x="18341340" y="28509326"/>
          <a:ext cx="0" cy="609598"/>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dropdown</a:t>
          </a:r>
          <a:r>
            <a:rPr lang="en-US" sz="1600" baseline="0">
              <a:solidFill>
                <a:srgbClr val="501E6E"/>
              </a:solidFill>
            </a:rPr>
            <a:t> list of main crime</a:t>
          </a:r>
          <a:endParaRPr lang="en-US" sz="1600">
            <a:solidFill>
              <a:srgbClr val="501E6E"/>
            </a:solidFill>
          </a:endParaRPr>
        </a:p>
      </xdr:txBody>
    </xdr:sp>
    <xdr:clientData/>
  </xdr:twoCellAnchor>
  <xdr:twoCellAnchor>
    <xdr:from>
      <xdr:col>0</xdr:col>
      <xdr:colOff>121920</xdr:colOff>
      <xdr:row>65</xdr:row>
      <xdr:rowOff>144780</xdr:rowOff>
    </xdr:from>
    <xdr:to>
      <xdr:col>5</xdr:col>
      <xdr:colOff>106680</xdr:colOff>
      <xdr:row>82</xdr:row>
      <xdr:rowOff>29845</xdr:rowOff>
    </xdr:to>
    <xdr:sp macro="" textlink="">
      <xdr:nvSpPr>
        <xdr:cNvPr id="141" name="Text Box 1">
          <a:extLst>
            <a:ext uri="{FF2B5EF4-FFF2-40B4-BE49-F238E27FC236}">
              <a16:creationId xmlns:a16="http://schemas.microsoft.com/office/drawing/2014/main" id="{51E6AA88-EDB0-4C3B-AA1F-D129DCF3E828}"/>
            </a:ext>
          </a:extLst>
        </xdr:cNvPr>
        <xdr:cNvSpPr txBox="1"/>
      </xdr:nvSpPr>
      <xdr:spPr>
        <a:xfrm>
          <a:off x="121920" y="25808940"/>
          <a:ext cx="5943600" cy="3314065"/>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Wrongful convictions run the gamut from totally innocent to complicated involvement. From convicted of a heinous sex crime that never occurred to complex situations where a child dies and the grieving mother is implicated by discredited forensic science of burn patterns.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The business of addressing damages from interpersonal violence is serious business. The sledgehammer approach to many crime investigations suggest “criminal justice” is more criminal than justice. Tunnel vision, confirmation bias, emotionally charged investigations, tainted interviewing and other routines practices ensures wrongful convictions likely occur at a faster pace than currently being cleared by the same process committing these egregious errors.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 </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Can the same conflicted process repeatedly creating damaging mistakes continue to be trusted as the exclusive means to correct such egregious errors? This alternative puts that question to the test. Which would you prefer? Keep pitting human beings against each other from the untested faith as a way to find truth and justice? Or address all the needs involved in each conflict. This “need-response” alternative dares to serve as a better option than the disappointing legal process.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114300</xdr:colOff>
      <xdr:row>101</xdr:row>
      <xdr:rowOff>114300</xdr:rowOff>
    </xdr:from>
    <xdr:to>
      <xdr:col>5</xdr:col>
      <xdr:colOff>99060</xdr:colOff>
      <xdr:row>104</xdr:row>
      <xdr:rowOff>15240</xdr:rowOff>
    </xdr:to>
    <xdr:sp macro="" textlink="">
      <xdr:nvSpPr>
        <xdr:cNvPr id="142" name="Text Box 1">
          <a:extLst>
            <a:ext uri="{FF2B5EF4-FFF2-40B4-BE49-F238E27FC236}">
              <a16:creationId xmlns:a16="http://schemas.microsoft.com/office/drawing/2014/main" id="{ECE01A8B-C9B5-41A5-8954-3545475CC5CC}"/>
            </a:ext>
          </a:extLst>
        </xdr:cNvPr>
        <xdr:cNvSpPr txBox="1"/>
      </xdr:nvSpPr>
      <xdr:spPr>
        <a:xfrm>
          <a:off x="114300" y="32826960"/>
          <a:ext cx="5943600" cy="914400"/>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marL="0" marR="0">
            <a:spcBef>
              <a:spcPts val="0"/>
            </a:spcBef>
            <a:spcAft>
              <a:spcPts val="0"/>
            </a:spcAft>
          </a:pPr>
          <a:r>
            <a:rPr lang="en-US" sz="1200">
              <a:effectLst/>
              <a:latin typeface="Cambria Math" panose="02040503050406030204" pitchFamily="18" charset="0"/>
              <a:ea typeface="Calibri" panose="020F0502020204030204" pitchFamily="34" charset="0"/>
              <a:cs typeface="Times New Roman" panose="02020603050405020304" pitchFamily="18" charset="0"/>
            </a:rPr>
            <a:t>Welcome to </a:t>
          </a:r>
          <a:r>
            <a:rPr lang="en-US" sz="1200" b="1">
              <a:effectLst/>
              <a:latin typeface="Cambria Math" panose="02040503050406030204" pitchFamily="18" charset="0"/>
              <a:ea typeface="Calibri" panose="020F0502020204030204" pitchFamily="34" charset="0"/>
              <a:cs typeface="Times New Roman" panose="02020603050405020304" pitchFamily="18" charset="0"/>
            </a:rPr>
            <a:t>competitive legitimacy</a:t>
          </a:r>
          <a:r>
            <a:rPr lang="en-US" sz="1200">
              <a:effectLst/>
              <a:latin typeface="Cambria Math" panose="02040503050406030204" pitchFamily="18" charset="0"/>
              <a:ea typeface="Calibri" panose="020F0502020204030204" pitchFamily="34" charset="0"/>
              <a:cs typeface="Times New Roman" panose="02020603050405020304" pitchFamily="18" charset="0"/>
            </a:rPr>
            <a:t>, which incentivizes alternatives to addressing a common need and awards those most effective in resolving such needs. Competitive legitimacy is a tool of need-response, which applies anankelogy, the new social science for the study and better understanding of many needs. Welcome to this experiment to resolve needs using a fresh understanding of affected justice needs.</a:t>
          </a:r>
          <a:endParaRPr lang="en-US" sz="1100">
            <a:effectLst/>
            <a:latin typeface="Cambria Math" panose="02040503050406030204" pitchFamily="18" charset="0"/>
            <a:ea typeface="Calibri" panose="020F0502020204030204" pitchFamily="34" charset="0"/>
            <a:cs typeface="Times New Roman" panose="02020603050405020304" pitchFamily="18" charset="0"/>
          </a:endParaRPr>
        </a:p>
      </xdr:txBody>
    </xdr:sp>
    <xdr:clientData/>
  </xdr:twoCellAnchor>
  <xdr:twoCellAnchor>
    <xdr:from>
      <xdr:col>0</xdr:col>
      <xdr:colOff>190500</xdr:colOff>
      <xdr:row>1103</xdr:row>
      <xdr:rowOff>0</xdr:rowOff>
    </xdr:from>
    <xdr:to>
      <xdr:col>4</xdr:col>
      <xdr:colOff>182880</xdr:colOff>
      <xdr:row>1103</xdr:row>
      <xdr:rowOff>0</xdr:rowOff>
    </xdr:to>
    <xdr:grpSp>
      <xdr:nvGrpSpPr>
        <xdr:cNvPr id="143" name="Group 142">
          <a:extLst>
            <a:ext uri="{FF2B5EF4-FFF2-40B4-BE49-F238E27FC236}">
              <a16:creationId xmlns:a16="http://schemas.microsoft.com/office/drawing/2014/main" id="{E5CD0254-7548-4E59-BA67-BFA863B2FA8E}"/>
            </a:ext>
          </a:extLst>
        </xdr:cNvPr>
        <xdr:cNvGrpSpPr/>
      </xdr:nvGrpSpPr>
      <xdr:grpSpPr>
        <a:xfrm>
          <a:off x="190500" y="306011580"/>
          <a:ext cx="5760720" cy="0"/>
          <a:chOff x="175260" y="30243780"/>
          <a:chExt cx="5760720" cy="3241675"/>
        </a:xfrm>
      </xdr:grpSpPr>
      <xdr:pic>
        <xdr:nvPicPr>
          <xdr:cNvPr id="144" name="Picture 143">
            <a:extLst>
              <a:ext uri="{FF2B5EF4-FFF2-40B4-BE49-F238E27FC236}">
                <a16:creationId xmlns:a16="http://schemas.microsoft.com/office/drawing/2014/main" id="{D9D6621D-89A3-4F20-B2D7-E0BD2F02175C}"/>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75260" y="30243780"/>
            <a:ext cx="5760720" cy="3241675"/>
          </a:xfrm>
          <a:prstGeom prst="rect">
            <a:avLst/>
          </a:prstGeom>
        </xdr:spPr>
      </xdr:pic>
      <xdr:grpSp>
        <xdr:nvGrpSpPr>
          <xdr:cNvPr id="145" name="skewed toward error 1 - WC">
            <a:extLst>
              <a:ext uri="{FF2B5EF4-FFF2-40B4-BE49-F238E27FC236}">
                <a16:creationId xmlns:a16="http://schemas.microsoft.com/office/drawing/2014/main" id="{8EA26AE6-DCD8-45D2-B680-FC10449374C2}"/>
              </a:ext>
            </a:extLst>
          </xdr:cNvPr>
          <xdr:cNvGrpSpPr>
            <a:grpSpLocks noChangeAspect="1"/>
          </xdr:cNvGrpSpPr>
        </xdr:nvGrpSpPr>
        <xdr:grpSpPr>
          <a:xfrm>
            <a:off x="487679" y="31623000"/>
            <a:ext cx="5120640" cy="1352222"/>
            <a:chOff x="696686" y="2909506"/>
            <a:chExt cx="10847614" cy="2864558"/>
          </a:xfrm>
        </xdr:grpSpPr>
        <xdr:sp macro="" textlink="">
          <xdr:nvSpPr>
            <xdr:cNvPr id="146" name="left curve">
              <a:extLst>
                <a:ext uri="{FF2B5EF4-FFF2-40B4-BE49-F238E27FC236}">
                  <a16:creationId xmlns:a16="http://schemas.microsoft.com/office/drawing/2014/main" id="{45032329-CA51-4FF2-8BDF-DAACEDC321EA}"/>
                </a:ext>
              </a:extLst>
            </xdr:cNvPr>
            <xdr:cNvSpPr/>
          </xdr:nvSpPr>
          <xdr:spPr>
            <a:xfrm>
              <a:off x="696686" y="2909506"/>
              <a:ext cx="7132320" cy="2775081"/>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0125"/>
                <a:gd name="connsiteX1" fmla="*/ 1228898 w 5486400"/>
                <a:gd name="connsiteY1" fmla="*/ 2651760 h 2870125"/>
                <a:gd name="connsiteX2" fmla="*/ 2492887 w 5486400"/>
                <a:gd name="connsiteY2" fmla="*/ 1898667 h 2870125"/>
                <a:gd name="connsiteX3" fmla="*/ 3276280 w 5486400"/>
                <a:gd name="connsiteY3" fmla="*/ 716280 h 2870125"/>
                <a:gd name="connsiteX4" fmla="*/ 4152900 w 5486400"/>
                <a:gd name="connsiteY4" fmla="*/ 152400 h 2870125"/>
                <a:gd name="connsiteX5" fmla="*/ 5486400 w 5486400"/>
                <a:gd name="connsiteY5" fmla="*/ 0 h 2870125"/>
                <a:gd name="connsiteX0" fmla="*/ 0 w 5486400"/>
                <a:gd name="connsiteY0" fmla="*/ 2849880 h 2870125"/>
                <a:gd name="connsiteX1" fmla="*/ 1228898 w 5486400"/>
                <a:gd name="connsiteY1" fmla="*/ 2651760 h 2870125"/>
                <a:gd name="connsiteX2" fmla="*/ 2492887 w 5486400"/>
                <a:gd name="connsiteY2" fmla="*/ 1898667 h 2870125"/>
                <a:gd name="connsiteX3" fmla="*/ 3495146 w 5486400"/>
                <a:gd name="connsiteY3" fmla="*/ 862940 h 2870125"/>
                <a:gd name="connsiteX4" fmla="*/ 4152900 w 5486400"/>
                <a:gd name="connsiteY4" fmla="*/ 152400 h 2870125"/>
                <a:gd name="connsiteX5" fmla="*/ 5486400 w 5486400"/>
                <a:gd name="connsiteY5" fmla="*/ 0 h 2870125"/>
                <a:gd name="connsiteX0" fmla="*/ 0 w 5486400"/>
                <a:gd name="connsiteY0" fmla="*/ 2853418 h 2873663"/>
                <a:gd name="connsiteX1" fmla="*/ 1228898 w 5486400"/>
                <a:gd name="connsiteY1" fmla="*/ 2655298 h 2873663"/>
                <a:gd name="connsiteX2" fmla="*/ 2492887 w 5486400"/>
                <a:gd name="connsiteY2" fmla="*/ 1902205 h 2873663"/>
                <a:gd name="connsiteX3" fmla="*/ 3495146 w 5486400"/>
                <a:gd name="connsiteY3" fmla="*/ 866478 h 2873663"/>
                <a:gd name="connsiteX4" fmla="*/ 4514871 w 5486400"/>
                <a:gd name="connsiteY4" fmla="*/ 99531 h 2873663"/>
                <a:gd name="connsiteX5" fmla="*/ 5486400 w 5486400"/>
                <a:gd name="connsiteY5" fmla="*/ 3538 h 2873663"/>
                <a:gd name="connsiteX0" fmla="*/ 0 w 5486400"/>
                <a:gd name="connsiteY0" fmla="*/ 2855764 h 2876009"/>
                <a:gd name="connsiteX1" fmla="*/ 1228898 w 5486400"/>
                <a:gd name="connsiteY1" fmla="*/ 2657644 h 2876009"/>
                <a:gd name="connsiteX2" fmla="*/ 2492887 w 5486400"/>
                <a:gd name="connsiteY2" fmla="*/ 1904551 h 2876009"/>
                <a:gd name="connsiteX3" fmla="*/ 3520400 w 5486400"/>
                <a:gd name="connsiteY3" fmla="*/ 913951 h 2876009"/>
                <a:gd name="connsiteX4" fmla="*/ 4514871 w 5486400"/>
                <a:gd name="connsiteY4" fmla="*/ 101877 h 2876009"/>
                <a:gd name="connsiteX5" fmla="*/ 5486400 w 5486400"/>
                <a:gd name="connsiteY5" fmla="*/ 5884 h 287600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6009">
                  <a:moveTo>
                    <a:pt x="0" y="2855764"/>
                  </a:moveTo>
                  <a:cubicBezTo>
                    <a:pt x="276225" y="2922439"/>
                    <a:pt x="813417" y="2816180"/>
                    <a:pt x="1228898" y="2657644"/>
                  </a:cubicBezTo>
                  <a:cubicBezTo>
                    <a:pt x="1644379" y="2499108"/>
                    <a:pt x="2110970" y="2195167"/>
                    <a:pt x="2492887" y="1904551"/>
                  </a:cubicBezTo>
                  <a:cubicBezTo>
                    <a:pt x="2874804" y="1613935"/>
                    <a:pt x="3183403" y="1214397"/>
                    <a:pt x="3520400" y="913951"/>
                  </a:cubicBezTo>
                  <a:cubicBezTo>
                    <a:pt x="3857397" y="613505"/>
                    <a:pt x="4187204" y="253221"/>
                    <a:pt x="4514871" y="101877"/>
                  </a:cubicBezTo>
                  <a:cubicBezTo>
                    <a:pt x="4842538" y="-49467"/>
                    <a:pt x="4999990" y="15409"/>
                    <a:pt x="5486400" y="5884"/>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sp macro="" textlink="">
          <xdr:nvSpPr>
            <xdr:cNvPr id="147" name="right curve">
              <a:extLst>
                <a:ext uri="{FF2B5EF4-FFF2-40B4-BE49-F238E27FC236}">
                  <a16:creationId xmlns:a16="http://schemas.microsoft.com/office/drawing/2014/main" id="{914DB895-1B5D-4D5C-AC3A-2902A855EC5E}"/>
                </a:ext>
              </a:extLst>
            </xdr:cNvPr>
            <xdr:cNvSpPr/>
          </xdr:nvSpPr>
          <xdr:spPr>
            <a:xfrm flipH="1">
              <a:off x="7791450" y="2918813"/>
              <a:ext cx="3752850" cy="2770064"/>
            </a:xfrm>
            <a:custGeom>
              <a:avLst/>
              <a:gdLst>
                <a:gd name="connsiteX0" fmla="*/ 0 w 5486400"/>
                <a:gd name="connsiteY0" fmla="*/ 2849880 h 2925443"/>
                <a:gd name="connsiteX1" fmla="*/ 929640 w 5486400"/>
                <a:gd name="connsiteY1" fmla="*/ 2842260 h 2925443"/>
                <a:gd name="connsiteX2" fmla="*/ 2263140 w 5486400"/>
                <a:gd name="connsiteY2" fmla="*/ 2004060 h 2925443"/>
                <a:gd name="connsiteX3" fmla="*/ 3322320 w 5486400"/>
                <a:gd name="connsiteY3" fmla="*/ 800100 h 2925443"/>
                <a:gd name="connsiteX4" fmla="*/ 4152900 w 5486400"/>
                <a:gd name="connsiteY4" fmla="*/ 152400 h 2925443"/>
                <a:gd name="connsiteX5" fmla="*/ 5486400 w 5486400"/>
                <a:gd name="connsiteY5" fmla="*/ 0 h 2925443"/>
                <a:gd name="connsiteX0" fmla="*/ 0 w 5486400"/>
                <a:gd name="connsiteY0" fmla="*/ 2849880 h 2925443"/>
                <a:gd name="connsiteX1" fmla="*/ 929640 w 5486400"/>
                <a:gd name="connsiteY1" fmla="*/ 2842260 h 2925443"/>
                <a:gd name="connsiteX2" fmla="*/ 2263140 w 5486400"/>
                <a:gd name="connsiteY2" fmla="*/ 2004060 h 2925443"/>
                <a:gd name="connsiteX3" fmla="*/ 3276280 w 5486400"/>
                <a:gd name="connsiteY3" fmla="*/ 716280 h 2925443"/>
                <a:gd name="connsiteX4" fmla="*/ 4152900 w 5486400"/>
                <a:gd name="connsiteY4" fmla="*/ 152400 h 2925443"/>
                <a:gd name="connsiteX5" fmla="*/ 5486400 w 5486400"/>
                <a:gd name="connsiteY5" fmla="*/ 0 h 2925443"/>
                <a:gd name="connsiteX0" fmla="*/ 0 w 5486400"/>
                <a:gd name="connsiteY0" fmla="*/ 2849880 h 2946461"/>
                <a:gd name="connsiteX1" fmla="*/ 929640 w 5486400"/>
                <a:gd name="connsiteY1" fmla="*/ 2842260 h 2946461"/>
                <a:gd name="connsiteX2" fmla="*/ 2324527 w 5486400"/>
                <a:gd name="connsiteY2" fmla="*/ 1706880 h 2946461"/>
                <a:gd name="connsiteX3" fmla="*/ 3276280 w 5486400"/>
                <a:gd name="connsiteY3" fmla="*/ 716280 h 2946461"/>
                <a:gd name="connsiteX4" fmla="*/ 4152900 w 5486400"/>
                <a:gd name="connsiteY4" fmla="*/ 152400 h 2946461"/>
                <a:gd name="connsiteX5" fmla="*/ 5486400 w 5486400"/>
                <a:gd name="connsiteY5" fmla="*/ 0 h 2946461"/>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52900 w 5486400"/>
                <a:gd name="connsiteY4" fmla="*/ 15240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4121072 w 5486400"/>
                <a:gd name="connsiteY4" fmla="*/ 220090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3276280 w 5486400"/>
                <a:gd name="connsiteY3" fmla="*/ 716280 h 2873869"/>
                <a:gd name="connsiteX4" fmla="*/ 3898274 w 5486400"/>
                <a:gd name="connsiteY4" fmla="*/ 231372 h 2873869"/>
                <a:gd name="connsiteX5" fmla="*/ 5486400 w 5486400"/>
                <a:gd name="connsiteY5" fmla="*/ 0 h 2873869"/>
                <a:gd name="connsiteX0" fmla="*/ 0 w 5486400"/>
                <a:gd name="connsiteY0" fmla="*/ 2849880 h 2873869"/>
                <a:gd name="connsiteX1" fmla="*/ 1228898 w 5486400"/>
                <a:gd name="connsiteY1" fmla="*/ 2651760 h 2873869"/>
                <a:gd name="connsiteX2" fmla="*/ 2324527 w 5486400"/>
                <a:gd name="connsiteY2" fmla="*/ 1706880 h 2873869"/>
                <a:gd name="connsiteX3" fmla="*/ 2639714 w 5486400"/>
                <a:gd name="connsiteY3" fmla="*/ 817815 h 2873869"/>
                <a:gd name="connsiteX4" fmla="*/ 3898274 w 5486400"/>
                <a:gd name="connsiteY4" fmla="*/ 231372 h 2873869"/>
                <a:gd name="connsiteX5" fmla="*/ 5486400 w 5486400"/>
                <a:gd name="connsiteY5" fmla="*/ 0 h 2873869"/>
                <a:gd name="connsiteX0" fmla="*/ 0 w 5486400"/>
                <a:gd name="connsiteY0" fmla="*/ 2849880 h 2872210"/>
                <a:gd name="connsiteX1" fmla="*/ 1228898 w 5486400"/>
                <a:gd name="connsiteY1" fmla="*/ 2651760 h 2872210"/>
                <a:gd name="connsiteX2" fmla="*/ 1719790 w 5486400"/>
                <a:gd name="connsiteY2" fmla="*/ 1785851 h 2872210"/>
                <a:gd name="connsiteX3" fmla="*/ 2639714 w 5486400"/>
                <a:gd name="connsiteY3" fmla="*/ 817815 h 2872210"/>
                <a:gd name="connsiteX4" fmla="*/ 3898274 w 5486400"/>
                <a:gd name="connsiteY4" fmla="*/ 231372 h 2872210"/>
                <a:gd name="connsiteX5" fmla="*/ 5486400 w 5486400"/>
                <a:gd name="connsiteY5" fmla="*/ 0 h 2872210"/>
                <a:gd name="connsiteX0" fmla="*/ 0 w 5486400"/>
                <a:gd name="connsiteY0" fmla="*/ 2849880 h 2870810"/>
                <a:gd name="connsiteX1" fmla="*/ 990185 w 5486400"/>
                <a:gd name="connsiteY1" fmla="*/ 2640478 h 2870810"/>
                <a:gd name="connsiteX2" fmla="*/ 1719790 w 5486400"/>
                <a:gd name="connsiteY2" fmla="*/ 1785851 h 2870810"/>
                <a:gd name="connsiteX3" fmla="*/ 2639714 w 5486400"/>
                <a:gd name="connsiteY3" fmla="*/ 817815 h 2870810"/>
                <a:gd name="connsiteX4" fmla="*/ 3898274 w 5486400"/>
                <a:gd name="connsiteY4" fmla="*/ 231372 h 2870810"/>
                <a:gd name="connsiteX5" fmla="*/ 5486400 w 5486400"/>
                <a:gd name="connsiteY5" fmla="*/ 0 h 28708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486400" h="2870810">
                  <a:moveTo>
                    <a:pt x="0" y="2849880"/>
                  </a:moveTo>
                  <a:cubicBezTo>
                    <a:pt x="276225" y="2916555"/>
                    <a:pt x="703553" y="2817816"/>
                    <a:pt x="990185" y="2640478"/>
                  </a:cubicBezTo>
                  <a:cubicBezTo>
                    <a:pt x="1276817" y="2463140"/>
                    <a:pt x="1444868" y="2089628"/>
                    <a:pt x="1719790" y="1785851"/>
                  </a:cubicBezTo>
                  <a:cubicBezTo>
                    <a:pt x="1994712" y="1482074"/>
                    <a:pt x="2276633" y="1076895"/>
                    <a:pt x="2639714" y="817815"/>
                  </a:cubicBezTo>
                  <a:cubicBezTo>
                    <a:pt x="3002795" y="558735"/>
                    <a:pt x="3423826" y="367674"/>
                    <a:pt x="3898274" y="231372"/>
                  </a:cubicBezTo>
                  <a:cubicBezTo>
                    <a:pt x="4372722" y="95070"/>
                    <a:pt x="4999990" y="9525"/>
                    <a:pt x="5486400" y="0"/>
                  </a:cubicBezTo>
                </a:path>
              </a:pathLst>
            </a:custGeom>
            <a:noFill/>
            <a:ln w="28575">
              <a:solidFill>
                <a:srgbClr val="E20000">
                  <a:alpha val="69804"/>
                </a:srgb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350"/>
            </a:p>
          </xdr:txBody>
        </xdr:sp>
        <xdr:cxnSp macro="">
          <xdr:nvCxnSpPr>
            <xdr:cNvPr id="148" name="bottom">
              <a:extLst>
                <a:ext uri="{FF2B5EF4-FFF2-40B4-BE49-F238E27FC236}">
                  <a16:creationId xmlns:a16="http://schemas.microsoft.com/office/drawing/2014/main" id="{7B482F4B-79F4-4147-89A9-E6B01DF998C0}"/>
                </a:ext>
              </a:extLst>
            </xdr:cNvPr>
            <xdr:cNvCxnSpPr>
              <a:cxnSpLocks/>
            </xdr:cNvCxnSpPr>
          </xdr:nvCxnSpPr>
          <xdr:spPr>
            <a:xfrm>
              <a:off x="696686" y="5771619"/>
              <a:ext cx="10847614" cy="0"/>
            </a:xfrm>
            <a:prstGeom prst="line">
              <a:avLst/>
            </a:prstGeom>
            <a:ln w="28575">
              <a:solidFill>
                <a:srgbClr val="E20000">
                  <a:alpha val="69804"/>
                </a:srgbClr>
              </a:solidFill>
            </a:ln>
          </xdr:spPr>
          <xdr:style>
            <a:lnRef idx="1">
              <a:schemeClr val="accent1"/>
            </a:lnRef>
            <a:fillRef idx="0">
              <a:schemeClr val="accent1"/>
            </a:fillRef>
            <a:effectRef idx="0">
              <a:schemeClr val="accent1"/>
            </a:effectRef>
            <a:fontRef idx="minor">
              <a:schemeClr val="tx1"/>
            </a:fontRef>
          </xdr:style>
        </xdr:cxnSp>
        <xdr:cxnSp macro="">
          <xdr:nvCxnSpPr>
            <xdr:cNvPr id="149" name="dotted center">
              <a:extLst>
                <a:ext uri="{FF2B5EF4-FFF2-40B4-BE49-F238E27FC236}">
                  <a16:creationId xmlns:a16="http://schemas.microsoft.com/office/drawing/2014/main" id="{980F3537-E747-49A7-ABD6-8ECBAD2A41BC}"/>
                </a:ext>
              </a:extLst>
            </xdr:cNvPr>
            <xdr:cNvCxnSpPr/>
          </xdr:nvCxnSpPr>
          <xdr:spPr>
            <a:xfrm>
              <a:off x="7018566" y="2944405"/>
              <a:ext cx="0" cy="2829659"/>
            </a:xfrm>
            <a:prstGeom prst="line">
              <a:avLst/>
            </a:prstGeom>
            <a:ln w="28575">
              <a:solidFill>
                <a:srgbClr val="E20000">
                  <a:alpha val="69804"/>
                </a:srgbClr>
              </a:solidFill>
              <a:prstDash val="dash"/>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28</xdr:col>
      <xdr:colOff>133894</xdr:colOff>
      <xdr:row>146</xdr:row>
      <xdr:rowOff>121922</xdr:rowOff>
    </xdr:from>
    <xdr:to>
      <xdr:col>43</xdr:col>
      <xdr:colOff>251460</xdr:colOff>
      <xdr:row>149</xdr:row>
      <xdr:rowOff>76200</xdr:rowOff>
    </xdr:to>
    <xdr:sp macro="" textlink="">
      <xdr:nvSpPr>
        <xdr:cNvPr id="150" name="Rectangle: Rounded Corners 149">
          <a:hlinkClick xmlns:r="http://schemas.openxmlformats.org/officeDocument/2006/relationships" r:id="rId25"/>
          <a:extLst>
            <a:ext uri="{FF2B5EF4-FFF2-40B4-BE49-F238E27FC236}">
              <a16:creationId xmlns:a16="http://schemas.microsoft.com/office/drawing/2014/main" id="{473F3854-9414-46A3-BC7F-869D99E8E6EF}"/>
            </a:ext>
          </a:extLst>
        </xdr:cNvPr>
        <xdr:cNvSpPr/>
      </xdr:nvSpPr>
      <xdr:spPr>
        <a:xfrm>
          <a:off x="18341340" y="42245282"/>
          <a:ext cx="0" cy="609598"/>
        </a:xfrm>
        <a:prstGeom prst="roundRect">
          <a:avLst>
            <a:gd name="adj" fmla="val 50000"/>
          </a:avLst>
        </a:prstGeom>
        <a:gradFill flip="none" rotWithShape="1">
          <a:gsLst>
            <a:gs pos="0">
              <a:srgbClr val="B9FFD9">
                <a:shade val="30000"/>
                <a:satMod val="115000"/>
              </a:srgbClr>
            </a:gs>
            <a:gs pos="50000">
              <a:srgbClr val="B9FFD9">
                <a:shade val="67500"/>
                <a:satMod val="115000"/>
              </a:srgbClr>
            </a:gs>
            <a:gs pos="100000">
              <a:srgbClr val="B9FFD9">
                <a:shade val="100000"/>
                <a:satMod val="115000"/>
              </a:srgbClr>
            </a:gs>
          </a:gsLst>
          <a:lin ang="16200000" scaled="1"/>
          <a:tileRect/>
        </a:gradFill>
        <a:ln w="76200">
          <a:solidFill>
            <a:srgbClr val="D088FC"/>
          </a:solidFill>
        </a:ln>
        <a:effectLst>
          <a:outerShdw blurRad="50800" dist="38100" dir="2700000" algn="tl" rotWithShape="0">
            <a:prstClr val="black">
              <a:alpha val="40000"/>
            </a:prstClr>
          </a:outerShdw>
        </a:effectLst>
        <a:scene3d>
          <a:camera prst="orthographicFront"/>
          <a:lightRig rig="threePt" dir="t"/>
        </a:scene3d>
        <a:sp3d>
          <a:bevelT w="152400" h="50800" prst="softRound"/>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US" sz="1600">
              <a:solidFill>
                <a:srgbClr val="501E6E"/>
              </a:solidFill>
            </a:rPr>
            <a:t>race of victim</a:t>
          </a:r>
        </a:p>
      </xdr:txBody>
    </xdr:sp>
    <xdr:clientData/>
  </xdr:twoCellAnchor>
  <xdr:twoCellAnchor>
    <xdr:from>
      <xdr:col>27</xdr:col>
      <xdr:colOff>44564</xdr:colOff>
      <xdr:row>719</xdr:row>
      <xdr:rowOff>145902</xdr:rowOff>
    </xdr:from>
    <xdr:to>
      <xdr:col>42</xdr:col>
      <xdr:colOff>161174</xdr:colOff>
      <xdr:row>729</xdr:row>
      <xdr:rowOff>174568</xdr:rowOff>
    </xdr:to>
    <xdr:sp macro="" textlink="">
      <xdr:nvSpPr>
        <xdr:cNvPr id="151" name="TextBox 150">
          <a:extLst>
            <a:ext uri="{FF2B5EF4-FFF2-40B4-BE49-F238E27FC236}">
              <a16:creationId xmlns:a16="http://schemas.microsoft.com/office/drawing/2014/main" id="{6A1F9223-9DCF-4B29-B36F-19C619B5FBBD}"/>
            </a:ext>
          </a:extLst>
        </xdr:cNvPr>
        <xdr:cNvSpPr txBox="1"/>
      </xdr:nvSpPr>
      <xdr:spPr>
        <a:xfrm>
          <a:off x="18341340" y="255583542"/>
          <a:ext cx="0" cy="1918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hestitancy</a:t>
          </a:r>
          <a:r>
            <a:rPr lang="en-US" sz="1100" b="1" i="0" u="none" strike="noStrike" baseline="0">
              <a:solidFill>
                <a:schemeClr val="dk1"/>
              </a:solidFill>
              <a:effectLst/>
              <a:latin typeface="+mn-lt"/>
              <a:ea typeface="+mn-ea"/>
              <a:cs typeface="+mn-cs"/>
            </a:rPr>
            <a:t> to trust or seek legal recourse:</a:t>
          </a:r>
        </a:p>
        <a:p>
          <a:r>
            <a:rPr lang="en-US" sz="1100" b="0" i="0" u="none" strike="noStrike" baseline="0">
              <a:solidFill>
                <a:schemeClr val="dk1"/>
              </a:solidFill>
              <a:effectLst/>
              <a:latin typeface="+mn-lt"/>
              <a:ea typeface="+mn-ea"/>
              <a:cs typeface="+mn-cs"/>
            </a:rPr>
            <a:t>fear of retraumatization</a:t>
          </a:r>
        </a:p>
        <a:p>
          <a:r>
            <a:rPr lang="en-US" sz="1100" b="0" i="0" u="none" strike="noStrike" baseline="0">
              <a:solidFill>
                <a:schemeClr val="dk1"/>
              </a:solidFill>
              <a:effectLst/>
              <a:latin typeface="+mn-lt"/>
              <a:ea typeface="+mn-ea"/>
              <a:cs typeface="+mn-cs"/>
            </a:rPr>
            <a:t>struggled with depression</a:t>
          </a:r>
        </a:p>
        <a:p>
          <a:r>
            <a:rPr lang="en-US" sz="1100" b="0" i="0" u="none" strike="noStrike" baseline="0">
              <a:solidFill>
                <a:schemeClr val="dk1"/>
              </a:solidFill>
              <a:effectLst/>
              <a:latin typeface="+mn-lt"/>
              <a:ea typeface="+mn-ea"/>
              <a:cs typeface="+mn-cs"/>
            </a:rPr>
            <a:t>fear of dismissiveness; low priority</a:t>
          </a:r>
        </a:p>
        <a:p>
          <a:r>
            <a:rPr lang="en-US" sz="1100" b="0" i="0" u="none" strike="noStrike" baseline="0">
              <a:solidFill>
                <a:schemeClr val="dk1"/>
              </a:solidFill>
              <a:effectLst/>
              <a:latin typeface="+mn-lt"/>
              <a:ea typeface="+mn-ea"/>
              <a:cs typeface="+mn-cs"/>
            </a:rPr>
            <a:t>anxiety  from trusting same process creating egregious error</a:t>
          </a:r>
        </a:p>
        <a:p>
          <a:r>
            <a:rPr lang="en-US" sz="1100" b="0" i="0" u="none" strike="noStrike" baseline="0">
              <a:solidFill>
                <a:schemeClr val="dk1"/>
              </a:solidFill>
              <a:effectLst/>
              <a:latin typeface="+mn-lt"/>
              <a:ea typeface="+mn-ea"/>
              <a:cs typeface="+mn-cs"/>
            </a:rPr>
            <a:t>anxiety from extremely slow process of court review</a:t>
          </a:r>
        </a:p>
        <a:p>
          <a:r>
            <a:rPr lang="en-US" sz="1100" b="0" i="0" u="none" strike="noStrike" baseline="0">
              <a:solidFill>
                <a:schemeClr val="dk1"/>
              </a:solidFill>
              <a:effectLst/>
              <a:latin typeface="+mn-lt"/>
              <a:ea typeface="+mn-ea"/>
              <a:cs typeface="+mn-cs"/>
            </a:rPr>
            <a:t>anxiety from prosecutor resisting admission of being wrong</a:t>
          </a:r>
        </a:p>
        <a:p>
          <a:r>
            <a:rPr lang="en-US" sz="1100" b="0" i="0" u="none" strike="noStrike" baseline="0">
              <a:solidFill>
                <a:schemeClr val="dk1"/>
              </a:solidFill>
              <a:effectLst/>
              <a:latin typeface="+mn-lt"/>
              <a:ea typeface="+mn-ea"/>
              <a:cs typeface="+mn-cs"/>
            </a:rPr>
            <a:t>anxiety from being denied review/reversal by technicality</a:t>
          </a:r>
        </a:p>
        <a:p>
          <a:r>
            <a:rPr lang="en-US" sz="1100" b="0" i="0" u="none" strike="noStrike" baseline="0">
              <a:solidFill>
                <a:schemeClr val="dk1"/>
              </a:solidFill>
              <a:effectLst/>
              <a:latin typeface="+mn-lt"/>
              <a:ea typeface="+mn-ea"/>
              <a:cs typeface="+mn-cs"/>
            </a:rPr>
            <a:t>disillusioned with process (no longer seeking exoneration)</a:t>
          </a:r>
        </a:p>
        <a:p>
          <a:r>
            <a:rPr lang="en-US" sz="1100" b="0" i="0" u="none" strike="noStrike" baseline="0">
              <a:solidFill>
                <a:schemeClr val="dk1"/>
              </a:solidFill>
              <a:effectLst/>
              <a:latin typeface="+mn-lt"/>
              <a:ea typeface="+mn-ea"/>
              <a:cs typeface="+mn-cs"/>
            </a:rPr>
            <a:t>conflict of interest</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twoCellAnchor>
    <xdr:from>
      <xdr:col>1</xdr:col>
      <xdr:colOff>205740</xdr:colOff>
      <xdr:row>1745</xdr:row>
      <xdr:rowOff>7620</xdr:rowOff>
    </xdr:from>
    <xdr:to>
      <xdr:col>3</xdr:col>
      <xdr:colOff>1668295</xdr:colOff>
      <xdr:row>1754</xdr:row>
      <xdr:rowOff>92750</xdr:rowOff>
    </xdr:to>
    <xdr:sp macro="" textlink="">
      <xdr:nvSpPr>
        <xdr:cNvPr id="152" name="TextBox 151">
          <a:extLst>
            <a:ext uri="{FF2B5EF4-FFF2-40B4-BE49-F238E27FC236}">
              <a16:creationId xmlns:a16="http://schemas.microsoft.com/office/drawing/2014/main" id="{6F34EAD0-D6EF-4CF9-B85C-18CEE5C0941B}"/>
            </a:ext>
          </a:extLst>
        </xdr:cNvPr>
        <xdr:cNvSpPr txBox="1"/>
      </xdr:nvSpPr>
      <xdr:spPr>
        <a:xfrm rot="387988">
          <a:off x="464820" y="331934820"/>
          <a:ext cx="4998235" cy="1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chemeClr val="accent2">
                  <a:lumMod val="60000"/>
                  <a:lumOff val="40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It is now easier for the accused to admit their human imperfections than for police and prosecutors to humbly and honestly admit theirs.</a:t>
          </a:r>
        </a:p>
      </xdr:txBody>
    </xdr:sp>
    <xdr:clientData/>
  </xdr:twoCellAnchor>
  <xdr:twoCellAnchor>
    <xdr:from>
      <xdr:col>1</xdr:col>
      <xdr:colOff>213360</xdr:colOff>
      <xdr:row>1745</xdr:row>
      <xdr:rowOff>22860</xdr:rowOff>
    </xdr:from>
    <xdr:to>
      <xdr:col>3</xdr:col>
      <xdr:colOff>1675915</xdr:colOff>
      <xdr:row>1754</xdr:row>
      <xdr:rowOff>107990</xdr:rowOff>
    </xdr:to>
    <xdr:sp macro="" textlink="">
      <xdr:nvSpPr>
        <xdr:cNvPr id="153" name="TextBox 152">
          <a:extLst>
            <a:ext uri="{FF2B5EF4-FFF2-40B4-BE49-F238E27FC236}">
              <a16:creationId xmlns:a16="http://schemas.microsoft.com/office/drawing/2014/main" id="{53A59B72-7C52-46A4-8C66-3AB2311A7269}"/>
            </a:ext>
          </a:extLst>
        </xdr:cNvPr>
        <xdr:cNvSpPr txBox="1"/>
      </xdr:nvSpPr>
      <xdr:spPr>
        <a:xfrm rot="387988">
          <a:off x="472440" y="331950060"/>
          <a:ext cx="4998235" cy="1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a:solidFill>
                <a:schemeClr val="accent2">
                  <a:lumMod val="75000"/>
                </a:schemeClr>
              </a:solidFill>
              <a:effectLst>
                <a:outerShdw blurRad="50800" dist="38100" dir="2700000" algn="tl" rotWithShape="0">
                  <a:schemeClr val="accent4">
                    <a:lumMod val="20000"/>
                    <a:lumOff val="80000"/>
                    <a:alpha val="40000"/>
                  </a:schemeClr>
                </a:outerShdw>
              </a:effectLst>
              <a:latin typeface="Arial Black" panose="020B0A04020102020204" pitchFamily="34" charset="0"/>
            </a:rPr>
            <a:t>It is now easier for the accused to admit their human imperfections than for police and prosecutors to humbly and honestly admit theirs.</a:t>
          </a:r>
        </a:p>
      </xdr:txBody>
    </xdr:sp>
    <xdr:clientData/>
  </xdr:twoCellAnchor>
  <xdr:twoCellAnchor>
    <xdr:from>
      <xdr:col>26</xdr:col>
      <xdr:colOff>0</xdr:colOff>
      <xdr:row>717</xdr:row>
      <xdr:rowOff>24675</xdr:rowOff>
    </xdr:from>
    <xdr:to>
      <xdr:col>26</xdr:col>
      <xdr:colOff>0</xdr:colOff>
      <xdr:row>745</xdr:row>
      <xdr:rowOff>144780</xdr:rowOff>
    </xdr:to>
    <xdr:grpSp>
      <xdr:nvGrpSpPr>
        <xdr:cNvPr id="154" name="Group 153">
          <a:extLst>
            <a:ext uri="{FF2B5EF4-FFF2-40B4-BE49-F238E27FC236}">
              <a16:creationId xmlns:a16="http://schemas.microsoft.com/office/drawing/2014/main" id="{C3F81DED-6EDB-47BA-A793-4B42C043FA84}"/>
            </a:ext>
          </a:extLst>
        </xdr:cNvPr>
        <xdr:cNvGrpSpPr/>
      </xdr:nvGrpSpPr>
      <xdr:grpSpPr>
        <a:xfrm>
          <a:off x="18341340" y="254898435"/>
          <a:ext cx="0" cy="5804625"/>
          <a:chOff x="10157459" y="255066075"/>
          <a:chExt cx="6972301" cy="5804625"/>
        </a:xfrm>
      </xdr:grpSpPr>
      <xdr:sp macro="" textlink="">
        <xdr:nvSpPr>
          <xdr:cNvPr id="155" name="TextBox 154">
            <a:extLst>
              <a:ext uri="{FF2B5EF4-FFF2-40B4-BE49-F238E27FC236}">
                <a16:creationId xmlns:a16="http://schemas.microsoft.com/office/drawing/2014/main" id="{B8468DDB-D36C-4969-95C7-5EAB5AF6B911}"/>
              </a:ext>
            </a:extLst>
          </xdr:cNvPr>
          <xdr:cNvSpPr txBox="1"/>
        </xdr:nvSpPr>
        <xdr:spPr>
          <a:xfrm>
            <a:off x="12877799" y="25506607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1 denied review</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never heard back from them</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convinced of your innocence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case lacks adequate documents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do not handle this type of case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prioritizing assistance to others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other</a:t>
            </a:r>
            <a:endParaRPr lang="en-US" sz="1100">
              <a:latin typeface="Times New Roman" panose="02020603050405020304" pitchFamily="18" charset="0"/>
              <a:cs typeface="Times New Roman" panose="02020603050405020304" pitchFamily="18" charset="0"/>
            </a:endParaRPr>
          </a:p>
        </xdr:txBody>
      </xdr:sp>
      <xdr:sp macro="" textlink="">
        <xdr:nvSpPr>
          <xdr:cNvPr id="156" name="TextBox 155">
            <a:extLst>
              <a:ext uri="{FF2B5EF4-FFF2-40B4-BE49-F238E27FC236}">
                <a16:creationId xmlns:a16="http://schemas.microsoft.com/office/drawing/2014/main" id="{8AE27B96-0C22-47EC-85EC-3BA1203E4A01}"/>
              </a:ext>
            </a:extLst>
          </xdr:cNvPr>
          <xdr:cNvSpPr txBox="1"/>
        </xdr:nvSpPr>
        <xdr:spPr>
          <a:xfrm>
            <a:off x="15041879" y="25890655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8 disillusioned with process</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at all and eager to try again</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somewhat but hanging on to hope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increasingly disapppointed</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tempted to give up trying</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fully disillusioned, gave up hope</a:t>
            </a:r>
            <a:endParaRPr lang="en-US" sz="1100">
              <a:latin typeface="Times New Roman" panose="02020603050405020304" pitchFamily="18" charset="0"/>
              <a:cs typeface="Times New Roman" panose="02020603050405020304" pitchFamily="18" charset="0"/>
            </a:endParaRPr>
          </a:p>
        </xdr:txBody>
      </xdr:sp>
      <xdr:sp macro="" textlink="">
        <xdr:nvSpPr>
          <xdr:cNvPr id="157" name="TextBox 156">
            <a:extLst>
              <a:ext uri="{FF2B5EF4-FFF2-40B4-BE49-F238E27FC236}">
                <a16:creationId xmlns:a16="http://schemas.microsoft.com/office/drawing/2014/main" id="{4AAE5D8C-4FBB-4EB4-981B-EB1806A7EFED}"/>
              </a:ext>
            </a:extLst>
          </xdr:cNvPr>
          <xdr:cNvSpPr txBox="1"/>
        </xdr:nvSpPr>
        <xdr:spPr>
          <a:xfrm>
            <a:off x="12877799" y="256353855"/>
            <a:ext cx="2087881" cy="13012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2 retraumatization risk</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trauma or risk of trauma</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losing some focus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reliving the nightmare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shutting down entirely</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complicating the damage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risks lethal damage, suicide</a:t>
            </a:r>
          </a:p>
        </xdr:txBody>
      </xdr:sp>
      <xdr:sp macro="" textlink="">
        <xdr:nvSpPr>
          <xdr:cNvPr id="158" name="TextBox 157">
            <a:extLst>
              <a:ext uri="{FF2B5EF4-FFF2-40B4-BE49-F238E27FC236}">
                <a16:creationId xmlns:a16="http://schemas.microsoft.com/office/drawing/2014/main" id="{B27FAD1B-1A7A-4AF6-AECF-699D65EA370E}"/>
              </a:ext>
            </a:extLst>
          </xdr:cNvPr>
          <xdr:cNvSpPr txBox="1"/>
        </xdr:nvSpPr>
        <xdr:spPr>
          <a:xfrm>
            <a:off x="12870179" y="2577178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3 depression</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none linked to legal-jud.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moderate level linkable to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often feel de-energized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routinely immobilized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constantly incapacitated by it</a:t>
            </a:r>
          </a:p>
          <a:p>
            <a:endParaRPr lang="en-US" sz="1100">
              <a:latin typeface="Times New Roman" panose="02020603050405020304" pitchFamily="18" charset="0"/>
              <a:cs typeface="Times New Roman" panose="02020603050405020304" pitchFamily="18" charset="0"/>
            </a:endParaRPr>
          </a:p>
        </xdr:txBody>
      </xdr:sp>
      <xdr:sp macro="" textlink="">
        <xdr:nvSpPr>
          <xdr:cNvPr id="159" name="TextBox 158">
            <a:extLst>
              <a:ext uri="{FF2B5EF4-FFF2-40B4-BE49-F238E27FC236}">
                <a16:creationId xmlns:a16="http://schemas.microsoft.com/office/drawing/2014/main" id="{D4D93DC1-5C58-451B-9E9B-7A25EC808CD0}"/>
              </a:ext>
            </a:extLst>
          </xdr:cNvPr>
          <xdr:cNvSpPr txBox="1"/>
        </xdr:nvSpPr>
        <xdr:spPr>
          <a:xfrm>
            <a:off x="15034259" y="25506607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5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worried it may take years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concerned it may take many years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worried it may take decades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afraid justice will come too late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terrified justice will never come </a:t>
            </a:r>
            <a:endParaRPr lang="en-US" sz="1100">
              <a:latin typeface="Times New Roman" panose="02020603050405020304" pitchFamily="18" charset="0"/>
              <a:cs typeface="Times New Roman" panose="02020603050405020304" pitchFamily="18" charset="0"/>
            </a:endParaRPr>
          </a:p>
        </xdr:txBody>
      </xdr:sp>
      <xdr:sp macro="" textlink="">
        <xdr:nvSpPr>
          <xdr:cNvPr id="160" name="TextBox 159">
            <a:extLst>
              <a:ext uri="{FF2B5EF4-FFF2-40B4-BE49-F238E27FC236}">
                <a16:creationId xmlns:a16="http://schemas.microsoft.com/office/drawing/2014/main" id="{33640353-C93F-4A24-AEF7-FE4A32FE4004}"/>
              </a:ext>
            </a:extLst>
          </xdr:cNvPr>
          <xdr:cNvSpPr txBox="1"/>
        </xdr:nvSpPr>
        <xdr:spPr>
          <a:xfrm>
            <a:off x="12870179" y="2590132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4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anxiety trusting court process</a:t>
            </a:r>
          </a:p>
          <a:p>
            <a:r>
              <a:rPr lang="en-US" sz="1100">
                <a:latin typeface="Times New Roman" panose="02020603050405020304" pitchFamily="18" charset="0"/>
                <a:cs typeface="Times New Roman" panose="02020603050405020304" pitchFamily="18" charset="0"/>
              </a:rPr>
              <a:t>slightly</a:t>
            </a:r>
            <a:r>
              <a:rPr lang="en-US" sz="1100" baseline="0">
                <a:latin typeface="Times New Roman" panose="02020603050405020304" pitchFamily="18" charset="0"/>
                <a:cs typeface="Times New Roman" panose="02020603050405020304" pitchFamily="18" charset="0"/>
              </a:rPr>
              <a:t> wary of trusting courts</a:t>
            </a:r>
          </a:p>
          <a:p>
            <a:r>
              <a:rPr lang="en-US" sz="1100" baseline="0">
                <a:latin typeface="Times New Roman" panose="02020603050405020304" pitchFamily="18" charset="0"/>
                <a:cs typeface="Times New Roman" panose="02020603050405020304" pitchFamily="18" charset="0"/>
              </a:rPr>
              <a:t>worried process will go poorly</a:t>
            </a:r>
          </a:p>
          <a:p>
            <a:r>
              <a:rPr lang="en-US" sz="1100" baseline="0">
                <a:latin typeface="Times New Roman" panose="02020603050405020304" pitchFamily="18" charset="0"/>
                <a:cs typeface="Times New Roman" panose="02020603050405020304" pitchFamily="18" charset="0"/>
              </a:rPr>
              <a:t>afraid courts cannot face its errors</a:t>
            </a:r>
          </a:p>
          <a:p>
            <a:r>
              <a:rPr lang="en-US" sz="1100" baseline="0">
                <a:latin typeface="Times New Roman" panose="02020603050405020304" pitchFamily="18" charset="0"/>
                <a:cs typeface="Times New Roman" panose="02020603050405020304" pitchFamily="18" charset="0"/>
              </a:rPr>
              <a:t>terrified having to rely on courts</a:t>
            </a:r>
          </a:p>
        </xdr:txBody>
      </xdr:sp>
      <xdr:sp macro="" textlink="">
        <xdr:nvSpPr>
          <xdr:cNvPr id="161" name="TextBox 160">
            <a:extLst>
              <a:ext uri="{FF2B5EF4-FFF2-40B4-BE49-F238E27FC236}">
                <a16:creationId xmlns:a16="http://schemas.microsoft.com/office/drawing/2014/main" id="{264422BD-61CA-4838-B444-C6CE97CFF7E2}"/>
              </a:ext>
            </a:extLst>
          </xdr:cNvPr>
          <xdr:cNvSpPr txBox="1"/>
        </xdr:nvSpPr>
        <xdr:spPr>
          <a:xfrm>
            <a:off x="15026639" y="25762639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7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 anxiety being out of the loop</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some vulnerability to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manipulated by the process </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controlled by the process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feel paralyzed by the process</a:t>
            </a:r>
            <a:endParaRPr lang="en-US" sz="1100">
              <a:latin typeface="Times New Roman" panose="02020603050405020304" pitchFamily="18" charset="0"/>
              <a:cs typeface="Times New Roman" panose="02020603050405020304" pitchFamily="18" charset="0"/>
            </a:endParaRPr>
          </a:p>
        </xdr:txBody>
      </xdr:sp>
      <xdr:sp macro="" textlink="">
        <xdr:nvSpPr>
          <xdr:cNvPr id="162" name="TextBox 161">
            <a:extLst>
              <a:ext uri="{FF2B5EF4-FFF2-40B4-BE49-F238E27FC236}">
                <a16:creationId xmlns:a16="http://schemas.microsoft.com/office/drawing/2014/main" id="{C52C0CE4-710A-4BEE-973E-71A47B13B24F}"/>
              </a:ext>
            </a:extLst>
          </xdr:cNvPr>
          <xdr:cNvSpPr txBox="1"/>
        </xdr:nvSpPr>
        <xdr:spPr>
          <a:xfrm>
            <a:off x="15026639" y="256346235"/>
            <a:ext cx="2087881" cy="123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6 anxiety</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worried at all about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slightly concerned by it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worried about innoconce deniers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afraid of their conflicts of interest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fear judiciary opposes full justice</a:t>
            </a:r>
            <a:endParaRPr lang="en-US" sz="1100">
              <a:latin typeface="Times New Roman" panose="02020603050405020304" pitchFamily="18" charset="0"/>
              <a:cs typeface="Times New Roman" panose="02020603050405020304" pitchFamily="18" charset="0"/>
            </a:endParaRPr>
          </a:p>
        </xdr:txBody>
      </xdr:sp>
      <xdr:sp macro="" textlink="">
        <xdr:nvSpPr>
          <xdr:cNvPr id="163" name="TextBox 162">
            <a:extLst>
              <a:ext uri="{FF2B5EF4-FFF2-40B4-BE49-F238E27FC236}">
                <a16:creationId xmlns:a16="http://schemas.microsoft.com/office/drawing/2014/main" id="{F7CEAA23-2A29-4B67-979C-E935063EB5B2}"/>
              </a:ext>
            </a:extLst>
          </xdr:cNvPr>
          <xdr:cNvSpPr txBox="1"/>
        </xdr:nvSpPr>
        <xdr:spPr>
          <a:xfrm>
            <a:off x="10157459" y="259638075"/>
            <a:ext cx="2087881" cy="1232625"/>
          </a:xfrm>
          <a:prstGeom prst="rect">
            <a:avLst/>
          </a:prstGeom>
          <a:solidFill>
            <a:schemeClr val="accent6">
              <a:lumMod val="20000"/>
              <a:lumOff val="8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rIns="0" rtlCol="0" anchor="t"/>
          <a:lstStyle/>
          <a:p>
            <a:r>
              <a:rPr lang="en-US" sz="1100" b="1" i="0" u="none" strike="noStrike">
                <a:solidFill>
                  <a:schemeClr val="dk1"/>
                </a:solidFill>
                <a:effectLst/>
                <a:latin typeface="Tahoma" panose="020B0604030504040204" pitchFamily="34" charset="0"/>
                <a:ea typeface="Tahoma" panose="020B0604030504040204" pitchFamily="34" charset="0"/>
                <a:cs typeface="Tahoma" panose="020B0604030504040204" pitchFamily="34" charset="0"/>
              </a:rPr>
              <a:t>1 denied review</a:t>
            </a:r>
            <a:r>
              <a:rPr lang="en-US" sz="1100" b="1" i="0" u="none" strike="noStrike"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never heard back from them</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not convinced of your innocence</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case lacks adequate documents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do not handle your type of case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prioritizing assistance to others</a:t>
            </a:r>
          </a:p>
          <a:p>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other</a:t>
            </a:r>
            <a:endParaRPr lang="en-US" sz="1100">
              <a:latin typeface="Times New Roman" panose="02020603050405020304" pitchFamily="18" charset="0"/>
              <a:cs typeface="Times New Roman" panose="02020603050405020304" pitchFamily="18" charset="0"/>
            </a:endParaRPr>
          </a:p>
        </xdr:txBody>
      </xdr:sp>
    </xdr:grpSp>
    <xdr:clientData/>
  </xdr:twoCellAnchor>
  <xdr:twoCellAnchor>
    <xdr:from>
      <xdr:col>29</xdr:col>
      <xdr:colOff>0</xdr:colOff>
      <xdr:row>756</xdr:row>
      <xdr:rowOff>0</xdr:rowOff>
    </xdr:from>
    <xdr:to>
      <xdr:col>50</xdr:col>
      <xdr:colOff>100216</xdr:colOff>
      <xdr:row>759</xdr:row>
      <xdr:rowOff>166518</xdr:rowOff>
    </xdr:to>
    <xdr:sp macro="" textlink="">
      <xdr:nvSpPr>
        <xdr:cNvPr id="164" name="TextBox 163">
          <a:extLst>
            <a:ext uri="{FF2B5EF4-FFF2-40B4-BE49-F238E27FC236}">
              <a16:creationId xmlns:a16="http://schemas.microsoft.com/office/drawing/2014/main" id="{D6182846-5DA9-4E2F-BF2F-C817BCF976CB}"/>
            </a:ext>
          </a:extLst>
        </xdr:cNvPr>
        <xdr:cNvSpPr txBox="1"/>
      </xdr:nvSpPr>
      <xdr:spPr>
        <a:xfrm>
          <a:off x="18341340" y="262653780"/>
          <a:ext cx="0" cy="738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Painful</a:t>
          </a:r>
          <a:r>
            <a:rPr lang="en-US" sz="1100" b="1" i="0" u="none" strike="noStrike" baseline="0">
              <a:solidFill>
                <a:schemeClr val="dk1"/>
              </a:solidFill>
              <a:effectLst/>
              <a:latin typeface="+mn-lt"/>
              <a:ea typeface="+mn-ea"/>
              <a:cs typeface="+mn-cs"/>
            </a:rPr>
            <a:t> experiences with the adversarial legal-judicial system helps account for the estimated high volume of unexonerated innocent. This tool exists independent of the judiciary and can either complement it or compete with it. </a:t>
          </a:r>
        </a:p>
        <a:p>
          <a:endParaRPr lang="en-US" sz="1100" b="1" i="0" u="none" strike="noStrike" baseline="0">
            <a:solidFill>
              <a:schemeClr val="dk1"/>
            </a:solidFill>
            <a:effectLst/>
            <a:latin typeface="+mn-lt"/>
            <a:ea typeface="+mn-ea"/>
            <a:cs typeface="+mn-cs"/>
          </a:endParaRPr>
        </a:p>
        <a:p>
          <a:r>
            <a:rPr lang="en-US">
              <a:effectLst/>
            </a:rPr>
            <a:t>legitimacy</a:t>
          </a:r>
        </a:p>
        <a:p>
          <a:pPr marL="0" marR="0" lvl="0" indent="0" defTabSz="914400" eaLnBrk="1" fontAlgn="auto" latinLnBrk="0" hangingPunct="1">
            <a:lnSpc>
              <a:spcPct val="100000"/>
            </a:lnSpc>
            <a:spcBef>
              <a:spcPts val="0"/>
            </a:spcBef>
            <a:spcAft>
              <a:spcPts val="0"/>
            </a:spcAft>
            <a:buClrTx/>
            <a:buSzTx/>
            <a:buFontTx/>
            <a:buNone/>
            <a:tabLst/>
            <a:defRPr/>
          </a:pPr>
          <a:r>
            <a:rPr lang="en-US">
              <a:effectLst/>
            </a:rPr>
            <a:t>EIT option</a:t>
          </a:r>
        </a:p>
        <a:p>
          <a:endParaRPr lang="en-US" sz="1100"/>
        </a:p>
      </xdr:txBody>
    </xdr:sp>
    <xdr:clientData/>
  </xdr:twoCellAnchor>
  <xdr:twoCellAnchor>
    <xdr:from>
      <xdr:col>0</xdr:col>
      <xdr:colOff>100363</xdr:colOff>
      <xdr:row>1648</xdr:row>
      <xdr:rowOff>4662</xdr:rowOff>
    </xdr:from>
    <xdr:to>
      <xdr:col>5</xdr:col>
      <xdr:colOff>13097</xdr:colOff>
      <xdr:row>1660</xdr:row>
      <xdr:rowOff>50466</xdr:rowOff>
    </xdr:to>
    <xdr:sp macro="" textlink="">
      <xdr:nvSpPr>
        <xdr:cNvPr id="165" name="Text Box 12">
          <a:extLst>
            <a:ext uri="{FF2B5EF4-FFF2-40B4-BE49-F238E27FC236}">
              <a16:creationId xmlns:a16="http://schemas.microsoft.com/office/drawing/2014/main" id="{B1B22255-2CB3-44EB-B5F4-DA09957199B2}"/>
            </a:ext>
          </a:extLst>
        </xdr:cNvPr>
        <xdr:cNvSpPr txBox="1"/>
      </xdr:nvSpPr>
      <xdr:spPr>
        <a:xfrm rot="21221143">
          <a:off x="100363" y="314916402"/>
          <a:ext cx="5871574" cy="2148924"/>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In this present</a:t>
          </a:r>
          <a:r>
            <a:rPr lang="en-US" sz="18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crisis, to paraphrase Ronald Reagan, the criminal justice system is not the solution to the problem. The criminal justice system is the problem.</a:t>
          </a:r>
          <a:endParaRPr lang="en-US" sz="16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96582</xdr:colOff>
      <xdr:row>1663</xdr:row>
      <xdr:rowOff>19533</xdr:rowOff>
    </xdr:from>
    <xdr:to>
      <xdr:col>5</xdr:col>
      <xdr:colOff>9316</xdr:colOff>
      <xdr:row>1676</xdr:row>
      <xdr:rowOff>46490</xdr:rowOff>
    </xdr:to>
    <xdr:sp macro="" textlink="">
      <xdr:nvSpPr>
        <xdr:cNvPr id="166" name="Text Box 12">
          <a:extLst>
            <a:ext uri="{FF2B5EF4-FFF2-40B4-BE49-F238E27FC236}">
              <a16:creationId xmlns:a16="http://schemas.microsoft.com/office/drawing/2014/main" id="{B5900493-59CE-4028-8FD8-66BDE3B8202F}"/>
            </a:ext>
          </a:extLst>
        </xdr:cNvPr>
        <xdr:cNvSpPr txBox="1"/>
      </xdr:nvSpPr>
      <xdr:spPr>
        <a:xfrm rot="328490">
          <a:off x="96582" y="317560173"/>
          <a:ext cx="5871574" cy="2305337"/>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It is difficult to get either side to see the adversarial system’s conflict of interest, to paraphrase Sinclair Lewis, when their power depends on them not seeing it.</a:t>
          </a:r>
        </a:p>
      </xdr:txBody>
    </xdr:sp>
    <xdr:clientData/>
  </xdr:twoCellAnchor>
  <xdr:twoCellAnchor>
    <xdr:from>
      <xdr:col>0</xdr:col>
      <xdr:colOff>146320</xdr:colOff>
      <xdr:row>1678</xdr:row>
      <xdr:rowOff>79589</xdr:rowOff>
    </xdr:from>
    <xdr:to>
      <xdr:col>5</xdr:col>
      <xdr:colOff>59054</xdr:colOff>
      <xdr:row>1693</xdr:row>
      <xdr:rowOff>19647</xdr:rowOff>
    </xdr:to>
    <xdr:sp macro="" textlink="">
      <xdr:nvSpPr>
        <xdr:cNvPr id="167" name="Text Box 12">
          <a:extLst>
            <a:ext uri="{FF2B5EF4-FFF2-40B4-BE49-F238E27FC236}">
              <a16:creationId xmlns:a16="http://schemas.microsoft.com/office/drawing/2014/main" id="{4430CEE2-C733-4CCC-AB6F-678F23812935}"/>
            </a:ext>
          </a:extLst>
        </xdr:cNvPr>
        <xdr:cNvSpPr txBox="1"/>
      </xdr:nvSpPr>
      <xdr:spPr>
        <a:xfrm rot="21221143">
          <a:off x="146320" y="320249129"/>
          <a:ext cx="5871574" cy="2568958"/>
        </a:xfrm>
        <a:prstGeom prst="rect">
          <a:avLst/>
        </a:prstGeom>
        <a:solidFill>
          <a:srgbClr val="C896FA"/>
        </a:solidFill>
        <a:ln w="6350">
          <a:noFill/>
        </a:ln>
        <a:effectLst>
          <a:outerShdw blurRad="50800" dist="38100" dir="2700000" algn="tl" rotWithShape="0">
            <a:prstClr val="black">
              <a:alpha val="40000"/>
            </a:prstClr>
          </a:outerShdw>
        </a:effectLst>
      </xdr:spPr>
      <xdr:txBody>
        <a:bodyPr rot="0" spcFirstLastPara="0" vert="horz" wrap="square" lIns="91440" tIns="45720" rIns="91440" bIns="45720" numCol="1" spcCol="0" rtlCol="0" fromWordArt="0" anchor="ctr" anchorCtr="0" forceAA="0" upright="1" compatLnSpc="1">
          <a:prstTxWarp prst="textNoShape">
            <a:avLst/>
          </a:prstTxWarp>
          <a:noAutofit/>
        </a:bodyPr>
        <a:lstStyle/>
        <a:p>
          <a:pPr rtl="0" eaLnBrk="1" latinLnBrk="0" hangingPunct="1"/>
          <a:r>
            <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The adversarial system</a:t>
          </a:r>
          <a:r>
            <a:rPr lang="en-US" sz="1800" baseline="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rPr>
            <a:t> divides human beings into winners and losers of a court battle. It anchors objectified human beings to untested beliefs. Meanwwhile, the many lives it impacts remains anchored to painful reality.</a:t>
          </a:r>
          <a:endParaRPr lang="en-US" sz="1800">
            <a:ln w="9525" cap="rnd" cmpd="sng" algn="ctr">
              <a:solidFill>
                <a:srgbClr val="7030A0"/>
              </a:solidFill>
              <a:prstDash val="solid"/>
              <a:bevel/>
            </a:ln>
            <a:gradFill>
              <a:gsLst>
                <a:gs pos="0">
                  <a:srgbClr val="F6F8FC"/>
                </a:gs>
                <a:gs pos="100000">
                  <a:srgbClr val="E2F0D9"/>
                </a:gs>
              </a:gsLst>
              <a:lin ang="5400000" scaled="0"/>
            </a:gradFill>
            <a:effectLst>
              <a:outerShdw blurRad="50800" dist="38100" dir="16200000">
                <a:srgbClr val="7030A0">
                  <a:alpha val="70000"/>
                </a:srgbClr>
              </a:outerShdw>
            </a:effectLst>
            <a:latin typeface="Arial Black" panose="020B0A0402010202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68580</xdr:colOff>
      <xdr:row>764</xdr:row>
      <xdr:rowOff>441960</xdr:rowOff>
    </xdr:from>
    <xdr:to>
      <xdr:col>2</xdr:col>
      <xdr:colOff>1405825</xdr:colOff>
      <xdr:row>764</xdr:row>
      <xdr:rowOff>1969226</xdr:rowOff>
    </xdr:to>
    <xdr:pic>
      <xdr:nvPicPr>
        <xdr:cNvPr id="175" name="Picture 174" descr="Maps, Country, America, States, Land, Geography, Us">
          <a:hlinkClick xmlns:r="http://schemas.openxmlformats.org/officeDocument/2006/relationships" r:id="rId38" tooltip="Clicking on map takes you to a website listing collateral consequences by state."/>
          <a:extLst>
            <a:ext uri="{FF2B5EF4-FFF2-40B4-BE49-F238E27FC236}">
              <a16:creationId xmlns:a16="http://schemas.microsoft.com/office/drawing/2014/main" id="{1F9A2D62-FBDE-43D1-8C9D-7739BB202761}"/>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327660" y="264756900"/>
          <a:ext cx="2419285" cy="1527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182880</xdr:colOff>
      <xdr:row>1756</xdr:row>
      <xdr:rowOff>22859</xdr:rowOff>
    </xdr:from>
    <xdr:to>
      <xdr:col>3</xdr:col>
      <xdr:colOff>1695544</xdr:colOff>
      <xdr:row>1773</xdr:row>
      <xdr:rowOff>57422</xdr:rowOff>
    </xdr:to>
    <xdr:pic>
      <xdr:nvPicPr>
        <xdr:cNvPr id="176" name="Picture 175">
          <a:extLst>
            <a:ext uri="{FF2B5EF4-FFF2-40B4-BE49-F238E27FC236}">
              <a16:creationId xmlns:a16="http://schemas.microsoft.com/office/drawing/2014/main" id="{C45FD38A-B9A2-4DD7-A05A-F600B21D2BEE}"/>
            </a:ext>
          </a:extLst>
        </xdr:cNvPr>
        <xdr:cNvPicPr>
          <a:picLocks noChangeAspect="1"/>
        </xdr:cNvPicPr>
      </xdr:nvPicPr>
      <xdr:blipFill>
        <a:blip xmlns:r="http://schemas.openxmlformats.org/officeDocument/2006/relationships" r:embed="rId40"/>
        <a:stretch>
          <a:fillRect/>
        </a:stretch>
      </xdr:blipFill>
      <xdr:spPr>
        <a:xfrm rot="21406620">
          <a:off x="182880" y="333877919"/>
          <a:ext cx="5307424" cy="30139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sao4th.com/about/programs-and-initiatives/community-engagement/" TargetMode="External"/><Relationship Id="rId13" Type="http://schemas.openxmlformats.org/officeDocument/2006/relationships/hyperlink" Target="https://www.sao4th.com/about/programs-and-initiatives/mental-health/" TargetMode="External"/><Relationship Id="rId18" Type="http://schemas.openxmlformats.org/officeDocument/2006/relationships/hyperlink" Target="https://www.law.umich.edu/special/exoneration/Documents/CompensationByState_InnocenceProject.pdf" TargetMode="External"/><Relationship Id="rId26" Type="http://schemas.openxmlformats.org/officeDocument/2006/relationships/hyperlink" Target="https://leg.mt.gov/content/Committees/Interim/2019-2020/Law-and-Justice/Meetings/Nov-2019/sj19-doj-map-sex-offenders-per-capita-november-2019.pdf" TargetMode="External"/><Relationship Id="rId39" Type="http://schemas.openxmlformats.org/officeDocument/2006/relationships/drawing" Target="../drawings/drawing1.xml"/><Relationship Id="rId3" Type="http://schemas.openxmlformats.org/officeDocument/2006/relationships/hyperlink" Target="https://www.law.umich.edu/special/exoneration/Documents/CompensationByState_InnocenceProject.pdf" TargetMode="External"/><Relationship Id="rId21" Type="http://schemas.openxmlformats.org/officeDocument/2006/relationships/hyperlink" Target="http://www.wrongfulconvictionlawyers.com/state-statutes/" TargetMode="External"/><Relationship Id="rId34" Type="http://schemas.openxmlformats.org/officeDocument/2006/relationships/hyperlink" Target="https://www.urban.org/sites/default/files/publication/25506/412589-Post-Conviction-DNA-Testing-and-Wrongful-Conviction.PDF" TargetMode="External"/><Relationship Id="rId42" Type="http://schemas.openxmlformats.org/officeDocument/2006/relationships/comments" Target="../comments1.xml"/><Relationship Id="rId7" Type="http://schemas.openxmlformats.org/officeDocument/2006/relationships/hyperlink" Target="https://www.americanbar.org/content/dam/aba/publications/criminal_justice_magazine/v31/chandler.authcheckdam.pdf" TargetMode="External"/><Relationship Id="rId12" Type="http://schemas.openxmlformats.org/officeDocument/2006/relationships/hyperlink" Target="https://www.sao4th.com/about/programs-and-initiatives/juvenile-justice/" TargetMode="External"/><Relationship Id="rId17" Type="http://schemas.openxmlformats.org/officeDocument/2006/relationships/hyperlink" Target="https://www.sao4th.com/about/programs-and-initiatives/violent-crime/" TargetMode="External"/><Relationship Id="rId25" Type="http://schemas.openxmlformats.org/officeDocument/2006/relationships/hyperlink" Target="http://scholarship.kentlaw.iit.edu/cgi/viewcontent.cgi?article=3595&amp;context=cklawreview" TargetMode="External"/><Relationship Id="rId33" Type="http://schemas.openxmlformats.org/officeDocument/2006/relationships/hyperlink" Target="https://www.pnas.org/content/pnas/111/20/7230.full.pdf" TargetMode="External"/><Relationship Id="rId38" Type="http://schemas.openxmlformats.org/officeDocument/2006/relationships/printerSettings" Target="../printerSettings/printerSettings1.bin"/><Relationship Id="rId2" Type="http://schemas.openxmlformats.org/officeDocument/2006/relationships/hyperlink" Target="https://www.judgesforjustice.org/" TargetMode="External"/><Relationship Id="rId16" Type="http://schemas.openxmlformats.org/officeDocument/2006/relationships/hyperlink" Target="https://www.sao4th.com/about/programs-and-initiatives/restorative-justice/" TargetMode="External"/><Relationship Id="rId20" Type="http://schemas.openxmlformats.org/officeDocument/2006/relationships/hyperlink" Target="https://www.attorneygeneral.jus.gov.on.ca/inquiries/goudge/policy_research/pdf/Macfarlane_Wrongful-Convictions.pdf" TargetMode="External"/><Relationship Id="rId29" Type="http://schemas.openxmlformats.org/officeDocument/2006/relationships/hyperlink" Target="https://globalwrong.files.wordpress.com/2012/04/qual-estimate-zal-clb-2012.pdf" TargetMode="External"/><Relationship Id="rId41" Type="http://schemas.openxmlformats.org/officeDocument/2006/relationships/vmlDrawing" Target="../drawings/vmlDrawing2.vml"/><Relationship Id="rId1" Type="http://schemas.openxmlformats.org/officeDocument/2006/relationships/hyperlink" Target="http://www.innocenceproject.org/causes-wrongful-conviction/eyewitness-misidentification" TargetMode="External"/><Relationship Id="rId6" Type="http://schemas.openxmlformats.org/officeDocument/2006/relationships/hyperlink" Target="https://www.wibbitz.com/" TargetMode="External"/><Relationship Id="rId11" Type="http://schemas.openxmlformats.org/officeDocument/2006/relationships/hyperlink" Target="https://www.sao4th.com/about/programs-and-initiatives/human-rights-division/" TargetMode="External"/><Relationship Id="rId24" Type="http://schemas.openxmlformats.org/officeDocument/2006/relationships/hyperlink" Target="https://www.law.cornell.edu/uscode/text/28/2513" TargetMode="External"/><Relationship Id="rId32" Type="http://schemas.openxmlformats.org/officeDocument/2006/relationships/hyperlink" Target="https://scholarlycommons.law.northwestern.edu/cgi/viewcontent.cgi?article=7269&amp;context=jclc" TargetMode="External"/><Relationship Id="rId37" Type="http://schemas.openxmlformats.org/officeDocument/2006/relationships/hyperlink" Target="https://www.tandfonline.com/doi/abs/10.1080/07418820100095061" TargetMode="External"/><Relationship Id="rId40" Type="http://schemas.openxmlformats.org/officeDocument/2006/relationships/vmlDrawing" Target="../drawings/vmlDrawing1.vml"/><Relationship Id="rId5" Type="http://schemas.openxmlformats.org/officeDocument/2006/relationships/hyperlink" Target="https://www.ncsc.org/~/media/Files/PDF/Publications/Justice%20System%20Journal/Collateral%20Consequences.ashx" TargetMode="External"/><Relationship Id="rId15" Type="http://schemas.openxmlformats.org/officeDocument/2006/relationships/hyperlink" Target="https://www.sao4th.com/about/programs-and-initiatives/restitution/" TargetMode="External"/><Relationship Id="rId23" Type="http://schemas.openxmlformats.org/officeDocument/2006/relationships/hyperlink" Target="http://www.kslegislature.org/li_2018/b2017_18/measures/hb2579/" TargetMode="External"/><Relationship Id="rId28" Type="http://schemas.openxmlformats.org/officeDocument/2006/relationships/hyperlink" Target="https://www.supremecourt.gov/opinions/05pdf/04-1170.pdf" TargetMode="External"/><Relationship Id="rId36" Type="http://schemas.openxmlformats.org/officeDocument/2006/relationships/hyperlink" Target="https://www.ojp.gov/pdffiles1/nij/grants/251115.pdf" TargetMode="External"/><Relationship Id="rId10" Type="http://schemas.openxmlformats.org/officeDocument/2006/relationships/hyperlink" Target="https://www.sao4th.com/about/programs-and-initiatives/diversion/" TargetMode="External"/><Relationship Id="rId19" Type="http://schemas.openxmlformats.org/officeDocument/2006/relationships/hyperlink" Target="https://en.wikipedia.org/wiki/Noble_cause_corruption" TargetMode="External"/><Relationship Id="rId31" Type="http://schemas.openxmlformats.org/officeDocument/2006/relationships/hyperlink" Target="https://repository.law.umich.edu/cgi/viewcontent.cgi?article=2591&amp;context=articles" TargetMode="External"/><Relationship Id="rId4" Type="http://schemas.openxmlformats.org/officeDocument/2006/relationships/hyperlink" Target="http://www.legislature.mi.gov/(S(4fmhducin04b0mgzzufco1nw))/mileg.aspx?page=getObject&amp;objectName=mcl-691-1751" TargetMode="External"/><Relationship Id="rId9" Type="http://schemas.openxmlformats.org/officeDocument/2006/relationships/hyperlink" Target="https://www.sao4th.com/about/programs-and-initiatives/community-prosecution/" TargetMode="External"/><Relationship Id="rId14" Type="http://schemas.openxmlformats.org/officeDocument/2006/relationships/hyperlink" Target="https://www.sao4th.com/about/programs-and-initiatives/public-corruption/" TargetMode="External"/><Relationship Id="rId22" Type="http://schemas.openxmlformats.org/officeDocument/2006/relationships/hyperlink" Target="https://www.southbendtribune.com/news/indiana/new-indiana-law-allows-exonerated-prisoners-to-be-compensated/article_4bb47ea8-0716-5c17-9778-9ae0fda90f43.html" TargetMode="External"/><Relationship Id="rId27" Type="http://schemas.openxmlformats.org/officeDocument/2006/relationships/hyperlink" Target="https://arizonalawreview.org/pdf/60-4/60arizlrev815.pdf" TargetMode="External"/><Relationship Id="rId30" Type="http://schemas.openxmlformats.org/officeDocument/2006/relationships/hyperlink" Target="https://www.researchgate.net/profile/James_Frank4/publication/249718672_Wrongful_ConvictionPerceptions_of_Criminal_Justice_Professionals_Regarding_the_Frequency_of_Wrongful_Conviction_and_the_Extent_of_System_Errors/links/55ca102408aea2d9bdcbf557.pdf" TargetMode="External"/><Relationship Id="rId35" Type="http://schemas.openxmlformats.org/officeDocument/2006/relationships/hyperlink" Target="https://link.springer.com/article/10.1007/s10940-018-9381-1"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sao4th.com/about/programs-and-initiatives/mental-health/" TargetMode="External"/><Relationship Id="rId18" Type="http://schemas.openxmlformats.org/officeDocument/2006/relationships/hyperlink" Target="https://www.law.umich.edu/special/exoneration/Documents/CompensationByState_InnocenceProject.pdf" TargetMode="External"/><Relationship Id="rId26" Type="http://schemas.openxmlformats.org/officeDocument/2006/relationships/hyperlink" Target="https://en.wikipedia.org/wiki/Noble_cause_corruption" TargetMode="External"/><Relationship Id="rId39" Type="http://schemas.openxmlformats.org/officeDocument/2006/relationships/hyperlink" Target="https://scholarlycommons.law.northwestern.edu/cgi/viewcontent.cgi?article=7269&amp;context=jclc" TargetMode="External"/><Relationship Id="rId3" Type="http://schemas.openxmlformats.org/officeDocument/2006/relationships/hyperlink" Target="https://www.law.umich.edu/special/exoneration/Documents/CompensationByState_InnocenceProject.pdf" TargetMode="External"/><Relationship Id="rId21" Type="http://schemas.openxmlformats.org/officeDocument/2006/relationships/hyperlink" Target="https://www.valuerelating.com/documentation" TargetMode="External"/><Relationship Id="rId34" Type="http://schemas.openxmlformats.org/officeDocument/2006/relationships/hyperlink" Target="https://arizonalawreview.org/pdf/60-4/60arizlrev815.pdf" TargetMode="External"/><Relationship Id="rId42" Type="http://schemas.openxmlformats.org/officeDocument/2006/relationships/hyperlink" Target="https://link.springer.com/article/10.1007/s10940-018-9381-1" TargetMode="External"/><Relationship Id="rId47" Type="http://schemas.openxmlformats.org/officeDocument/2006/relationships/vmlDrawing" Target="../drawings/vmlDrawing3.vml"/><Relationship Id="rId7" Type="http://schemas.openxmlformats.org/officeDocument/2006/relationships/hyperlink" Target="https://www.americanbar.org/content/dam/aba/publications/criminal_justice_magazine/v31/chandler.authcheckdam.pdf" TargetMode="External"/><Relationship Id="rId12" Type="http://schemas.openxmlformats.org/officeDocument/2006/relationships/hyperlink" Target="https://www.sao4th.com/about/programs-and-initiatives/juvenile-justice/" TargetMode="External"/><Relationship Id="rId17" Type="http://schemas.openxmlformats.org/officeDocument/2006/relationships/hyperlink" Target="https://www.sao4th.com/about/programs-and-initiatives/violent-crime/" TargetMode="External"/><Relationship Id="rId25" Type="http://schemas.openxmlformats.org/officeDocument/2006/relationships/hyperlink" Target="https://docs.wixstatic.com/ugd/5d10a8_61a75e8b8358462e898a7a4a41cb9a6b.pdf" TargetMode="External"/><Relationship Id="rId33" Type="http://schemas.openxmlformats.org/officeDocument/2006/relationships/hyperlink" Target="https://leg.mt.gov/content/Committees/Interim/2019-2020/Law-and-Justice/Meetings/Nov-2019/sj19-doj-map-sex-offenders-per-capita-november-2019.pdf" TargetMode="External"/><Relationship Id="rId38" Type="http://schemas.openxmlformats.org/officeDocument/2006/relationships/hyperlink" Target="https://repository.law.umich.edu/cgi/viewcontent.cgi?article=2591&amp;context=articles" TargetMode="External"/><Relationship Id="rId46" Type="http://schemas.openxmlformats.org/officeDocument/2006/relationships/drawing" Target="../drawings/drawing2.xml"/><Relationship Id="rId2" Type="http://schemas.openxmlformats.org/officeDocument/2006/relationships/hyperlink" Target="https://www.judgesforjustice.org/" TargetMode="External"/><Relationship Id="rId16" Type="http://schemas.openxmlformats.org/officeDocument/2006/relationships/hyperlink" Target="https://www.sao4th.com/about/programs-and-initiatives/restorative-justice/" TargetMode="External"/><Relationship Id="rId20" Type="http://schemas.openxmlformats.org/officeDocument/2006/relationships/hyperlink" Target="https://www.valuerelating.com/documentation" TargetMode="External"/><Relationship Id="rId29" Type="http://schemas.openxmlformats.org/officeDocument/2006/relationships/hyperlink" Target="https://www.southbendtribune.com/news/indiana/new-indiana-law-allows-exonerated-prisoners-to-be-compensated/article_4bb47ea8-0716-5c17-9778-9ae0fda90f43.html" TargetMode="External"/><Relationship Id="rId41" Type="http://schemas.openxmlformats.org/officeDocument/2006/relationships/hyperlink" Target="https://www.urban.org/sites/default/files/publication/25506/412589-Post-Conviction-DNA-Testing-and-Wrongful-Conviction.PDF" TargetMode="External"/><Relationship Id="rId1" Type="http://schemas.openxmlformats.org/officeDocument/2006/relationships/hyperlink" Target="http://www.innocenceproject.org/causes-wrongful-conviction/eyewitness-misidentification" TargetMode="External"/><Relationship Id="rId6" Type="http://schemas.openxmlformats.org/officeDocument/2006/relationships/hyperlink" Target="https://www.wibbitz.com/" TargetMode="External"/><Relationship Id="rId11" Type="http://schemas.openxmlformats.org/officeDocument/2006/relationships/hyperlink" Target="https://www.sao4th.com/about/programs-and-initiatives/human-rights-division/" TargetMode="External"/><Relationship Id="rId24" Type="http://schemas.openxmlformats.org/officeDocument/2006/relationships/hyperlink" Target="https://docs.wixstatic.com/ugd/5d10a8_167f3b812ae54126b666ed99d2dac3e8.pdf" TargetMode="External"/><Relationship Id="rId32" Type="http://schemas.openxmlformats.org/officeDocument/2006/relationships/hyperlink" Target="http://scholarship.kentlaw.iit.edu/cgi/viewcontent.cgi?article=3595&amp;context=cklawreview" TargetMode="External"/><Relationship Id="rId37" Type="http://schemas.openxmlformats.org/officeDocument/2006/relationships/hyperlink" Target="https://www.researchgate.net/profile/James_Frank4/publication/249718672_Wrongful_ConvictionPerceptions_of_Criminal_Justice_Professionals_Regarding_the_Frequency_of_Wrongful_Conviction_and_the_Extent_of_System_Errors/links/55ca102408aea2d9bdcbf557.pdf" TargetMode="External"/><Relationship Id="rId40" Type="http://schemas.openxmlformats.org/officeDocument/2006/relationships/hyperlink" Target="https://www.pnas.org/content/pnas/111/20/7230.full.pdf" TargetMode="External"/><Relationship Id="rId45" Type="http://schemas.openxmlformats.org/officeDocument/2006/relationships/printerSettings" Target="../printerSettings/printerSettings2.bin"/><Relationship Id="rId5" Type="http://schemas.openxmlformats.org/officeDocument/2006/relationships/hyperlink" Target="https://www.ncsc.org/~/media/Files/PDF/Publications/Justice%20System%20Journal/Collateral%20Consequences.ashx" TargetMode="External"/><Relationship Id="rId15" Type="http://schemas.openxmlformats.org/officeDocument/2006/relationships/hyperlink" Target="https://www.sao4th.com/about/programs-and-initiatives/restitution/" TargetMode="External"/><Relationship Id="rId23" Type="http://schemas.openxmlformats.org/officeDocument/2006/relationships/hyperlink" Target="https://docs.wixstatic.com/ugd/5d10a8_c49cc7d8aaa94618945310b43b136760.pdf" TargetMode="External"/><Relationship Id="rId28" Type="http://schemas.openxmlformats.org/officeDocument/2006/relationships/hyperlink" Target="http://www.wrongfulconvictionlawyers.com/state-statutes/" TargetMode="External"/><Relationship Id="rId36" Type="http://schemas.openxmlformats.org/officeDocument/2006/relationships/hyperlink" Target="https://globalwrong.files.wordpress.com/2012/04/qual-estimate-zal-clb-2012.pdf" TargetMode="External"/><Relationship Id="rId49" Type="http://schemas.openxmlformats.org/officeDocument/2006/relationships/comments" Target="../comments2.xml"/><Relationship Id="rId10" Type="http://schemas.openxmlformats.org/officeDocument/2006/relationships/hyperlink" Target="https://www.sao4th.com/about/programs-and-initiatives/diversion/" TargetMode="External"/><Relationship Id="rId19" Type="http://schemas.openxmlformats.org/officeDocument/2006/relationships/hyperlink" Target="https://www.valuerelating.com/documentation" TargetMode="External"/><Relationship Id="rId31" Type="http://schemas.openxmlformats.org/officeDocument/2006/relationships/hyperlink" Target="https://www.law.cornell.edu/uscode/text/28/2513" TargetMode="External"/><Relationship Id="rId44" Type="http://schemas.openxmlformats.org/officeDocument/2006/relationships/hyperlink" Target="https://www.tandfonline.com/doi/abs/10.1080/07418820100095061" TargetMode="External"/><Relationship Id="rId4" Type="http://schemas.openxmlformats.org/officeDocument/2006/relationships/hyperlink" Target="http://www.legislature.mi.gov/(S(4fmhducin04b0mgzzufco1nw))/mileg.aspx?page=getObject&amp;objectName=mcl-691-1751" TargetMode="External"/><Relationship Id="rId9" Type="http://schemas.openxmlformats.org/officeDocument/2006/relationships/hyperlink" Target="https://www.sao4th.com/about/programs-and-initiatives/community-prosecution/" TargetMode="External"/><Relationship Id="rId14" Type="http://schemas.openxmlformats.org/officeDocument/2006/relationships/hyperlink" Target="https://www.sao4th.com/about/programs-and-initiatives/public-corruption/" TargetMode="External"/><Relationship Id="rId22" Type="http://schemas.openxmlformats.org/officeDocument/2006/relationships/hyperlink" Target="https://docs.wixstatic.com/ugd/5d10a8_2918f23037b74ed3bd95e1c8aeec4a77.pdf" TargetMode="External"/><Relationship Id="rId27" Type="http://schemas.openxmlformats.org/officeDocument/2006/relationships/hyperlink" Target="https://www.attorneygeneral.jus.gov.on.ca/inquiries/goudge/policy_research/pdf/Macfarlane_Wrongful-Convictions.pdf" TargetMode="External"/><Relationship Id="rId30" Type="http://schemas.openxmlformats.org/officeDocument/2006/relationships/hyperlink" Target="http://www.kslegislature.org/li_2018/b2017_18/measures/hb2579/" TargetMode="External"/><Relationship Id="rId35" Type="http://schemas.openxmlformats.org/officeDocument/2006/relationships/hyperlink" Target="https://www.supremecourt.gov/opinions/05pdf/04-1170.pdf" TargetMode="External"/><Relationship Id="rId43" Type="http://schemas.openxmlformats.org/officeDocument/2006/relationships/hyperlink" Target="https://www.ojp.gov/pdffiles1/nij/grants/251115.pdf" TargetMode="External"/><Relationship Id="rId48" Type="http://schemas.openxmlformats.org/officeDocument/2006/relationships/vmlDrawing" Target="../drawings/vmlDrawing4.vml"/><Relationship Id="rId8" Type="http://schemas.openxmlformats.org/officeDocument/2006/relationships/hyperlink" Target="https://www.sao4th.com/about/programs-and-initiatives/community-engagement/"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sao4th.com/about/programs-and-initiatives/mental-health/" TargetMode="External"/><Relationship Id="rId18" Type="http://schemas.openxmlformats.org/officeDocument/2006/relationships/hyperlink" Target="https://www.law.umich.edu/special/exoneration/Documents/CompensationByState_InnocenceProject.pdf" TargetMode="External"/><Relationship Id="rId26" Type="http://schemas.openxmlformats.org/officeDocument/2006/relationships/hyperlink" Target="https://en.wikipedia.org/wiki/Noble_cause_corruption" TargetMode="External"/><Relationship Id="rId39" Type="http://schemas.openxmlformats.org/officeDocument/2006/relationships/hyperlink" Target="https://scholarlycommons.law.northwestern.edu/cgi/viewcontent.cgi?article=7269&amp;context=jclc" TargetMode="External"/><Relationship Id="rId3" Type="http://schemas.openxmlformats.org/officeDocument/2006/relationships/hyperlink" Target="https://www.law.umich.edu/special/exoneration/Documents/CompensationByState_InnocenceProject.pdf" TargetMode="External"/><Relationship Id="rId21" Type="http://schemas.openxmlformats.org/officeDocument/2006/relationships/hyperlink" Target="https://www.valuerelating.com/documentation" TargetMode="External"/><Relationship Id="rId34" Type="http://schemas.openxmlformats.org/officeDocument/2006/relationships/hyperlink" Target="https://arizonalawreview.org/pdf/60-4/60arizlrev815.pdf" TargetMode="External"/><Relationship Id="rId42" Type="http://schemas.openxmlformats.org/officeDocument/2006/relationships/hyperlink" Target="https://link.springer.com/article/10.1007/s10940-018-9381-1" TargetMode="External"/><Relationship Id="rId47" Type="http://schemas.openxmlformats.org/officeDocument/2006/relationships/vmlDrawing" Target="../drawings/vmlDrawing5.vml"/><Relationship Id="rId7" Type="http://schemas.openxmlformats.org/officeDocument/2006/relationships/hyperlink" Target="https://www.americanbar.org/content/dam/aba/publications/criminal_justice_magazine/v31/chandler.authcheckdam.pdf" TargetMode="External"/><Relationship Id="rId12" Type="http://schemas.openxmlformats.org/officeDocument/2006/relationships/hyperlink" Target="https://www.sao4th.com/about/programs-and-initiatives/juvenile-justice/" TargetMode="External"/><Relationship Id="rId17" Type="http://schemas.openxmlformats.org/officeDocument/2006/relationships/hyperlink" Target="https://www.sao4th.com/about/programs-and-initiatives/violent-crime/" TargetMode="External"/><Relationship Id="rId25" Type="http://schemas.openxmlformats.org/officeDocument/2006/relationships/hyperlink" Target="https://docs.wixstatic.com/ugd/5d10a8_61a75e8b8358462e898a7a4a41cb9a6b.pdf" TargetMode="External"/><Relationship Id="rId33" Type="http://schemas.openxmlformats.org/officeDocument/2006/relationships/hyperlink" Target="https://leg.mt.gov/content/Committees/Interim/2019-2020/Law-and-Justice/Meetings/Nov-2019/sj19-doj-map-sex-offenders-per-capita-november-2019.pdf" TargetMode="External"/><Relationship Id="rId38" Type="http://schemas.openxmlformats.org/officeDocument/2006/relationships/hyperlink" Target="https://repository.law.umich.edu/cgi/viewcontent.cgi?article=2591&amp;context=articles" TargetMode="External"/><Relationship Id="rId46" Type="http://schemas.openxmlformats.org/officeDocument/2006/relationships/drawing" Target="../drawings/drawing3.xml"/><Relationship Id="rId2" Type="http://schemas.openxmlformats.org/officeDocument/2006/relationships/hyperlink" Target="https://www.judgesforjustice.org/" TargetMode="External"/><Relationship Id="rId16" Type="http://schemas.openxmlformats.org/officeDocument/2006/relationships/hyperlink" Target="https://www.sao4th.com/about/programs-and-initiatives/restorative-justice/" TargetMode="External"/><Relationship Id="rId20" Type="http://schemas.openxmlformats.org/officeDocument/2006/relationships/hyperlink" Target="https://www.valuerelating.com/documentation" TargetMode="External"/><Relationship Id="rId29" Type="http://schemas.openxmlformats.org/officeDocument/2006/relationships/hyperlink" Target="https://www.southbendtribune.com/news/indiana/new-indiana-law-allows-exonerated-prisoners-to-be-compensated/article_4bb47ea8-0716-5c17-9778-9ae0fda90f43.html" TargetMode="External"/><Relationship Id="rId41" Type="http://schemas.openxmlformats.org/officeDocument/2006/relationships/hyperlink" Target="https://www.urban.org/sites/default/files/publication/25506/412589-Post-Conviction-DNA-Testing-and-Wrongful-Conviction.PDF" TargetMode="External"/><Relationship Id="rId1" Type="http://schemas.openxmlformats.org/officeDocument/2006/relationships/hyperlink" Target="http://www.innocenceproject.org/causes-wrongful-conviction/eyewitness-misidentification" TargetMode="External"/><Relationship Id="rId6" Type="http://schemas.openxmlformats.org/officeDocument/2006/relationships/hyperlink" Target="https://www.wibbitz.com/" TargetMode="External"/><Relationship Id="rId11" Type="http://schemas.openxmlformats.org/officeDocument/2006/relationships/hyperlink" Target="https://www.sao4th.com/about/programs-and-initiatives/human-rights-division/" TargetMode="External"/><Relationship Id="rId24" Type="http://schemas.openxmlformats.org/officeDocument/2006/relationships/hyperlink" Target="https://docs.wixstatic.com/ugd/5d10a8_167f3b812ae54126b666ed99d2dac3e8.pdf" TargetMode="External"/><Relationship Id="rId32" Type="http://schemas.openxmlformats.org/officeDocument/2006/relationships/hyperlink" Target="http://scholarship.kentlaw.iit.edu/cgi/viewcontent.cgi?article=3595&amp;context=cklawreview" TargetMode="External"/><Relationship Id="rId37" Type="http://schemas.openxmlformats.org/officeDocument/2006/relationships/hyperlink" Target="https://www.researchgate.net/profile/James_Frank4/publication/249718672_Wrongful_ConvictionPerceptions_of_Criminal_Justice_Professionals_Regarding_the_Frequency_of_Wrongful_Conviction_and_the_Extent_of_System_Errors/links/55ca102408aea2d9bdcbf557.pdf" TargetMode="External"/><Relationship Id="rId40" Type="http://schemas.openxmlformats.org/officeDocument/2006/relationships/hyperlink" Target="https://www.pnas.org/content/pnas/111/20/7230.full.pdf" TargetMode="External"/><Relationship Id="rId45" Type="http://schemas.openxmlformats.org/officeDocument/2006/relationships/printerSettings" Target="../printerSettings/printerSettings3.bin"/><Relationship Id="rId5" Type="http://schemas.openxmlformats.org/officeDocument/2006/relationships/hyperlink" Target="https://www.ncsc.org/~/media/Files/PDF/Publications/Justice%20System%20Journal/Collateral%20Consequences.ashx" TargetMode="External"/><Relationship Id="rId15" Type="http://schemas.openxmlformats.org/officeDocument/2006/relationships/hyperlink" Target="https://www.sao4th.com/about/programs-and-initiatives/restitution/" TargetMode="External"/><Relationship Id="rId23" Type="http://schemas.openxmlformats.org/officeDocument/2006/relationships/hyperlink" Target="https://docs.wixstatic.com/ugd/5d10a8_c49cc7d8aaa94618945310b43b136760.pdf" TargetMode="External"/><Relationship Id="rId28" Type="http://schemas.openxmlformats.org/officeDocument/2006/relationships/hyperlink" Target="http://www.wrongfulconvictionlawyers.com/state-statutes/" TargetMode="External"/><Relationship Id="rId36" Type="http://schemas.openxmlformats.org/officeDocument/2006/relationships/hyperlink" Target="https://globalwrong.files.wordpress.com/2012/04/qual-estimate-zal-clb-2012.pdf" TargetMode="External"/><Relationship Id="rId49" Type="http://schemas.openxmlformats.org/officeDocument/2006/relationships/comments" Target="../comments3.xml"/><Relationship Id="rId10" Type="http://schemas.openxmlformats.org/officeDocument/2006/relationships/hyperlink" Target="https://www.sao4th.com/about/programs-and-initiatives/diversion/" TargetMode="External"/><Relationship Id="rId19" Type="http://schemas.openxmlformats.org/officeDocument/2006/relationships/hyperlink" Target="https://www.valuerelating.com/documentation" TargetMode="External"/><Relationship Id="rId31" Type="http://schemas.openxmlformats.org/officeDocument/2006/relationships/hyperlink" Target="https://www.law.cornell.edu/uscode/text/28/2513" TargetMode="External"/><Relationship Id="rId44" Type="http://schemas.openxmlformats.org/officeDocument/2006/relationships/hyperlink" Target="https://www.tandfonline.com/doi/abs/10.1080/07418820100095061" TargetMode="External"/><Relationship Id="rId4" Type="http://schemas.openxmlformats.org/officeDocument/2006/relationships/hyperlink" Target="http://www.legislature.mi.gov/(S(4fmhducin04b0mgzzufco1nw))/mileg.aspx?page=getObject&amp;objectName=mcl-691-1751" TargetMode="External"/><Relationship Id="rId9" Type="http://schemas.openxmlformats.org/officeDocument/2006/relationships/hyperlink" Target="https://www.sao4th.com/about/programs-and-initiatives/community-prosecution/" TargetMode="External"/><Relationship Id="rId14" Type="http://schemas.openxmlformats.org/officeDocument/2006/relationships/hyperlink" Target="https://www.sao4th.com/about/programs-and-initiatives/public-corruption/" TargetMode="External"/><Relationship Id="rId22" Type="http://schemas.openxmlformats.org/officeDocument/2006/relationships/hyperlink" Target="https://docs.wixstatic.com/ugd/5d10a8_2918f23037b74ed3bd95e1c8aeec4a77.pdf" TargetMode="External"/><Relationship Id="rId27" Type="http://schemas.openxmlformats.org/officeDocument/2006/relationships/hyperlink" Target="https://www.attorneygeneral.jus.gov.on.ca/inquiries/goudge/policy_research/pdf/Macfarlane_Wrongful-Convictions.pdf" TargetMode="External"/><Relationship Id="rId30" Type="http://schemas.openxmlformats.org/officeDocument/2006/relationships/hyperlink" Target="http://www.kslegislature.org/li_2018/b2017_18/measures/hb2579/" TargetMode="External"/><Relationship Id="rId35" Type="http://schemas.openxmlformats.org/officeDocument/2006/relationships/hyperlink" Target="https://www.supremecourt.gov/opinions/05pdf/04-1170.pdf" TargetMode="External"/><Relationship Id="rId43" Type="http://schemas.openxmlformats.org/officeDocument/2006/relationships/hyperlink" Target="https://www.ojp.gov/pdffiles1/nij/grants/251115.pdf" TargetMode="External"/><Relationship Id="rId48" Type="http://schemas.openxmlformats.org/officeDocument/2006/relationships/vmlDrawing" Target="../drawings/vmlDrawing6.vml"/><Relationship Id="rId8" Type="http://schemas.openxmlformats.org/officeDocument/2006/relationships/hyperlink" Target="https://www.sao4th.com/about/programs-and-initiatives/community-engagement/"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0D17E-9FC9-4D94-9E27-4416EE482E69}">
  <dimension ref="A1:CZ3013"/>
  <sheetViews>
    <sheetView tabSelected="1" zoomScaleNormal="100" workbookViewId="0"/>
  </sheetViews>
  <sheetFormatPr defaultRowHeight="13.8" x14ac:dyDescent="0.25"/>
  <cols>
    <col min="1" max="1" width="3.77734375" style="56" customWidth="1"/>
    <col min="2" max="2" width="15.77734375" style="56" customWidth="1"/>
    <col min="3" max="3" width="35.77734375" style="56" customWidth="1"/>
    <col min="4" max="4" width="28.77734375" style="56" customWidth="1"/>
    <col min="5" max="6" width="2.77734375" style="56" customWidth="1"/>
    <col min="7" max="26" width="8.88671875" style="5" customWidth="1"/>
    <col min="27" max="47" width="3.77734375" style="56" hidden="1" customWidth="1"/>
    <col min="48" max="48" width="4.77734375" style="56" hidden="1" customWidth="1"/>
    <col min="49" max="49" width="1.77734375" style="56" hidden="1" customWidth="1"/>
    <col min="50" max="50" width="3.77734375" style="56" hidden="1" customWidth="1"/>
    <col min="51" max="51" width="1.77734375" style="56" hidden="1" customWidth="1"/>
    <col min="52" max="52" width="3.77734375" style="56" hidden="1" customWidth="1"/>
    <col min="53" max="53" width="1.77734375" style="56" hidden="1" customWidth="1"/>
    <col min="54" max="54" width="6.77734375" style="16" hidden="1" customWidth="1"/>
    <col min="55" max="55" width="1.77734375" style="56" hidden="1" customWidth="1"/>
    <col min="56" max="56" width="6.77734375" style="56" hidden="1" customWidth="1"/>
    <col min="57" max="57" width="1.77734375" style="56" hidden="1" customWidth="1"/>
    <col min="58" max="58" width="5.77734375" style="56" hidden="1" customWidth="1"/>
    <col min="59" max="62" width="7.77734375" style="56" hidden="1" customWidth="1"/>
    <col min="63" max="77" width="3.77734375" style="56" hidden="1" customWidth="1"/>
    <col min="78" max="104" width="8.88671875" style="56" hidden="1" customWidth="1"/>
    <col min="105" max="16384" width="8.88671875" style="56"/>
  </cols>
  <sheetData>
    <row r="1" spans="1:60" ht="40.049999999999997" customHeight="1" thickTop="1" thickBot="1" x14ac:dyDescent="0.5">
      <c r="A1" s="1"/>
      <c r="B1" s="2">
        <f>E716</f>
        <v>0</v>
      </c>
      <c r="C1" s="3" t="s">
        <v>0</v>
      </c>
      <c r="D1" s="4" t="str">
        <f>IF(B2&gt;B1,BG2,BG1)</f>
        <v/>
      </c>
      <c r="E1" s="1"/>
      <c r="F1" s="1"/>
      <c r="AC1" s="7">
        <f>IF(AND($B1&gt;0,$B1&lt;0.199999),AQ1,0)</f>
        <v>0</v>
      </c>
      <c r="AD1" s="7">
        <f>IF(AND($B1&gt;0.2,$B1&lt;0.399999),AR1,0)</f>
        <v>0</v>
      </c>
      <c r="AE1" s="7">
        <f>IF(AND($B1&gt;0.4,$B1&lt;0.599999),AS1,0)</f>
        <v>0</v>
      </c>
      <c r="AF1" s="7">
        <f>IF(AND($B1&gt;0.6,$B1&lt;0.799999),AT1,0)</f>
        <v>0</v>
      </c>
      <c r="AG1" s="7">
        <f>IF(AND($B1&gt;0.8,$B1&lt;1),AU1,0)</f>
        <v>0</v>
      </c>
      <c r="AI1" s="56" t="s">
        <v>1</v>
      </c>
      <c r="AJ1" s="56" t="s">
        <v>2</v>
      </c>
      <c r="AK1" s="56" t="s">
        <v>3</v>
      </c>
      <c r="AL1" s="56" t="s">
        <v>4</v>
      </c>
      <c r="AM1" s="56" t="s">
        <v>5</v>
      </c>
      <c r="AO1" s="8" t="s">
        <v>6</v>
      </c>
      <c r="AQ1" s="9" t="str">
        <f>CONCATENATE(AI1,$AO1)</f>
        <v>weak claim</v>
      </c>
      <c r="AR1" s="10" t="str">
        <f>CONCATENATE(AJ1,$AO1)</f>
        <v>poor claim</v>
      </c>
      <c r="AS1" s="11" t="str">
        <f>CONCATENATE(AK1,$AO1)</f>
        <v>fair claim</v>
      </c>
      <c r="AT1" s="12" t="str">
        <f>CONCATENATE(AL1,$AO1)</f>
        <v>good claim</v>
      </c>
      <c r="AU1" s="13" t="str">
        <f>CONCATENATE(AM1,$AO1)</f>
        <v>strong claim</v>
      </c>
      <c r="BB1" s="14" t="s">
        <v>7</v>
      </c>
      <c r="BG1" s="15" t="str">
        <f>IF(AND(B1&gt;0,B1&lt;0.1999),AQ1,IF(AND(B1&gt;0.2,B1&lt;0.3999),AR1,IF(AND(B1&gt;0.4,B1&lt;0.5999),AS1,IF(AND(B1&gt;0.6,B1&lt;0.7999),AT1,IF(AND(B1&gt;0.8,B1&lt;1),AU1,"")))))</f>
        <v/>
      </c>
    </row>
    <row r="2" spans="1:60" ht="19.95" customHeight="1" thickTop="1" x14ac:dyDescent="0.25">
      <c r="A2" s="1"/>
      <c r="B2" s="498">
        <f>E717</f>
        <v>0</v>
      </c>
      <c r="C2" s="500" t="s">
        <v>8</v>
      </c>
      <c r="D2" s="15"/>
      <c r="E2" s="1"/>
      <c r="F2" s="1"/>
      <c r="AQ2" s="9" t="str">
        <f>AQ1</f>
        <v>weak claim</v>
      </c>
      <c r="AR2" s="10" t="str">
        <f>AR1</f>
        <v>poor claim</v>
      </c>
      <c r="AS2" s="11" t="str">
        <f>AS1</f>
        <v>fair claim</v>
      </c>
      <c r="AT2" s="12" t="str">
        <f>AT1</f>
        <v>good claim</v>
      </c>
      <c r="AU2" s="13" t="str">
        <f>AU1</f>
        <v>strong claim</v>
      </c>
      <c r="BG2" s="15" t="str">
        <f>IF(AND(B2&gt;0.4,B2&lt;0.5999),AS2,IF(AND(B2&gt;0.6,B2&lt;0.7999),AT2,""))</f>
        <v/>
      </c>
    </row>
    <row r="3" spans="1:60" ht="19.95" customHeight="1" thickBot="1" x14ac:dyDescent="0.3">
      <c r="A3" s="1"/>
      <c r="B3" s="499"/>
      <c r="C3" s="500"/>
      <c r="D3" s="501" t="s">
        <v>9</v>
      </c>
      <c r="E3" s="1"/>
      <c r="F3" s="1"/>
      <c r="AQ3" s="9"/>
      <c r="AR3" s="10"/>
      <c r="AS3" s="11"/>
      <c r="AT3" s="12"/>
      <c r="AU3" s="13"/>
      <c r="BG3" s="15"/>
    </row>
    <row r="4" spans="1:60" ht="4.95" customHeight="1" thickTop="1" x14ac:dyDescent="0.25">
      <c r="A4" s="1"/>
      <c r="B4" s="1"/>
      <c r="C4" s="1"/>
      <c r="D4" s="501"/>
      <c r="E4" s="1"/>
      <c r="F4" s="1"/>
    </row>
    <row r="5" spans="1:60" ht="45" customHeight="1" x14ac:dyDescent="0.4">
      <c r="A5" s="17" t="s">
        <v>10</v>
      </c>
      <c r="B5" s="18"/>
      <c r="C5" s="18"/>
      <c r="D5" s="501"/>
      <c r="E5" s="1"/>
      <c r="F5" s="1"/>
      <c r="G5" s="479"/>
      <c r="BF5" s="19"/>
      <c r="BG5" s="20" t="s">
        <v>11</v>
      </c>
      <c r="BH5" s="20"/>
    </row>
    <row r="6" spans="1:60" ht="10.050000000000001" customHeight="1" thickBot="1" x14ac:dyDescent="0.3">
      <c r="A6" s="1"/>
      <c r="B6" s="1"/>
      <c r="C6" s="1"/>
      <c r="D6" s="501"/>
      <c r="E6" s="1"/>
      <c r="F6" s="1"/>
    </row>
    <row r="7" spans="1:60" ht="18.600000000000001" thickBot="1" x14ac:dyDescent="0.4">
      <c r="A7" s="1"/>
      <c r="B7" s="21" t="s">
        <v>12</v>
      </c>
      <c r="C7" s="22" t="str">
        <f>IF(OR(C152=AD152,D152=AH152),AD152,CONCATENATE(C152," ",D152))</f>
        <v xml:space="preserve"> </v>
      </c>
      <c r="D7" s="501"/>
      <c r="E7" s="1"/>
      <c r="F7" s="1"/>
    </row>
    <row r="8" spans="1:60" ht="15" customHeight="1" thickBot="1" x14ac:dyDescent="0.3">
      <c r="A8" s="1"/>
      <c r="B8" s="23" t="s">
        <v>13</v>
      </c>
      <c r="C8" s="24" t="str">
        <f>IF(C154="","",C154)</f>
        <v/>
      </c>
      <c r="D8" s="501"/>
      <c r="E8" s="1"/>
      <c r="F8" s="1"/>
    </row>
    <row r="9" spans="1:60" ht="4.95" customHeight="1" thickBot="1" x14ac:dyDescent="0.3">
      <c r="A9" s="1"/>
      <c r="B9" s="23"/>
      <c r="C9" s="1"/>
      <c r="D9" s="501"/>
      <c r="E9" s="1"/>
      <c r="F9" s="1"/>
    </row>
    <row r="10" spans="1:60" ht="18.600000000000001" thickBot="1" x14ac:dyDescent="0.4">
      <c r="A10" s="1"/>
      <c r="B10" s="25" t="s">
        <v>14</v>
      </c>
      <c r="C10" s="22" t="str">
        <f>IF(OR(C162=AD162,D162=AH162),AD162,CONCATENATE(C162," ",D162))</f>
        <v xml:space="preserve"> </v>
      </c>
      <c r="D10" s="501"/>
      <c r="E10" s="1"/>
      <c r="F10" s="1"/>
    </row>
    <row r="11" spans="1:60" ht="15" customHeight="1" thickBot="1" x14ac:dyDescent="0.3">
      <c r="A11" s="1"/>
      <c r="B11" s="23" t="s">
        <v>15</v>
      </c>
      <c r="C11" s="24"/>
      <c r="D11" s="502"/>
      <c r="E11" s="1"/>
      <c r="F11" s="1"/>
    </row>
    <row r="12" spans="1:60" ht="10.050000000000001" customHeight="1" x14ac:dyDescent="0.25">
      <c r="A12" s="1"/>
      <c r="B12" s="1"/>
      <c r="C12" s="1"/>
      <c r="D12" s="1"/>
      <c r="E12" s="1"/>
      <c r="F12" s="1"/>
    </row>
    <row r="13" spans="1:60" ht="20.399999999999999" customHeight="1" thickBot="1" x14ac:dyDescent="0.35">
      <c r="A13" s="1"/>
      <c r="B13" s="26" t="s">
        <v>16</v>
      </c>
      <c r="C13" s="1"/>
      <c r="D13" s="1"/>
      <c r="E13" s="1"/>
      <c r="F13" s="1"/>
    </row>
    <row r="14" spans="1:60" ht="90" customHeight="1" thickTop="1" thickBot="1" x14ac:dyDescent="0.3">
      <c r="A14" s="1"/>
      <c r="B14" s="503" t="str">
        <f>IF(B845="",AG14,B845)</f>
        <v>Enter text below in section F, then SYNOPSIS will automatically display here.</v>
      </c>
      <c r="C14" s="504"/>
      <c r="D14" s="505"/>
      <c r="E14" s="27"/>
      <c r="F14" s="1"/>
      <c r="AG14" s="28" t="s">
        <v>17</v>
      </c>
    </row>
    <row r="15" spans="1:60" ht="10.050000000000001" customHeight="1" thickTop="1" thickBot="1" x14ac:dyDescent="0.3">
      <c r="A15" s="1"/>
      <c r="B15" s="1"/>
      <c r="C15" s="1"/>
      <c r="D15" s="1"/>
      <c r="E15" s="1"/>
      <c r="F15" s="1"/>
    </row>
    <row r="16" spans="1:60" ht="16.2" customHeight="1" thickTop="1" thickBot="1" x14ac:dyDescent="0.3">
      <c r="A16" s="1"/>
      <c r="B16" s="29" t="str">
        <f t="shared" ref="B16:B25" si="0">IF(C16=C849,B849,"")</f>
        <v/>
      </c>
      <c r="C16" s="506" t="str">
        <f t="shared" ref="C16:C23" si="1">IF(C849="",AR849,C849)</f>
        <v>Highlight 1 will display here</v>
      </c>
      <c r="D16" s="506"/>
      <c r="E16" s="1"/>
      <c r="F16" s="1"/>
    </row>
    <row r="17" spans="1:33" ht="19.2" thickTop="1" thickBot="1" x14ac:dyDescent="0.3">
      <c r="A17" s="1"/>
      <c r="B17" s="29" t="str">
        <f t="shared" si="0"/>
        <v/>
      </c>
      <c r="C17" s="506" t="str">
        <f t="shared" si="1"/>
        <v>Highlight 2 will display here</v>
      </c>
      <c r="D17" s="506"/>
      <c r="E17" s="1"/>
      <c r="F17" s="1"/>
    </row>
    <row r="18" spans="1:33" ht="19.2" thickTop="1" thickBot="1" x14ac:dyDescent="0.3">
      <c r="A18" s="1"/>
      <c r="B18" s="29" t="str">
        <f t="shared" si="0"/>
        <v/>
      </c>
      <c r="C18" s="506" t="str">
        <f t="shared" si="1"/>
        <v>Highlight 3 will display here</v>
      </c>
      <c r="D18" s="506"/>
      <c r="E18" s="1"/>
      <c r="F18" s="1"/>
    </row>
    <row r="19" spans="1:33" ht="19.2" thickTop="1" thickBot="1" x14ac:dyDescent="0.3">
      <c r="A19" s="1"/>
      <c r="B19" s="29" t="str">
        <f t="shared" si="0"/>
        <v/>
      </c>
      <c r="C19" s="506" t="str">
        <f t="shared" si="1"/>
        <v>Highlight 4 will display here</v>
      </c>
      <c r="D19" s="506"/>
      <c r="E19" s="1"/>
      <c r="F19" s="1"/>
    </row>
    <row r="20" spans="1:33" ht="19.2" thickTop="1" thickBot="1" x14ac:dyDescent="0.3">
      <c r="A20" s="1"/>
      <c r="B20" s="29" t="str">
        <f t="shared" si="0"/>
        <v/>
      </c>
      <c r="C20" s="506" t="str">
        <f t="shared" si="1"/>
        <v>Highlight 5 will display here</v>
      </c>
      <c r="D20" s="506"/>
      <c r="E20" s="1"/>
      <c r="F20" s="1"/>
    </row>
    <row r="21" spans="1:33" ht="19.2" thickTop="1" thickBot="1" x14ac:dyDescent="0.3">
      <c r="A21" s="1"/>
      <c r="B21" s="29" t="str">
        <f t="shared" si="0"/>
        <v/>
      </c>
      <c r="C21" s="506" t="str">
        <f t="shared" si="1"/>
        <v>Highlight 6 will display here</v>
      </c>
      <c r="D21" s="506"/>
      <c r="E21" s="1"/>
      <c r="F21" s="1"/>
    </row>
    <row r="22" spans="1:33" ht="19.2" thickTop="1" thickBot="1" x14ac:dyDescent="0.3">
      <c r="A22" s="1"/>
      <c r="B22" s="29" t="str">
        <f t="shared" si="0"/>
        <v/>
      </c>
      <c r="C22" s="506" t="str">
        <f t="shared" si="1"/>
        <v>Highlight 7 will display here</v>
      </c>
      <c r="D22" s="506"/>
      <c r="E22" s="1"/>
      <c r="F22" s="1"/>
    </row>
    <row r="23" spans="1:33" ht="19.2" thickTop="1" thickBot="1" x14ac:dyDescent="0.3">
      <c r="A23" s="1"/>
      <c r="B23" s="29" t="str">
        <f t="shared" si="0"/>
        <v/>
      </c>
      <c r="C23" s="506" t="str">
        <f t="shared" si="1"/>
        <v>Highlight 8 will display here</v>
      </c>
      <c r="D23" s="506"/>
      <c r="E23" s="1"/>
      <c r="F23" s="1"/>
    </row>
    <row r="24" spans="1:33" ht="19.2" thickTop="1" thickBot="1" x14ac:dyDescent="0.3">
      <c r="A24" s="1"/>
      <c r="B24" s="29" t="str">
        <f t="shared" si="0"/>
        <v>Highlight 9</v>
      </c>
      <c r="C24" s="506"/>
      <c r="D24" s="506"/>
      <c r="E24" s="1"/>
      <c r="F24" s="1"/>
    </row>
    <row r="25" spans="1:33" ht="19.2" thickTop="1" thickBot="1" x14ac:dyDescent="0.3">
      <c r="A25" s="1"/>
      <c r="B25" s="29" t="str">
        <f t="shared" si="0"/>
        <v>Highlight 10</v>
      </c>
      <c r="C25" s="506"/>
      <c r="D25" s="506"/>
      <c r="E25" s="1"/>
      <c r="F25" s="1"/>
    </row>
    <row r="26" spans="1:33" ht="18.600000000000001" thickTop="1" x14ac:dyDescent="0.25">
      <c r="A26" s="1"/>
      <c r="B26" s="29"/>
      <c r="C26" s="1"/>
      <c r="D26" s="29"/>
      <c r="E26" s="1"/>
      <c r="F26" s="1"/>
    </row>
    <row r="27" spans="1:33" ht="18.600000000000001" thickBot="1" x14ac:dyDescent="0.35">
      <c r="A27" s="1"/>
      <c r="B27" s="26" t="s">
        <v>18</v>
      </c>
      <c r="C27" s="1"/>
      <c r="D27" s="29"/>
      <c r="E27" s="1"/>
      <c r="F27" s="1"/>
    </row>
    <row r="28" spans="1:33" ht="85.05" customHeight="1" thickTop="1" thickBot="1" x14ac:dyDescent="0.3">
      <c r="A28" s="1"/>
      <c r="B28" s="507" t="str">
        <f>IF(B862="",AG28,B862)</f>
        <v>Enter text below in section F, then FLIPSIDE will automatically display here.</v>
      </c>
      <c r="C28" s="508"/>
      <c r="D28" s="509"/>
      <c r="E28" s="1"/>
      <c r="F28" s="1"/>
      <c r="AG28" s="28" t="s">
        <v>19</v>
      </c>
    </row>
    <row r="29" spans="1:33" ht="10.050000000000001" customHeight="1" thickTop="1" x14ac:dyDescent="0.25">
      <c r="A29" s="1"/>
      <c r="B29" s="29"/>
      <c r="C29" s="1"/>
      <c r="D29" s="29"/>
      <c r="E29" s="1"/>
      <c r="F29" s="1"/>
    </row>
    <row r="30" spans="1:33" ht="10.050000000000001" customHeight="1" x14ac:dyDescent="0.25">
      <c r="A30" s="1"/>
      <c r="B30" s="1"/>
      <c r="C30" s="1"/>
      <c r="D30" s="29"/>
      <c r="E30" s="1"/>
      <c r="F30" s="1"/>
    </row>
    <row r="31" spans="1:33" ht="18" x14ac:dyDescent="0.3">
      <c r="A31" s="1"/>
      <c r="B31" s="26" t="s">
        <v>20</v>
      </c>
      <c r="C31" s="1"/>
      <c r="D31" s="29"/>
      <c r="E31" s="1"/>
      <c r="F31" s="1"/>
    </row>
    <row r="32" spans="1:33" ht="4.95" customHeight="1" thickBot="1" x14ac:dyDescent="0.3">
      <c r="A32" s="1"/>
      <c r="B32" s="1"/>
      <c r="C32" s="1"/>
      <c r="D32" s="1"/>
      <c r="E32" s="1"/>
      <c r="F32" s="1"/>
    </row>
    <row r="33" spans="1:62" ht="400.05" customHeight="1" thickTop="1" thickBot="1" x14ac:dyDescent="0.3">
      <c r="A33" s="1"/>
      <c r="B33" s="507" t="str">
        <f>IF(B871="",AG33,B871)</f>
        <v>Enter text below in section F, then SUMMARY will automatically display here.</v>
      </c>
      <c r="C33" s="508"/>
      <c r="D33" s="509"/>
      <c r="E33" s="1"/>
      <c r="F33" s="1"/>
      <c r="AG33" s="28" t="s">
        <v>21</v>
      </c>
    </row>
    <row r="34" spans="1:62" ht="30" customHeight="1" thickTop="1" x14ac:dyDescent="0.25">
      <c r="A34" s="1"/>
      <c r="B34" s="30">
        <f>IF(AD208=0,0,AD208)</f>
        <v>0</v>
      </c>
      <c r="C34" s="31" t="str">
        <f>IF(B34="","","estimated eligible compensation under state law")</f>
        <v>estimated eligible compensation under state law</v>
      </c>
      <c r="D34" s="1"/>
      <c r="E34" s="1"/>
      <c r="F34" s="1"/>
    </row>
    <row r="35" spans="1:62" ht="4.95" customHeight="1" x14ac:dyDescent="0.25">
      <c r="A35" s="1"/>
      <c r="B35" s="30"/>
      <c r="C35" s="31"/>
      <c r="D35" s="1"/>
      <c r="E35" s="1"/>
      <c r="F35" s="1"/>
    </row>
    <row r="36" spans="1:62" x14ac:dyDescent="0.25">
      <c r="A36" s="1"/>
      <c r="B36" s="1"/>
      <c r="C36" s="1"/>
      <c r="D36" s="1"/>
      <c r="E36" s="1"/>
      <c r="F36" s="1"/>
    </row>
    <row r="37" spans="1:62" ht="30" customHeight="1" x14ac:dyDescent="0.25">
      <c r="A37" s="1"/>
      <c r="B37" s="33"/>
      <c r="C37" s="33"/>
      <c r="D37" s="33"/>
      <c r="E37" s="1"/>
      <c r="F37" s="1"/>
    </row>
    <row r="38" spans="1:62" ht="30" customHeight="1" x14ac:dyDescent="0.25">
      <c r="A38" s="1"/>
      <c r="B38" s="33"/>
      <c r="C38" s="33"/>
      <c r="D38" s="33"/>
      <c r="E38" s="1"/>
      <c r="F38" s="1"/>
    </row>
    <row r="39" spans="1:62" ht="30" customHeight="1" x14ac:dyDescent="0.25">
      <c r="A39" s="1"/>
      <c r="B39" s="33"/>
      <c r="C39" s="33"/>
      <c r="D39" s="33"/>
      <c r="E39" s="1"/>
      <c r="F39" s="1"/>
    </row>
    <row r="40" spans="1:62" ht="30" customHeight="1" x14ac:dyDescent="0.25">
      <c r="A40" s="1"/>
      <c r="B40" s="33"/>
      <c r="C40" s="33"/>
      <c r="D40" s="33"/>
      <c r="E40" s="1"/>
      <c r="F40" s="1"/>
    </row>
    <row r="41" spans="1:62" ht="30" customHeight="1" x14ac:dyDescent="0.25">
      <c r="A41" s="1"/>
      <c r="B41" s="33"/>
      <c r="C41" s="33"/>
      <c r="D41" s="33"/>
      <c r="E41" s="1"/>
      <c r="F41" s="1"/>
    </row>
    <row r="42" spans="1:62" ht="30" customHeight="1" x14ac:dyDescent="0.25">
      <c r="A42" s="1"/>
      <c r="B42" s="33"/>
      <c r="C42" s="33"/>
      <c r="D42" s="33"/>
      <c r="E42" s="1"/>
      <c r="F42" s="1"/>
    </row>
    <row r="43" spans="1:62" ht="30" customHeight="1" x14ac:dyDescent="0.25">
      <c r="A43" s="1"/>
      <c r="B43" s="510" t="s">
        <v>22</v>
      </c>
      <c r="C43" s="510"/>
      <c r="D43" s="510"/>
      <c r="E43" s="1"/>
      <c r="F43" s="1"/>
    </row>
    <row r="44" spans="1:62" ht="15" customHeight="1" x14ac:dyDescent="0.25">
      <c r="A44" s="1"/>
      <c r="B44" s="30"/>
      <c r="C44" s="31"/>
      <c r="D44" s="1"/>
      <c r="E44" s="1"/>
      <c r="F44" s="1"/>
    </row>
    <row r="45" spans="1:62" ht="19.95" customHeight="1" x14ac:dyDescent="0.25">
      <c r="A45" s="1"/>
      <c r="B45" s="511" t="s">
        <v>23</v>
      </c>
      <c r="C45" s="511"/>
      <c r="D45" s="511"/>
      <c r="E45" s="1"/>
      <c r="F45" s="1"/>
    </row>
    <row r="46" spans="1:62" ht="72" customHeight="1" x14ac:dyDescent="0.25">
      <c r="A46" s="1"/>
      <c r="B46" s="512" t="str">
        <f>AC792</f>
        <v>Collateral consequences create second-class citizens, often without measurable outcomes to test if meeting their intended purpose. Consequently, they can have the opposite effect, like enabling recidivism--even among the wrongly convicted.  You can help change this.</v>
      </c>
      <c r="C46" s="512"/>
      <c r="D46" s="512"/>
      <c r="E46" s="1"/>
      <c r="F46" s="1"/>
      <c r="BH46" s="30" t="s">
        <v>24</v>
      </c>
      <c r="BJ46" s="34" t="s">
        <v>25</v>
      </c>
    </row>
    <row r="47" spans="1:62" ht="4.95" customHeight="1" x14ac:dyDescent="0.25">
      <c r="A47" s="1"/>
      <c r="B47" s="30"/>
      <c r="C47" s="31"/>
      <c r="D47" s="1"/>
      <c r="E47" s="1"/>
      <c r="F47" s="1"/>
      <c r="BH47" s="30"/>
      <c r="BJ47" s="34"/>
    </row>
    <row r="48" spans="1:62" ht="19.95" customHeight="1" x14ac:dyDescent="0.25">
      <c r="A48" s="1"/>
      <c r="B48" s="511" t="s">
        <v>26</v>
      </c>
      <c r="C48" s="511"/>
      <c r="D48" s="511"/>
      <c r="E48" s="1"/>
      <c r="F48" s="1"/>
      <c r="BH48" s="30" t="s">
        <v>27</v>
      </c>
    </row>
    <row r="49" spans="1:60" ht="60" customHeight="1" x14ac:dyDescent="0.25">
      <c r="A49" s="1"/>
      <c r="B49" s="512" t="str">
        <f>AC811</f>
        <v>Collateral consequences also impact others in  's life.   shares how others have suffered. You can help improve their lives too!</v>
      </c>
      <c r="C49" s="512"/>
      <c r="D49" s="512"/>
      <c r="E49" s="1"/>
      <c r="F49" s="1"/>
      <c r="BH49" s="30"/>
    </row>
    <row r="50" spans="1:60" ht="4.95" customHeight="1" x14ac:dyDescent="0.25">
      <c r="A50" s="1"/>
      <c r="B50" s="30"/>
      <c r="C50" s="31"/>
      <c r="D50" s="1"/>
      <c r="E50" s="1"/>
      <c r="F50" s="1"/>
      <c r="BH50" s="30"/>
    </row>
    <row r="51" spans="1:60" ht="19.95" customHeight="1" x14ac:dyDescent="0.25">
      <c r="A51" s="1"/>
      <c r="B51" s="511" t="s">
        <v>28</v>
      </c>
      <c r="C51" s="511"/>
      <c r="D51" s="511"/>
      <c r="E51" s="1"/>
      <c r="F51" s="1"/>
      <c r="BH51" s="30" t="s">
        <v>29</v>
      </c>
    </row>
    <row r="52" spans="1:60" ht="60" customHeight="1" x14ac:dyDescent="0.25">
      <c r="A52" s="1"/>
      <c r="B52" s="512" t="str">
        <f>AC836</f>
        <v xml:space="preserve">Despite challenging needs, this claimant aspires toward life improvements. Removing illicit discrimination will go a long way toward improving this claimant's life. </v>
      </c>
      <c r="C52" s="512"/>
      <c r="D52" s="512"/>
      <c r="E52" s="1"/>
      <c r="F52" s="1"/>
      <c r="BH52" s="30"/>
    </row>
    <row r="53" spans="1:60" ht="4.95" customHeight="1" x14ac:dyDescent="0.25">
      <c r="A53" s="1"/>
      <c r="B53" s="30"/>
      <c r="C53" s="31"/>
      <c r="D53" s="1"/>
      <c r="E53" s="1"/>
      <c r="F53" s="1"/>
      <c r="BH53" s="30"/>
    </row>
    <row r="54" spans="1:60" ht="15" customHeight="1" x14ac:dyDescent="0.25">
      <c r="A54" s="1"/>
      <c r="B54" s="30"/>
      <c r="C54" s="31"/>
      <c r="D54" s="1"/>
      <c r="E54" s="1"/>
      <c r="F54" s="1"/>
      <c r="AD54" s="35">
        <f>B208</f>
        <v>0</v>
      </c>
      <c r="AE54" s="36"/>
      <c r="AF54" s="36"/>
      <c r="AG54" s="36"/>
      <c r="AH54" s="37"/>
      <c r="AI54" s="56">
        <f>D272</f>
        <v>0</v>
      </c>
      <c r="BH54" s="30"/>
    </row>
    <row r="55" spans="1:60" ht="19.95" customHeight="1" x14ac:dyDescent="0.25">
      <c r="A55" s="1"/>
      <c r="B55" s="511" t="s">
        <v>30</v>
      </c>
      <c r="C55" s="511"/>
      <c r="D55" s="511"/>
      <c r="E55" s="1"/>
      <c r="F55" s="1"/>
      <c r="AD55" s="56" t="s">
        <v>31</v>
      </c>
      <c r="BH55" s="30" t="s">
        <v>32</v>
      </c>
    </row>
    <row r="56" spans="1:60" ht="60" customHeight="1" x14ac:dyDescent="0.25">
      <c r="A56" s="1"/>
      <c r="B56" s="512" t="str">
        <f>IF(AD54=0,AD55,AC2157)</f>
        <v>Most states allow employers to check criminal backgrounds stretching far into the past. These records provide no distinction between "reliable evidence-based convictions" and "non-exonerated wrongful convictions"--permitting illicit discrimination.</v>
      </c>
      <c r="C56" s="512"/>
      <c r="D56" s="512"/>
      <c r="E56" s="1"/>
      <c r="F56" s="1"/>
      <c r="AD56" s="56" t="str">
        <f>IF(AND($AD$54=$B2167,$AI$54=$B$2163),AC2167,"")</f>
        <v/>
      </c>
    </row>
    <row r="57" spans="1:60" ht="15" customHeight="1" x14ac:dyDescent="0.25">
      <c r="A57" s="1"/>
      <c r="B57" s="30"/>
      <c r="C57" s="31"/>
      <c r="D57" s="1"/>
      <c r="E57" s="1"/>
      <c r="F57" s="1"/>
    </row>
    <row r="58" spans="1:60" ht="19.95" customHeight="1" x14ac:dyDescent="0.25">
      <c r="A58" s="1"/>
      <c r="B58" s="511" t="s">
        <v>33</v>
      </c>
      <c r="C58" s="511"/>
      <c r="D58" s="511"/>
      <c r="E58" s="1"/>
      <c r="F58" s="1"/>
    </row>
    <row r="59" spans="1:60" ht="49.95" customHeight="1" x14ac:dyDescent="0.25">
      <c r="A59" s="1"/>
      <c r="B59" s="513" t="str">
        <f>AD920</f>
        <v>Claimant understandably experiences some anxiety from the wrongful conviction. Once hired, much of that should clear up. If not, Value Relating can help.</v>
      </c>
      <c r="C59" s="513"/>
      <c r="D59" s="513"/>
      <c r="E59" s="1"/>
      <c r="F59" s="1"/>
    </row>
    <row r="60" spans="1:60" ht="49.95" customHeight="1" x14ac:dyDescent="0.25">
      <c r="A60" s="1"/>
      <c r="B60" s="513" t="str">
        <f>AD1043</f>
        <v>Claimant understandably experiences some depression from the wrongful conviction. The wrongful conviction produces plenty of depressing economic conditions. Once hired, much of that should clear up. If not, Value Relating can help.</v>
      </c>
      <c r="C60" s="513"/>
      <c r="D60" s="513"/>
      <c r="E60" s="1"/>
      <c r="F60" s="1"/>
      <c r="AD60" s="56" t="str">
        <f>CONCATENATE(AG61,AO62,AG63)</f>
        <v>You need those you trust to be trustworthy. Right? You need them to make informed decisions about you, so they don’t waste your precious time. Likewise, You needs those they trust, like you, to be trustworthy. They need those like you to be better informed in their decisions regarding them. Acknowledging the widespread problem of wrongful convictions is a start. Using this estimate of innocence can help you make better decisions.</v>
      </c>
    </row>
    <row r="61" spans="1:60" ht="15" customHeight="1" x14ac:dyDescent="0.25">
      <c r="A61" s="1"/>
      <c r="B61" s="30"/>
      <c r="C61" s="31"/>
      <c r="D61" s="1"/>
      <c r="E61" s="1"/>
      <c r="F61" s="1"/>
      <c r="AG61" s="56" t="s">
        <v>34</v>
      </c>
    </row>
    <row r="62" spans="1:60" ht="15" customHeight="1" x14ac:dyDescent="0.25">
      <c r="A62" s="1"/>
      <c r="B62" s="511" t="s">
        <v>35</v>
      </c>
      <c r="C62" s="511"/>
      <c r="D62" s="511"/>
      <c r="E62" s="1"/>
      <c r="F62" s="1"/>
      <c r="AG62" s="56" t="s">
        <v>36</v>
      </c>
      <c r="AI62" s="56" t="str">
        <f>IF(C152="","You",C152)</f>
        <v>You</v>
      </c>
      <c r="AO62" s="56" t="str">
        <f>IF(OR(AI62=AD152,AI62=""),AG62,AI62)</f>
        <v>You</v>
      </c>
    </row>
    <row r="63" spans="1:60" ht="85.05" customHeight="1" x14ac:dyDescent="0.25">
      <c r="A63" s="1"/>
      <c r="B63" s="512" t="str">
        <f>AD60</f>
        <v>You need those you trust to be trustworthy. Right? You need them to make informed decisions about you, so they don’t waste your precious time. Likewise, You needs those they trust, like you, to be trustworthy. They need those like you to be better informed in their decisions regarding them. Acknowledging the widespread problem of wrongful convictions is a start. Using this estimate of innocence can help you make better decisions.</v>
      </c>
      <c r="C63" s="512"/>
      <c r="D63" s="512"/>
      <c r="E63" s="1"/>
      <c r="F63" s="1"/>
      <c r="AG63" s="56" t="s">
        <v>37</v>
      </c>
    </row>
    <row r="64" spans="1:60" ht="15" customHeight="1" x14ac:dyDescent="0.25">
      <c r="A64" s="1"/>
      <c r="B64" s="30"/>
      <c r="C64" s="31"/>
      <c r="D64" s="1"/>
      <c r="E64" s="1"/>
      <c r="F64" s="1"/>
    </row>
    <row r="65" spans="1:33" ht="30" customHeight="1" x14ac:dyDescent="0.35">
      <c r="A65" s="38" t="s">
        <v>38</v>
      </c>
      <c r="B65" s="1"/>
      <c r="C65" s="1"/>
      <c r="D65" s="1"/>
      <c r="E65" s="1"/>
      <c r="F65" s="1"/>
      <c r="AG65" s="56" t="str">
        <f>AD920</f>
        <v>Claimant understandably experiences some anxiety from the wrongful conviction. Once hired, much of that should clear up. If not, Value Relating can help.</v>
      </c>
    </row>
    <row r="66" spans="1:33" ht="15" customHeight="1" x14ac:dyDescent="0.25">
      <c r="A66" s="1"/>
      <c r="B66" s="30"/>
      <c r="C66" s="31"/>
      <c r="D66" s="1"/>
      <c r="E66" s="1"/>
      <c r="F66" s="1"/>
    </row>
    <row r="67" spans="1:33" ht="15" customHeight="1" x14ac:dyDescent="0.25">
      <c r="A67" s="1"/>
      <c r="B67" s="30"/>
      <c r="C67" s="31"/>
      <c r="D67" s="1"/>
      <c r="E67" s="1"/>
      <c r="F67" s="1"/>
    </row>
    <row r="68" spans="1:33" ht="15" customHeight="1" x14ac:dyDescent="0.25">
      <c r="A68" s="1"/>
      <c r="B68" s="30"/>
      <c r="C68" s="31"/>
      <c r="D68" s="1"/>
      <c r="E68" s="1"/>
      <c r="F68" s="1"/>
    </row>
    <row r="69" spans="1:33" ht="15" customHeight="1" x14ac:dyDescent="0.25">
      <c r="A69" s="1"/>
      <c r="B69" s="30"/>
      <c r="C69" s="31"/>
      <c r="D69" s="1"/>
      <c r="E69" s="1"/>
      <c r="F69" s="1"/>
    </row>
    <row r="70" spans="1:33" ht="15" customHeight="1" x14ac:dyDescent="0.25">
      <c r="A70" s="1"/>
      <c r="B70" s="30"/>
      <c r="C70" s="31"/>
      <c r="D70" s="1"/>
      <c r="E70" s="1"/>
      <c r="F70" s="1"/>
    </row>
    <row r="71" spans="1:33" ht="15" customHeight="1" x14ac:dyDescent="0.25">
      <c r="A71" s="1"/>
      <c r="B71" s="1"/>
      <c r="C71" s="31"/>
      <c r="D71" s="1"/>
      <c r="E71" s="1"/>
      <c r="F71" s="1"/>
    </row>
    <row r="72" spans="1:33" ht="30" customHeight="1" x14ac:dyDescent="0.25">
      <c r="A72" s="1"/>
      <c r="B72" s="1"/>
      <c r="C72" s="31"/>
      <c r="D72" s="1"/>
      <c r="E72" s="1"/>
      <c r="F72" s="1"/>
    </row>
    <row r="73" spans="1:33" ht="15" customHeight="1" x14ac:dyDescent="0.25">
      <c r="A73" s="1"/>
      <c r="B73" s="1"/>
      <c r="C73" s="31"/>
      <c r="D73" s="1"/>
      <c r="E73" s="1"/>
      <c r="F73" s="1"/>
    </row>
    <row r="74" spans="1:33" ht="15" customHeight="1" x14ac:dyDescent="0.25">
      <c r="A74" s="1"/>
      <c r="B74" s="1"/>
      <c r="C74" s="31"/>
      <c r="D74" s="1"/>
      <c r="E74" s="1"/>
      <c r="F74" s="1"/>
    </row>
    <row r="75" spans="1:33" ht="15" customHeight="1" x14ac:dyDescent="0.25">
      <c r="A75" s="1"/>
      <c r="B75" s="30"/>
      <c r="C75" s="31"/>
      <c r="D75" s="1"/>
      <c r="E75" s="1"/>
      <c r="F75" s="1"/>
    </row>
    <row r="76" spans="1:33" ht="15" customHeight="1" x14ac:dyDescent="0.25">
      <c r="A76" s="1"/>
      <c r="B76" s="30"/>
      <c r="C76" s="31"/>
      <c r="D76" s="1"/>
      <c r="E76" s="1"/>
      <c r="F76" s="1"/>
    </row>
    <row r="77" spans="1:33" ht="15" customHeight="1" x14ac:dyDescent="0.25">
      <c r="A77" s="1"/>
      <c r="B77" s="30"/>
      <c r="C77" s="31"/>
      <c r="D77" s="1"/>
      <c r="E77" s="1"/>
      <c r="F77" s="1"/>
    </row>
    <row r="78" spans="1:33" ht="15" customHeight="1" x14ac:dyDescent="0.25">
      <c r="A78" s="1"/>
      <c r="B78" s="30"/>
      <c r="C78" s="31"/>
      <c r="D78" s="1"/>
      <c r="E78" s="1"/>
      <c r="F78" s="1"/>
    </row>
    <row r="79" spans="1:33" ht="15" customHeight="1" x14ac:dyDescent="0.25">
      <c r="A79" s="1"/>
      <c r="B79" s="30"/>
      <c r="C79" s="31"/>
      <c r="D79" s="1"/>
      <c r="E79" s="1"/>
      <c r="F79" s="1"/>
    </row>
    <row r="80" spans="1:33" ht="15" customHeight="1" x14ac:dyDescent="0.25">
      <c r="A80" s="1"/>
      <c r="B80" s="30"/>
      <c r="C80" s="31"/>
      <c r="D80" s="1"/>
      <c r="E80" s="1"/>
      <c r="F80" s="1"/>
    </row>
    <row r="81" spans="1:77" ht="15" customHeight="1" x14ac:dyDescent="0.25">
      <c r="A81" s="1"/>
      <c r="B81" s="30"/>
      <c r="C81" s="31"/>
      <c r="D81" s="1"/>
      <c r="E81" s="1"/>
      <c r="F81" s="1"/>
    </row>
    <row r="82" spans="1:77" ht="15" customHeight="1" x14ac:dyDescent="0.25">
      <c r="A82" s="1"/>
      <c r="B82" s="30"/>
      <c r="C82" s="31"/>
      <c r="D82" s="1"/>
      <c r="E82" s="1"/>
      <c r="F82" s="1"/>
    </row>
    <row r="83" spans="1:77" ht="15" customHeight="1" x14ac:dyDescent="0.25">
      <c r="A83" s="1"/>
      <c r="B83" s="30"/>
      <c r="C83" s="31"/>
      <c r="D83" s="1"/>
      <c r="E83" s="1"/>
      <c r="F83" s="1"/>
    </row>
    <row r="84" spans="1:77" ht="15" customHeight="1" x14ac:dyDescent="0.25">
      <c r="A84" s="1"/>
      <c r="B84" s="30"/>
      <c r="C84" s="518" t="s">
        <v>39</v>
      </c>
      <c r="D84" s="519" t="s">
        <v>40</v>
      </c>
      <c r="E84" s="519"/>
      <c r="F84" s="1"/>
    </row>
    <row r="85" spans="1:77" ht="15" customHeight="1" thickBot="1" x14ac:dyDescent="0.3">
      <c r="A85" s="1"/>
      <c r="B85" s="30"/>
      <c r="C85" s="518"/>
      <c r="D85" s="519"/>
      <c r="E85" s="519"/>
      <c r="F85" s="1"/>
    </row>
    <row r="86" spans="1:77" ht="15" customHeight="1" x14ac:dyDescent="0.25">
      <c r="A86" s="1"/>
      <c r="B86" s="514" t="s">
        <v>41</v>
      </c>
      <c r="C86" s="520" t="s">
        <v>42</v>
      </c>
      <c r="D86" s="521" t="s">
        <v>43</v>
      </c>
      <c r="E86" s="522"/>
      <c r="F86" s="1"/>
    </row>
    <row r="87" spans="1:77" ht="15" customHeight="1" x14ac:dyDescent="0.25">
      <c r="A87" s="1"/>
      <c r="B87" s="514"/>
      <c r="C87" s="515"/>
      <c r="D87" s="516"/>
      <c r="E87" s="517"/>
      <c r="F87" s="1"/>
    </row>
    <row r="88" spans="1:77" ht="15" customHeight="1" x14ac:dyDescent="0.25">
      <c r="A88" s="1"/>
      <c r="B88" s="514" t="s">
        <v>44</v>
      </c>
      <c r="C88" s="515" t="s">
        <v>45</v>
      </c>
      <c r="D88" s="516" t="s">
        <v>46</v>
      </c>
      <c r="E88" s="517"/>
      <c r="F88" s="1"/>
    </row>
    <row r="89" spans="1:77" ht="15" customHeight="1" x14ac:dyDescent="0.25">
      <c r="A89" s="1"/>
      <c r="B89" s="514"/>
      <c r="C89" s="515"/>
      <c r="D89" s="516"/>
      <c r="E89" s="517"/>
      <c r="F89" s="1"/>
    </row>
    <row r="90" spans="1:77" ht="15" customHeight="1" x14ac:dyDescent="0.25">
      <c r="A90" s="1"/>
      <c r="B90" s="514" t="s">
        <v>47</v>
      </c>
      <c r="C90" s="515" t="s">
        <v>48</v>
      </c>
      <c r="D90" s="516" t="s">
        <v>49</v>
      </c>
      <c r="E90" s="517"/>
      <c r="F90" s="1"/>
    </row>
    <row r="91" spans="1:77" ht="15" customHeight="1" x14ac:dyDescent="0.25">
      <c r="A91" s="1"/>
      <c r="B91" s="514"/>
      <c r="C91" s="515"/>
      <c r="D91" s="516"/>
      <c r="E91" s="517"/>
      <c r="F91" s="1"/>
    </row>
    <row r="92" spans="1:77" ht="15" customHeight="1" x14ac:dyDescent="0.25">
      <c r="A92" s="1"/>
      <c r="B92" s="514" t="s">
        <v>50</v>
      </c>
      <c r="C92" s="515" t="s">
        <v>51</v>
      </c>
      <c r="D92" s="516" t="s">
        <v>52</v>
      </c>
      <c r="E92" s="517"/>
      <c r="F92" s="1"/>
    </row>
    <row r="93" spans="1:77" ht="15" customHeight="1" x14ac:dyDescent="0.25">
      <c r="A93" s="1"/>
      <c r="B93" s="514"/>
      <c r="C93" s="515"/>
      <c r="D93" s="516"/>
      <c r="E93" s="517"/>
      <c r="F93" s="1"/>
    </row>
    <row r="94" spans="1:77" ht="15" customHeight="1" x14ac:dyDescent="0.25">
      <c r="A94" s="1"/>
      <c r="B94" s="514" t="s">
        <v>53</v>
      </c>
      <c r="C94" s="515" t="s">
        <v>54</v>
      </c>
      <c r="D94" s="516" t="s">
        <v>55</v>
      </c>
      <c r="E94" s="517"/>
      <c r="F94" s="1"/>
    </row>
    <row r="95" spans="1:77" ht="15" customHeight="1" x14ac:dyDescent="0.25">
      <c r="A95" s="1"/>
      <c r="B95" s="514"/>
      <c r="C95" s="515"/>
      <c r="D95" s="516"/>
      <c r="E95" s="517"/>
      <c r="F95" s="1"/>
    </row>
    <row r="96" spans="1:77" ht="15" customHeight="1" x14ac:dyDescent="0.25">
      <c r="A96" s="1"/>
      <c r="B96" s="514" t="s">
        <v>56</v>
      </c>
      <c r="C96" s="515" t="s">
        <v>57</v>
      </c>
      <c r="D96" s="516" t="s">
        <v>58</v>
      </c>
      <c r="E96" s="517"/>
      <c r="F96" s="1"/>
      <c r="BY96" s="34" t="s">
        <v>25</v>
      </c>
    </row>
    <row r="97" spans="1:77" ht="15" customHeight="1" x14ac:dyDescent="0.25">
      <c r="A97" s="1"/>
      <c r="B97" s="514"/>
      <c r="C97" s="515"/>
      <c r="D97" s="516"/>
      <c r="E97" s="517"/>
      <c r="F97" s="1"/>
      <c r="BY97" s="34" t="s">
        <v>59</v>
      </c>
    </row>
    <row r="98" spans="1:77" ht="15" customHeight="1" x14ac:dyDescent="0.25">
      <c r="A98" s="1"/>
      <c r="B98" s="514" t="s">
        <v>60</v>
      </c>
      <c r="C98" s="515" t="s">
        <v>61</v>
      </c>
      <c r="D98" s="516" t="s">
        <v>62</v>
      </c>
      <c r="E98" s="517"/>
      <c r="F98" s="1"/>
      <c r="BY98" s="34" t="s">
        <v>63</v>
      </c>
    </row>
    <row r="99" spans="1:77" ht="15" customHeight="1" x14ac:dyDescent="0.25">
      <c r="A99" s="1"/>
      <c r="B99" s="514"/>
      <c r="C99" s="515"/>
      <c r="D99" s="516"/>
      <c r="E99" s="517"/>
      <c r="F99" s="1"/>
      <c r="BY99" s="34" t="s">
        <v>64</v>
      </c>
    </row>
    <row r="100" spans="1:77" ht="15" customHeight="1" x14ac:dyDescent="0.25">
      <c r="A100" s="1"/>
      <c r="B100" s="514" t="s">
        <v>65</v>
      </c>
      <c r="C100" s="515" t="s">
        <v>66</v>
      </c>
      <c r="D100" s="516" t="s">
        <v>67</v>
      </c>
      <c r="E100" s="517"/>
      <c r="F100" s="1"/>
    </row>
    <row r="101" spans="1:77" ht="15" customHeight="1" thickBot="1" x14ac:dyDescent="0.3">
      <c r="A101" s="1"/>
      <c r="B101" s="514"/>
      <c r="C101" s="523"/>
      <c r="D101" s="524"/>
      <c r="E101" s="525"/>
      <c r="F101" s="1"/>
    </row>
    <row r="102" spans="1:77" ht="15" customHeight="1" x14ac:dyDescent="0.3">
      <c r="A102" s="1"/>
      <c r="B102" s="30"/>
      <c r="C102" s="31"/>
      <c r="D102" s="1"/>
      <c r="E102" s="1"/>
      <c r="F102" s="1"/>
      <c r="AL102" s="80"/>
    </row>
    <row r="103" spans="1:77" ht="15" customHeight="1" x14ac:dyDescent="0.25">
      <c r="A103" s="1"/>
      <c r="B103" s="30"/>
      <c r="C103" s="31"/>
      <c r="D103" s="1"/>
      <c r="E103" s="1"/>
      <c r="F103" s="1"/>
    </row>
    <row r="104" spans="1:77" ht="49.95" customHeight="1" x14ac:dyDescent="0.25">
      <c r="A104" s="1"/>
      <c r="B104" s="30"/>
      <c r="C104" s="31"/>
      <c r="D104" s="1"/>
      <c r="E104" s="1"/>
      <c r="F104" s="1"/>
    </row>
    <row r="105" spans="1:77" ht="10.050000000000001" customHeight="1" x14ac:dyDescent="0.25">
      <c r="A105" s="1"/>
      <c r="B105" s="30"/>
      <c r="C105" s="31"/>
      <c r="D105" s="1"/>
      <c r="E105" s="1"/>
      <c r="F105" s="1"/>
    </row>
    <row r="106" spans="1:77" ht="25.05" customHeight="1" x14ac:dyDescent="0.35">
      <c r="A106" s="39" t="s">
        <v>68</v>
      </c>
      <c r="B106" s="1"/>
      <c r="C106" s="1"/>
      <c r="D106" s="1"/>
      <c r="E106" s="1"/>
      <c r="F106" s="1"/>
    </row>
    <row r="107" spans="1:77" ht="4.95" customHeight="1" x14ac:dyDescent="0.35">
      <c r="A107" s="39"/>
      <c r="B107" s="1"/>
      <c r="C107" s="1"/>
      <c r="D107" s="1"/>
      <c r="E107" s="1"/>
      <c r="F107" s="1"/>
    </row>
    <row r="108" spans="1:77" ht="18" customHeight="1" x14ac:dyDescent="0.5">
      <c r="A108" s="40" t="s">
        <v>69</v>
      </c>
      <c r="B108" s="40" t="str">
        <f>B149</f>
        <v>Case information</v>
      </c>
      <c r="C108" s="1"/>
      <c r="D108" s="1"/>
      <c r="E108" s="1"/>
      <c r="F108" s="1"/>
    </row>
    <row r="109" spans="1:77" ht="13.95" customHeight="1" x14ac:dyDescent="0.25">
      <c r="A109" s="41"/>
      <c r="B109" s="44" t="s">
        <v>70</v>
      </c>
      <c r="C109" s="41"/>
      <c r="D109" s="41"/>
      <c r="E109" s="1"/>
      <c r="F109" s="1"/>
    </row>
    <row r="110" spans="1:77" ht="18" customHeight="1" x14ac:dyDescent="0.5">
      <c r="A110" s="40" t="s">
        <v>71</v>
      </c>
      <c r="B110" s="40" t="str">
        <f>B296</f>
        <v>Documentation for verification</v>
      </c>
      <c r="C110" s="1"/>
      <c r="D110" s="1"/>
      <c r="E110" s="1"/>
      <c r="F110" s="1"/>
    </row>
    <row r="111" spans="1:77" ht="13.95" customHeight="1" x14ac:dyDescent="0.25">
      <c r="A111" s="41"/>
      <c r="B111" s="44" t="s">
        <v>72</v>
      </c>
      <c r="C111" s="41"/>
      <c r="D111" s="41"/>
      <c r="E111" s="1"/>
      <c r="F111" s="1"/>
    </row>
    <row r="112" spans="1:77" ht="18" customHeight="1" x14ac:dyDescent="0.5">
      <c r="A112" s="42" t="s">
        <v>73</v>
      </c>
      <c r="B112" s="43" t="str">
        <f>B462</f>
        <v>Common factors in wrongful convictions</v>
      </c>
      <c r="C112" s="1"/>
      <c r="D112" s="1"/>
      <c r="E112" s="1"/>
      <c r="F112" s="1"/>
    </row>
    <row r="113" spans="1:47" ht="13.95" customHeight="1" x14ac:dyDescent="0.4">
      <c r="A113" s="42"/>
      <c r="B113" s="484" t="s">
        <v>74</v>
      </c>
      <c r="C113" s="41"/>
      <c r="D113" s="41"/>
      <c r="E113" s="1"/>
      <c r="F113" s="1"/>
    </row>
    <row r="114" spans="1:47" ht="18" customHeight="1" x14ac:dyDescent="0.5">
      <c r="A114" s="42" t="s">
        <v>75</v>
      </c>
      <c r="B114" s="43" t="str">
        <f>B497</f>
        <v>Evidentiary factors</v>
      </c>
      <c r="C114" s="1"/>
      <c r="D114" s="1"/>
      <c r="E114" s="1"/>
      <c r="F114" s="1"/>
    </row>
    <row r="115" spans="1:47" ht="13.95" customHeight="1" x14ac:dyDescent="0.4">
      <c r="A115" s="42"/>
      <c r="B115" s="484" t="s">
        <v>76</v>
      </c>
      <c r="C115" s="41"/>
      <c r="D115" s="41"/>
      <c r="E115" s="1"/>
      <c r="F115" s="1"/>
    </row>
    <row r="116" spans="1:47" ht="18" customHeight="1" x14ac:dyDescent="0.5">
      <c r="A116" s="42" t="s">
        <v>77</v>
      </c>
      <c r="B116" s="43" t="str">
        <f>B531</f>
        <v>Investigative factors</v>
      </c>
      <c r="C116" s="1"/>
      <c r="D116" s="1"/>
      <c r="E116" s="1"/>
      <c r="F116" s="1"/>
    </row>
    <row r="117" spans="1:47" ht="13.95" customHeight="1" x14ac:dyDescent="0.4">
      <c r="A117" s="42"/>
      <c r="B117" s="484" t="s">
        <v>78</v>
      </c>
      <c r="C117" s="41"/>
      <c r="D117" s="41"/>
      <c r="E117" s="1"/>
      <c r="F117" s="1"/>
    </row>
    <row r="118" spans="1:47" ht="18" customHeight="1" x14ac:dyDescent="0.5">
      <c r="A118" s="42" t="s">
        <v>79</v>
      </c>
      <c r="B118" s="43" t="str">
        <f>B565</f>
        <v>Complicating factors</v>
      </c>
      <c r="C118" s="1"/>
      <c r="D118" s="1"/>
      <c r="E118" s="1"/>
      <c r="F118" s="1"/>
    </row>
    <row r="119" spans="1:47" ht="13.95" customHeight="1" x14ac:dyDescent="0.4">
      <c r="A119" s="42"/>
      <c r="B119" s="484" t="s">
        <v>80</v>
      </c>
      <c r="C119" s="41"/>
      <c r="D119" s="41"/>
      <c r="E119" s="1"/>
      <c r="F119" s="1"/>
    </row>
    <row r="120" spans="1:47" ht="18" customHeight="1" x14ac:dyDescent="0.5">
      <c r="A120" s="42" t="s">
        <v>81</v>
      </c>
      <c r="B120" s="43" t="str">
        <f>B599</f>
        <v>Claimant’s demonstratable innocence</v>
      </c>
      <c r="C120" s="1"/>
      <c r="D120" s="1"/>
      <c r="E120" s="1"/>
      <c r="F120" s="1"/>
    </row>
    <row r="121" spans="1:47" ht="13.95" customHeight="1" x14ac:dyDescent="0.4">
      <c r="A121" s="42"/>
      <c r="B121" s="484" t="s">
        <v>82</v>
      </c>
      <c r="C121" s="41"/>
      <c r="D121" s="41"/>
      <c r="E121" s="1"/>
      <c r="F121" s="1"/>
    </row>
    <row r="122" spans="1:47" ht="18" customHeight="1" x14ac:dyDescent="0.5">
      <c r="A122" s="42" t="s">
        <v>83</v>
      </c>
      <c r="B122" s="43" t="str">
        <f>B642</f>
        <v>Claimant’s innocence recognized by others</v>
      </c>
      <c r="C122" s="1"/>
      <c r="D122" s="1"/>
      <c r="E122" s="1"/>
      <c r="F122" s="1"/>
    </row>
    <row r="123" spans="1:47" ht="13.95" customHeight="1" x14ac:dyDescent="0.4">
      <c r="A123" s="42"/>
      <c r="B123" s="484" t="s">
        <v>84</v>
      </c>
      <c r="C123" s="41"/>
      <c r="D123" s="41"/>
      <c r="E123" s="1"/>
      <c r="F123" s="1"/>
    </row>
    <row r="124" spans="1:47" ht="18" customHeight="1" x14ac:dyDescent="0.5">
      <c r="A124" s="42" t="s">
        <v>85</v>
      </c>
      <c r="B124" s="43" t="str">
        <f>B681</f>
        <v>Other</v>
      </c>
      <c r="C124" s="1"/>
      <c r="D124" s="1"/>
      <c r="E124" s="1"/>
      <c r="F124" s="1"/>
      <c r="AP124" s="56" t="str">
        <f>_Toc525862528</f>
        <v>Notifying</v>
      </c>
    </row>
    <row r="125" spans="1:47" ht="13.95" customHeight="1" x14ac:dyDescent="0.4">
      <c r="A125" s="42"/>
      <c r="B125" s="484" t="s">
        <v>86</v>
      </c>
      <c r="C125" s="41"/>
      <c r="D125" s="41"/>
      <c r="E125" s="1"/>
      <c r="F125" s="1"/>
    </row>
    <row r="126" spans="1:47" ht="18" customHeight="1" x14ac:dyDescent="0.5">
      <c r="A126" s="42" t="s">
        <v>87</v>
      </c>
      <c r="B126" s="43" t="str">
        <f>B691</f>
        <v>Process</v>
      </c>
      <c r="C126" s="1"/>
      <c r="D126" s="1"/>
      <c r="E126" s="1"/>
      <c r="F126" s="1"/>
    </row>
    <row r="127" spans="1:47" ht="13.95" customHeight="1" x14ac:dyDescent="0.4">
      <c r="A127" s="42"/>
      <c r="B127" s="484" t="s">
        <v>88</v>
      </c>
      <c r="C127" s="41"/>
      <c r="D127" s="41"/>
      <c r="E127" s="1"/>
      <c r="F127" s="1"/>
    </row>
    <row r="128" spans="1:47" ht="18" customHeight="1" x14ac:dyDescent="0.5">
      <c r="A128" s="40" t="s">
        <v>89</v>
      </c>
      <c r="B128" s="40" t="str">
        <f>B719</f>
        <v>Requests and responses for exoneration help</v>
      </c>
      <c r="C128" s="1"/>
      <c r="D128" s="1"/>
      <c r="E128" s="1"/>
      <c r="F128" s="1"/>
      <c r="AU128" s="80"/>
    </row>
    <row r="129" spans="1:28" ht="13.95" customHeight="1" x14ac:dyDescent="0.5">
      <c r="A129" s="40"/>
      <c r="B129" s="44" t="s">
        <v>90</v>
      </c>
      <c r="C129" s="41"/>
      <c r="D129" s="41"/>
      <c r="E129" s="1"/>
      <c r="F129" s="1"/>
    </row>
    <row r="130" spans="1:28" ht="18" customHeight="1" x14ac:dyDescent="0.5">
      <c r="A130" s="40" t="s">
        <v>91</v>
      </c>
      <c r="B130" s="40" t="str">
        <f>B762</f>
        <v>Collateral consequences of wrongful conviction</v>
      </c>
      <c r="C130" s="1"/>
      <c r="D130" s="1"/>
      <c r="E130" s="1"/>
      <c r="F130" s="1"/>
      <c r="AB130" s="80"/>
    </row>
    <row r="131" spans="1:28" ht="13.95" customHeight="1" x14ac:dyDescent="0.25">
      <c r="A131" s="41"/>
      <c r="B131" s="44" t="s">
        <v>92</v>
      </c>
      <c r="C131" s="41"/>
      <c r="D131" s="41"/>
      <c r="E131" s="1"/>
      <c r="F131" s="1"/>
    </row>
    <row r="132" spans="1:28" ht="18" customHeight="1" x14ac:dyDescent="0.5">
      <c r="A132" s="40" t="s">
        <v>93</v>
      </c>
      <c r="B132" s="40" t="str">
        <f>B839</f>
        <v>Claimant narrative</v>
      </c>
      <c r="C132" s="1"/>
      <c r="D132" s="1"/>
      <c r="E132" s="1"/>
      <c r="F132" s="1"/>
    </row>
    <row r="133" spans="1:28" ht="13.95" customHeight="1" x14ac:dyDescent="0.25">
      <c r="A133" s="41"/>
      <c r="B133" s="44" t="s">
        <v>94</v>
      </c>
      <c r="C133" s="41"/>
      <c r="D133" s="41"/>
      <c r="E133" s="1"/>
      <c r="F133" s="1"/>
    </row>
    <row r="134" spans="1:28" ht="18" customHeight="1" x14ac:dyDescent="0.5">
      <c r="A134" s="40" t="str">
        <f>A1062</f>
        <v>G.</v>
      </c>
      <c r="B134" s="40" t="str">
        <f>B1062</f>
        <v>Compensation</v>
      </c>
      <c r="C134" s="1"/>
      <c r="D134" s="1"/>
      <c r="E134" s="1"/>
      <c r="F134" s="1"/>
    </row>
    <row r="135" spans="1:28" ht="13.95" customHeight="1" x14ac:dyDescent="0.25">
      <c r="A135" s="1"/>
      <c r="B135" s="44" t="s">
        <v>97</v>
      </c>
      <c r="C135" s="1"/>
      <c r="D135" s="1"/>
      <c r="E135" s="1"/>
      <c r="F135" s="1"/>
    </row>
    <row r="136" spans="1:28" ht="18" customHeight="1" x14ac:dyDescent="0.5">
      <c r="A136" s="40" t="str">
        <f>A1597</f>
        <v>H.</v>
      </c>
      <c r="B136" s="40" t="str">
        <f>B1597</f>
        <v>You're not alone</v>
      </c>
      <c r="C136" s="1"/>
      <c r="D136" s="1"/>
      <c r="E136" s="1"/>
      <c r="F136" s="1"/>
    </row>
    <row r="137" spans="1:28" ht="13.95" customHeight="1" x14ac:dyDescent="0.25">
      <c r="A137" s="1"/>
      <c r="B137" s="44" t="s">
        <v>100</v>
      </c>
      <c r="C137" s="1"/>
      <c r="D137" s="1"/>
      <c r="E137" s="1"/>
      <c r="F137" s="1"/>
    </row>
    <row r="138" spans="1:28" ht="18" customHeight="1" x14ac:dyDescent="0.5">
      <c r="A138" s="476"/>
      <c r="B138" s="476"/>
      <c r="C138" s="1"/>
      <c r="D138" s="1"/>
      <c r="E138" s="1"/>
      <c r="F138" s="1"/>
    </row>
    <row r="139" spans="1:28" ht="13.95" customHeight="1" x14ac:dyDescent="0.25">
      <c r="A139" s="477"/>
      <c r="B139" s="478"/>
      <c r="C139" s="1"/>
      <c r="D139" s="1"/>
      <c r="E139" s="1"/>
      <c r="F139" s="1"/>
    </row>
    <row r="140" spans="1:28" ht="18" customHeight="1" x14ac:dyDescent="0.5">
      <c r="A140" s="476"/>
      <c r="B140" s="476"/>
      <c r="C140" s="1"/>
      <c r="D140" s="1"/>
      <c r="E140" s="1"/>
      <c r="F140" s="1"/>
      <c r="AB140" s="80"/>
    </row>
    <row r="141" spans="1:28" ht="13.95" customHeight="1" x14ac:dyDescent="0.25">
      <c r="A141" s="477"/>
      <c r="B141" s="478"/>
      <c r="C141" s="1"/>
      <c r="D141" s="1"/>
      <c r="E141" s="1"/>
      <c r="F141" s="1"/>
    </row>
    <row r="142" spans="1:28" ht="18" customHeight="1" x14ac:dyDescent="0.5">
      <c r="A142" s="476"/>
      <c r="B142" s="476"/>
      <c r="C142" s="1"/>
      <c r="D142" s="1"/>
      <c r="E142" s="1"/>
      <c r="F142" s="1"/>
    </row>
    <row r="143" spans="1:28" ht="13.95" customHeight="1" x14ac:dyDescent="0.25">
      <c r="A143" s="477"/>
      <c r="B143" s="478"/>
      <c r="C143" s="1"/>
      <c r="D143" s="1"/>
      <c r="E143" s="1"/>
      <c r="F143" s="1"/>
    </row>
    <row r="144" spans="1:28" ht="18" customHeight="1" x14ac:dyDescent="0.5">
      <c r="A144" s="476"/>
      <c r="B144" s="476"/>
      <c r="C144" s="1"/>
      <c r="D144" s="1"/>
      <c r="E144" s="1"/>
      <c r="F144" s="1"/>
    </row>
    <row r="145" spans="1:54" ht="13.95" customHeight="1" x14ac:dyDescent="0.25">
      <c r="A145" s="477"/>
      <c r="B145" s="478"/>
      <c r="C145" s="1"/>
      <c r="D145" s="1"/>
      <c r="E145" s="1"/>
      <c r="F145" s="1"/>
    </row>
    <row r="146" spans="1:54" ht="18" customHeight="1" x14ac:dyDescent="0.25">
      <c r="A146" s="1"/>
      <c r="B146" s="1"/>
      <c r="C146" s="1"/>
      <c r="D146" s="1"/>
      <c r="E146" s="1"/>
      <c r="F146" s="1"/>
    </row>
    <row r="147" spans="1:54" ht="13.95" customHeight="1" x14ac:dyDescent="0.25">
      <c r="A147" s="1"/>
      <c r="B147" s="1"/>
      <c r="C147" s="1"/>
      <c r="D147" s="1"/>
      <c r="E147" s="1"/>
      <c r="F147" s="1"/>
    </row>
    <row r="148" spans="1:54" ht="7.95" customHeight="1" x14ac:dyDescent="0.25">
      <c r="A148" s="1"/>
      <c r="B148" s="1"/>
      <c r="C148" s="1"/>
      <c r="D148" s="1"/>
      <c r="E148" s="1"/>
      <c r="F148" s="1"/>
    </row>
    <row r="149" spans="1:54" ht="30" customHeight="1" x14ac:dyDescent="0.25">
      <c r="A149" s="46" t="s">
        <v>101</v>
      </c>
      <c r="B149" s="46" t="s">
        <v>102</v>
      </c>
      <c r="C149" s="46"/>
      <c r="D149" s="46"/>
      <c r="E149" s="475"/>
      <c r="F149" s="475" t="s">
        <v>949</v>
      </c>
    </row>
    <row r="150" spans="1:54" ht="17.399999999999999" x14ac:dyDescent="0.3">
      <c r="A150" s="48"/>
      <c r="B150" s="531" t="s">
        <v>103</v>
      </c>
      <c r="C150" s="531"/>
      <c r="D150" s="531"/>
      <c r="E150" s="49"/>
      <c r="F150" s="49"/>
      <c r="AP150" s="80"/>
    </row>
    <row r="151" spans="1:54" ht="10.050000000000001" customHeight="1" thickBot="1" x14ac:dyDescent="0.3">
      <c r="A151" s="105"/>
      <c r="B151" s="105"/>
      <c r="C151" s="105"/>
      <c r="D151" s="105"/>
      <c r="E151" s="105"/>
      <c r="F151" s="1"/>
    </row>
    <row r="152" spans="1:54" ht="25.05" customHeight="1" thickTop="1" thickBot="1" x14ac:dyDescent="0.45">
      <c r="A152" s="105"/>
      <c r="B152" s="51" t="s">
        <v>104</v>
      </c>
      <c r="C152" s="52"/>
      <c r="D152" s="52"/>
      <c r="E152" s="105"/>
      <c r="F152" s="1"/>
      <c r="AD152" s="56" t="str">
        <f>"FIRST NAME"</f>
        <v>FIRST NAME</v>
      </c>
      <c r="AH152" s="56" t="s">
        <v>107</v>
      </c>
      <c r="AN152" s="35">
        <f>IF(NOT(C152=AD152),C152,"Claimant")</f>
        <v>0</v>
      </c>
      <c r="AO152" s="36"/>
      <c r="AP152" s="36"/>
      <c r="AQ152" s="36"/>
      <c r="AR152" s="36"/>
      <c r="AS152" s="36"/>
      <c r="AT152" s="37"/>
    </row>
    <row r="153" spans="1:54" ht="15" thickTop="1" thickBot="1" x14ac:dyDescent="0.3">
      <c r="A153" s="105"/>
      <c r="B153" s="105"/>
      <c r="C153" s="53" t="s">
        <v>108</v>
      </c>
      <c r="D153" s="53" t="s">
        <v>109</v>
      </c>
      <c r="E153" s="105"/>
      <c r="F153" s="1"/>
    </row>
    <row r="154" spans="1:54" ht="15" thickTop="1" thickBot="1" x14ac:dyDescent="0.3">
      <c r="A154" s="105"/>
      <c r="B154" s="105"/>
      <c r="C154" s="54"/>
      <c r="D154" s="55"/>
      <c r="E154" s="105"/>
      <c r="F154" s="1"/>
    </row>
    <row r="155" spans="1:54" ht="15" thickTop="1" thickBot="1" x14ac:dyDescent="0.3">
      <c r="A155" s="105"/>
      <c r="B155" s="105"/>
      <c r="C155" s="53" t="s">
        <v>111</v>
      </c>
      <c r="D155" s="53" t="s">
        <v>112</v>
      </c>
      <c r="E155" s="105"/>
      <c r="F155" s="1"/>
      <c r="AJ155" s="526">
        <v>37798</v>
      </c>
      <c r="AK155" s="526"/>
      <c r="AL155" s="526"/>
      <c r="AM155" s="56" t="s">
        <v>113</v>
      </c>
      <c r="AQ155" s="532"/>
      <c r="AR155" s="532"/>
    </row>
    <row r="156" spans="1:54" ht="15" thickTop="1" thickBot="1" x14ac:dyDescent="0.3">
      <c r="A156" s="105"/>
      <c r="B156" s="105"/>
      <c r="C156" s="54"/>
      <c r="D156" s="54"/>
      <c r="E156" s="105"/>
      <c r="F156" s="1"/>
      <c r="AB156" s="57"/>
      <c r="AD156" s="56" t="str">
        <f>C2425</f>
        <v>other (explain in box)</v>
      </c>
      <c r="AJ156" s="58">
        <f>IF(AND(D202&lt;AJ155,D156=AD156),2,1)</f>
        <v>1</v>
      </c>
      <c r="AK156" s="58" t="s">
        <v>115</v>
      </c>
      <c r="AM156" s="58">
        <f>IF($AF$587&gt;2,1.12,1)</f>
        <v>1</v>
      </c>
      <c r="AO156" s="58">
        <f>IF($AF$592&gt;2,1.12,1)</f>
        <v>1</v>
      </c>
      <c r="BB156" s="59">
        <f>ROUND(AJ156*AM156*AO156,1)</f>
        <v>1</v>
      </c>
    </row>
    <row r="157" spans="1:54" ht="15" thickTop="1" thickBot="1" x14ac:dyDescent="0.3">
      <c r="A157" s="105"/>
      <c r="B157" s="105"/>
      <c r="C157" s="53" t="s">
        <v>116</v>
      </c>
      <c r="D157" s="53" t="s">
        <v>117</v>
      </c>
      <c r="E157" s="105"/>
      <c r="F157" s="1"/>
    </row>
    <row r="158" spans="1:54" ht="15" thickTop="1" thickBot="1" x14ac:dyDescent="0.3">
      <c r="A158" s="105"/>
      <c r="B158" s="105"/>
      <c r="C158" s="54"/>
      <c r="D158" s="54"/>
      <c r="E158" s="105"/>
      <c r="F158" s="1"/>
      <c r="AB158" s="57"/>
      <c r="AD158" s="56" t="str">
        <f>C2428</f>
        <v>primarily white</v>
      </c>
      <c r="AH158" s="56" t="str">
        <f>C2429</f>
        <v>primarily black</v>
      </c>
      <c r="AL158" s="56" t="str">
        <f>C2430</f>
        <v>nonwhite hispanic</v>
      </c>
      <c r="AQ158" s="56" t="str">
        <f>C2431</f>
        <v>other (explain in box)</v>
      </c>
    </row>
    <row r="159" spans="1:54" ht="15" thickTop="1" thickBot="1" x14ac:dyDescent="0.3">
      <c r="A159" s="105"/>
      <c r="B159" s="105"/>
      <c r="C159" s="53" t="s">
        <v>120</v>
      </c>
      <c r="D159" s="105"/>
      <c r="E159" s="105"/>
      <c r="F159" s="1"/>
      <c r="AD159" s="56">
        <f>IF($C158=AD158,1,0)</f>
        <v>0</v>
      </c>
      <c r="AE159" s="56">
        <f>IF($AF$587&gt;2,1.5,1)</f>
        <v>1</v>
      </c>
      <c r="AF159" s="56">
        <f>IF($AF$592&gt;2,1.5,1)</f>
        <v>1</v>
      </c>
      <c r="AG159" s="58">
        <f>AD159*AE159*AF159</f>
        <v>0</v>
      </c>
      <c r="AH159" s="56">
        <f>IF($C158=AH158,3,0)</f>
        <v>0</v>
      </c>
      <c r="AI159" s="56">
        <f>IF($AF$587&gt;2,1.5,0)</f>
        <v>0</v>
      </c>
      <c r="AJ159" s="56">
        <f>IF($AF$592&gt;2,1.5,0)</f>
        <v>0</v>
      </c>
      <c r="AK159" s="58">
        <f>AH159*AI159*AJ159</f>
        <v>0</v>
      </c>
      <c r="AL159" s="56">
        <f>IF($C158=AL158,2,0)</f>
        <v>0</v>
      </c>
      <c r="AM159" s="56">
        <f>IF($AF$587&gt;2,1.5,1)</f>
        <v>1</v>
      </c>
      <c r="AN159" s="56">
        <f>IF($AF$592&gt;2,1.5,1)</f>
        <v>1</v>
      </c>
      <c r="AO159" s="58">
        <f>AL159*AM159*AN159</f>
        <v>0</v>
      </c>
      <c r="AQ159" s="56">
        <f>IF($C158=AQ158,1.5,0)</f>
        <v>0</v>
      </c>
      <c r="AR159" s="56">
        <f>IF($AF$587&gt;2,1.5,1)</f>
        <v>1</v>
      </c>
      <c r="AS159" s="56">
        <f>IF($AF$592&gt;2,1.5,1)</f>
        <v>1</v>
      </c>
      <c r="AT159" s="58">
        <f>AQ159*AR159*AS159</f>
        <v>0</v>
      </c>
      <c r="AV159" s="60">
        <f>(MAX(AG159,AK159,AO159,AT159))-2.25</f>
        <v>-2.25</v>
      </c>
      <c r="BB159" s="61">
        <f>IF(AV159=-2.25,0,AV159)</f>
        <v>0</v>
      </c>
    </row>
    <row r="160" spans="1:54" ht="45" customHeight="1" thickTop="1" thickBot="1" x14ac:dyDescent="0.3">
      <c r="A160" s="105"/>
      <c r="B160" s="105"/>
      <c r="C160" s="528"/>
      <c r="D160" s="530"/>
      <c r="E160" s="105"/>
      <c r="F160" s="1"/>
    </row>
    <row r="161" spans="1:54" ht="4.95" customHeight="1" thickTop="1" thickBot="1" x14ac:dyDescent="0.3">
      <c r="A161" s="105"/>
      <c r="B161" s="105"/>
      <c r="C161" s="105"/>
      <c r="D161" s="105"/>
      <c r="E161" s="105"/>
      <c r="F161" s="1"/>
    </row>
    <row r="162" spans="1:54" ht="25.05" customHeight="1" thickTop="1" thickBot="1" x14ac:dyDescent="0.45">
      <c r="A162" s="105"/>
      <c r="B162" s="51" t="s">
        <v>122</v>
      </c>
      <c r="C162" s="52"/>
      <c r="D162" s="52"/>
      <c r="E162" s="105"/>
      <c r="F162" s="1"/>
      <c r="AD162" s="56" t="str">
        <f>"FIRST NAME"</f>
        <v>FIRST NAME</v>
      </c>
      <c r="AH162" s="56" t="s">
        <v>107</v>
      </c>
      <c r="AN162" s="35">
        <f>IF(NOT(C162=AD162),C162,"Proxy")</f>
        <v>0</v>
      </c>
      <c r="AO162" s="36"/>
      <c r="AP162" s="36"/>
      <c r="AQ162" s="36"/>
      <c r="AR162" s="36"/>
      <c r="AS162" s="36"/>
      <c r="AT162" s="37"/>
    </row>
    <row r="163" spans="1:54" ht="15" thickTop="1" thickBot="1" x14ac:dyDescent="0.3">
      <c r="A163" s="105"/>
      <c r="B163" s="105"/>
      <c r="C163" s="53" t="s">
        <v>124</v>
      </c>
      <c r="D163" s="53" t="s">
        <v>109</v>
      </c>
      <c r="E163" s="105"/>
      <c r="F163" s="1"/>
    </row>
    <row r="164" spans="1:54" ht="15" thickTop="1" thickBot="1" x14ac:dyDescent="0.3">
      <c r="A164" s="105"/>
      <c r="B164" s="105"/>
      <c r="C164" s="54"/>
      <c r="D164" s="55"/>
      <c r="E164" s="105"/>
      <c r="F164" s="1"/>
    </row>
    <row r="165" spans="1:54" ht="15" thickTop="1" thickBot="1" x14ac:dyDescent="0.3">
      <c r="A165" s="105"/>
      <c r="B165" s="105"/>
      <c r="C165" s="53" t="s">
        <v>125</v>
      </c>
      <c r="D165" s="53" t="s">
        <v>126</v>
      </c>
      <c r="E165" s="105"/>
      <c r="F165" s="1"/>
    </row>
    <row r="166" spans="1:54" ht="15" thickTop="1" thickBot="1" x14ac:dyDescent="0.3">
      <c r="A166" s="105"/>
      <c r="B166" s="105"/>
      <c r="C166" s="62"/>
      <c r="D166" s="55"/>
      <c r="E166" s="105"/>
      <c r="F166" s="1"/>
    </row>
    <row r="167" spans="1:54" ht="10.050000000000001" customHeight="1" thickTop="1" thickBot="1" x14ac:dyDescent="0.3">
      <c r="A167" s="105"/>
      <c r="B167" s="105"/>
      <c r="C167" s="105"/>
      <c r="D167" s="105"/>
      <c r="E167" s="105"/>
      <c r="F167" s="1"/>
    </row>
    <row r="168" spans="1:54" ht="15" thickTop="1" thickBot="1" x14ac:dyDescent="0.3">
      <c r="A168" s="63" t="s">
        <v>129</v>
      </c>
      <c r="B168" s="64"/>
      <c r="C168" s="105"/>
      <c r="D168" s="105"/>
      <c r="E168" s="105"/>
      <c r="F168" s="1"/>
    </row>
    <row r="169" spans="1:54" ht="19.95" customHeight="1" thickTop="1" thickBot="1" x14ac:dyDescent="0.3">
      <c r="A169" s="105"/>
      <c r="B169" s="65" t="s">
        <v>130</v>
      </c>
      <c r="C169" s="65" t="s">
        <v>131</v>
      </c>
      <c r="D169" s="65" t="s">
        <v>132</v>
      </c>
      <c r="E169" s="105"/>
      <c r="F169" s="1"/>
    </row>
    <row r="170" spans="1:54" s="71" customFormat="1" ht="30" customHeight="1" thickTop="1" thickBot="1" x14ac:dyDescent="0.3">
      <c r="A170" s="66" t="str">
        <f>IF(B170="","",1)</f>
        <v/>
      </c>
      <c r="B170" s="67"/>
      <c r="C170" s="67"/>
      <c r="D170" s="68"/>
      <c r="E170" s="66"/>
      <c r="F170" s="69"/>
      <c r="G170" s="70"/>
      <c r="H170" s="70"/>
      <c r="I170" s="70"/>
      <c r="J170" s="70"/>
      <c r="K170" s="70"/>
      <c r="L170" s="70"/>
      <c r="M170" s="70"/>
      <c r="N170" s="70"/>
      <c r="O170" s="70"/>
      <c r="P170" s="70"/>
      <c r="Q170" s="70"/>
      <c r="R170" s="70"/>
      <c r="S170" s="70"/>
      <c r="T170" s="70"/>
      <c r="U170" s="70"/>
      <c r="V170" s="70"/>
      <c r="W170" s="70"/>
      <c r="X170" s="70"/>
      <c r="Y170" s="70"/>
      <c r="Z170" s="70"/>
      <c r="AA170" s="56"/>
      <c r="BB170" s="72"/>
    </row>
    <row r="171" spans="1:54" s="71" customFormat="1" ht="30" customHeight="1" thickTop="1" thickBot="1" x14ac:dyDescent="0.3">
      <c r="A171" s="66" t="str">
        <f>IF(B171="","",1+A170)</f>
        <v/>
      </c>
      <c r="B171" s="67"/>
      <c r="C171" s="67"/>
      <c r="D171" s="68"/>
      <c r="E171" s="66"/>
      <c r="F171" s="69"/>
      <c r="G171" s="70"/>
      <c r="H171" s="70"/>
      <c r="I171" s="70"/>
      <c r="J171" s="70"/>
      <c r="K171" s="70"/>
      <c r="L171" s="70"/>
      <c r="M171" s="70"/>
      <c r="N171" s="70"/>
      <c r="O171" s="70"/>
      <c r="P171" s="70"/>
      <c r="Q171" s="70"/>
      <c r="R171" s="70"/>
      <c r="S171" s="70"/>
      <c r="T171" s="70"/>
      <c r="U171" s="70"/>
      <c r="V171" s="70"/>
      <c r="W171" s="70"/>
      <c r="X171" s="70"/>
      <c r="Y171" s="70"/>
      <c r="Z171" s="70"/>
      <c r="AA171" s="56"/>
      <c r="BB171" s="72"/>
    </row>
    <row r="172" spans="1:54" s="71" customFormat="1" ht="30" customHeight="1" thickTop="1" thickBot="1" x14ac:dyDescent="0.3">
      <c r="A172" s="66" t="str">
        <f t="shared" ref="A172:A179" si="2">IF(B172="","",1+A171)</f>
        <v/>
      </c>
      <c r="B172" s="67"/>
      <c r="C172" s="67"/>
      <c r="D172" s="68"/>
      <c r="E172" s="66"/>
      <c r="F172" s="69"/>
      <c r="G172" s="70"/>
      <c r="H172" s="70"/>
      <c r="I172" s="70"/>
      <c r="J172" s="70"/>
      <c r="K172" s="70"/>
      <c r="L172" s="70"/>
      <c r="M172" s="70"/>
      <c r="N172" s="70"/>
      <c r="O172" s="70"/>
      <c r="P172" s="70"/>
      <c r="Q172" s="70"/>
      <c r="R172" s="70"/>
      <c r="S172" s="70"/>
      <c r="T172" s="70"/>
      <c r="U172" s="70"/>
      <c r="V172" s="70"/>
      <c r="W172" s="70"/>
      <c r="X172" s="70"/>
      <c r="Y172" s="70"/>
      <c r="Z172" s="70"/>
      <c r="AA172" s="56"/>
      <c r="BB172" s="72"/>
    </row>
    <row r="173" spans="1:54" s="71" customFormat="1" ht="30" customHeight="1" thickTop="1" thickBot="1" x14ac:dyDescent="0.3">
      <c r="A173" s="66" t="str">
        <f t="shared" si="2"/>
        <v/>
      </c>
      <c r="B173" s="67"/>
      <c r="C173" s="67"/>
      <c r="D173" s="68"/>
      <c r="E173" s="66"/>
      <c r="F173" s="69"/>
      <c r="G173" s="70"/>
      <c r="H173" s="70"/>
      <c r="I173" s="70"/>
      <c r="J173" s="70"/>
      <c r="K173" s="70"/>
      <c r="L173" s="70"/>
      <c r="M173" s="70"/>
      <c r="N173" s="70"/>
      <c r="O173" s="70"/>
      <c r="P173" s="70"/>
      <c r="Q173" s="70"/>
      <c r="R173" s="70"/>
      <c r="S173" s="70"/>
      <c r="T173" s="70"/>
      <c r="U173" s="70"/>
      <c r="V173" s="70"/>
      <c r="W173" s="70"/>
      <c r="X173" s="70"/>
      <c r="Y173" s="70"/>
      <c r="Z173" s="70"/>
      <c r="AA173" s="56"/>
      <c r="BB173" s="72"/>
    </row>
    <row r="174" spans="1:54" s="71" customFormat="1" ht="30" customHeight="1" thickTop="1" thickBot="1" x14ac:dyDescent="0.3">
      <c r="A174" s="66" t="str">
        <f t="shared" si="2"/>
        <v/>
      </c>
      <c r="B174" s="67"/>
      <c r="C174" s="67"/>
      <c r="D174" s="68"/>
      <c r="E174" s="66"/>
      <c r="F174" s="69"/>
      <c r="G174" s="70"/>
      <c r="H174" s="70"/>
      <c r="I174" s="70"/>
      <c r="J174" s="70"/>
      <c r="K174" s="70"/>
      <c r="L174" s="70"/>
      <c r="M174" s="70"/>
      <c r="N174" s="70"/>
      <c r="O174" s="70"/>
      <c r="P174" s="70"/>
      <c r="Q174" s="70"/>
      <c r="R174" s="70"/>
      <c r="S174" s="70"/>
      <c r="T174" s="70"/>
      <c r="U174" s="70"/>
      <c r="V174" s="70"/>
      <c r="W174" s="70"/>
      <c r="X174" s="70"/>
      <c r="Y174" s="70"/>
      <c r="Z174" s="70"/>
      <c r="AA174" s="56"/>
      <c r="BB174" s="72"/>
    </row>
    <row r="175" spans="1:54" s="71" customFormat="1" ht="30" customHeight="1" thickTop="1" thickBot="1" x14ac:dyDescent="0.3">
      <c r="A175" s="66" t="str">
        <f t="shared" si="2"/>
        <v/>
      </c>
      <c r="B175" s="67"/>
      <c r="C175" s="67"/>
      <c r="D175" s="68"/>
      <c r="E175" s="66"/>
      <c r="F175" s="69"/>
      <c r="G175" s="70"/>
      <c r="H175" s="70"/>
      <c r="I175" s="70"/>
      <c r="J175" s="70"/>
      <c r="K175" s="70"/>
      <c r="L175" s="70"/>
      <c r="M175" s="70"/>
      <c r="N175" s="70"/>
      <c r="O175" s="70"/>
      <c r="P175" s="70"/>
      <c r="Q175" s="70"/>
      <c r="R175" s="70"/>
      <c r="S175" s="70"/>
      <c r="T175" s="70"/>
      <c r="U175" s="70"/>
      <c r="V175" s="70"/>
      <c r="W175" s="70"/>
      <c r="X175" s="70"/>
      <c r="Y175" s="70"/>
      <c r="Z175" s="70"/>
      <c r="AA175" s="56"/>
      <c r="BB175" s="72"/>
    </row>
    <row r="176" spans="1:54" s="71" customFormat="1" ht="30" customHeight="1" thickTop="1" thickBot="1" x14ac:dyDescent="0.3">
      <c r="A176" s="66" t="str">
        <f t="shared" si="2"/>
        <v/>
      </c>
      <c r="B176" s="67"/>
      <c r="C176" s="67"/>
      <c r="D176" s="68"/>
      <c r="E176" s="66"/>
      <c r="F176" s="69"/>
      <c r="G176" s="70"/>
      <c r="H176" s="70"/>
      <c r="I176" s="70"/>
      <c r="J176" s="70"/>
      <c r="K176" s="70"/>
      <c r="L176" s="70"/>
      <c r="M176" s="70"/>
      <c r="N176" s="70"/>
      <c r="O176" s="70"/>
      <c r="P176" s="70"/>
      <c r="Q176" s="70"/>
      <c r="R176" s="70"/>
      <c r="S176" s="70"/>
      <c r="T176" s="70"/>
      <c r="U176" s="70"/>
      <c r="V176" s="70"/>
      <c r="W176" s="70"/>
      <c r="X176" s="70"/>
      <c r="Y176" s="70"/>
      <c r="Z176" s="70"/>
      <c r="AA176" s="56"/>
      <c r="BB176" s="72"/>
    </row>
    <row r="177" spans="1:54" s="71" customFormat="1" ht="30" customHeight="1" thickTop="1" thickBot="1" x14ac:dyDescent="0.3">
      <c r="A177" s="66" t="str">
        <f t="shared" si="2"/>
        <v/>
      </c>
      <c r="B177" s="67"/>
      <c r="C177" s="67"/>
      <c r="D177" s="68"/>
      <c r="E177" s="66"/>
      <c r="F177" s="69"/>
      <c r="G177" s="70"/>
      <c r="H177" s="70"/>
      <c r="I177" s="70"/>
      <c r="J177" s="70"/>
      <c r="K177" s="70"/>
      <c r="L177" s="70"/>
      <c r="M177" s="70"/>
      <c r="N177" s="70"/>
      <c r="O177" s="70"/>
      <c r="P177" s="70"/>
      <c r="Q177" s="70"/>
      <c r="R177" s="70"/>
      <c r="S177" s="70"/>
      <c r="T177" s="70"/>
      <c r="U177" s="70"/>
      <c r="V177" s="70"/>
      <c r="W177" s="70"/>
      <c r="X177" s="70"/>
      <c r="Y177" s="70"/>
      <c r="Z177" s="70"/>
      <c r="AA177" s="56"/>
      <c r="BB177" s="72"/>
    </row>
    <row r="178" spans="1:54" s="71" customFormat="1" ht="30" customHeight="1" thickTop="1" thickBot="1" x14ac:dyDescent="0.3">
      <c r="A178" s="66" t="str">
        <f t="shared" si="2"/>
        <v/>
      </c>
      <c r="B178" s="67"/>
      <c r="C178" s="67"/>
      <c r="D178" s="68"/>
      <c r="E178" s="66"/>
      <c r="F178" s="69"/>
      <c r="G178" s="70"/>
      <c r="H178" s="70"/>
      <c r="I178" s="70"/>
      <c r="J178" s="70"/>
      <c r="K178" s="70"/>
      <c r="L178" s="70"/>
      <c r="M178" s="70"/>
      <c r="N178" s="70"/>
      <c r="O178" s="70"/>
      <c r="P178" s="70"/>
      <c r="Q178" s="70"/>
      <c r="R178" s="70"/>
      <c r="S178" s="70"/>
      <c r="T178" s="70"/>
      <c r="U178" s="70"/>
      <c r="V178" s="70"/>
      <c r="W178" s="70"/>
      <c r="X178" s="70"/>
      <c r="Y178" s="70"/>
      <c r="Z178" s="70"/>
      <c r="AA178" s="56"/>
      <c r="BB178" s="72"/>
    </row>
    <row r="179" spans="1:54" s="71" customFormat="1" ht="30" customHeight="1" thickTop="1" thickBot="1" x14ac:dyDescent="0.3">
      <c r="A179" s="66" t="str">
        <f t="shared" si="2"/>
        <v/>
      </c>
      <c r="B179" s="67"/>
      <c r="C179" s="67"/>
      <c r="D179" s="68"/>
      <c r="E179" s="66"/>
      <c r="F179" s="69"/>
      <c r="G179" s="70"/>
      <c r="H179" s="70"/>
      <c r="I179" s="70"/>
      <c r="J179" s="70"/>
      <c r="K179" s="70"/>
      <c r="L179" s="70"/>
      <c r="M179" s="70"/>
      <c r="N179" s="70"/>
      <c r="O179" s="70"/>
      <c r="P179" s="70"/>
      <c r="Q179" s="70"/>
      <c r="R179" s="70"/>
      <c r="S179" s="70"/>
      <c r="T179" s="70"/>
      <c r="U179" s="70"/>
      <c r="V179" s="70"/>
      <c r="W179" s="70"/>
      <c r="X179" s="70"/>
      <c r="Y179" s="70"/>
      <c r="Z179" s="70"/>
      <c r="AA179" s="56"/>
      <c r="BB179" s="72"/>
    </row>
    <row r="180" spans="1:54" ht="10.050000000000001" customHeight="1" thickTop="1" x14ac:dyDescent="0.25">
      <c r="A180" s="105"/>
      <c r="B180" s="73"/>
      <c r="C180" s="53"/>
      <c r="D180" s="53"/>
      <c r="E180" s="105"/>
      <c r="F180" s="1"/>
    </row>
    <row r="181" spans="1:54" ht="15" customHeight="1" thickBot="1" x14ac:dyDescent="0.3">
      <c r="A181" s="105"/>
      <c r="B181" s="73" t="str">
        <f>IF(B171="","", "If more than ten charges, explain in this box")</f>
        <v/>
      </c>
      <c r="C181" s="53"/>
      <c r="D181" s="53"/>
      <c r="E181" s="105"/>
      <c r="F181" s="1"/>
    </row>
    <row r="182" spans="1:54" ht="45" customHeight="1" thickTop="1" thickBot="1" x14ac:dyDescent="0.3">
      <c r="A182" s="105"/>
      <c r="B182" s="528"/>
      <c r="C182" s="529"/>
      <c r="D182" s="530"/>
      <c r="E182" s="105"/>
      <c r="F182" s="1"/>
    </row>
    <row r="183" spans="1:54" ht="15" customHeight="1" thickTop="1" thickBot="1" x14ac:dyDescent="0.3">
      <c r="A183" s="105"/>
      <c r="B183" s="73" t="str">
        <f>IF(B170="","", "Provide any helpful information about any charge in this box:")</f>
        <v/>
      </c>
      <c r="C183" s="53"/>
      <c r="D183" s="53"/>
      <c r="E183" s="105"/>
      <c r="F183" s="1"/>
    </row>
    <row r="184" spans="1:54" ht="45" customHeight="1" thickTop="1" thickBot="1" x14ac:dyDescent="0.3">
      <c r="A184" s="105"/>
      <c r="B184" s="528"/>
      <c r="C184" s="529"/>
      <c r="D184" s="530"/>
      <c r="E184" s="105"/>
      <c r="F184" s="1"/>
    </row>
    <row r="185" spans="1:54" ht="7.05" customHeight="1" thickTop="1" thickBot="1" x14ac:dyDescent="0.3">
      <c r="A185" s="63"/>
      <c r="B185" s="53"/>
      <c r="C185" s="53"/>
      <c r="D185" s="53"/>
      <c r="E185" s="105"/>
      <c r="F185" s="1"/>
    </row>
    <row r="186" spans="1:54" ht="15.6" thickTop="1" thickBot="1" x14ac:dyDescent="0.3">
      <c r="A186" s="63" t="s">
        <v>136</v>
      </c>
      <c r="B186" s="64"/>
      <c r="C186" s="53"/>
      <c r="D186" s="53"/>
      <c r="E186" s="105"/>
      <c r="F186" s="1"/>
      <c r="AD186" s="74">
        <f>SUM(AD187:AD199)</f>
        <v>2</v>
      </c>
    </row>
    <row r="187" spans="1:54" ht="15" thickTop="1" thickBot="1" x14ac:dyDescent="0.3">
      <c r="A187" s="105"/>
      <c r="B187" s="53" t="s">
        <v>137</v>
      </c>
      <c r="C187" s="53"/>
      <c r="D187" s="62" t="s">
        <v>138</v>
      </c>
      <c r="E187" s="105"/>
      <c r="F187" s="1"/>
      <c r="AB187" s="57"/>
      <c r="AD187" s="56">
        <f>IF(D187="no, I pled not guilty",1,0)</f>
        <v>1</v>
      </c>
    </row>
    <row r="188" spans="1:54" ht="45" customHeight="1" thickTop="1" thickBot="1" x14ac:dyDescent="0.3">
      <c r="A188" s="105"/>
      <c r="B188" s="528"/>
      <c r="C188" s="529"/>
      <c r="D188" s="530"/>
      <c r="E188" s="105"/>
      <c r="F188" s="1"/>
    </row>
    <row r="189" spans="1:54" ht="15" thickTop="1" thickBot="1" x14ac:dyDescent="0.3">
      <c r="A189" s="105"/>
      <c r="B189" s="53" t="str">
        <f>IF(NOT(D187=B1847),"Did you try withdrawing your plea? (If not, why not?)","")</f>
        <v/>
      </c>
      <c r="C189" s="53"/>
      <c r="D189" s="62"/>
      <c r="E189" s="105"/>
      <c r="F189" s="105"/>
    </row>
    <row r="190" spans="1:54" ht="45" customHeight="1" thickTop="1" thickBot="1" x14ac:dyDescent="0.3">
      <c r="A190" s="105"/>
      <c r="B190" s="528"/>
      <c r="C190" s="529"/>
      <c r="D190" s="530"/>
      <c r="E190" s="105"/>
      <c r="F190" s="1"/>
    </row>
    <row r="191" spans="1:54" ht="15" customHeight="1" thickTop="1" thickBot="1" x14ac:dyDescent="0.3">
      <c r="A191" s="105"/>
      <c r="B191" s="53" t="str">
        <f>IF(D187&lt;&gt;"","Offered a plea deal?","")</f>
        <v>Offered a plea deal?</v>
      </c>
      <c r="C191" s="53"/>
      <c r="D191" s="75"/>
      <c r="E191" s="105"/>
      <c r="F191" s="1"/>
      <c r="AB191" s="57"/>
      <c r="AD191" s="56">
        <f>IF(D191="never open to any plea deal",1,0)</f>
        <v>0</v>
      </c>
    </row>
    <row r="192" spans="1:54" ht="45" customHeight="1" thickTop="1" thickBot="1" x14ac:dyDescent="0.3">
      <c r="A192" s="105"/>
      <c r="B192" s="528"/>
      <c r="C192" s="529"/>
      <c r="D192" s="530"/>
      <c r="E192" s="105"/>
      <c r="F192" s="1"/>
      <c r="AC192" s="28"/>
    </row>
    <row r="193" spans="1:39" ht="15" customHeight="1" thickTop="1" thickBot="1" x14ac:dyDescent="0.35">
      <c r="A193" s="105"/>
      <c r="B193" s="53" t="s">
        <v>140</v>
      </c>
      <c r="C193" s="105"/>
      <c r="D193" s="75" t="s">
        <v>141</v>
      </c>
      <c r="E193" s="105"/>
      <c r="F193" s="1"/>
      <c r="AB193" s="57"/>
      <c r="AC193" s="28"/>
      <c r="AD193" s="56">
        <f>MAX(AE193:AG193)</f>
        <v>1</v>
      </c>
      <c r="AE193" s="56">
        <f>IF($D$193=D2473,1,0)</f>
        <v>1</v>
      </c>
      <c r="AF193" s="56">
        <f>IF($D$193=D2474,1,0)</f>
        <v>0</v>
      </c>
      <c r="AG193" s="56">
        <f>IF($D$193=D2475,1,0)</f>
        <v>0</v>
      </c>
      <c r="AL193" s="60">
        <f>SUM(AL194:AL199)</f>
        <v>0</v>
      </c>
      <c r="AM193" s="76" t="s">
        <v>142</v>
      </c>
    </row>
    <row r="194" spans="1:39" ht="10.050000000000001" customHeight="1" thickTop="1" x14ac:dyDescent="0.3">
      <c r="A194" s="105"/>
      <c r="B194" s="105"/>
      <c r="C194" s="105"/>
      <c r="D194" s="105"/>
      <c r="E194" s="105"/>
      <c r="F194" s="1"/>
      <c r="AC194" s="28"/>
      <c r="AL194" s="56">
        <v>0</v>
      </c>
      <c r="AM194" s="77" t="s">
        <v>143</v>
      </c>
    </row>
    <row r="195" spans="1:39" ht="15" customHeight="1" thickBot="1" x14ac:dyDescent="0.35">
      <c r="A195" s="105"/>
      <c r="B195" s="78" t="s">
        <v>144</v>
      </c>
      <c r="C195" s="78" t="s">
        <v>145</v>
      </c>
      <c r="D195" s="78" t="s">
        <v>146</v>
      </c>
      <c r="E195" s="105"/>
      <c r="F195" s="1"/>
      <c r="AC195" s="28"/>
      <c r="AL195" s="56">
        <v>0</v>
      </c>
      <c r="AM195" s="77" t="s">
        <v>147</v>
      </c>
    </row>
    <row r="196" spans="1:39" ht="15" customHeight="1" thickTop="1" thickBot="1" x14ac:dyDescent="0.35">
      <c r="A196" s="105"/>
      <c r="B196" s="79"/>
      <c r="C196" s="79"/>
      <c r="D196" s="79"/>
      <c r="E196" s="105"/>
      <c r="F196" s="1"/>
      <c r="AC196" s="28"/>
      <c r="AI196" s="526">
        <f>C196+3</f>
        <v>3</v>
      </c>
      <c r="AJ196" s="527"/>
      <c r="AK196" s="527"/>
      <c r="AL196" s="56">
        <f>IF($D$199=AM196,1,0)</f>
        <v>0</v>
      </c>
      <c r="AM196" s="77" t="s">
        <v>148</v>
      </c>
    </row>
    <row r="197" spans="1:39" ht="4.95" customHeight="1" thickTop="1" thickBot="1" x14ac:dyDescent="0.35">
      <c r="A197" s="105"/>
      <c r="B197" s="53"/>
      <c r="C197" s="53"/>
      <c r="D197" s="53"/>
      <c r="E197" s="105"/>
      <c r="F197" s="1"/>
      <c r="AC197" s="28"/>
      <c r="AL197" s="56">
        <f>IF($D$199=AM197,1,0)</f>
        <v>0</v>
      </c>
      <c r="AM197" s="77" t="s">
        <v>149</v>
      </c>
    </row>
    <row r="198" spans="1:39" ht="15.6" thickTop="1" thickBot="1" x14ac:dyDescent="0.35">
      <c r="A198" s="63" t="s">
        <v>150</v>
      </c>
      <c r="B198" s="53"/>
      <c r="C198" s="53"/>
      <c r="D198" s="53"/>
      <c r="E198" s="105"/>
      <c r="F198" s="1"/>
      <c r="AL198" s="56">
        <f>IF($D$199=AM198,1,0)</f>
        <v>0</v>
      </c>
      <c r="AM198" s="77" t="s">
        <v>151</v>
      </c>
    </row>
    <row r="199" spans="1:39" ht="15.6" customHeight="1" thickTop="1" thickBot="1" x14ac:dyDescent="0.35">
      <c r="A199" s="105"/>
      <c r="B199" s="53" t="s">
        <v>152</v>
      </c>
      <c r="C199" s="53"/>
      <c r="D199" s="75"/>
      <c r="E199" s="105"/>
      <c r="F199" s="1"/>
      <c r="AB199" s="57"/>
      <c r="AL199" s="56">
        <f>IF($D$199=AM199,1,0)</f>
        <v>0</v>
      </c>
      <c r="AM199" s="77" t="s">
        <v>114</v>
      </c>
    </row>
    <row r="200" spans="1:39" ht="30" customHeight="1" thickTop="1" thickBot="1" x14ac:dyDescent="0.3">
      <c r="A200" s="105"/>
      <c r="B200" s="528"/>
      <c r="C200" s="529"/>
      <c r="D200" s="530"/>
      <c r="E200" s="105"/>
      <c r="F200" s="1"/>
    </row>
    <row r="201" spans="1:39" ht="15" thickTop="1" thickBot="1" x14ac:dyDescent="0.3">
      <c r="A201" s="105"/>
      <c r="B201" s="78" t="s">
        <v>153</v>
      </c>
      <c r="C201" s="78" t="str">
        <f>IF(AL193=1,AM201,"")</f>
        <v/>
      </c>
      <c r="D201" s="78" t="s">
        <v>154</v>
      </c>
      <c r="E201" s="105"/>
      <c r="F201" s="1"/>
      <c r="AM201" s="60" t="s">
        <v>155</v>
      </c>
    </row>
    <row r="202" spans="1:39" ht="15" thickTop="1" thickBot="1" x14ac:dyDescent="0.3">
      <c r="A202" s="105"/>
      <c r="B202" s="79"/>
      <c r="C202" s="79"/>
      <c r="D202" s="79"/>
      <c r="E202" s="105"/>
      <c r="F202" s="1"/>
    </row>
    <row r="203" spans="1:39" ht="15" thickTop="1" thickBot="1" x14ac:dyDescent="0.3">
      <c r="A203" s="105"/>
      <c r="B203" s="81" t="str">
        <f>IF(D199&lt;&gt;"","Anything else about the conviction you can add?","")</f>
        <v/>
      </c>
      <c r="C203" s="53"/>
      <c r="D203" s="53"/>
      <c r="E203" s="105"/>
      <c r="F203" s="1"/>
    </row>
    <row r="204" spans="1:39" ht="25.05" customHeight="1" thickTop="1" thickBot="1" x14ac:dyDescent="0.3">
      <c r="A204" s="105"/>
      <c r="B204" s="528"/>
      <c r="C204" s="529"/>
      <c r="D204" s="530"/>
      <c r="E204" s="105"/>
      <c r="F204" s="1"/>
    </row>
    <row r="205" spans="1:39" ht="4.95" customHeight="1" thickTop="1" thickBot="1" x14ac:dyDescent="0.3">
      <c r="A205" s="105"/>
      <c r="B205" s="105"/>
      <c r="C205" s="105"/>
      <c r="D205" s="105"/>
      <c r="E205" s="105"/>
      <c r="F205" s="1"/>
    </row>
    <row r="206" spans="1:39" ht="25.05" customHeight="1" thickTop="1" thickBot="1" x14ac:dyDescent="0.3">
      <c r="A206" s="105"/>
      <c r="B206" s="64" t="s">
        <v>156</v>
      </c>
      <c r="C206" s="105"/>
      <c r="D206" s="105"/>
      <c r="E206" s="105"/>
      <c r="F206" s="1"/>
    </row>
    <row r="207" spans="1:39" ht="15" thickTop="1" x14ac:dyDescent="0.3">
      <c r="A207" s="105"/>
      <c r="B207" s="82" t="s">
        <v>157</v>
      </c>
      <c r="C207" s="82" t="s">
        <v>158</v>
      </c>
      <c r="D207" s="82" t="s">
        <v>159</v>
      </c>
      <c r="E207" s="105"/>
      <c r="F207" s="1"/>
      <c r="AC207" s="83"/>
      <c r="AD207" s="83"/>
      <c r="AE207" s="83"/>
      <c r="AF207" s="83"/>
      <c r="AG207" s="83"/>
      <c r="AI207" s="80"/>
      <c r="AJ207" s="80"/>
      <c r="AK207" s="80"/>
    </row>
    <row r="208" spans="1:39" ht="14.4" x14ac:dyDescent="0.3">
      <c r="A208" s="105"/>
      <c r="B208" s="84"/>
      <c r="C208" s="84"/>
      <c r="D208" s="84"/>
      <c r="E208" s="105"/>
      <c r="F208" s="1"/>
      <c r="AD208" s="533">
        <f>IF(AND($B$208=B2242,$D$272="yes"),BB2242,IF(AND($B$208=B2243,$D$272="yes"),BB2243,IF(AND($B$208=B2244,$D$272="yes"),BB2244,IF(AND($B$208=B2245,$D$272="yes"),BB2245,IF(AND($B$208=B2246,$D$272="yes"),BB2246,IF(AND($B$208=B2247,$D$272="yes"),BB2247,IF(AND($B$208=B2248,$D$272="yes"),BB2248,IF(AND($B$208=B2249,$D$272="yes"),BB2249,IF(AND($B$208=B2250,$D$272="yes"),BB2250,IF(AND($B$208=B2251,$D$272="yes"),BB2251,IF(AND($B$208=B2252,$D$272="yes"),BB2252,IF(AND($B$208=B2253,$D$272="yes"),BB2253,IF(AND($B$208=B2254,$D$272="yes"),BB2254,IF(AND($B$208=B2255,$D$272="yes"),BB2255,IF(AND($B$208=B2256,$D$272="yes"),BB2256,IF(AND($B$208=B2257,$D$272="yes"),BB2257,IF(AND($B$208=B2258,$D$272="yes"),BB2258,IF(AND($B$208=B2259,$D$272="yes"),BB2259,IF(AND($B$208=B2260,$D$272="yes"),BB2260,IF(AND($B$208=B2261,$D$272="yes"),BB2261,IF(AND($B$208=B2262,$D$272="yes"),BB2262,IF(AND($B$208=B2263,$D$272="yes"),BB2263,IF(AND($B$208=B2264,$D$272="yes"),BB2264,IF(AND($B$208=B2265,$D$272="yes"),BB2265,IF(AND($B$208=B2266,$D$272="yes"),BB2266,IF(AND($B$208=B2267,$D$272="yes"),BB2267,IF(AND($B$208=B2268,$D$272="yes"),BB2268,IF(AND($B$208=B2269,$D$272="yes"),BB2269,IF(AND($B$208=B2270,$D$272="yes"),BB2270,IF(AND($B$208=B2271,$D$272="yes"),BB2271,IF(AND($B$208=B2272,$D$272="yes"),BB2272,IF(AND($B$208=B2273,$D$272="yes"),BB2273,IF(AND($B$208=B2274,$D$272="yes"),BB2274,IF(AND($B$208=B2275,$D$272="yes"),BB2275,IF(AND($B$208=B2276,$D$272="yes"),BB2276,IF(AND($B$208=B2277,$D$272="yes"),BB2277,IF(AND($B$208=B2278,$D$272="yes"),BB2278,IF(AND($B$208=B2279,$D$272="yes"),BB2279,IF(AND($B$208=B2280,$D$272="yes"),BB2280,IF(AND($B$208=B2281,$D$272="yes"),BB2281,IF(AND($B$208=B2282,$D$272="yes"),BB2282,IF(AND($B$208=B2283,$D$272="yes"),BB2283,IF(AND($B$208=B2284,$D$272="yes"),BB2284,IF(AND($B$208=B2285,$D$272="yes"),BB2285,IF(AND($B$208=B2286,$D$272="yes"),BB2286,IF(AND($B$208=B2287,$D$272="yes"),BB2287,IF(AND($B$208=B2288,$D$272="yes"),BB2288,IF(AND($B$208=B2289,$D$272="yes"),BB2289,IF(AND($B$208=B2290,$D$272="yes"),BB2290,IF(AND($B$208=B2291,$D$272="yes"),BB2291,IF(AND($B$208=B2292,$D$272="yes"),BB2292,IF(AND($B$208=B2293,$D$272="yes"),BB2293,0))))))))))))))))))))))))))))))))))))))))))))))))))))</f>
        <v>0</v>
      </c>
      <c r="AE208" s="533"/>
      <c r="AF208" s="533"/>
      <c r="AG208" s="533"/>
      <c r="AH208" s="533"/>
      <c r="AJ208" s="80"/>
      <c r="AK208" s="80"/>
    </row>
    <row r="209" spans="1:48" ht="10.050000000000001" customHeight="1" thickBot="1" x14ac:dyDescent="0.35">
      <c r="A209" s="105"/>
      <c r="B209" s="105"/>
      <c r="C209" s="105"/>
      <c r="D209" s="105"/>
      <c r="E209" s="105"/>
      <c r="F209" s="1"/>
      <c r="AC209" s="83"/>
      <c r="AD209" s="83"/>
      <c r="AE209" s="83"/>
      <c r="AF209" s="83"/>
      <c r="AG209" s="83"/>
      <c r="AI209" s="80"/>
      <c r="AJ209" s="80"/>
      <c r="AK209" s="80"/>
    </row>
    <row r="210" spans="1:48" ht="15" thickTop="1" thickBot="1" x14ac:dyDescent="0.3">
      <c r="A210" s="105"/>
      <c r="B210" s="53" t="s">
        <v>163</v>
      </c>
      <c r="C210" s="105"/>
      <c r="D210" s="55"/>
      <c r="E210" s="105"/>
      <c r="F210" s="1"/>
      <c r="AP210" s="56" t="s">
        <v>164</v>
      </c>
      <c r="AV210" s="56" t="s">
        <v>165</v>
      </c>
    </row>
    <row r="211" spans="1:48" ht="15" thickTop="1" thickBot="1" x14ac:dyDescent="0.3">
      <c r="A211" s="105"/>
      <c r="B211" s="53" t="s">
        <v>166</v>
      </c>
      <c r="C211" s="85" t="s">
        <v>167</v>
      </c>
      <c r="D211" s="85" t="s">
        <v>168</v>
      </c>
      <c r="E211" s="105"/>
      <c r="F211" s="1"/>
      <c r="AP211" s="56" t="s">
        <v>169</v>
      </c>
      <c r="AV211" s="56" t="s">
        <v>170</v>
      </c>
    </row>
    <row r="212" spans="1:48" ht="15" thickTop="1" thickBot="1" x14ac:dyDescent="0.3">
      <c r="A212" s="105"/>
      <c r="B212" s="55"/>
      <c r="C212" s="55"/>
      <c r="D212" s="55"/>
      <c r="E212" s="105"/>
      <c r="F212" s="1"/>
      <c r="AP212" s="56" t="s">
        <v>171</v>
      </c>
      <c r="AV212" s="56" t="s">
        <v>172</v>
      </c>
    </row>
    <row r="213" spans="1:48" ht="15" thickTop="1" thickBot="1" x14ac:dyDescent="0.3">
      <c r="A213" s="105"/>
      <c r="B213" s="53" t="s">
        <v>173</v>
      </c>
      <c r="C213" s="85" t="s">
        <v>1542</v>
      </c>
      <c r="D213" s="85" t="s">
        <v>175</v>
      </c>
      <c r="E213" s="105"/>
      <c r="F213" s="1"/>
      <c r="AP213" s="56" t="s">
        <v>176</v>
      </c>
      <c r="AV213" s="56" t="s">
        <v>177</v>
      </c>
    </row>
    <row r="214" spans="1:48" ht="15" thickTop="1" thickBot="1" x14ac:dyDescent="0.3">
      <c r="A214" s="105"/>
      <c r="B214" s="55"/>
      <c r="C214" s="55"/>
      <c r="D214" s="55"/>
      <c r="E214" s="105"/>
      <c r="F214" s="1"/>
      <c r="AP214" s="56" t="s">
        <v>178</v>
      </c>
    </row>
    <row r="215" spans="1:48" ht="4.95" customHeight="1" thickTop="1" x14ac:dyDescent="0.25">
      <c r="A215" s="105"/>
      <c r="B215" s="105"/>
      <c r="C215" s="105"/>
      <c r="D215" s="105"/>
      <c r="E215" s="105"/>
      <c r="F215" s="1"/>
    </row>
    <row r="216" spans="1:48" ht="14.4" thickBot="1" x14ac:dyDescent="0.3">
      <c r="A216" s="105"/>
      <c r="B216" s="105"/>
      <c r="C216" s="105"/>
      <c r="D216" s="105"/>
      <c r="E216" s="105"/>
      <c r="F216" s="1"/>
      <c r="AP216" s="56" t="s">
        <v>179</v>
      </c>
      <c r="AV216" s="56" t="s">
        <v>179</v>
      </c>
    </row>
    <row r="217" spans="1:48" ht="15.6" customHeight="1" thickTop="1" thickBot="1" x14ac:dyDescent="0.3">
      <c r="A217" s="105"/>
      <c r="B217" s="53" t="s">
        <v>180</v>
      </c>
      <c r="C217" s="534"/>
      <c r="D217" s="535"/>
      <c r="E217" s="105"/>
      <c r="F217" s="1"/>
    </row>
    <row r="218" spans="1:48" ht="15.6" thickTop="1" thickBot="1" x14ac:dyDescent="0.35">
      <c r="A218" s="105"/>
      <c r="B218" s="53" t="s">
        <v>182</v>
      </c>
      <c r="C218" s="62"/>
      <c r="D218" s="55"/>
      <c r="E218" s="105"/>
      <c r="F218" s="1"/>
      <c r="AC218" s="56" t="s">
        <v>185</v>
      </c>
      <c r="AE218" s="56" t="s">
        <v>185</v>
      </c>
      <c r="AG218" s="56" t="s">
        <v>185</v>
      </c>
      <c r="AP218" s="77" t="s">
        <v>186</v>
      </c>
    </row>
    <row r="219" spans="1:48" ht="15.6" thickTop="1" thickBot="1" x14ac:dyDescent="0.35">
      <c r="A219" s="105"/>
      <c r="B219" s="105"/>
      <c r="C219" s="105"/>
      <c r="D219" s="105"/>
      <c r="E219" s="105"/>
      <c r="F219" s="1"/>
      <c r="AC219" s="56" t="s">
        <v>187</v>
      </c>
      <c r="AE219" s="56" t="s">
        <v>188</v>
      </c>
      <c r="AG219" s="56" t="s">
        <v>189</v>
      </c>
      <c r="AP219" s="77" t="s">
        <v>190</v>
      </c>
    </row>
    <row r="220" spans="1:48" ht="15.6" thickTop="1" thickBot="1" x14ac:dyDescent="0.35">
      <c r="A220" s="105"/>
      <c r="B220" s="53" t="s">
        <v>191</v>
      </c>
      <c r="C220" s="105"/>
      <c r="D220" s="86"/>
      <c r="E220" s="105"/>
      <c r="F220" s="1"/>
      <c r="AC220" s="56" t="s">
        <v>188</v>
      </c>
      <c r="AG220" s="56" t="s">
        <v>188</v>
      </c>
      <c r="AP220" s="77" t="s">
        <v>192</v>
      </c>
    </row>
    <row r="221" spans="1:48" ht="15.6" thickTop="1" thickBot="1" x14ac:dyDescent="0.35">
      <c r="A221" s="105"/>
      <c r="B221" s="536" t="str">
        <f>IF(D220&gt;0,"Codefendant(s) information","")</f>
        <v/>
      </c>
      <c r="C221" s="536"/>
      <c r="D221" s="536"/>
      <c r="E221" s="105"/>
      <c r="F221" s="1"/>
      <c r="AH221" s="56" t="s">
        <v>193</v>
      </c>
      <c r="AL221" s="56" t="s">
        <v>194</v>
      </c>
      <c r="AP221" s="77" t="s">
        <v>195</v>
      </c>
    </row>
    <row r="222" spans="1:48" ht="15.6" thickTop="1" thickBot="1" x14ac:dyDescent="0.35">
      <c r="A222" s="105" t="str">
        <f>IF(D$220&gt;0,1,"")</f>
        <v/>
      </c>
      <c r="B222" s="87"/>
      <c r="C222" s="87"/>
      <c r="D222" s="87"/>
      <c r="E222" s="105"/>
      <c r="F222" s="1"/>
      <c r="AC222" s="56" t="s">
        <v>198</v>
      </c>
      <c r="AH222" s="56" t="s">
        <v>134</v>
      </c>
      <c r="AL222" s="56" t="s">
        <v>197</v>
      </c>
      <c r="AP222" s="77" t="s">
        <v>199</v>
      </c>
    </row>
    <row r="223" spans="1:48" ht="15.6" thickTop="1" thickBot="1" x14ac:dyDescent="0.35">
      <c r="A223" s="105"/>
      <c r="B223" s="87"/>
      <c r="C223" s="87"/>
      <c r="D223" s="87"/>
      <c r="E223" s="105"/>
      <c r="F223" s="1"/>
      <c r="AC223" s="56" t="s">
        <v>164</v>
      </c>
      <c r="AH223" s="56" t="s">
        <v>201</v>
      </c>
      <c r="AL223" s="56" t="s">
        <v>202</v>
      </c>
      <c r="AP223" s="77" t="s">
        <v>203</v>
      </c>
    </row>
    <row r="224" spans="1:48" ht="15.6" thickTop="1" thickBot="1" x14ac:dyDescent="0.35">
      <c r="A224" s="105"/>
      <c r="B224" s="87" t="str">
        <f>IF($D$220&gt;0,"know location?","")</f>
        <v/>
      </c>
      <c r="C224" s="87" t="str">
        <f>IF($D$220&gt;0,"claims to know real culprit?","")</f>
        <v/>
      </c>
      <c r="D224" s="87"/>
      <c r="E224" s="105"/>
      <c r="F224" s="1"/>
      <c r="AD224" s="56" t="s">
        <v>204</v>
      </c>
      <c r="AL224" s="56" t="s">
        <v>205</v>
      </c>
      <c r="AP224" s="77"/>
    </row>
    <row r="225" spans="1:30" ht="4.95" customHeight="1" thickTop="1" thickBot="1" x14ac:dyDescent="0.3">
      <c r="A225" s="105"/>
      <c r="B225" s="105"/>
      <c r="C225" s="105"/>
      <c r="D225" s="105"/>
      <c r="E225" s="105"/>
      <c r="F225" s="1"/>
    </row>
    <row r="226" spans="1:30" ht="15" thickTop="1" thickBot="1" x14ac:dyDescent="0.3">
      <c r="A226" s="105" t="str">
        <f>IF(D$220&gt;1,2,"")</f>
        <v/>
      </c>
      <c r="B226" s="87" t="str">
        <f>IF(D$220&gt;1,"NAME ","")</f>
        <v/>
      </c>
      <c r="C226" s="87" t="str">
        <f>IF($D$220&gt;1,"charged as?","")</f>
        <v/>
      </c>
      <c r="D226" s="87" t="str">
        <f>IF($D$220&gt;1,"how adjudicated?","")</f>
        <v/>
      </c>
      <c r="E226" s="105"/>
      <c r="F226" s="1"/>
      <c r="AD226" s="56" t="s">
        <v>164</v>
      </c>
    </row>
    <row r="227" spans="1:30" ht="15" thickTop="1" thickBot="1" x14ac:dyDescent="0.3">
      <c r="A227" s="105"/>
      <c r="B227" s="87" t="str">
        <f>IF($D$220&gt;1,"relation?","")</f>
        <v/>
      </c>
      <c r="C227" s="87" t="str">
        <f>IF($D$220&gt;1,"convicted as?","")</f>
        <v/>
      </c>
      <c r="D227" s="87" t="str">
        <f>IF($D$220&gt;1,"verdict?","")</f>
        <v/>
      </c>
      <c r="E227" s="105"/>
      <c r="F227" s="1"/>
      <c r="AD227" s="56" t="s">
        <v>200</v>
      </c>
    </row>
    <row r="228" spans="1:30" ht="15" thickTop="1" thickBot="1" x14ac:dyDescent="0.3">
      <c r="A228" s="105"/>
      <c r="B228" s="87" t="str">
        <f>IF($D$220&gt;1,"know location?","")</f>
        <v/>
      </c>
      <c r="C228" s="87" t="str">
        <f>IF($D$220&gt;1,"claims to know real culprit?","")</f>
        <v/>
      </c>
      <c r="D228" s="87" t="str">
        <f>IF($D$220&gt;1,"also claims innocence?","")</f>
        <v/>
      </c>
      <c r="E228" s="105"/>
      <c r="F228" s="1"/>
      <c r="AD228" s="56" t="s">
        <v>206</v>
      </c>
    </row>
    <row r="229" spans="1:30" ht="4.95" customHeight="1" thickTop="1" thickBot="1" x14ac:dyDescent="0.3">
      <c r="A229" s="105"/>
      <c r="B229" s="105"/>
      <c r="C229" s="105"/>
      <c r="D229" s="105"/>
      <c r="E229" s="105"/>
      <c r="F229" s="1"/>
    </row>
    <row r="230" spans="1:30" ht="15" thickTop="1" thickBot="1" x14ac:dyDescent="0.3">
      <c r="A230" s="105" t="str">
        <f>IF(D$220&gt;2,3,"")</f>
        <v/>
      </c>
      <c r="B230" s="87" t="str">
        <f>IF(D$220&gt;2,"NAME ","")</f>
        <v/>
      </c>
      <c r="C230" s="87" t="str">
        <f>IF($D$220&gt;2,"charged as?","")</f>
        <v/>
      </c>
      <c r="D230" s="87" t="str">
        <f>IF($D$220&gt;2,"how adjudicated?","")</f>
        <v/>
      </c>
      <c r="E230" s="105"/>
      <c r="F230" s="1"/>
    </row>
    <row r="231" spans="1:30" ht="15" thickTop="1" thickBot="1" x14ac:dyDescent="0.3">
      <c r="A231" s="105"/>
      <c r="B231" s="87" t="str">
        <f>IF($D$220&gt;2,"relation?","")</f>
        <v/>
      </c>
      <c r="C231" s="87" t="str">
        <f>IF($D$220&gt;2,"convicted as?","")</f>
        <v/>
      </c>
      <c r="D231" s="87" t="str">
        <f>IF($D$220&gt;2,"verdict?","")</f>
        <v/>
      </c>
      <c r="E231" s="105"/>
      <c r="F231" s="1"/>
    </row>
    <row r="232" spans="1:30" ht="15" thickTop="1" thickBot="1" x14ac:dyDescent="0.3">
      <c r="A232" s="105"/>
      <c r="B232" s="87" t="str">
        <f>IF($D$220&gt;2,"know location?","")</f>
        <v/>
      </c>
      <c r="C232" s="87" t="str">
        <f>IF($D$220&gt;2,"claims to know real culprit?","")</f>
        <v/>
      </c>
      <c r="D232" s="87" t="str">
        <f>IF($D$220&gt;2,"also claims innocence?","")</f>
        <v/>
      </c>
      <c r="E232" s="105"/>
      <c r="F232" s="1"/>
    </row>
    <row r="233" spans="1:30" ht="4.95" customHeight="1" thickTop="1" thickBot="1" x14ac:dyDescent="0.3">
      <c r="A233" s="105"/>
      <c r="B233" s="105"/>
      <c r="C233" s="105"/>
      <c r="D233" s="105"/>
      <c r="E233" s="105"/>
      <c r="F233" s="1"/>
    </row>
    <row r="234" spans="1:30" ht="15" thickTop="1" thickBot="1" x14ac:dyDescent="0.3">
      <c r="A234" s="105" t="str">
        <f>IF(D$220&gt;3,4,"")</f>
        <v/>
      </c>
      <c r="B234" s="87" t="str">
        <f>IF(D$220&gt;3,"NAME ","")</f>
        <v/>
      </c>
      <c r="C234" s="87" t="str">
        <f>IF($D$220&gt;3,"charged as?","")</f>
        <v/>
      </c>
      <c r="D234" s="87" t="str">
        <f>IF($D$220&gt;3,"how adjudicated?","")</f>
        <v/>
      </c>
      <c r="E234" s="105"/>
      <c r="F234" s="1"/>
    </row>
    <row r="235" spans="1:30" ht="15" thickTop="1" thickBot="1" x14ac:dyDescent="0.3">
      <c r="A235" s="105"/>
      <c r="B235" s="87" t="str">
        <f>IF($D$220&gt;3,"relation?","")</f>
        <v/>
      </c>
      <c r="C235" s="87" t="str">
        <f>IF($D$220&gt;3,"convicted as?","")</f>
        <v/>
      </c>
      <c r="D235" s="87" t="str">
        <f>IF($D$220&gt;3,"verdict?","")</f>
        <v/>
      </c>
      <c r="E235" s="105"/>
      <c r="F235" s="1"/>
    </row>
    <row r="236" spans="1:30" ht="15" thickTop="1" thickBot="1" x14ac:dyDescent="0.3">
      <c r="A236" s="105"/>
      <c r="B236" s="87" t="str">
        <f>IF($D$220&gt;3,"know location?","")</f>
        <v/>
      </c>
      <c r="C236" s="87" t="str">
        <f>IF($D$220&gt;3,"claims to know real culprit?","")</f>
        <v/>
      </c>
      <c r="D236" s="87" t="str">
        <f>IF($D$220&gt;3,"also claims innocence?","")</f>
        <v/>
      </c>
      <c r="E236" s="105"/>
      <c r="F236" s="1"/>
    </row>
    <row r="237" spans="1:30" ht="4.95" customHeight="1" thickTop="1" thickBot="1" x14ac:dyDescent="0.3">
      <c r="A237" s="105"/>
      <c r="B237" s="105"/>
      <c r="C237" s="105"/>
      <c r="D237" s="105"/>
      <c r="E237" s="105"/>
      <c r="F237" s="1"/>
    </row>
    <row r="238" spans="1:30" ht="15" thickTop="1" thickBot="1" x14ac:dyDescent="0.3">
      <c r="A238" s="105" t="str">
        <f>IF(D$220&gt;4,5,"")</f>
        <v/>
      </c>
      <c r="B238" s="87" t="str">
        <f>IF(D$220&gt;4,"NAME ","")</f>
        <v/>
      </c>
      <c r="C238" s="87" t="str">
        <f>IF($D$220&gt;4,"charged as?","")</f>
        <v/>
      </c>
      <c r="D238" s="87" t="str">
        <f>IF($D$220&gt;4,"how adjudicated?","")</f>
        <v/>
      </c>
      <c r="E238" s="105"/>
      <c r="F238" s="1"/>
    </row>
    <row r="239" spans="1:30" ht="15" thickTop="1" thickBot="1" x14ac:dyDescent="0.3">
      <c r="A239" s="105"/>
      <c r="B239" s="87" t="str">
        <f>IF($D$220&gt;4,"relation?","")</f>
        <v/>
      </c>
      <c r="C239" s="87" t="str">
        <f>IF($D$220&gt;4,"convicted as?","")</f>
        <v/>
      </c>
      <c r="D239" s="87" t="str">
        <f>IF($D$220&gt;4,"verdict?","")</f>
        <v/>
      </c>
      <c r="E239" s="105"/>
      <c r="F239" s="1"/>
    </row>
    <row r="240" spans="1:30" ht="15" thickTop="1" thickBot="1" x14ac:dyDescent="0.3">
      <c r="A240" s="105"/>
      <c r="B240" s="87" t="str">
        <f>IF($D$220&gt;4,"know location?","")</f>
        <v/>
      </c>
      <c r="C240" s="87" t="str">
        <f>IF($D$220&gt;4,"claims to know real culprit?","")</f>
        <v/>
      </c>
      <c r="D240" s="87" t="str">
        <f>IF($D$220&gt;4,"also claims innocence?","")</f>
        <v/>
      </c>
      <c r="E240" s="105"/>
      <c r="F240" s="1"/>
    </row>
    <row r="241" spans="1:49" ht="4.95" customHeight="1" thickTop="1" thickBot="1" x14ac:dyDescent="0.3">
      <c r="A241" s="105"/>
      <c r="B241" s="105"/>
      <c r="C241" s="105"/>
      <c r="D241" s="105"/>
      <c r="E241" s="105"/>
      <c r="F241" s="1"/>
    </row>
    <row r="242" spans="1:49" ht="15" thickTop="1" thickBot="1" x14ac:dyDescent="0.3">
      <c r="A242" s="105" t="str">
        <f>IF(D$220&gt;5,6,"")</f>
        <v/>
      </c>
      <c r="B242" s="87" t="str">
        <f>IF(D$220&gt;5,"NAME ","")</f>
        <v/>
      </c>
      <c r="C242" s="87" t="str">
        <f>IF($D$220&gt;5,"charged as?","")</f>
        <v/>
      </c>
      <c r="D242" s="87" t="str">
        <f>IF($D$220&gt;5,"how adjudicated?","")</f>
        <v/>
      </c>
      <c r="E242" s="105"/>
      <c r="F242" s="1"/>
    </row>
    <row r="243" spans="1:49" ht="15" thickTop="1" thickBot="1" x14ac:dyDescent="0.3">
      <c r="A243" s="105"/>
      <c r="B243" s="87" t="str">
        <f>IF($D$220&gt;5,"relation?","")</f>
        <v/>
      </c>
      <c r="C243" s="87" t="str">
        <f>IF($D$220&gt;5,"convicted as?","")</f>
        <v/>
      </c>
      <c r="D243" s="87" t="str">
        <f>IF($D$220&gt;5,"verdict?","")</f>
        <v/>
      </c>
      <c r="E243" s="105"/>
      <c r="F243" s="1"/>
    </row>
    <row r="244" spans="1:49" ht="15" thickTop="1" thickBot="1" x14ac:dyDescent="0.3">
      <c r="A244" s="105"/>
      <c r="B244" s="87" t="str">
        <f>IF($D$220&gt;5,"know location?","")</f>
        <v/>
      </c>
      <c r="C244" s="87" t="str">
        <f>IF($D$220&gt;5,"claims to know real culprit?","")</f>
        <v/>
      </c>
      <c r="D244" s="87" t="str">
        <f>IF($D$220&gt;5,"also claims innocence?","")</f>
        <v/>
      </c>
      <c r="E244" s="105"/>
      <c r="F244" s="1"/>
    </row>
    <row r="245" spans="1:49" ht="4.95" customHeight="1" thickTop="1" x14ac:dyDescent="0.25">
      <c r="A245" s="105"/>
      <c r="B245" s="105"/>
      <c r="C245" s="105"/>
      <c r="D245" s="105"/>
      <c r="E245" s="105"/>
      <c r="F245" s="1"/>
    </row>
    <row r="246" spans="1:49" ht="15" customHeight="1" thickBot="1" x14ac:dyDescent="0.3">
      <c r="A246" s="105"/>
      <c r="B246" s="53" t="s">
        <v>207</v>
      </c>
      <c r="C246" s="105"/>
      <c r="D246" s="53"/>
      <c r="E246" s="105"/>
      <c r="F246" s="1"/>
    </row>
    <row r="247" spans="1:49" ht="60" customHeight="1" thickTop="1" thickBot="1" x14ac:dyDescent="0.3">
      <c r="A247" s="105"/>
      <c r="B247" s="537"/>
      <c r="C247" s="538"/>
      <c r="D247" s="539"/>
      <c r="E247" s="105"/>
      <c r="F247" s="1"/>
      <c r="AN247" s="88" t="s">
        <v>209</v>
      </c>
    </row>
    <row r="248" spans="1:49" ht="14.4" thickTop="1" x14ac:dyDescent="0.25">
      <c r="A248" s="105"/>
      <c r="B248" s="53"/>
      <c r="C248" s="53"/>
      <c r="D248" s="53"/>
      <c r="E248" s="53"/>
      <c r="F248" s="1"/>
      <c r="AN248" s="88" t="s">
        <v>210</v>
      </c>
    </row>
    <row r="249" spans="1:49" ht="15" thickBot="1" x14ac:dyDescent="0.35">
      <c r="A249" s="105"/>
      <c r="B249" s="78" t="s">
        <v>211</v>
      </c>
      <c r="C249" s="78" t="s">
        <v>212</v>
      </c>
      <c r="D249" s="78" t="s">
        <v>213</v>
      </c>
      <c r="E249" s="105"/>
      <c r="F249" s="1"/>
      <c r="AC249" s="77" t="s">
        <v>214</v>
      </c>
      <c r="AN249" s="88" t="s">
        <v>215</v>
      </c>
    </row>
    <row r="250" spans="1:49" ht="15.6" thickTop="1" thickBot="1" x14ac:dyDescent="0.35">
      <c r="A250" s="105"/>
      <c r="B250" s="79"/>
      <c r="C250" s="79">
        <v>34157</v>
      </c>
      <c r="D250" s="86"/>
      <c r="E250" s="105"/>
      <c r="F250" s="1"/>
      <c r="AC250" s="77" t="s">
        <v>216</v>
      </c>
      <c r="AN250" s="88" t="s">
        <v>217</v>
      </c>
      <c r="AW250" s="89"/>
    </row>
    <row r="251" spans="1:49" ht="15" thickTop="1" thickBot="1" x14ac:dyDescent="0.3">
      <c r="A251" s="105"/>
      <c r="B251" s="53"/>
      <c r="C251" s="53"/>
      <c r="D251" s="53"/>
      <c r="E251" s="105"/>
      <c r="F251" s="1"/>
      <c r="AW251" s="89"/>
    </row>
    <row r="252" spans="1:49" ht="15" thickTop="1" thickBot="1" x14ac:dyDescent="0.3">
      <c r="A252" s="105"/>
      <c r="B252" s="78" t="s">
        <v>218</v>
      </c>
      <c r="C252" s="78" t="s">
        <v>219</v>
      </c>
      <c r="D252" s="78" t="s">
        <v>220</v>
      </c>
      <c r="E252" s="105"/>
      <c r="F252" s="1"/>
      <c r="AW252" s="89"/>
    </row>
    <row r="253" spans="1:49" ht="15" thickTop="1" thickBot="1" x14ac:dyDescent="0.3">
      <c r="A253" s="105"/>
      <c r="B253" s="79"/>
      <c r="C253" s="79"/>
      <c r="D253" s="90"/>
      <c r="E253" s="105"/>
      <c r="F253" s="1"/>
    </row>
    <row r="254" spans="1:49" ht="15" thickTop="1" thickBot="1" x14ac:dyDescent="0.3">
      <c r="A254" s="105"/>
      <c r="B254" s="53" t="s">
        <v>222</v>
      </c>
      <c r="C254" s="105"/>
      <c r="D254" s="105"/>
      <c r="E254" s="105"/>
      <c r="F254" s="1"/>
    </row>
    <row r="255" spans="1:49" ht="45" customHeight="1" thickTop="1" thickBot="1" x14ac:dyDescent="0.3">
      <c r="A255" s="105"/>
      <c r="B255" s="537"/>
      <c r="C255" s="538"/>
      <c r="D255" s="539"/>
      <c r="E255" s="105"/>
      <c r="F255" s="1"/>
    </row>
    <row r="256" spans="1:49" ht="7.05" customHeight="1" thickTop="1" thickBot="1" x14ac:dyDescent="0.3">
      <c r="A256" s="105"/>
      <c r="B256" s="105"/>
      <c r="C256" s="105"/>
      <c r="D256" s="105"/>
      <c r="E256" s="105"/>
      <c r="F256" s="1"/>
    </row>
    <row r="257" spans="1:52" ht="15.6" thickTop="1" thickBot="1" x14ac:dyDescent="0.35">
      <c r="A257" s="105"/>
      <c r="B257" s="53" t="s">
        <v>223</v>
      </c>
      <c r="C257" s="105"/>
      <c r="D257" s="91"/>
      <c r="E257" s="105"/>
      <c r="F257" s="1"/>
      <c r="AC257" s="60">
        <f>SUM(AD257:AK257)</f>
        <v>0</v>
      </c>
      <c r="AD257" s="56">
        <f>IF(D257=C2018,1,0)</f>
        <v>0</v>
      </c>
      <c r="AE257" s="56">
        <f>IF(D257=C2019,1,0)</f>
        <v>0</v>
      </c>
      <c r="AF257" s="56">
        <f>IF(D257=C2020,1,0)</f>
        <v>0</v>
      </c>
      <c r="AG257" s="56">
        <f>IF(D257=C2021,1,0)</f>
        <v>0</v>
      </c>
      <c r="AH257" s="56">
        <f>IF(D257=C2022,1,0)</f>
        <v>0</v>
      </c>
      <c r="AI257" s="56">
        <f>IF(D257=C2023,1,0)</f>
        <v>0</v>
      </c>
      <c r="AJ257" s="56">
        <f>IF(D257=C2024,1,0)</f>
        <v>0</v>
      </c>
      <c r="AK257" s="56">
        <f>IF(D257=C2026,1,0)</f>
        <v>0</v>
      </c>
      <c r="AM257" s="92">
        <f>IF(AC257=1,0,1)</f>
        <v>1</v>
      </c>
      <c r="AN257" s="92">
        <f>IF(D$257=C2035,1,0)</f>
        <v>0</v>
      </c>
      <c r="AO257" s="92">
        <f>IF(D$257=C2036,1,0)</f>
        <v>0</v>
      </c>
      <c r="AP257" s="92">
        <f>IF(D$257=C2037,1,0)</f>
        <v>0</v>
      </c>
      <c r="AQ257" s="93">
        <f>MAX(AN257:AP257)</f>
        <v>0</v>
      </c>
      <c r="AR257" s="92"/>
      <c r="AS257" s="92"/>
      <c r="AT257" s="92"/>
      <c r="AU257" s="92" t="str">
        <f>IF(OR(AC257&gt;0,AQ257&gt;0),AV258,AV259)</f>
        <v>no new charges</v>
      </c>
      <c r="AV257" s="92"/>
      <c r="AW257" s="92"/>
      <c r="AX257" s="92"/>
      <c r="AY257" s="92"/>
      <c r="AZ257" s="94" t="s">
        <v>225</v>
      </c>
    </row>
    <row r="258" spans="1:52" ht="14.4" thickTop="1" x14ac:dyDescent="0.25">
      <c r="A258" s="105"/>
      <c r="B258" s="95" t="str">
        <f>IF($AC$257=1,"Inmate #","")</f>
        <v/>
      </c>
      <c r="C258" s="95" t="str">
        <f>IF($AC$257=1,"Current correctional facility","")</f>
        <v/>
      </c>
      <c r="D258" s="95" t="str">
        <f>IF($AC$257=1,"City, ST zipcode","")</f>
        <v/>
      </c>
      <c r="E258" s="105"/>
      <c r="F258" s="1"/>
      <c r="AM258" s="92"/>
      <c r="AN258" s="92"/>
      <c r="AO258" s="92"/>
      <c r="AP258" s="92"/>
      <c r="AQ258" s="92"/>
      <c r="AR258" s="92"/>
      <c r="AS258" s="92"/>
      <c r="AT258" s="92"/>
      <c r="AU258" s="92"/>
      <c r="AV258" s="92" t="s">
        <v>226</v>
      </c>
      <c r="AW258" s="92"/>
      <c r="AX258" s="92"/>
      <c r="AY258" s="92"/>
      <c r="AZ258" s="92"/>
    </row>
    <row r="259" spans="1:52" x14ac:dyDescent="0.25">
      <c r="A259" s="105"/>
      <c r="B259" s="96"/>
      <c r="C259" s="96"/>
      <c r="D259" s="96"/>
      <c r="E259" s="105"/>
      <c r="F259" s="1"/>
      <c r="AM259" s="92"/>
      <c r="AN259" s="92" t="str">
        <f>IF(AQ257&gt;0,AV258,AV259)</f>
        <v>no new charges</v>
      </c>
      <c r="AO259" s="92"/>
      <c r="AP259" s="92"/>
      <c r="AQ259" s="92"/>
      <c r="AR259" s="92"/>
      <c r="AS259" s="92"/>
      <c r="AT259" s="92"/>
      <c r="AU259" s="92"/>
      <c r="AV259" s="92" t="s">
        <v>227</v>
      </c>
      <c r="AW259" s="92"/>
      <c r="AX259" s="92"/>
      <c r="AY259" s="92"/>
      <c r="AZ259" s="92"/>
    </row>
    <row r="260" spans="1:52" ht="4.95" customHeight="1" x14ac:dyDescent="0.25">
      <c r="A260" s="105"/>
      <c r="B260" s="96"/>
      <c r="C260" s="96"/>
      <c r="D260" s="96"/>
      <c r="E260" s="105"/>
      <c r="F260" s="1"/>
    </row>
    <row r="261" spans="1:52" ht="4.95" customHeight="1" x14ac:dyDescent="0.25">
      <c r="A261" s="105"/>
      <c r="B261" s="96"/>
      <c r="C261" s="96"/>
      <c r="D261" s="96"/>
      <c r="E261" s="105"/>
      <c r="F261" s="1"/>
    </row>
    <row r="262" spans="1:52" ht="14.4" thickBot="1" x14ac:dyDescent="0.3">
      <c r="A262" s="105"/>
      <c r="B262" s="97" t="s">
        <v>228</v>
      </c>
      <c r="C262" s="53"/>
      <c r="D262" s="53"/>
      <c r="E262" s="105"/>
      <c r="F262" s="1"/>
    </row>
    <row r="263" spans="1:52" ht="15" thickTop="1" thickBot="1" x14ac:dyDescent="0.3">
      <c r="A263" s="105"/>
      <c r="B263" s="53" t="s">
        <v>229</v>
      </c>
      <c r="C263" s="105"/>
      <c r="D263" s="89"/>
      <c r="E263" s="53"/>
      <c r="F263" s="1"/>
    </row>
    <row r="264" spans="1:52" ht="15" thickTop="1" thickBot="1" x14ac:dyDescent="0.3">
      <c r="A264" s="105"/>
      <c r="B264" s="53" t="str">
        <f>IF($AC$257=0,"Date released from prison:","Earliest release date (if applicable):")</f>
        <v>Date released from prison:</v>
      </c>
      <c r="C264" s="105"/>
      <c r="D264" s="89">
        <v>38617</v>
      </c>
      <c r="E264" s="105"/>
      <c r="F264" s="1"/>
      <c r="AB264" s="532">
        <f>D264-C250</f>
        <v>4460</v>
      </c>
      <c r="AC264" s="532"/>
      <c r="AE264" s="98">
        <f>ROUNDDOWN((AB264/365.25),0)</f>
        <v>12</v>
      </c>
    </row>
    <row r="265" spans="1:52" ht="15" thickTop="1" thickBot="1" x14ac:dyDescent="0.3">
      <c r="A265" s="105"/>
      <c r="B265" s="53" t="str">
        <f>IF($D$257="on parole","Date expected to end parole:","Date released from parole (if applicable):")</f>
        <v>Date released from parole (if applicable):</v>
      </c>
      <c r="C265" s="105"/>
      <c r="D265" s="89"/>
      <c r="E265" s="105"/>
      <c r="F265" s="1"/>
      <c r="AB265" s="532">
        <f>IF(D265="",0,D265-D264)</f>
        <v>0</v>
      </c>
      <c r="AC265" s="532">
        <f>D264-D264</f>
        <v>0</v>
      </c>
      <c r="AE265" s="98">
        <f>ROUND((AB265/365.25),1)</f>
        <v>0</v>
      </c>
    </row>
    <row r="266" spans="1:52" ht="15" thickTop="1" thickBot="1" x14ac:dyDescent="0.3">
      <c r="A266" s="105"/>
      <c r="B266" s="53" t="str">
        <f>IF($D$257="on probation","Date expected to end probation:","Date released from probation (if applicable):")</f>
        <v>Date released from probation (if applicable):</v>
      </c>
      <c r="C266" s="105"/>
      <c r="D266" s="55"/>
      <c r="E266" s="105"/>
      <c r="F266" s="1"/>
    </row>
    <row r="267" spans="1:52" ht="15" thickTop="1" thickBot="1" x14ac:dyDescent="0.3">
      <c r="A267" s="105"/>
      <c r="B267" s="541" t="s">
        <v>230</v>
      </c>
      <c r="C267" s="542"/>
      <c r="D267" s="99"/>
      <c r="E267" s="105"/>
      <c r="F267" s="1"/>
    </row>
    <row r="268" spans="1:52" ht="15" thickTop="1" thickBot="1" x14ac:dyDescent="0.3">
      <c r="A268" s="105"/>
      <c r="B268" s="53" t="s">
        <v>232</v>
      </c>
      <c r="C268" s="105"/>
      <c r="D268" s="55"/>
      <c r="E268" s="105"/>
      <c r="F268" s="1"/>
      <c r="AB268" s="57"/>
    </row>
    <row r="269" spans="1:52" ht="15" thickTop="1" thickBot="1" x14ac:dyDescent="0.3">
      <c r="A269" s="105"/>
      <c r="B269" s="541" t="str">
        <f>IF(AC257=0,"Discharged from max sentence due to innocence claim?","Expect to serve full sentence due to innocence claim?")</f>
        <v>Discharged from max sentence due to innocence claim?</v>
      </c>
      <c r="C269" s="542"/>
      <c r="D269" s="100"/>
      <c r="E269" s="105"/>
      <c r="F269" s="1"/>
      <c r="AB269" s="57"/>
    </row>
    <row r="270" spans="1:52" ht="15" thickTop="1" thickBot="1" x14ac:dyDescent="0.3">
      <c r="A270" s="105"/>
      <c r="B270" s="541" t="s">
        <v>233</v>
      </c>
      <c r="C270" s="542"/>
      <c r="D270" s="100"/>
      <c r="E270" s="105"/>
      <c r="F270" s="1"/>
      <c r="AM270" s="101" t="str">
        <f>IF(AND(AO270&gt;0,AO270&lt;3),"Sex offender registry end date:",IF(AND(AO270&gt;2,AO270&lt;4),"Sex offender registry as of today:",""))</f>
        <v/>
      </c>
      <c r="AO270" s="60">
        <f>MAX(AP270:AS270)</f>
        <v>-1</v>
      </c>
      <c r="AP270" s="56">
        <f>IF($D$270=B1988,D1988,-1)</f>
        <v>-1</v>
      </c>
      <c r="AQ270" s="56">
        <f>IF($D$270=B1989,D1989,-1)</f>
        <v>-1</v>
      </c>
      <c r="AR270" s="56">
        <f>IF($D$270=B1990,D1990,-1)</f>
        <v>-1</v>
      </c>
      <c r="AS270" s="56">
        <f>IF($D$270=B1991,D1991,-1)</f>
        <v>-1</v>
      </c>
    </row>
    <row r="271" spans="1:52" ht="15.6" customHeight="1" thickTop="1" thickBot="1" x14ac:dyDescent="0.3">
      <c r="A271" s="105"/>
      <c r="B271" s="541" t="str">
        <f>AM270</f>
        <v/>
      </c>
      <c r="C271" s="542"/>
      <c r="D271" s="89" t="str">
        <f ca="1">IF(AO270=3,TODAY(),"")</f>
        <v/>
      </c>
      <c r="E271" s="105"/>
      <c r="F271" s="1"/>
      <c r="AB271" s="532" t="e">
        <f ca="1">D271-D264</f>
        <v>#VALUE!</v>
      </c>
      <c r="AC271" s="532"/>
      <c r="AD271" s="98" t="e">
        <f ca="1">ROUND((AB271/365.25),0)</f>
        <v>#VALUE!</v>
      </c>
      <c r="AE271" s="98" t="e">
        <f ca="1">MAX(AE265,AD271)</f>
        <v>#VALUE!</v>
      </c>
      <c r="AF271" s="540">
        <f ca="1">TODAY()</f>
        <v>44336</v>
      </c>
      <c r="AG271" s="540"/>
    </row>
    <row r="272" spans="1:52" ht="15" thickTop="1" thickBot="1" x14ac:dyDescent="0.3">
      <c r="A272" s="105"/>
      <c r="B272" s="541" t="s">
        <v>235</v>
      </c>
      <c r="C272" s="542"/>
      <c r="D272" s="102"/>
      <c r="E272" s="105"/>
      <c r="F272" s="1"/>
    </row>
    <row r="273" spans="1:56" ht="14.4" thickTop="1" x14ac:dyDescent="0.25">
      <c r="A273" s="105"/>
      <c r="B273" s="53"/>
      <c r="C273" s="105"/>
      <c r="D273" s="105"/>
      <c r="E273" s="105"/>
      <c r="F273" s="1"/>
    </row>
    <row r="274" spans="1:56" x14ac:dyDescent="0.25">
      <c r="A274" s="105"/>
      <c r="B274" s="53" t="s">
        <v>236</v>
      </c>
      <c r="C274" s="105"/>
      <c r="D274" s="105"/>
      <c r="E274" s="105"/>
      <c r="F274" s="1"/>
    </row>
    <row r="275" spans="1:56" ht="14.4" thickBot="1" x14ac:dyDescent="0.3">
      <c r="A275" s="105"/>
      <c r="B275" s="105" t="s">
        <v>237</v>
      </c>
      <c r="C275" s="105" t="s">
        <v>238</v>
      </c>
      <c r="D275" s="105" t="s">
        <v>239</v>
      </c>
      <c r="E275" s="105"/>
      <c r="F275" s="1"/>
    </row>
    <row r="276" spans="1:56" ht="15" thickTop="1" thickBot="1" x14ac:dyDescent="0.3">
      <c r="A276" s="105"/>
      <c r="B276" s="103"/>
      <c r="C276" s="86"/>
      <c r="D276" s="86"/>
      <c r="E276" s="105"/>
      <c r="F276" s="1"/>
    </row>
    <row r="277" spans="1:56" ht="15" thickTop="1" thickBot="1" x14ac:dyDescent="0.3">
      <c r="A277" s="105"/>
      <c r="B277" s="53"/>
      <c r="C277" s="105"/>
      <c r="D277" s="105"/>
      <c r="E277" s="105"/>
      <c r="F277" s="1"/>
    </row>
    <row r="278" spans="1:56" ht="15" thickTop="1" thickBot="1" x14ac:dyDescent="0.3">
      <c r="A278" s="105"/>
      <c r="B278" s="543" t="s">
        <v>241</v>
      </c>
      <c r="C278" s="544"/>
      <c r="D278" s="100"/>
      <c r="E278" s="105"/>
      <c r="F278" s="1"/>
      <c r="AB278" s="57"/>
      <c r="AC278" s="57"/>
      <c r="AT278" s="543"/>
      <c r="AU278" s="544"/>
    </row>
    <row r="279" spans="1:56" ht="15" thickTop="1" thickBot="1" x14ac:dyDescent="0.3">
      <c r="A279" s="105"/>
      <c r="B279" s="53" t="str">
        <f>IF(D278=AE218,"What was the response? Explain further below.","Please explain why not in box below.")</f>
        <v>Please explain why not in box below.</v>
      </c>
      <c r="C279" s="105"/>
      <c r="D279" s="104"/>
      <c r="E279" s="105"/>
      <c r="F279" s="1"/>
      <c r="AB279" s="57"/>
      <c r="BD279" s="56" t="s">
        <v>243</v>
      </c>
    </row>
    <row r="280" spans="1:56" ht="15" thickTop="1" thickBot="1" x14ac:dyDescent="0.3">
      <c r="A280" s="105"/>
      <c r="B280" s="545" t="str">
        <f>IF(D279=B1862,D1862,"")</f>
        <v/>
      </c>
      <c r="C280" s="545"/>
      <c r="D280" s="545"/>
      <c r="E280" s="105"/>
      <c r="F280" s="1"/>
      <c r="BD280" s="56" t="s">
        <v>244</v>
      </c>
    </row>
    <row r="281" spans="1:56" ht="45" customHeight="1" thickTop="1" thickBot="1" x14ac:dyDescent="0.3">
      <c r="A281" s="105"/>
      <c r="B281" s="537"/>
      <c r="C281" s="538"/>
      <c r="D281" s="539"/>
      <c r="E281" s="105"/>
      <c r="F281" s="1"/>
    </row>
    <row r="282" spans="1:56" ht="7.95" customHeight="1" thickTop="1" x14ac:dyDescent="0.25">
      <c r="A282" s="105"/>
      <c r="B282" s="53"/>
      <c r="C282" s="105"/>
      <c r="D282" s="105"/>
      <c r="E282" s="105"/>
      <c r="F282" s="1"/>
    </row>
    <row r="283" spans="1:56" ht="14.4" thickBot="1" x14ac:dyDescent="0.3">
      <c r="A283" s="105"/>
      <c r="B283" s="53" t="s">
        <v>246</v>
      </c>
      <c r="C283" s="105"/>
      <c r="D283" s="53" t="s">
        <v>247</v>
      </c>
      <c r="E283" s="105"/>
      <c r="F283" s="1"/>
    </row>
    <row r="284" spans="1:56" ht="15" thickTop="1" thickBot="1" x14ac:dyDescent="0.3">
      <c r="A284" s="105"/>
      <c r="B284" s="559" t="s">
        <v>248</v>
      </c>
      <c r="C284" s="560"/>
      <c r="D284" s="89"/>
      <c r="E284" s="105"/>
      <c r="F284" s="1"/>
      <c r="AB284" s="57"/>
      <c r="AD284" s="106" t="str">
        <f>IF(B284=B2473,"No other criminal history","")</f>
        <v>No other criminal history</v>
      </c>
      <c r="AE284" s="107"/>
      <c r="AF284" s="107"/>
      <c r="AG284" s="107"/>
      <c r="AH284" s="107"/>
      <c r="AI284" s="107"/>
    </row>
    <row r="285" spans="1:56" ht="15" thickTop="1" thickBot="1" x14ac:dyDescent="0.3">
      <c r="A285" s="105"/>
      <c r="B285" s="53" t="s">
        <v>249</v>
      </c>
      <c r="C285" s="53"/>
      <c r="D285" s="53"/>
      <c r="E285" s="105"/>
      <c r="F285" s="1"/>
    </row>
    <row r="286" spans="1:56" ht="45" customHeight="1" thickTop="1" thickBot="1" x14ac:dyDescent="0.3">
      <c r="A286" s="105"/>
      <c r="B286" s="537"/>
      <c r="C286" s="538"/>
      <c r="D286" s="539"/>
      <c r="E286" s="105"/>
      <c r="F286" s="1"/>
    </row>
    <row r="287" spans="1:56" ht="7.95" customHeight="1" thickTop="1" x14ac:dyDescent="0.25">
      <c r="A287" s="105"/>
      <c r="B287" s="105"/>
      <c r="C287" s="105"/>
      <c r="D287" s="105"/>
      <c r="E287" s="105"/>
      <c r="F287" s="1"/>
    </row>
    <row r="288" spans="1:56" ht="14.4" thickBot="1" x14ac:dyDescent="0.3">
      <c r="A288" s="105"/>
      <c r="B288" s="53" t="s">
        <v>250</v>
      </c>
      <c r="C288" s="105"/>
      <c r="D288" s="105"/>
      <c r="E288" s="105"/>
      <c r="F288" s="1"/>
    </row>
    <row r="289" spans="1:62" ht="60" customHeight="1" thickTop="1" thickBot="1" x14ac:dyDescent="0.3">
      <c r="A289" s="105"/>
      <c r="B289" s="537"/>
      <c r="C289" s="538"/>
      <c r="D289" s="539"/>
      <c r="E289" s="105"/>
      <c r="F289" s="1"/>
      <c r="AE289" s="28" t="s">
        <v>251</v>
      </c>
    </row>
    <row r="290" spans="1:62" ht="7.95" customHeight="1" thickTop="1" x14ac:dyDescent="0.25">
      <c r="A290" s="105"/>
      <c r="B290" s="53"/>
      <c r="C290" s="105"/>
      <c r="D290" s="105"/>
      <c r="E290" s="105"/>
      <c r="F290" s="1"/>
    </row>
    <row r="291" spans="1:62" ht="30" customHeight="1" thickBot="1" x14ac:dyDescent="0.3">
      <c r="A291" s="105"/>
      <c r="B291" s="561" t="s">
        <v>252</v>
      </c>
      <c r="C291" s="561"/>
      <c r="D291" s="561"/>
      <c r="E291" s="105"/>
      <c r="F291" s="1"/>
    </row>
    <row r="292" spans="1:62" ht="60" customHeight="1" thickTop="1" thickBot="1" x14ac:dyDescent="0.3">
      <c r="A292" s="105"/>
      <c r="B292" s="537"/>
      <c r="C292" s="538"/>
      <c r="D292" s="539"/>
      <c r="E292" s="105"/>
      <c r="F292" s="1"/>
      <c r="AE292" s="28" t="s">
        <v>253</v>
      </c>
    </row>
    <row r="293" spans="1:62" ht="7.95" customHeight="1" thickTop="1" x14ac:dyDescent="0.25">
      <c r="A293" s="105"/>
      <c r="B293" s="105"/>
      <c r="C293" s="105"/>
      <c r="D293" s="105"/>
      <c r="E293" s="105"/>
      <c r="F293" s="1"/>
    </row>
    <row r="294" spans="1:62" ht="45" customHeight="1" x14ac:dyDescent="0.25">
      <c r="A294" s="105"/>
      <c r="B294" s="562" t="str">
        <f>IF(AB294&lt;&gt;"","Thanks for answering all those questions. They understandably bring up a lot of painful stuff. Together, let's give your pain some purpose by bringing this injustice to an end. And next provide documentation to help verify your innocence claim.","Please review your answers and fill any unfinished items. You've come this far, and we trust you can do it. You deserve to bring this injustice to an end.")</f>
        <v>Thanks for answering all those questions. They understandably bring up a lot of painful stuff. Together, let's give your pain some purpose by bringing this injustice to an end. And next provide documentation to help verify your innocence claim.</v>
      </c>
      <c r="C294" s="562"/>
      <c r="D294" s="562"/>
      <c r="E294" s="105"/>
      <c r="F294" s="1"/>
      <c r="AB294" s="56">
        <v>1</v>
      </c>
    </row>
    <row r="295" spans="1:62" ht="7.95" customHeight="1" x14ac:dyDescent="0.25">
      <c r="A295" s="105"/>
      <c r="B295" s="53"/>
      <c r="C295" s="105"/>
      <c r="D295" s="105"/>
      <c r="E295" s="105"/>
      <c r="F295" s="1"/>
    </row>
    <row r="296" spans="1:62" ht="30" customHeight="1" x14ac:dyDescent="0.25">
      <c r="A296" s="46" t="s">
        <v>254</v>
      </c>
      <c r="B296" s="46" t="s">
        <v>255</v>
      </c>
      <c r="C296" s="46"/>
      <c r="D296" s="46"/>
      <c r="E296" s="475"/>
      <c r="F296" s="475" t="s">
        <v>949</v>
      </c>
    </row>
    <row r="297" spans="1:62" ht="17.399999999999999" x14ac:dyDescent="0.3">
      <c r="A297" s="108" t="s">
        <v>256</v>
      </c>
      <c r="B297" s="109"/>
      <c r="C297" s="109"/>
      <c r="D297" s="109"/>
      <c r="E297" s="110"/>
      <c r="F297" s="108"/>
      <c r="AC297" s="56" t="s">
        <v>257</v>
      </c>
      <c r="AK297" s="56">
        <v>9.9999999999999998E-13</v>
      </c>
      <c r="AL297" s="7">
        <f>COUNT(AK300,AK310,AK320,AK330,AK340,AK350,AK360,AK370,AK380,AK390,AK400,AK410,AK420,AK430)</f>
        <v>0</v>
      </c>
      <c r="AN297" s="111">
        <f>MAX(AK297:AL297)</f>
        <v>9.9999999999999998E-13</v>
      </c>
      <c r="AP297" s="112">
        <f>AQ297-0.25</f>
        <v>0</v>
      </c>
      <c r="AQ297" s="112">
        <f>AR297-0.25</f>
        <v>0.25</v>
      </c>
      <c r="AR297" s="112">
        <f>AS297-0.25</f>
        <v>0.5</v>
      </c>
      <c r="AS297" s="112">
        <f>AT297-0.25</f>
        <v>0.75</v>
      </c>
      <c r="AT297" s="112">
        <v>1</v>
      </c>
      <c r="BF297" s="113">
        <v>0.05</v>
      </c>
      <c r="BH297" s="113">
        <v>0.1</v>
      </c>
    </row>
    <row r="298" spans="1:62" ht="19.95" customHeight="1" x14ac:dyDescent="0.25">
      <c r="A298" s="114">
        <v>1</v>
      </c>
      <c r="B298" s="114" t="s">
        <v>258</v>
      </c>
      <c r="C298" s="114"/>
      <c r="D298" s="115">
        <f>IF(AN300&gt;0,AN300,0)</f>
        <v>0</v>
      </c>
      <c r="E298" s="116"/>
      <c r="F298" s="1"/>
    </row>
    <row r="299" spans="1:62" s="120" customFormat="1" ht="18" customHeight="1" thickBot="1" x14ac:dyDescent="0.3">
      <c r="A299" s="117"/>
      <c r="B299" s="546" t="s">
        <v>259</v>
      </c>
      <c r="C299" s="546"/>
      <c r="D299" s="546"/>
      <c r="E299" s="118"/>
      <c r="F299" s="1"/>
      <c r="G299" s="119"/>
      <c r="H299" s="119"/>
      <c r="I299" s="119"/>
      <c r="J299" s="119"/>
      <c r="K299" s="119"/>
      <c r="L299" s="119"/>
      <c r="M299" s="119"/>
      <c r="N299" s="119"/>
      <c r="O299" s="119"/>
      <c r="P299" s="119"/>
      <c r="Q299" s="119"/>
      <c r="R299" s="119"/>
      <c r="S299" s="119"/>
      <c r="T299" s="119"/>
      <c r="U299" s="119"/>
      <c r="V299" s="119"/>
      <c r="W299" s="119"/>
      <c r="X299" s="119"/>
      <c r="Y299" s="119"/>
      <c r="Z299" s="119"/>
      <c r="AC299" s="121">
        <v>1</v>
      </c>
      <c r="AD299" s="122">
        <f>AC299-($AC299/5)</f>
        <v>0.8</v>
      </c>
      <c r="AE299" s="123">
        <f>AD299-($AC299/5)</f>
        <v>0.60000000000000009</v>
      </c>
      <c r="AF299" s="124">
        <f>AE299-($AC299/5)</f>
        <v>0.40000000000000008</v>
      </c>
      <c r="AG299" s="125">
        <f>AF299-($AC299/5)</f>
        <v>0.20000000000000007</v>
      </c>
      <c r="AH299" s="126">
        <f>AG299-($AC299/5)</f>
        <v>0</v>
      </c>
      <c r="BB299" s="127" t="s">
        <v>260</v>
      </c>
      <c r="BC299" s="56"/>
      <c r="BD299" s="127" t="s">
        <v>261</v>
      </c>
      <c r="BG299" s="128" t="s">
        <v>262</v>
      </c>
      <c r="BH299" s="129"/>
      <c r="BI299" s="130" t="s">
        <v>263</v>
      </c>
      <c r="BJ299" s="131"/>
    </row>
    <row r="300" spans="1:62" ht="15.6" thickTop="1" thickBot="1" x14ac:dyDescent="0.35">
      <c r="A300" s="117"/>
      <c r="B300" s="547"/>
      <c r="C300" s="548"/>
      <c r="D300" s="549"/>
      <c r="E300" s="132"/>
      <c r="F300" s="1"/>
      <c r="AC300" s="112">
        <f t="shared" ref="AC300:AH300" si="3">IF($B300=AC$1896,AC299,0)</f>
        <v>0</v>
      </c>
      <c r="AD300" s="112">
        <f t="shared" si="3"/>
        <v>0</v>
      </c>
      <c r="AE300" s="112">
        <f t="shared" si="3"/>
        <v>0</v>
      </c>
      <c r="AF300" s="112">
        <f t="shared" si="3"/>
        <v>0</v>
      </c>
      <c r="AG300" s="112">
        <f t="shared" si="3"/>
        <v>0</v>
      </c>
      <c r="AH300" s="112">
        <f t="shared" si="3"/>
        <v>0</v>
      </c>
      <c r="AI300" s="133">
        <f>SUM(AC300:AH300)</f>
        <v>0</v>
      </c>
      <c r="AK300" s="550" t="str">
        <f>IF(AI300&gt;0,AI300,"")</f>
        <v/>
      </c>
      <c r="AL300" s="527"/>
      <c r="AN300" s="551">
        <f>(AI300/$AN$297)/2</f>
        <v>0</v>
      </c>
      <c r="AO300" s="552"/>
      <c r="BB300" s="127" t="s">
        <v>265</v>
      </c>
      <c r="BD300" s="127" t="s">
        <v>265</v>
      </c>
      <c r="BG300" s="128" t="s">
        <v>266</v>
      </c>
      <c r="BH300" s="134">
        <f>BH297</f>
        <v>0.1</v>
      </c>
      <c r="BI300" s="130" t="s">
        <v>266</v>
      </c>
      <c r="BJ300" s="135">
        <f>1-BH300</f>
        <v>0.9</v>
      </c>
    </row>
    <row r="301" spans="1:62" ht="15.6" thickTop="1" thickBot="1" x14ac:dyDescent="0.3">
      <c r="A301" s="117"/>
      <c r="B301" s="553"/>
      <c r="C301" s="554"/>
      <c r="D301" s="555"/>
      <c r="E301" s="132"/>
      <c r="F301" s="1"/>
      <c r="AC301" s="120"/>
      <c r="BB301" s="170">
        <f>$AC$1556</f>
        <v>10</v>
      </c>
      <c r="BD301" s="170">
        <f>$AC$1557</f>
        <v>25</v>
      </c>
      <c r="BG301" s="137" t="str">
        <f>BB299</f>
        <v>low</v>
      </c>
      <c r="BH301" s="137" t="str">
        <f>BD299</f>
        <v>high</v>
      </c>
      <c r="BI301" s="137" t="str">
        <f>BB299</f>
        <v>low</v>
      </c>
      <c r="BJ301" s="137" t="str">
        <f>BD299</f>
        <v>high</v>
      </c>
    </row>
    <row r="302" spans="1:62" ht="15" thickTop="1" thickBot="1" x14ac:dyDescent="0.3">
      <c r="A302" s="117"/>
      <c r="B302" s="118" t="str">
        <f>IF(B300="","","Add any relevant info in box below to help us help you with your trial transcripts.")</f>
        <v/>
      </c>
      <c r="C302" s="117"/>
      <c r="D302" s="117"/>
      <c r="E302" s="132"/>
      <c r="F302" s="1"/>
      <c r="AC302" s="120"/>
      <c r="BB302" s="170">
        <f>IF(AK306=$AC$297,0,(BB301*AK306))</f>
        <v>0</v>
      </c>
      <c r="BD302" s="170">
        <f>IF(AK306=$AC$297,0,(BD301*AK306))</f>
        <v>0</v>
      </c>
      <c r="BG302" s="170">
        <f>BB302*BH300</f>
        <v>0</v>
      </c>
      <c r="BH302" s="170">
        <f>BD302*BH300</f>
        <v>0</v>
      </c>
      <c r="BI302" s="170">
        <f>BB302*BJ300</f>
        <v>0</v>
      </c>
      <c r="BJ302" s="170">
        <f>BD302*BJ300</f>
        <v>0</v>
      </c>
    </row>
    <row r="303" spans="1:62" ht="67.05" customHeight="1" thickTop="1" thickBot="1" x14ac:dyDescent="0.3">
      <c r="A303" s="117"/>
      <c r="B303" s="556"/>
      <c r="C303" s="557"/>
      <c r="D303" s="558"/>
      <c r="E303" s="132"/>
      <c r="F303" s="1"/>
      <c r="AC303" s="120"/>
      <c r="BJ303" s="138">
        <f>MIN(BJ302,($D$1330*10))</f>
        <v>0</v>
      </c>
    </row>
    <row r="304" spans="1:62" ht="19.95" customHeight="1" thickTop="1" thickBot="1" x14ac:dyDescent="0.3">
      <c r="A304" s="117"/>
      <c r="B304" s="139" t="str">
        <f>IF(B300="","","SUPPORTER REVIEW: Prepare for Independent Verifier")</f>
        <v/>
      </c>
      <c r="C304" s="117"/>
      <c r="D304" s="117"/>
      <c r="E304" s="132"/>
      <c r="F304" s="1"/>
      <c r="AC304" s="120"/>
      <c r="BJ304" s="140"/>
    </row>
    <row r="305" spans="1:63" ht="14.4" thickTop="1" x14ac:dyDescent="0.25">
      <c r="A305" s="117"/>
      <c r="B305" s="141" t="str">
        <f>IF(B300="","","How many pages?")</f>
        <v/>
      </c>
      <c r="C305" s="142" t="str">
        <f>IF(AJ306&gt;30,"check if URL works, report from list below","")</f>
        <v/>
      </c>
      <c r="D305" s="143" t="str">
        <f>IF(B300="","","Estimated time to verify")</f>
        <v/>
      </c>
      <c r="E305" s="132"/>
      <c r="F305" s="1"/>
      <c r="AP305" s="56" t="s">
        <v>269</v>
      </c>
      <c r="AT305" s="144" t="str">
        <f>IF(AND(AJ306&gt;30,B306&gt;0),"ready","not ready")</f>
        <v>not ready</v>
      </c>
      <c r="AU305" s="144"/>
      <c r="AV305" s="144"/>
      <c r="BB305" s="56"/>
      <c r="BF305" s="113">
        <f>BF297</f>
        <v>0.05</v>
      </c>
      <c r="BG305" s="170">
        <f>BG302*$BF305</f>
        <v>0</v>
      </c>
      <c r="BH305" s="170">
        <f>BH302*$BF305</f>
        <v>0</v>
      </c>
      <c r="BI305" s="170">
        <f>BI302*$BF305</f>
        <v>0</v>
      </c>
      <c r="BJ305" s="170">
        <f>BJ302*$BF305</f>
        <v>0</v>
      </c>
    </row>
    <row r="306" spans="1:63" ht="14.4" thickBot="1" x14ac:dyDescent="0.3">
      <c r="A306" s="117"/>
      <c r="B306" s="145"/>
      <c r="C306" s="146"/>
      <c r="D306" s="147" t="str">
        <f>CONCATENATE(AK306,AL306)</f>
        <v>in estimated hours</v>
      </c>
      <c r="E306" s="148"/>
      <c r="F306" s="1"/>
      <c r="AD306" s="149">
        <f>IF(B300=B$1896,G$1896,AC305)</f>
        <v>0</v>
      </c>
      <c r="AE306" s="150">
        <f>IF(B300=B$1897,G$1897,AD305)</f>
        <v>0</v>
      </c>
      <c r="AF306" s="151">
        <f>IF(B300=B$1898,G$1898,AE305)</f>
        <v>0</v>
      </c>
      <c r="AG306" s="152">
        <f>IF(B300=B$1899,G$1899,AF305)</f>
        <v>0</v>
      </c>
      <c r="AH306" s="9"/>
      <c r="AI306" s="153">
        <f>MAX(AD306:AG306)</f>
        <v>0</v>
      </c>
      <c r="AJ306" s="56">
        <f>LEN(B300)</f>
        <v>0</v>
      </c>
      <c r="AK306" s="154" t="str">
        <f>IF(B306="",$AC$297,B306*AI306)</f>
        <v>in estimated</v>
      </c>
      <c r="AL306" s="56" t="s">
        <v>271</v>
      </c>
      <c r="AN306" s="56">
        <f>B306*AI306</f>
        <v>0</v>
      </c>
      <c r="AP306" s="155" t="str">
        <f>IF($C306=$D$1896,AP$297,"")</f>
        <v/>
      </c>
      <c r="AQ306" s="156" t="str">
        <f>IF($C306=$D$1897,AQ$297,"")</f>
        <v/>
      </c>
      <c r="AR306" s="157" t="str">
        <f>IF($C306=$D$1898,AR$297,"")</f>
        <v/>
      </c>
      <c r="AS306" s="158" t="str">
        <f>IF($C306=$D$1899,AS$297,"")</f>
        <v/>
      </c>
      <c r="AT306" s="159" t="str">
        <f>IF($C306=$D$1900,AT$297,"")</f>
        <v/>
      </c>
      <c r="AU306" s="160">
        <f>MAX(AP306:AS306)</f>
        <v>0</v>
      </c>
      <c r="AV306" s="154"/>
      <c r="AX306" s="56">
        <f>IF(AK306=$AC$297,0,AK306)</f>
        <v>0</v>
      </c>
      <c r="BB306" s="56"/>
      <c r="BG306" s="161">
        <f>BG302*0.95</f>
        <v>0</v>
      </c>
      <c r="BH306" s="161">
        <f>BH302*0.95</f>
        <v>0</v>
      </c>
      <c r="BI306" s="161">
        <f>BI302*0.95</f>
        <v>0</v>
      </c>
      <c r="BJ306" s="161">
        <f>BJ302*0.95</f>
        <v>0</v>
      </c>
    </row>
    <row r="307" spans="1:63" ht="14.4" thickTop="1" x14ac:dyDescent="0.25">
      <c r="A307" s="117"/>
      <c r="B307" s="117"/>
      <c r="C307" s="117"/>
      <c r="D307" s="117"/>
      <c r="E307" s="132"/>
      <c r="F307" s="1"/>
      <c r="BK307" s="389"/>
    </row>
    <row r="308" spans="1:63" ht="19.95" customHeight="1" x14ac:dyDescent="0.25">
      <c r="A308" s="114">
        <f>A298+1</f>
        <v>2</v>
      </c>
      <c r="B308" s="114" t="s">
        <v>272</v>
      </c>
      <c r="C308" s="114"/>
      <c r="D308" s="115">
        <f>IF(AN310&gt;0,AN310,0)</f>
        <v>0</v>
      </c>
      <c r="E308" s="132"/>
      <c r="F308" s="1"/>
      <c r="BK308" s="389"/>
    </row>
    <row r="309" spans="1:63" ht="18" customHeight="1" x14ac:dyDescent="0.25">
      <c r="A309" s="114"/>
      <c r="B309" s="563" t="s">
        <v>273</v>
      </c>
      <c r="C309" s="563"/>
      <c r="D309" s="563"/>
      <c r="E309" s="132"/>
      <c r="F309" s="1"/>
      <c r="AC309" s="121">
        <v>1</v>
      </c>
      <c r="AD309" s="122">
        <f>AC309-($AC309/5)</f>
        <v>0.8</v>
      </c>
      <c r="AE309" s="123">
        <f>AD309-($AC309/5)</f>
        <v>0.60000000000000009</v>
      </c>
      <c r="AF309" s="124">
        <f>AE309-($AC309/5)</f>
        <v>0.40000000000000008</v>
      </c>
      <c r="AG309" s="125">
        <f>AF309-($AC309/5)</f>
        <v>0.20000000000000007</v>
      </c>
      <c r="AH309" s="126">
        <f>AG309-($AC309/5)</f>
        <v>0</v>
      </c>
      <c r="AI309" s="120"/>
      <c r="AP309" s="120"/>
      <c r="AQ309" s="120"/>
      <c r="AR309" s="120"/>
      <c r="AS309" s="120"/>
      <c r="AT309" s="120"/>
      <c r="AU309" s="120"/>
      <c r="AV309" s="120"/>
      <c r="AW309" s="120"/>
      <c r="AX309" s="120"/>
      <c r="AY309" s="120"/>
      <c r="AZ309" s="120"/>
      <c r="BA309" s="120"/>
      <c r="BB309" s="127" t="s">
        <v>260</v>
      </c>
      <c r="BD309" s="127" t="s">
        <v>261</v>
      </c>
      <c r="BE309" s="120"/>
      <c r="BF309" s="120"/>
      <c r="BG309" s="128" t="s">
        <v>262</v>
      </c>
      <c r="BH309" s="129"/>
      <c r="BI309" s="130" t="s">
        <v>263</v>
      </c>
      <c r="BJ309" s="131"/>
    </row>
    <row r="310" spans="1:63" ht="14.4" x14ac:dyDescent="0.3">
      <c r="A310" s="117"/>
      <c r="B310" s="564"/>
      <c r="C310" s="564"/>
      <c r="D310" s="564"/>
      <c r="E310" s="132"/>
      <c r="F310" s="1"/>
      <c r="AC310" s="112">
        <f t="shared" ref="AC310:AH310" si="4">IF($B310=AC$1896,AC309,0)</f>
        <v>0</v>
      </c>
      <c r="AD310" s="112">
        <f t="shared" si="4"/>
        <v>0</v>
      </c>
      <c r="AE310" s="112">
        <f t="shared" si="4"/>
        <v>0</v>
      </c>
      <c r="AF310" s="112">
        <f t="shared" si="4"/>
        <v>0</v>
      </c>
      <c r="AG310" s="112">
        <f t="shared" si="4"/>
        <v>0</v>
      </c>
      <c r="AH310" s="112">
        <f t="shared" si="4"/>
        <v>0</v>
      </c>
      <c r="AI310" s="133">
        <f>SUM(AC310:AH310)</f>
        <v>0</v>
      </c>
      <c r="AK310" s="550" t="str">
        <f>IF(AI310&gt;0,AI310,"")</f>
        <v/>
      </c>
      <c r="AL310" s="527"/>
      <c r="AN310" s="551">
        <f>(AI310/$AN$297)/2</f>
        <v>0</v>
      </c>
      <c r="AO310" s="552"/>
      <c r="BB310" s="127" t="s">
        <v>265</v>
      </c>
      <c r="BD310" s="127" t="s">
        <v>265</v>
      </c>
      <c r="BG310" s="128" t="s">
        <v>266</v>
      </c>
      <c r="BH310" s="134">
        <f>BH300</f>
        <v>0.1</v>
      </c>
      <c r="BI310" s="130" t="s">
        <v>266</v>
      </c>
      <c r="BJ310" s="135">
        <f>1-BH310</f>
        <v>0.9</v>
      </c>
    </row>
    <row r="311" spans="1:63" ht="14.4" x14ac:dyDescent="0.25">
      <c r="A311" s="117"/>
      <c r="B311" s="565"/>
      <c r="C311" s="565"/>
      <c r="D311" s="565"/>
      <c r="E311" s="132"/>
      <c r="F311" s="1"/>
      <c r="BB311" s="170">
        <f>$AC$1556</f>
        <v>10</v>
      </c>
      <c r="BD311" s="170">
        <f>$AC$1557</f>
        <v>25</v>
      </c>
      <c r="BG311" s="137" t="str">
        <f>BB309</f>
        <v>low</v>
      </c>
      <c r="BH311" s="137" t="str">
        <f>BD309</f>
        <v>high</v>
      </c>
      <c r="BI311" s="137" t="str">
        <f>BB309</f>
        <v>low</v>
      </c>
      <c r="BJ311" s="137" t="str">
        <f>BD309</f>
        <v>high</v>
      </c>
    </row>
    <row r="312" spans="1:63" ht="14.4" thickBot="1" x14ac:dyDescent="0.3">
      <c r="A312" s="117"/>
      <c r="B312" s="118" t="str">
        <f>IF(B310="","","Add any relevant info in box below to help us help you with your discovery documents.")</f>
        <v/>
      </c>
      <c r="C312" s="117"/>
      <c r="D312" s="117"/>
      <c r="E312" s="132"/>
      <c r="F312" s="1"/>
      <c r="BB312" s="170">
        <f>IF(AK316=$AC$297,0,(BB311*AK316))</f>
        <v>0</v>
      </c>
      <c r="BD312" s="170">
        <f>IF(AK316=$AC$297,0,(BD311*AK316))</f>
        <v>0</v>
      </c>
      <c r="BG312" s="170">
        <f>BB312*BH310</f>
        <v>0</v>
      </c>
      <c r="BH312" s="170">
        <f>BD312*BH310</f>
        <v>0</v>
      </c>
      <c r="BI312" s="170">
        <f>BB312*BJ310</f>
        <v>0</v>
      </c>
      <c r="BJ312" s="170">
        <f>BD312*BJ310</f>
        <v>0</v>
      </c>
    </row>
    <row r="313" spans="1:63" ht="67.05" customHeight="1" thickTop="1" thickBot="1" x14ac:dyDescent="0.3">
      <c r="A313" s="117"/>
      <c r="B313" s="556"/>
      <c r="C313" s="557"/>
      <c r="D313" s="558"/>
      <c r="E313" s="132"/>
      <c r="F313" s="1"/>
      <c r="BJ313" s="138">
        <f>MIN(BJ312,($D$1330*10))</f>
        <v>0</v>
      </c>
    </row>
    <row r="314" spans="1:63" ht="16.8" thickTop="1" thickBot="1" x14ac:dyDescent="0.3">
      <c r="A314" s="117"/>
      <c r="B314" s="139" t="str">
        <f>IF(B310="","","SUPPORTER REVIEW: Prepare for Independent Verifier")</f>
        <v/>
      </c>
      <c r="C314" s="117"/>
      <c r="D314" s="117"/>
      <c r="E314" s="132"/>
      <c r="F314" s="1"/>
      <c r="BJ314" s="140"/>
    </row>
    <row r="315" spans="1:63" ht="14.4" thickTop="1" x14ac:dyDescent="0.25">
      <c r="A315" s="117"/>
      <c r="B315" s="141" t="str">
        <f>IF(B310="","","How many pages?")</f>
        <v/>
      </c>
      <c r="C315" s="142" t="str">
        <f>IF(AJ316&gt;30,"check if URL works, report from list below","")</f>
        <v/>
      </c>
      <c r="D315" s="143" t="str">
        <f>IF(B310="","","Estimated time to verify")</f>
        <v/>
      </c>
      <c r="E315" s="132"/>
      <c r="F315" s="1"/>
      <c r="AP315" s="56" t="s">
        <v>269</v>
      </c>
      <c r="AT315" s="144" t="str">
        <f>IF(AND(AJ316&gt;30,B316&gt;0),"ready","not ready")</f>
        <v>not ready</v>
      </c>
      <c r="AU315" s="144"/>
      <c r="AV315" s="144"/>
      <c r="BB315" s="56"/>
      <c r="BF315" s="113">
        <f>BF305</f>
        <v>0.05</v>
      </c>
      <c r="BG315" s="170">
        <f>BG312*$BF315</f>
        <v>0</v>
      </c>
      <c r="BH315" s="170">
        <f>BH312*$BF315</f>
        <v>0</v>
      </c>
      <c r="BI315" s="170">
        <f>BI312*$BF315</f>
        <v>0</v>
      </c>
      <c r="BJ315" s="170">
        <f>BJ312*$BF315</f>
        <v>0</v>
      </c>
    </row>
    <row r="316" spans="1:63" ht="14.4" thickBot="1" x14ac:dyDescent="0.3">
      <c r="A316" s="117"/>
      <c r="B316" s="163"/>
      <c r="C316" s="146"/>
      <c r="D316" s="147" t="str">
        <f>CONCATENATE(AK316,AL316)</f>
        <v>in estimated hours</v>
      </c>
      <c r="E316" s="132"/>
      <c r="F316" s="1"/>
      <c r="AD316" s="149">
        <f>IF(B310=B$1896,G$1896,AC315)</f>
        <v>0</v>
      </c>
      <c r="AE316" s="150">
        <f>IF(B310=B$1897,G$1897,AD315)</f>
        <v>0</v>
      </c>
      <c r="AF316" s="151">
        <f>IF(B310=B$1898,G$1898,AE315)</f>
        <v>0</v>
      </c>
      <c r="AG316" s="152">
        <f>IF(B310=B$1899,G$1899,AF315)</f>
        <v>0</v>
      </c>
      <c r="AH316" s="9"/>
      <c r="AI316" s="153">
        <f>MAX(AD316:AG316)</f>
        <v>0</v>
      </c>
      <c r="AJ316" s="56">
        <f>LEN(B310)</f>
        <v>0</v>
      </c>
      <c r="AK316" s="154" t="str">
        <f>IF(B316="",$AC$297,B316*AI316)</f>
        <v>in estimated</v>
      </c>
      <c r="AL316" s="56" t="s">
        <v>271</v>
      </c>
      <c r="AN316" s="56">
        <f>B316*AI316</f>
        <v>0</v>
      </c>
      <c r="AP316" s="155" t="str">
        <f>IF($C316=$D$1896,AP$297,"")</f>
        <v/>
      </c>
      <c r="AQ316" s="156" t="str">
        <f>IF($C316=$D$1897,AQ$297,"")</f>
        <v/>
      </c>
      <c r="AR316" s="157" t="str">
        <f>IF($C316=$D$1898,AR$297,"")</f>
        <v/>
      </c>
      <c r="AS316" s="158" t="str">
        <f>IF($C316=$D$1899,AS$297,"")</f>
        <v/>
      </c>
      <c r="AT316" s="159" t="str">
        <f>IF($C316=$D$1900,AT$297,"")</f>
        <v/>
      </c>
      <c r="AU316" s="160">
        <f>MAX(AP316:AS316)</f>
        <v>0</v>
      </c>
      <c r="AV316" s="154"/>
      <c r="AX316" s="112">
        <f>IF(AK316=$AC$297,0,AK316)</f>
        <v>0</v>
      </c>
      <c r="BB316" s="56"/>
      <c r="BG316" s="161">
        <f>BG312*0.95</f>
        <v>0</v>
      </c>
      <c r="BH316" s="161">
        <f>BH312*0.95</f>
        <v>0</v>
      </c>
      <c r="BI316" s="161">
        <f>BI312*0.95</f>
        <v>0</v>
      </c>
      <c r="BJ316" s="161">
        <f>BJ312*0.95</f>
        <v>0</v>
      </c>
    </row>
    <row r="317" spans="1:63" ht="14.4" thickTop="1" x14ac:dyDescent="0.25">
      <c r="A317" s="117"/>
      <c r="B317" s="117"/>
      <c r="C317" s="117"/>
      <c r="D317" s="117"/>
      <c r="E317" s="132"/>
      <c r="F317" s="1"/>
    </row>
    <row r="318" spans="1:63" ht="19.95" customHeight="1" x14ac:dyDescent="0.25">
      <c r="A318" s="114">
        <f>A308+1</f>
        <v>3</v>
      </c>
      <c r="B318" s="114" t="s">
        <v>274</v>
      </c>
      <c r="C318" s="114"/>
      <c r="D318" s="115">
        <f>IF(AN320&gt;0,AN320,0)</f>
        <v>0</v>
      </c>
      <c r="E318" s="132"/>
      <c r="F318" s="1"/>
    </row>
    <row r="319" spans="1:63" ht="18" customHeight="1" x14ac:dyDescent="0.25">
      <c r="A319" s="114"/>
      <c r="B319" s="563" t="s">
        <v>275</v>
      </c>
      <c r="C319" s="563"/>
      <c r="D319" s="563"/>
      <c r="E319" s="132"/>
      <c r="F319" s="1"/>
      <c r="AC319" s="121">
        <v>1</v>
      </c>
      <c r="AD319" s="122">
        <f>AC319-($AC319/5)</f>
        <v>0.8</v>
      </c>
      <c r="AE319" s="123">
        <f>AD319-($AC319/5)</f>
        <v>0.60000000000000009</v>
      </c>
      <c r="AF319" s="124">
        <f>AE319-($AC319/5)</f>
        <v>0.40000000000000008</v>
      </c>
      <c r="AG319" s="125">
        <f>AF319-($AC319/5)</f>
        <v>0.20000000000000007</v>
      </c>
      <c r="AH319" s="126">
        <f>AG319-($AC319/5)</f>
        <v>0</v>
      </c>
      <c r="AI319" s="120"/>
      <c r="AP319" s="120"/>
      <c r="AQ319" s="120"/>
      <c r="AR319" s="120"/>
      <c r="AS319" s="120"/>
      <c r="AT319" s="120"/>
      <c r="AU319" s="120"/>
      <c r="AV319" s="120"/>
      <c r="AW319" s="120"/>
      <c r="AX319" s="120"/>
      <c r="AY319" s="120"/>
      <c r="AZ319" s="120"/>
      <c r="BA319" s="120"/>
      <c r="BB319" s="127" t="s">
        <v>260</v>
      </c>
      <c r="BD319" s="127" t="s">
        <v>261</v>
      </c>
      <c r="BE319" s="120"/>
      <c r="BF319" s="120"/>
      <c r="BG319" s="128" t="s">
        <v>262</v>
      </c>
      <c r="BH319" s="129"/>
      <c r="BI319" s="130" t="s">
        <v>263</v>
      </c>
      <c r="BJ319" s="131"/>
    </row>
    <row r="320" spans="1:63" ht="14.4" x14ac:dyDescent="0.3">
      <c r="A320" s="117"/>
      <c r="B320" s="564"/>
      <c r="C320" s="564"/>
      <c r="D320" s="564"/>
      <c r="E320" s="132"/>
      <c r="F320" s="1"/>
      <c r="AC320" s="112">
        <f t="shared" ref="AC320:AH320" si="5">IF($B320=AC$1896,AC319,0)</f>
        <v>0</v>
      </c>
      <c r="AD320" s="112">
        <f t="shared" si="5"/>
        <v>0</v>
      </c>
      <c r="AE320" s="112">
        <f t="shared" si="5"/>
        <v>0</v>
      </c>
      <c r="AF320" s="112">
        <f t="shared" si="5"/>
        <v>0</v>
      </c>
      <c r="AG320" s="112">
        <f t="shared" si="5"/>
        <v>0</v>
      </c>
      <c r="AH320" s="112">
        <f t="shared" si="5"/>
        <v>0</v>
      </c>
      <c r="AI320" s="133">
        <f>SUM(AC320:AH320)</f>
        <v>0</v>
      </c>
      <c r="AK320" s="550" t="str">
        <f>IF(AI320&gt;0,AI320,"")</f>
        <v/>
      </c>
      <c r="AL320" s="527"/>
      <c r="AN320" s="551">
        <f>(AI320/$AN$297)/2</f>
        <v>0</v>
      </c>
      <c r="AO320" s="552"/>
      <c r="BB320" s="127" t="s">
        <v>265</v>
      </c>
      <c r="BD320" s="127" t="s">
        <v>265</v>
      </c>
      <c r="BG320" s="128" t="s">
        <v>266</v>
      </c>
      <c r="BH320" s="134">
        <f>BH310</f>
        <v>0.1</v>
      </c>
      <c r="BI320" s="130" t="s">
        <v>266</v>
      </c>
      <c r="BJ320" s="135">
        <f>1-BH320</f>
        <v>0.9</v>
      </c>
    </row>
    <row r="321" spans="1:62" ht="14.4" x14ac:dyDescent="0.25">
      <c r="A321" s="117"/>
      <c r="B321" s="565"/>
      <c r="C321" s="565"/>
      <c r="D321" s="565"/>
      <c r="E321" s="132"/>
      <c r="F321" s="1"/>
      <c r="BB321" s="170">
        <f>$AC$1556</f>
        <v>10</v>
      </c>
      <c r="BD321" s="170">
        <f>$AC$1557</f>
        <v>25</v>
      </c>
      <c r="BG321" s="137" t="str">
        <f>BB319</f>
        <v>low</v>
      </c>
      <c r="BH321" s="137" t="str">
        <f>BD319</f>
        <v>high</v>
      </c>
      <c r="BI321" s="137" t="str">
        <f>BB319</f>
        <v>low</v>
      </c>
      <c r="BJ321" s="137" t="str">
        <f>BD319</f>
        <v>high</v>
      </c>
    </row>
    <row r="322" spans="1:62" ht="14.4" thickBot="1" x14ac:dyDescent="0.3">
      <c r="A322" s="117"/>
      <c r="B322" s="118" t="str">
        <f>IF(B320="","","Add any relevant info in box below to help us help you with your other trial documents.")</f>
        <v/>
      </c>
      <c r="C322" s="117"/>
      <c r="D322" s="117"/>
      <c r="E322" s="132"/>
      <c r="F322" s="1"/>
      <c r="BB322" s="170">
        <f>IF(AK326=$AC$297,0,(BB321*AK326))</f>
        <v>0</v>
      </c>
      <c r="BD322" s="170">
        <f>IF(AK326=$AC$297,0,(BD321*AK326))</f>
        <v>0</v>
      </c>
      <c r="BG322" s="170">
        <f>BB322*BH320</f>
        <v>0</v>
      </c>
      <c r="BH322" s="170">
        <f>BD322*BH320</f>
        <v>0</v>
      </c>
      <c r="BI322" s="170">
        <f>BB322*BJ320</f>
        <v>0</v>
      </c>
      <c r="BJ322" s="170">
        <f>BD322*BJ320</f>
        <v>0</v>
      </c>
    </row>
    <row r="323" spans="1:62" ht="67.05" customHeight="1" thickTop="1" thickBot="1" x14ac:dyDescent="0.3">
      <c r="A323" s="117"/>
      <c r="B323" s="556"/>
      <c r="C323" s="557"/>
      <c r="D323" s="558"/>
      <c r="E323" s="132"/>
      <c r="F323" s="1"/>
      <c r="BJ323" s="138">
        <f>MIN(BJ322,($D$1330*10))</f>
        <v>0</v>
      </c>
    </row>
    <row r="324" spans="1:62" ht="16.8" thickTop="1" thickBot="1" x14ac:dyDescent="0.3">
      <c r="A324" s="117"/>
      <c r="B324" s="139" t="str">
        <f>IF(B320="","","SUPPORTER REVIEW: Prepare for Independent Verifier")</f>
        <v/>
      </c>
      <c r="C324" s="117"/>
      <c r="D324" s="117"/>
      <c r="E324" s="132"/>
      <c r="F324" s="1"/>
      <c r="BJ324" s="140"/>
    </row>
    <row r="325" spans="1:62" ht="14.4" thickTop="1" x14ac:dyDescent="0.25">
      <c r="A325" s="117"/>
      <c r="B325" s="141" t="str">
        <f>IF(B320="","","How many pages?")</f>
        <v/>
      </c>
      <c r="C325" s="142" t="str">
        <f>IF(AJ326&gt;30,"check if URL works, report from list below","")</f>
        <v/>
      </c>
      <c r="D325" s="143" t="str">
        <f>IF(B320="","","Estimated time to verify")</f>
        <v/>
      </c>
      <c r="E325" s="132"/>
      <c r="F325" s="1"/>
      <c r="AP325" s="56" t="s">
        <v>269</v>
      </c>
      <c r="AT325" s="144" t="str">
        <f>IF(AND(AJ326&gt;30,B326&gt;0),"ready","not ready")</f>
        <v>not ready</v>
      </c>
      <c r="AU325" s="144"/>
      <c r="AV325" s="144"/>
      <c r="BB325" s="56"/>
      <c r="BF325" s="113">
        <f>BF315</f>
        <v>0.05</v>
      </c>
      <c r="BG325" s="170">
        <f>BG322*$BF325</f>
        <v>0</v>
      </c>
      <c r="BH325" s="170">
        <f>BH322*$BF325</f>
        <v>0</v>
      </c>
      <c r="BI325" s="170">
        <f>BI322*$BF325</f>
        <v>0</v>
      </c>
      <c r="BJ325" s="170">
        <f>BJ322*$BF325</f>
        <v>0</v>
      </c>
    </row>
    <row r="326" spans="1:62" ht="14.4" thickBot="1" x14ac:dyDescent="0.3">
      <c r="A326" s="117"/>
      <c r="B326" s="163"/>
      <c r="C326" s="146"/>
      <c r="D326" s="147" t="str">
        <f>CONCATENATE(AK326,AL326)</f>
        <v>in estimated hours</v>
      </c>
      <c r="E326" s="132"/>
      <c r="F326" s="1"/>
      <c r="AD326" s="149">
        <f>IF(B320=B$1896,G$1896,AC325)</f>
        <v>0</v>
      </c>
      <c r="AE326" s="150">
        <f>IF(B320=B$1897,G$1897,AD325)</f>
        <v>0</v>
      </c>
      <c r="AF326" s="151">
        <f>IF(B320=B$1898,G$1898,AE325)</f>
        <v>0</v>
      </c>
      <c r="AG326" s="152">
        <f>IF(B320=B$1899,G$1899,AF325)</f>
        <v>0</v>
      </c>
      <c r="AH326" s="9"/>
      <c r="AI326" s="153">
        <f>MAX(AD326:AG326)</f>
        <v>0</v>
      </c>
      <c r="AJ326" s="56">
        <f>LEN(B320)</f>
        <v>0</v>
      </c>
      <c r="AK326" s="154" t="str">
        <f>IF(B326="",$AC$297,B326*AI326)</f>
        <v>in estimated</v>
      </c>
      <c r="AL326" s="56" t="s">
        <v>271</v>
      </c>
      <c r="AN326" s="56">
        <f>B326*AI326</f>
        <v>0</v>
      </c>
      <c r="AP326" s="155" t="str">
        <f>IF($C326=$D$1896,AP$297,"")</f>
        <v/>
      </c>
      <c r="AQ326" s="156" t="str">
        <f>IF($C326=$D$1897,AQ$297,"")</f>
        <v/>
      </c>
      <c r="AR326" s="157" t="str">
        <f>IF($C326=$D$1898,AR$297,"")</f>
        <v/>
      </c>
      <c r="AS326" s="158" t="str">
        <f>IF($C326=$D$1899,AS$297,"")</f>
        <v/>
      </c>
      <c r="AT326" s="159" t="str">
        <f>IF($C326=$D$1900,AT$297,"")</f>
        <v/>
      </c>
      <c r="AU326" s="160">
        <f>MAX(AP326:AS326)</f>
        <v>0</v>
      </c>
      <c r="AV326" s="154"/>
      <c r="AX326" s="112">
        <f>IF(AK326=$AC$297,0,AK326)</f>
        <v>0</v>
      </c>
      <c r="BB326" s="56"/>
      <c r="BG326" s="161">
        <f>BG322*0.95</f>
        <v>0</v>
      </c>
      <c r="BH326" s="161">
        <f>BH322*0.95</f>
        <v>0</v>
      </c>
      <c r="BI326" s="161">
        <f>BI322*0.95</f>
        <v>0</v>
      </c>
      <c r="BJ326" s="161">
        <f>BJ322*0.95</f>
        <v>0</v>
      </c>
    </row>
    <row r="327" spans="1:62" ht="13.05" customHeight="1" thickTop="1" x14ac:dyDescent="0.25">
      <c r="A327" s="117"/>
      <c r="B327" s="117"/>
      <c r="C327" s="117"/>
      <c r="D327" s="117"/>
      <c r="E327" s="132"/>
      <c r="F327" s="1"/>
    </row>
    <row r="328" spans="1:62" ht="19.95" customHeight="1" x14ac:dyDescent="0.25">
      <c r="A328" s="114">
        <f>A318+1</f>
        <v>4</v>
      </c>
      <c r="B328" s="114" t="s">
        <v>277</v>
      </c>
      <c r="C328" s="114"/>
      <c r="D328" s="115">
        <f>IF(AN330&gt;0,AN330,0)</f>
        <v>0</v>
      </c>
      <c r="E328" s="132"/>
      <c r="F328" s="1"/>
    </row>
    <row r="329" spans="1:62" ht="18" customHeight="1" x14ac:dyDescent="0.25">
      <c r="A329" s="114"/>
      <c r="B329" s="563" t="s">
        <v>278</v>
      </c>
      <c r="C329" s="563"/>
      <c r="D329" s="563"/>
      <c r="E329" s="132"/>
      <c r="F329" s="1"/>
      <c r="AC329" s="121">
        <v>1</v>
      </c>
      <c r="AD329" s="122">
        <f>AC329-($AC329/5)</f>
        <v>0.8</v>
      </c>
      <c r="AE329" s="123">
        <f>AD329-($AC329/5)</f>
        <v>0.60000000000000009</v>
      </c>
      <c r="AF329" s="124">
        <f>AE329-($AC329/5)</f>
        <v>0.40000000000000008</v>
      </c>
      <c r="AG329" s="125">
        <f>AF329-($AC329/5)</f>
        <v>0.20000000000000007</v>
      </c>
      <c r="AP329" s="120"/>
      <c r="AQ329" s="120"/>
      <c r="AR329" s="120"/>
      <c r="AS329" s="120"/>
      <c r="AT329" s="120"/>
      <c r="AU329" s="120"/>
      <c r="AV329" s="120"/>
      <c r="AW329" s="120"/>
      <c r="AX329" s="120"/>
      <c r="AY329" s="120"/>
      <c r="AZ329" s="120"/>
      <c r="BA329" s="120"/>
      <c r="BB329" s="127" t="s">
        <v>260</v>
      </c>
      <c r="BD329" s="127" t="s">
        <v>261</v>
      </c>
      <c r="BE329" s="120"/>
      <c r="BF329" s="120"/>
      <c r="BG329" s="128" t="s">
        <v>262</v>
      </c>
      <c r="BH329" s="129"/>
      <c r="BI329" s="130" t="s">
        <v>263</v>
      </c>
      <c r="BJ329" s="131"/>
    </row>
    <row r="330" spans="1:62" ht="14.4" x14ac:dyDescent="0.3">
      <c r="A330" s="117"/>
      <c r="B330" s="564"/>
      <c r="C330" s="564"/>
      <c r="D330" s="564"/>
      <c r="E330" s="132"/>
      <c r="F330" s="1"/>
      <c r="AC330" s="112">
        <f t="shared" ref="AC330:AH330" si="6">IF($B330=AC$1896,AC329,0)</f>
        <v>0</v>
      </c>
      <c r="AD330" s="112">
        <f t="shared" si="6"/>
        <v>0</v>
      </c>
      <c r="AE330" s="112">
        <f t="shared" si="6"/>
        <v>0</v>
      </c>
      <c r="AF330" s="112">
        <f t="shared" si="6"/>
        <v>0</v>
      </c>
      <c r="AG330" s="112">
        <f t="shared" si="6"/>
        <v>0</v>
      </c>
      <c r="AH330" s="112">
        <f t="shared" si="6"/>
        <v>0</v>
      </c>
      <c r="AI330" s="164">
        <f>SUM(AC330:AH330)</f>
        <v>0</v>
      </c>
      <c r="AK330" s="550" t="str">
        <f>IF(AI330&gt;0,AI330,"")</f>
        <v/>
      </c>
      <c r="AL330" s="527"/>
      <c r="AN330" s="551">
        <f>(AI330/$AN$297)/2</f>
        <v>0</v>
      </c>
      <c r="AO330" s="552"/>
      <c r="BB330" s="127" t="s">
        <v>265</v>
      </c>
      <c r="BD330" s="127" t="s">
        <v>265</v>
      </c>
      <c r="BG330" s="128" t="s">
        <v>266</v>
      </c>
      <c r="BH330" s="134">
        <f>BH320</f>
        <v>0.1</v>
      </c>
      <c r="BI330" s="130" t="s">
        <v>266</v>
      </c>
      <c r="BJ330" s="135">
        <f>1-BH330</f>
        <v>0.9</v>
      </c>
    </row>
    <row r="331" spans="1:62" ht="14.4" x14ac:dyDescent="0.25">
      <c r="A331" s="117"/>
      <c r="B331" s="565"/>
      <c r="C331" s="565"/>
      <c r="D331" s="565"/>
      <c r="E331" s="132"/>
      <c r="F331" s="1"/>
      <c r="BB331" s="170">
        <f>$AC$1556</f>
        <v>10</v>
      </c>
      <c r="BD331" s="170">
        <f>$AC$1557</f>
        <v>25</v>
      </c>
      <c r="BG331" s="137" t="str">
        <f>BB329</f>
        <v>low</v>
      </c>
      <c r="BH331" s="137" t="str">
        <f>BD329</f>
        <v>high</v>
      </c>
      <c r="BI331" s="137" t="str">
        <f>BB329</f>
        <v>low</v>
      </c>
      <c r="BJ331" s="137" t="str">
        <f>BD329</f>
        <v>high</v>
      </c>
    </row>
    <row r="332" spans="1:62" ht="14.4" thickBot="1" x14ac:dyDescent="0.3">
      <c r="A332" s="117"/>
      <c r="B332" s="118" t="str">
        <f>IF(B330="","","Add any relevant info in box below to help us help you with your interrogation transcripts.")</f>
        <v/>
      </c>
      <c r="C332" s="165"/>
      <c r="D332" s="165"/>
      <c r="E332" s="132"/>
      <c r="F332" s="1"/>
      <c r="BB332" s="170">
        <f>IF(AK336=$AC$297,0,(BB331*AK336))</f>
        <v>0</v>
      </c>
      <c r="BD332" s="170">
        <f>IF(AK336=$AC$297,0,(BD331*AK336))</f>
        <v>0</v>
      </c>
      <c r="BG332" s="170">
        <f>BB332*BH330</f>
        <v>0</v>
      </c>
      <c r="BH332" s="170">
        <f>BD332*BH330</f>
        <v>0</v>
      </c>
      <c r="BI332" s="170">
        <f>BB332*BJ330</f>
        <v>0</v>
      </c>
      <c r="BJ332" s="170">
        <f>BD332*BJ330</f>
        <v>0</v>
      </c>
    </row>
    <row r="333" spans="1:62" ht="85.05" customHeight="1" thickTop="1" thickBot="1" x14ac:dyDescent="0.3">
      <c r="A333" s="117"/>
      <c r="B333" s="556"/>
      <c r="C333" s="557"/>
      <c r="D333" s="558"/>
      <c r="E333" s="148"/>
      <c r="F333" s="1"/>
      <c r="BJ333" s="138">
        <f>MIN(BJ332,($D$1330*10))</f>
        <v>0</v>
      </c>
    </row>
    <row r="334" spans="1:62" ht="16.8" thickTop="1" thickBot="1" x14ac:dyDescent="0.3">
      <c r="A334" s="117"/>
      <c r="B334" s="139" t="str">
        <f>IF(B330="","","SUPPORTER REVIEW: Prepare for Independent Verifier")</f>
        <v/>
      </c>
      <c r="C334" s="117"/>
      <c r="D334" s="117"/>
      <c r="E334" s="148"/>
      <c r="F334" s="1"/>
      <c r="BJ334" s="140"/>
    </row>
    <row r="335" spans="1:62" ht="14.4" thickTop="1" x14ac:dyDescent="0.25">
      <c r="A335" s="117"/>
      <c r="B335" s="141" t="str">
        <f>IF(B330="","","How many pages?")</f>
        <v/>
      </c>
      <c r="C335" s="142" t="str">
        <f>IF(AJ336&gt;30,"check if URL works, report from list below","")</f>
        <v/>
      </c>
      <c r="D335" s="143" t="str">
        <f>IF(B330="","","Estimated time to verify")</f>
        <v/>
      </c>
      <c r="E335" s="117"/>
      <c r="F335" s="1"/>
      <c r="AP335" s="56" t="s">
        <v>269</v>
      </c>
      <c r="AT335" s="144" t="str">
        <f>IF(AND(AJ336&gt;30,B336&gt;0),"ready","not ready")</f>
        <v>not ready</v>
      </c>
      <c r="AU335" s="144"/>
      <c r="AV335" s="144"/>
      <c r="BB335" s="56"/>
      <c r="BF335" s="113">
        <f>BF325</f>
        <v>0.05</v>
      </c>
      <c r="BG335" s="170">
        <f>BG332*$BF335</f>
        <v>0</v>
      </c>
      <c r="BH335" s="170">
        <f>BH332*$BF335</f>
        <v>0</v>
      </c>
      <c r="BI335" s="170">
        <f>BI332*$BF335</f>
        <v>0</v>
      </c>
      <c r="BJ335" s="170">
        <f>BJ332*$BF335</f>
        <v>0</v>
      </c>
    </row>
    <row r="336" spans="1:62" ht="14.4" thickBot="1" x14ac:dyDescent="0.3">
      <c r="A336" s="117"/>
      <c r="B336" s="163"/>
      <c r="C336" s="146"/>
      <c r="D336" s="147" t="str">
        <f>CONCATENATE(AK336,AL336)</f>
        <v>in estimated hours</v>
      </c>
      <c r="E336" s="117"/>
      <c r="F336" s="1"/>
      <c r="AD336" s="149">
        <f>IF(B330=B$1896,G$1896,AC335)</f>
        <v>0</v>
      </c>
      <c r="AE336" s="150">
        <f>IF(B330=B$1897,G$1897,AD335)</f>
        <v>0</v>
      </c>
      <c r="AF336" s="151">
        <f>IF(B330=B$1898,G$1898,AE335)</f>
        <v>0</v>
      </c>
      <c r="AG336" s="152">
        <f>IF(B330=B$1899,G$1899,AF335)</f>
        <v>0</v>
      </c>
      <c r="AH336" s="9"/>
      <c r="AI336" s="153">
        <f>MAX(AD336:AG336)</f>
        <v>0</v>
      </c>
      <c r="AJ336" s="56">
        <f>LEN(B330)</f>
        <v>0</v>
      </c>
      <c r="AK336" s="154" t="str">
        <f>IF(B336="",$AC$297,B336*AI336)</f>
        <v>in estimated</v>
      </c>
      <c r="AL336" s="56" t="s">
        <v>271</v>
      </c>
      <c r="AN336" s="56">
        <f>B336*AI336</f>
        <v>0</v>
      </c>
      <c r="AP336" s="155" t="str">
        <f>IF($C336=$D$1896,AP$297,"")</f>
        <v/>
      </c>
      <c r="AQ336" s="156" t="str">
        <f>IF($C336=$D$1897,AQ$297,"")</f>
        <v/>
      </c>
      <c r="AR336" s="157" t="str">
        <f>IF($C336=$D$1898,AR$297,"")</f>
        <v/>
      </c>
      <c r="AS336" s="158" t="str">
        <f>IF($C336=$D$1899,AS$297,"")</f>
        <v/>
      </c>
      <c r="AT336" s="159" t="str">
        <f>IF($C336=$D$1900,AT$297,"")</f>
        <v/>
      </c>
      <c r="AU336" s="160">
        <f>MAX(AP336:AS336)</f>
        <v>0</v>
      </c>
      <c r="AV336" s="154"/>
      <c r="AX336" s="112">
        <f>IF(AK336=$AC$297,0,AK336)</f>
        <v>0</v>
      </c>
      <c r="BB336" s="56"/>
      <c r="BG336" s="161">
        <f>BG332*0.95</f>
        <v>0</v>
      </c>
      <c r="BH336" s="161">
        <f>BH332*0.95</f>
        <v>0</v>
      </c>
      <c r="BI336" s="161">
        <f>BI332*0.95</f>
        <v>0</v>
      </c>
      <c r="BJ336" s="161">
        <f>BJ332*0.95</f>
        <v>0</v>
      </c>
    </row>
    <row r="337" spans="1:62" ht="14.4" thickTop="1" x14ac:dyDescent="0.25">
      <c r="A337" s="117"/>
      <c r="B337" s="117"/>
      <c r="C337" s="117"/>
      <c r="D337" s="117"/>
      <c r="E337" s="117"/>
      <c r="F337" s="1"/>
    </row>
    <row r="338" spans="1:62" ht="19.95" customHeight="1" x14ac:dyDescent="0.25">
      <c r="A338" s="114">
        <f>A328+1</f>
        <v>5</v>
      </c>
      <c r="B338" s="114" t="s">
        <v>279</v>
      </c>
      <c r="C338" s="114"/>
      <c r="D338" s="115">
        <f>IF(AN340&gt;0,AN340,0)</f>
        <v>0</v>
      </c>
      <c r="E338" s="132"/>
      <c r="F338" s="1"/>
    </row>
    <row r="339" spans="1:62" ht="18" customHeight="1" x14ac:dyDescent="0.25">
      <c r="A339" s="114"/>
      <c r="B339" s="166"/>
      <c r="C339" s="166"/>
      <c r="D339" s="166"/>
      <c r="E339" s="132"/>
      <c r="F339" s="1"/>
      <c r="AC339" s="121">
        <v>1</v>
      </c>
      <c r="AD339" s="122">
        <f>AC339-($AC339/5)</f>
        <v>0.8</v>
      </c>
      <c r="AE339" s="123">
        <f>AD339-($AC339/5)</f>
        <v>0.60000000000000009</v>
      </c>
      <c r="AF339" s="124">
        <f>AE339-($AC339/5)</f>
        <v>0.40000000000000008</v>
      </c>
      <c r="AG339" s="125">
        <f>AF339-($AC339/5)</f>
        <v>0.20000000000000007</v>
      </c>
      <c r="AH339" s="126">
        <f>AG339-($AC339/5)</f>
        <v>0</v>
      </c>
      <c r="AI339" s="120"/>
      <c r="AP339" s="120"/>
      <c r="AQ339" s="120"/>
      <c r="AR339" s="120"/>
      <c r="AS339" s="120"/>
      <c r="AT339" s="120"/>
      <c r="AU339" s="120"/>
      <c r="AV339" s="120"/>
      <c r="AW339" s="120"/>
      <c r="AX339" s="120"/>
      <c r="AY339" s="120"/>
      <c r="AZ339" s="120"/>
      <c r="BA339" s="120"/>
      <c r="BB339" s="127" t="s">
        <v>260</v>
      </c>
      <c r="BD339" s="127" t="s">
        <v>261</v>
      </c>
      <c r="BE339" s="120"/>
      <c r="BF339" s="120"/>
      <c r="BG339" s="128" t="s">
        <v>262</v>
      </c>
      <c r="BH339" s="129"/>
      <c r="BI339" s="130" t="s">
        <v>263</v>
      </c>
      <c r="BJ339" s="131"/>
    </row>
    <row r="340" spans="1:62" ht="14.4" x14ac:dyDescent="0.3">
      <c r="A340" s="117"/>
      <c r="B340" s="564"/>
      <c r="C340" s="564"/>
      <c r="D340" s="564"/>
      <c r="E340" s="132"/>
      <c r="F340" s="1"/>
      <c r="AC340" s="112">
        <f t="shared" ref="AC340:AH340" si="7">IF($B340=AC$1896,AC339,0)</f>
        <v>0</v>
      </c>
      <c r="AD340" s="112">
        <f t="shared" si="7"/>
        <v>0</v>
      </c>
      <c r="AE340" s="112">
        <f t="shared" si="7"/>
        <v>0</v>
      </c>
      <c r="AF340" s="112">
        <f t="shared" si="7"/>
        <v>0</v>
      </c>
      <c r="AG340" s="112">
        <f t="shared" si="7"/>
        <v>0</v>
      </c>
      <c r="AH340" s="112">
        <f t="shared" si="7"/>
        <v>0</v>
      </c>
      <c r="AI340" s="164">
        <f>SUM(AC340:AH340)</f>
        <v>0</v>
      </c>
      <c r="AK340" s="550" t="str">
        <f>IF(AI340&gt;0,AI340,"")</f>
        <v/>
      </c>
      <c r="AL340" s="527"/>
      <c r="AN340" s="551">
        <f>(AI340/$AN$297)/2</f>
        <v>0</v>
      </c>
      <c r="AO340" s="552"/>
      <c r="BB340" s="127" t="s">
        <v>265</v>
      </c>
      <c r="BD340" s="127" t="s">
        <v>265</v>
      </c>
      <c r="BG340" s="128" t="s">
        <v>266</v>
      </c>
      <c r="BH340" s="134">
        <f>BH330</f>
        <v>0.1</v>
      </c>
      <c r="BI340" s="130" t="s">
        <v>266</v>
      </c>
      <c r="BJ340" s="135">
        <f>1-BH340</f>
        <v>0.9</v>
      </c>
    </row>
    <row r="341" spans="1:62" ht="14.4" x14ac:dyDescent="0.25">
      <c r="A341" s="117"/>
      <c r="B341" s="565"/>
      <c r="C341" s="565"/>
      <c r="D341" s="565"/>
      <c r="E341" s="132"/>
      <c r="F341" s="1"/>
      <c r="BB341" s="170">
        <f>$AC$1556</f>
        <v>10</v>
      </c>
      <c r="BD341" s="170">
        <f>$AC$1557</f>
        <v>25</v>
      </c>
      <c r="BG341" s="137" t="str">
        <f>BB339</f>
        <v>low</v>
      </c>
      <c r="BH341" s="137" t="str">
        <f>BD339</f>
        <v>high</v>
      </c>
      <c r="BI341" s="137" t="str">
        <f>BB339</f>
        <v>low</v>
      </c>
      <c r="BJ341" s="137" t="str">
        <f>BD339</f>
        <v>high</v>
      </c>
    </row>
    <row r="342" spans="1:62" ht="14.4" thickBot="1" x14ac:dyDescent="0.3">
      <c r="A342" s="117"/>
      <c r="B342" s="165"/>
      <c r="C342" s="165"/>
      <c r="D342" s="165"/>
      <c r="E342" s="132"/>
      <c r="F342" s="1"/>
      <c r="BB342" s="170">
        <f>IF(AK346=$AC$297,0,(BB341*AK346))</f>
        <v>0</v>
      </c>
      <c r="BD342" s="170">
        <f>IF(AK346=$AC$297,0,(BD341*AK346))</f>
        <v>0</v>
      </c>
      <c r="BG342" s="170">
        <f>BB342*BH340</f>
        <v>0</v>
      </c>
      <c r="BH342" s="170">
        <f>BD342*BH340</f>
        <v>0</v>
      </c>
      <c r="BI342" s="170">
        <f>BB342*BJ340</f>
        <v>0</v>
      </c>
      <c r="BJ342" s="170">
        <f>BD342*BJ340</f>
        <v>0</v>
      </c>
    </row>
    <row r="343" spans="1:62" ht="85.05" customHeight="1" thickTop="1" thickBot="1" x14ac:dyDescent="0.3">
      <c r="A343" s="117"/>
      <c r="B343" s="556"/>
      <c r="C343" s="557"/>
      <c r="D343" s="558"/>
      <c r="E343" s="132"/>
      <c r="F343" s="1"/>
      <c r="BJ343" s="138">
        <f>MIN(BJ342,($D$1330*10))</f>
        <v>0</v>
      </c>
    </row>
    <row r="344" spans="1:62" ht="16.8" thickTop="1" thickBot="1" x14ac:dyDescent="0.3">
      <c r="A344" s="117"/>
      <c r="B344" s="139" t="str">
        <f>IF(B340="","","SUPPORTER REVIEW: Prepare for Independent Verifier")</f>
        <v/>
      </c>
      <c r="C344" s="117"/>
      <c r="D344" s="117"/>
      <c r="E344" s="132"/>
      <c r="F344" s="1"/>
      <c r="BJ344" s="140"/>
    </row>
    <row r="345" spans="1:62" ht="14.4" thickTop="1" x14ac:dyDescent="0.25">
      <c r="A345" s="117"/>
      <c r="B345" s="141" t="str">
        <f>IF(B340="","","How many pages?")</f>
        <v/>
      </c>
      <c r="C345" s="142" t="str">
        <f>IF(AJ346&gt;30,"check if URL works, report from list below","")</f>
        <v/>
      </c>
      <c r="D345" s="143" t="str">
        <f>IF(B340="","","Estimated time to verify")</f>
        <v/>
      </c>
      <c r="E345" s="132"/>
      <c r="F345" s="1"/>
      <c r="AP345" s="56" t="s">
        <v>269</v>
      </c>
      <c r="AT345" s="144" t="str">
        <f>IF(AND(AJ346&gt;30,B346&gt;0),"ready","not ready")</f>
        <v>not ready</v>
      </c>
      <c r="AU345" s="144"/>
      <c r="AV345" s="144"/>
      <c r="BB345" s="56"/>
      <c r="BF345" s="113">
        <f>BF335</f>
        <v>0.05</v>
      </c>
      <c r="BG345" s="170">
        <f>BG342*$BF345</f>
        <v>0</v>
      </c>
      <c r="BH345" s="170">
        <f>BH342*$BF345</f>
        <v>0</v>
      </c>
      <c r="BI345" s="170">
        <f>BI342*$BF345</f>
        <v>0</v>
      </c>
      <c r="BJ345" s="170">
        <f>BJ342*$BF345</f>
        <v>0</v>
      </c>
    </row>
    <row r="346" spans="1:62" ht="14.4" thickBot="1" x14ac:dyDescent="0.3">
      <c r="A346" s="117"/>
      <c r="B346" s="163"/>
      <c r="C346" s="146"/>
      <c r="D346" s="147" t="str">
        <f>CONCATENATE(AK346,AL346)</f>
        <v>in estimated hours</v>
      </c>
      <c r="E346" s="132"/>
      <c r="F346" s="1"/>
      <c r="AD346" s="149">
        <f>IF(B340=B$1896,G$1896,AC345)</f>
        <v>0</v>
      </c>
      <c r="AE346" s="150">
        <f>IF(B340=B$1897,G$1897,AD345)</f>
        <v>0</v>
      </c>
      <c r="AF346" s="151">
        <f>IF(B340=B$1898,G$1898,AE345)</f>
        <v>0</v>
      </c>
      <c r="AG346" s="152">
        <f>IF(B340=B$1899,G$1899,AF345)</f>
        <v>0</v>
      </c>
      <c r="AH346" s="9"/>
      <c r="AI346" s="153">
        <f>MAX(AD346:AG346)</f>
        <v>0</v>
      </c>
      <c r="AJ346" s="56">
        <f>LEN(B340)</f>
        <v>0</v>
      </c>
      <c r="AK346" s="154" t="str">
        <f>IF(B346="",$AC$297,B346*AI346)</f>
        <v>in estimated</v>
      </c>
      <c r="AL346" s="56" t="s">
        <v>271</v>
      </c>
      <c r="AN346" s="56">
        <f>B346*AI346</f>
        <v>0</v>
      </c>
      <c r="AP346" s="155" t="str">
        <f>IF($C346=$D$1896,AP$297,"")</f>
        <v/>
      </c>
      <c r="AQ346" s="156" t="str">
        <f>IF($C346=$D$1897,AQ$297,"")</f>
        <v/>
      </c>
      <c r="AR346" s="157" t="str">
        <f>IF($C346=$D$1898,AR$297,"")</f>
        <v/>
      </c>
      <c r="AS346" s="158" t="str">
        <f>IF($C346=$D$1899,AS$297,"")</f>
        <v/>
      </c>
      <c r="AT346" s="159" t="str">
        <f>IF($C346=$D$1900,AT$297,"")</f>
        <v/>
      </c>
      <c r="AU346" s="160">
        <f>MAX(AP346:AS346)</f>
        <v>0</v>
      </c>
      <c r="AV346" s="154"/>
      <c r="AX346" s="112">
        <f>IF(AK346=$AC$297,0,AK346)</f>
        <v>0</v>
      </c>
      <c r="BB346" s="56"/>
      <c r="BG346" s="161">
        <f>BG342*0.95</f>
        <v>0</v>
      </c>
      <c r="BH346" s="161">
        <f>BH342*0.95</f>
        <v>0</v>
      </c>
      <c r="BI346" s="161">
        <f>BI342*0.95</f>
        <v>0</v>
      </c>
      <c r="BJ346" s="161">
        <f>BJ342*0.95</f>
        <v>0</v>
      </c>
    </row>
    <row r="347" spans="1:62" ht="14.4" thickTop="1" x14ac:dyDescent="0.25">
      <c r="A347" s="117"/>
      <c r="B347" s="117"/>
      <c r="C347" s="117"/>
      <c r="D347" s="117"/>
      <c r="E347" s="132"/>
      <c r="F347" s="1"/>
    </row>
    <row r="348" spans="1:62" ht="19.95" customHeight="1" x14ac:dyDescent="0.25">
      <c r="A348" s="114">
        <f>A338+1</f>
        <v>6</v>
      </c>
      <c r="B348" s="114" t="s">
        <v>281</v>
      </c>
      <c r="C348" s="114"/>
      <c r="D348" s="115">
        <f>IF(AN350&gt;0,AN350,0)</f>
        <v>0</v>
      </c>
      <c r="E348" s="132"/>
      <c r="F348" s="1"/>
    </row>
    <row r="349" spans="1:62" ht="18" customHeight="1" x14ac:dyDescent="0.25">
      <c r="A349" s="114"/>
      <c r="B349" s="563"/>
      <c r="C349" s="563"/>
      <c r="D349" s="563"/>
      <c r="E349" s="132"/>
      <c r="F349" s="1"/>
      <c r="AC349" s="121">
        <v>1</v>
      </c>
      <c r="AD349" s="122">
        <f>AC349-($AC349/5)</f>
        <v>0.8</v>
      </c>
      <c r="AE349" s="123">
        <f>AD349-($AC349/5)</f>
        <v>0.60000000000000009</v>
      </c>
      <c r="AF349" s="124">
        <f>AE349-($AC349/5)</f>
        <v>0.40000000000000008</v>
      </c>
      <c r="AG349" s="125">
        <f>AF349-($AC349/5)</f>
        <v>0.20000000000000007</v>
      </c>
      <c r="AH349" s="126">
        <f>AG349-($AC349/5)</f>
        <v>0</v>
      </c>
      <c r="AI349" s="120"/>
      <c r="AP349" s="120"/>
      <c r="AQ349" s="120"/>
      <c r="AR349" s="120"/>
      <c r="AS349" s="120"/>
      <c r="AT349" s="120"/>
      <c r="AU349" s="120"/>
      <c r="AV349" s="120"/>
      <c r="AW349" s="120"/>
      <c r="AX349" s="120"/>
      <c r="AY349" s="120"/>
      <c r="AZ349" s="120"/>
      <c r="BA349" s="120"/>
      <c r="BB349" s="127" t="s">
        <v>260</v>
      </c>
      <c r="BD349" s="127" t="s">
        <v>261</v>
      </c>
      <c r="BE349" s="120"/>
      <c r="BF349" s="120"/>
      <c r="BG349" s="128" t="s">
        <v>262</v>
      </c>
      <c r="BH349" s="129"/>
      <c r="BI349" s="130" t="s">
        <v>263</v>
      </c>
      <c r="BJ349" s="131"/>
    </row>
    <row r="350" spans="1:62" ht="14.4" x14ac:dyDescent="0.3">
      <c r="A350" s="117"/>
      <c r="B350" s="564"/>
      <c r="C350" s="564"/>
      <c r="D350" s="564"/>
      <c r="E350" s="132"/>
      <c r="F350" s="1"/>
      <c r="AC350" s="112">
        <f t="shared" ref="AC350:AH350" si="8">IF($B350=AC$1896,AC349,0)</f>
        <v>0</v>
      </c>
      <c r="AD350" s="112">
        <f t="shared" si="8"/>
        <v>0</v>
      </c>
      <c r="AE350" s="112">
        <f t="shared" si="8"/>
        <v>0</v>
      </c>
      <c r="AF350" s="112">
        <f t="shared" si="8"/>
        <v>0</v>
      </c>
      <c r="AG350" s="112">
        <f t="shared" si="8"/>
        <v>0</v>
      </c>
      <c r="AH350" s="112">
        <f t="shared" si="8"/>
        <v>0</v>
      </c>
      <c r="AI350" s="164">
        <f>SUM(AC350:AH350)</f>
        <v>0</v>
      </c>
      <c r="AK350" s="550" t="str">
        <f>IF(AI350&gt;0,AI350,"")</f>
        <v/>
      </c>
      <c r="AL350" s="527"/>
      <c r="AN350" s="551">
        <f>(AI350/$AN$297)/2</f>
        <v>0</v>
      </c>
      <c r="AO350" s="552"/>
      <c r="BB350" s="127" t="s">
        <v>265</v>
      </c>
      <c r="BD350" s="127" t="s">
        <v>265</v>
      </c>
      <c r="BG350" s="128" t="s">
        <v>266</v>
      </c>
      <c r="BH350" s="134">
        <f>BH340</f>
        <v>0.1</v>
      </c>
      <c r="BI350" s="130" t="s">
        <v>266</v>
      </c>
      <c r="BJ350" s="135">
        <f>1-BH350</f>
        <v>0.9</v>
      </c>
    </row>
    <row r="351" spans="1:62" ht="14.4" x14ac:dyDescent="0.25">
      <c r="A351" s="117"/>
      <c r="B351" s="565"/>
      <c r="C351" s="565"/>
      <c r="D351" s="565"/>
      <c r="E351" s="132"/>
      <c r="F351" s="1"/>
      <c r="BB351" s="170">
        <f>$AC$1556</f>
        <v>10</v>
      </c>
      <c r="BD351" s="170">
        <f>$AC$1557</f>
        <v>25</v>
      </c>
      <c r="BG351" s="137" t="str">
        <f>BB349</f>
        <v>low</v>
      </c>
      <c r="BH351" s="137" t="str">
        <f>BD349</f>
        <v>high</v>
      </c>
      <c r="BI351" s="137" t="str">
        <f>BB349</f>
        <v>low</v>
      </c>
      <c r="BJ351" s="137" t="str">
        <f>BD349</f>
        <v>high</v>
      </c>
    </row>
    <row r="352" spans="1:62" ht="14.4" thickBot="1" x14ac:dyDescent="0.3">
      <c r="A352" s="117"/>
      <c r="B352" s="165"/>
      <c r="C352" s="165"/>
      <c r="D352" s="165"/>
      <c r="E352" s="132"/>
      <c r="F352" s="1"/>
      <c r="BB352" s="170">
        <f>IF(AK356=$AC$297,0,(BB351*AK356))</f>
        <v>0</v>
      </c>
      <c r="BD352" s="170">
        <f>IF(AK356=$AC$297,0,(BD351*AK356))</f>
        <v>0</v>
      </c>
      <c r="BG352" s="170">
        <f>BB352*BH350</f>
        <v>0</v>
      </c>
      <c r="BH352" s="170">
        <f>BD352*BH350</f>
        <v>0</v>
      </c>
      <c r="BI352" s="170">
        <f>BB352*BJ350</f>
        <v>0</v>
      </c>
      <c r="BJ352" s="170">
        <f>BD352*BJ350</f>
        <v>0</v>
      </c>
    </row>
    <row r="353" spans="1:62" ht="85.05" customHeight="1" thickTop="1" thickBot="1" x14ac:dyDescent="0.3">
      <c r="A353" s="117"/>
      <c r="B353" s="556"/>
      <c r="C353" s="557"/>
      <c r="D353" s="558"/>
      <c r="E353" s="132"/>
      <c r="F353" s="1"/>
      <c r="BJ353" s="138">
        <f>MIN(BJ352,($D$1330*10))</f>
        <v>0</v>
      </c>
    </row>
    <row r="354" spans="1:62" ht="16.8" thickTop="1" thickBot="1" x14ac:dyDescent="0.3">
      <c r="A354" s="117"/>
      <c r="B354" s="139" t="str">
        <f>IF(B350="","","SUPPORTER REVIEW: Prepare for Independent Verifier")</f>
        <v/>
      </c>
      <c r="C354" s="117"/>
      <c r="D354" s="117"/>
      <c r="E354" s="132"/>
      <c r="F354" s="1"/>
      <c r="BJ354" s="140"/>
    </row>
    <row r="355" spans="1:62" ht="14.4" thickTop="1" x14ac:dyDescent="0.25">
      <c r="A355" s="117"/>
      <c r="B355" s="141" t="str">
        <f>IF(B350="","","How many pages?")</f>
        <v/>
      </c>
      <c r="C355" s="142" t="str">
        <f>IF(AJ356&gt;30,"check if URL works, report from list below","")</f>
        <v/>
      </c>
      <c r="D355" s="143" t="str">
        <f>IF(B350="","","Estimated time to verify")</f>
        <v/>
      </c>
      <c r="E355" s="132"/>
      <c r="F355" s="1"/>
      <c r="AP355" s="56" t="s">
        <v>269</v>
      </c>
      <c r="AT355" s="144" t="str">
        <f>IF(AND(AJ356&gt;30,B356&gt;0),"ready","not ready")</f>
        <v>not ready</v>
      </c>
      <c r="AU355" s="144"/>
      <c r="AV355" s="144"/>
      <c r="BB355" s="56"/>
      <c r="BF355" s="113">
        <f>BF345</f>
        <v>0.05</v>
      </c>
      <c r="BG355" s="170">
        <f>BG352*$BF355</f>
        <v>0</v>
      </c>
      <c r="BH355" s="170">
        <f>BH352*$BF355</f>
        <v>0</v>
      </c>
      <c r="BI355" s="170">
        <f>BI352*$BF355</f>
        <v>0</v>
      </c>
      <c r="BJ355" s="170">
        <f>BJ352*$BF355</f>
        <v>0</v>
      </c>
    </row>
    <row r="356" spans="1:62" ht="14.4" thickBot="1" x14ac:dyDescent="0.3">
      <c r="A356" s="117"/>
      <c r="B356" s="163"/>
      <c r="C356" s="146"/>
      <c r="D356" s="147" t="str">
        <f>CONCATENATE(AK356,AL356)</f>
        <v>in estimated hours</v>
      </c>
      <c r="E356" s="132"/>
      <c r="F356" s="1"/>
      <c r="AD356" s="149">
        <f>IF(B350=B$1896,G$1896,AC355)</f>
        <v>0</v>
      </c>
      <c r="AE356" s="150">
        <f>IF(B350=B$1897,G$1897,AD355)</f>
        <v>0</v>
      </c>
      <c r="AF356" s="151">
        <f>IF(B350=B$1898,G$1898,AE355)</f>
        <v>0</v>
      </c>
      <c r="AG356" s="152">
        <f>IF(B350=B$1899,G$1899,AF355)</f>
        <v>0</v>
      </c>
      <c r="AH356" s="9"/>
      <c r="AI356" s="153">
        <f>MAX(AD356:AG356)</f>
        <v>0</v>
      </c>
      <c r="AJ356" s="56">
        <f>LEN(B350)</f>
        <v>0</v>
      </c>
      <c r="AK356" s="154" t="str">
        <f>IF(B356="",$AC$297,B356*AI356)</f>
        <v>in estimated</v>
      </c>
      <c r="AL356" s="56" t="s">
        <v>271</v>
      </c>
      <c r="AN356" s="56">
        <f>B356*AI356</f>
        <v>0</v>
      </c>
      <c r="AP356" s="155" t="str">
        <f>IF($C356=$D$1896,AP$297,"")</f>
        <v/>
      </c>
      <c r="AQ356" s="156" t="str">
        <f>IF($C356=$D$1897,AQ$297,"")</f>
        <v/>
      </c>
      <c r="AR356" s="157" t="str">
        <f>IF($C356=$D$1898,AR$297,"")</f>
        <v/>
      </c>
      <c r="AS356" s="158" t="str">
        <f>IF($C356=$D$1899,AS$297,"")</f>
        <v/>
      </c>
      <c r="AT356" s="159" t="str">
        <f>IF($C356=$D$1900,AT$297,"")</f>
        <v/>
      </c>
      <c r="AU356" s="160">
        <f>MAX(AP356:AS356)</f>
        <v>0</v>
      </c>
      <c r="AV356" s="154"/>
      <c r="AX356" s="112">
        <f>IF(AK356=$AC$297,0,AK356)</f>
        <v>0</v>
      </c>
      <c r="BB356" s="56"/>
      <c r="BG356" s="161">
        <f>BG352*0.95</f>
        <v>0</v>
      </c>
      <c r="BH356" s="161">
        <f>BH352*0.95</f>
        <v>0</v>
      </c>
      <c r="BI356" s="161">
        <f>BI352*0.95</f>
        <v>0</v>
      </c>
      <c r="BJ356" s="161">
        <f>BJ352*0.95</f>
        <v>0</v>
      </c>
    </row>
    <row r="357" spans="1:62" ht="13.05" customHeight="1" thickTop="1" x14ac:dyDescent="0.25">
      <c r="A357" s="117"/>
      <c r="B357" s="117"/>
      <c r="C357" s="117"/>
      <c r="D357" s="117"/>
      <c r="E357" s="132"/>
      <c r="F357" s="1"/>
    </row>
    <row r="358" spans="1:62" ht="19.95" customHeight="1" x14ac:dyDescent="0.25">
      <c r="A358" s="114">
        <f>A348+1</f>
        <v>7</v>
      </c>
      <c r="B358" s="114" t="s">
        <v>283</v>
      </c>
      <c r="C358" s="114"/>
      <c r="D358" s="115">
        <f>IF(AN360&gt;0,AN360,0)</f>
        <v>0</v>
      </c>
      <c r="E358" s="132"/>
      <c r="F358" s="1"/>
    </row>
    <row r="359" spans="1:62" ht="18" customHeight="1" x14ac:dyDescent="0.25">
      <c r="A359" s="114"/>
      <c r="B359" s="563"/>
      <c r="C359" s="563"/>
      <c r="D359" s="563"/>
      <c r="E359" s="132"/>
      <c r="F359" s="1"/>
      <c r="AC359" s="121">
        <v>1</v>
      </c>
      <c r="AD359" s="122">
        <f>AC359-($AC359/5)</f>
        <v>0.8</v>
      </c>
      <c r="AE359" s="123">
        <f>AD359-($AC359/5)</f>
        <v>0.60000000000000009</v>
      </c>
      <c r="AF359" s="124">
        <f>AE359-($AC359/5)</f>
        <v>0.40000000000000008</v>
      </c>
      <c r="AG359" s="125">
        <f>AF359-($AC359/5)</f>
        <v>0.20000000000000007</v>
      </c>
      <c r="AH359" s="126">
        <f>AG359-($AC359/5)</f>
        <v>0</v>
      </c>
      <c r="AI359" s="120"/>
      <c r="AP359" s="120"/>
      <c r="AQ359" s="120"/>
      <c r="AR359" s="120"/>
      <c r="AS359" s="120"/>
      <c r="AT359" s="120"/>
      <c r="AU359" s="120"/>
      <c r="AV359" s="120"/>
      <c r="AW359" s="120"/>
      <c r="AX359" s="120"/>
      <c r="AY359" s="120"/>
      <c r="AZ359" s="120"/>
      <c r="BA359" s="120"/>
      <c r="BB359" s="127" t="s">
        <v>260</v>
      </c>
      <c r="BD359" s="127" t="s">
        <v>261</v>
      </c>
      <c r="BE359" s="120"/>
      <c r="BF359" s="120"/>
      <c r="BG359" s="128" t="s">
        <v>262</v>
      </c>
      <c r="BH359" s="129"/>
      <c r="BI359" s="130" t="s">
        <v>263</v>
      </c>
      <c r="BJ359" s="131"/>
    </row>
    <row r="360" spans="1:62" ht="14.4" x14ac:dyDescent="0.3">
      <c r="A360" s="117"/>
      <c r="B360" s="564"/>
      <c r="C360" s="564"/>
      <c r="D360" s="564"/>
      <c r="E360" s="132"/>
      <c r="F360" s="1"/>
      <c r="AC360" s="112">
        <f t="shared" ref="AC360:AH360" si="9">IF($B360=AC$1896,AC359,0)</f>
        <v>0</v>
      </c>
      <c r="AD360" s="112">
        <f t="shared" si="9"/>
        <v>0</v>
      </c>
      <c r="AE360" s="112">
        <f t="shared" si="9"/>
        <v>0</v>
      </c>
      <c r="AF360" s="112">
        <f t="shared" si="9"/>
        <v>0</v>
      </c>
      <c r="AG360" s="112">
        <f t="shared" si="9"/>
        <v>0</v>
      </c>
      <c r="AH360" s="112">
        <f t="shared" si="9"/>
        <v>0</v>
      </c>
      <c r="AI360" s="164">
        <f>SUM(AC360:AH360)</f>
        <v>0</v>
      </c>
      <c r="AK360" s="550" t="str">
        <f>IF(AI360&gt;0,AI360,"")</f>
        <v/>
      </c>
      <c r="AL360" s="527"/>
      <c r="AN360" s="551">
        <f>(AI360/$AN$297)/2</f>
        <v>0</v>
      </c>
      <c r="AO360" s="552"/>
      <c r="BB360" s="127" t="s">
        <v>265</v>
      </c>
      <c r="BD360" s="127" t="s">
        <v>265</v>
      </c>
      <c r="BG360" s="128" t="s">
        <v>266</v>
      </c>
      <c r="BH360" s="134">
        <f>BH350</f>
        <v>0.1</v>
      </c>
      <c r="BI360" s="130" t="s">
        <v>266</v>
      </c>
      <c r="BJ360" s="135">
        <f>1-BH360</f>
        <v>0.9</v>
      </c>
    </row>
    <row r="361" spans="1:62" ht="14.4" x14ac:dyDescent="0.25">
      <c r="A361" s="117"/>
      <c r="B361" s="565"/>
      <c r="C361" s="565"/>
      <c r="D361" s="565"/>
      <c r="E361" s="132"/>
      <c r="F361" s="1"/>
      <c r="BB361" s="170">
        <f>$AC$1556</f>
        <v>10</v>
      </c>
      <c r="BD361" s="170">
        <f>$AC$1557</f>
        <v>25</v>
      </c>
      <c r="BG361" s="137" t="str">
        <f>BB359</f>
        <v>low</v>
      </c>
      <c r="BH361" s="137" t="str">
        <f>BD359</f>
        <v>high</v>
      </c>
      <c r="BI361" s="137" t="str">
        <f>BB359</f>
        <v>low</v>
      </c>
      <c r="BJ361" s="137" t="str">
        <f>BD359</f>
        <v>high</v>
      </c>
    </row>
    <row r="362" spans="1:62" ht="14.4" thickBot="1" x14ac:dyDescent="0.3">
      <c r="A362" s="117"/>
      <c r="B362" s="165"/>
      <c r="C362" s="165"/>
      <c r="D362" s="165"/>
      <c r="E362" s="132"/>
      <c r="F362" s="1"/>
      <c r="BB362" s="170">
        <f>IF(AK366=$AC$297,0,(BB361*AK366))</f>
        <v>0</v>
      </c>
      <c r="BD362" s="170">
        <f>IF(AK366=$AC$297,0,(BD361*AK366))</f>
        <v>0</v>
      </c>
      <c r="BG362" s="170">
        <f>BB362*BH360</f>
        <v>0</v>
      </c>
      <c r="BH362" s="170">
        <f>BD362*BH360</f>
        <v>0</v>
      </c>
      <c r="BI362" s="170">
        <f>BB362*BJ360</f>
        <v>0</v>
      </c>
      <c r="BJ362" s="170">
        <f>BD362*BJ360</f>
        <v>0</v>
      </c>
    </row>
    <row r="363" spans="1:62" ht="85.05" customHeight="1" thickTop="1" thickBot="1" x14ac:dyDescent="0.3">
      <c r="A363" s="117"/>
      <c r="B363" s="556"/>
      <c r="C363" s="557"/>
      <c r="D363" s="558"/>
      <c r="E363" s="132"/>
      <c r="F363" s="1"/>
      <c r="BJ363" s="138">
        <f>MIN(BJ362,($D$1330*10))</f>
        <v>0</v>
      </c>
    </row>
    <row r="364" spans="1:62" ht="16.8" thickTop="1" thickBot="1" x14ac:dyDescent="0.3">
      <c r="A364" s="117"/>
      <c r="B364" s="139" t="str">
        <f>IF(B360="","","SUPPORTER REVIEW: Prepare for Independent Verifier")</f>
        <v/>
      </c>
      <c r="C364" s="117"/>
      <c r="D364" s="117"/>
      <c r="E364" s="132"/>
      <c r="F364" s="1"/>
      <c r="BJ364" s="140"/>
    </row>
    <row r="365" spans="1:62" ht="14.4" thickTop="1" x14ac:dyDescent="0.25">
      <c r="A365" s="117"/>
      <c r="B365" s="141" t="str">
        <f>IF(B360="","","How many pages?")</f>
        <v/>
      </c>
      <c r="C365" s="142" t="str">
        <f>IF(AJ366&gt;30,"check if URL works, report from list below","")</f>
        <v/>
      </c>
      <c r="D365" s="143" t="str">
        <f>IF(B360="","","Estimated time to verify")</f>
        <v/>
      </c>
      <c r="E365" s="132"/>
      <c r="F365" s="1"/>
      <c r="AP365" s="56" t="s">
        <v>269</v>
      </c>
      <c r="AT365" s="144" t="str">
        <f>IF(AND(AJ366&gt;30,B366&gt;0),"ready","not ready")</f>
        <v>not ready</v>
      </c>
      <c r="AU365" s="144"/>
      <c r="AV365" s="144"/>
      <c r="BB365" s="56"/>
      <c r="BF365" s="113">
        <f>BF355</f>
        <v>0.05</v>
      </c>
      <c r="BG365" s="170">
        <f>BG362*$BF365</f>
        <v>0</v>
      </c>
      <c r="BH365" s="170">
        <f>BH362*$BF365</f>
        <v>0</v>
      </c>
      <c r="BI365" s="170">
        <f>BI362*$BF365</f>
        <v>0</v>
      </c>
      <c r="BJ365" s="170">
        <f>BJ362*$BF365</f>
        <v>0</v>
      </c>
    </row>
    <row r="366" spans="1:62" ht="14.4" thickBot="1" x14ac:dyDescent="0.3">
      <c r="A366" s="117"/>
      <c r="B366" s="163"/>
      <c r="C366" s="146"/>
      <c r="D366" s="147" t="str">
        <f>CONCATENATE(AK366,AL366)</f>
        <v>in estimated hours</v>
      </c>
      <c r="E366" s="132"/>
      <c r="F366" s="1"/>
      <c r="AD366" s="149">
        <f>IF(B360=B$1896,G$1896,AC365)</f>
        <v>0</v>
      </c>
      <c r="AE366" s="150">
        <f>IF(B360=B$1897,G$1897,AD365)</f>
        <v>0</v>
      </c>
      <c r="AF366" s="151">
        <f>IF(B360=B$1898,G$1898,AE365)</f>
        <v>0</v>
      </c>
      <c r="AG366" s="152">
        <f>IF(B360=B$1899,G$1899,AF365)</f>
        <v>0</v>
      </c>
      <c r="AH366" s="9"/>
      <c r="AI366" s="153">
        <f>MAX(AD366:AG366)</f>
        <v>0</v>
      </c>
      <c r="AJ366" s="56">
        <f>LEN(B360)</f>
        <v>0</v>
      </c>
      <c r="AK366" s="154" t="str">
        <f>IF(B366="",$AC$297,B366*AI366)</f>
        <v>in estimated</v>
      </c>
      <c r="AL366" s="56" t="s">
        <v>271</v>
      </c>
      <c r="AN366" s="56">
        <f>B366*AI366</f>
        <v>0</v>
      </c>
      <c r="AP366" s="155" t="str">
        <f>IF($C366=$D$1896,AP$297,"")</f>
        <v/>
      </c>
      <c r="AQ366" s="156" t="str">
        <f>IF($C366=$D$1897,AQ$297,"")</f>
        <v/>
      </c>
      <c r="AR366" s="157" t="str">
        <f>IF($C366=$D$1898,AR$297,"")</f>
        <v/>
      </c>
      <c r="AS366" s="158" t="str">
        <f>IF($C366=$D$1899,AS$297,"")</f>
        <v/>
      </c>
      <c r="AT366" s="159" t="str">
        <f>IF($C366=$D$1900,AT$297,"")</f>
        <v/>
      </c>
      <c r="AU366" s="160">
        <f>MAX(AP366:AS366)</f>
        <v>0</v>
      </c>
      <c r="AV366" s="154"/>
      <c r="AX366" s="112">
        <f>IF(AK366=$AC$297,0,AK366)</f>
        <v>0</v>
      </c>
      <c r="BB366" s="56"/>
      <c r="BG366" s="161">
        <f>BG362*0.95</f>
        <v>0</v>
      </c>
      <c r="BH366" s="161">
        <f>BH362*0.95</f>
        <v>0</v>
      </c>
      <c r="BI366" s="161">
        <f>BI362*0.95</f>
        <v>0</v>
      </c>
      <c r="BJ366" s="161">
        <f>BJ362*0.95</f>
        <v>0</v>
      </c>
    </row>
    <row r="367" spans="1:62" ht="14.4" thickTop="1" x14ac:dyDescent="0.25">
      <c r="A367" s="117"/>
      <c r="B367" s="117"/>
      <c r="C367" s="117"/>
      <c r="D367" s="117"/>
      <c r="E367" s="132"/>
      <c r="F367" s="1"/>
    </row>
    <row r="368" spans="1:62" ht="19.95" customHeight="1" x14ac:dyDescent="0.25">
      <c r="A368" s="114">
        <f>A358+1</f>
        <v>8</v>
      </c>
      <c r="B368" s="114" t="s">
        <v>285</v>
      </c>
      <c r="C368" s="114"/>
      <c r="D368" s="115">
        <f>IF(AN370&gt;0,AN370,0)</f>
        <v>0</v>
      </c>
      <c r="E368" s="132"/>
      <c r="F368" s="1"/>
    </row>
    <row r="369" spans="1:62" ht="18" customHeight="1" x14ac:dyDescent="0.25">
      <c r="A369" s="114"/>
      <c r="B369" s="563"/>
      <c r="C369" s="563"/>
      <c r="D369" s="563"/>
      <c r="E369" s="132"/>
      <c r="F369" s="1"/>
      <c r="AC369" s="121">
        <v>1</v>
      </c>
      <c r="AD369" s="122">
        <f>AC369-($AC369/5)</f>
        <v>0.8</v>
      </c>
      <c r="AE369" s="123">
        <f>AD369-($AC369/5)</f>
        <v>0.60000000000000009</v>
      </c>
      <c r="AF369" s="124">
        <f>AE369-($AC369/5)</f>
        <v>0.40000000000000008</v>
      </c>
      <c r="AG369" s="125">
        <f>AF369-($AC369/5)</f>
        <v>0.20000000000000007</v>
      </c>
      <c r="AH369" s="126">
        <f>AG369-($AC369/5)</f>
        <v>0</v>
      </c>
      <c r="AI369" s="120"/>
      <c r="AP369" s="120"/>
      <c r="AQ369" s="120"/>
      <c r="AR369" s="120"/>
      <c r="AS369" s="120"/>
      <c r="AT369" s="120"/>
      <c r="AU369" s="120"/>
      <c r="AV369" s="120"/>
      <c r="AW369" s="120"/>
      <c r="AX369" s="120"/>
      <c r="AY369" s="120"/>
      <c r="AZ369" s="120"/>
      <c r="BA369" s="120"/>
      <c r="BB369" s="127" t="s">
        <v>260</v>
      </c>
      <c r="BD369" s="127" t="s">
        <v>261</v>
      </c>
      <c r="BE369" s="120"/>
      <c r="BF369" s="120"/>
      <c r="BG369" s="128" t="s">
        <v>262</v>
      </c>
      <c r="BH369" s="129"/>
      <c r="BI369" s="130" t="s">
        <v>263</v>
      </c>
      <c r="BJ369" s="131"/>
    </row>
    <row r="370" spans="1:62" ht="14.4" x14ac:dyDescent="0.3">
      <c r="A370" s="117"/>
      <c r="B370" s="564"/>
      <c r="C370" s="564"/>
      <c r="D370" s="564"/>
      <c r="E370" s="132"/>
      <c r="F370" s="1"/>
      <c r="AC370" s="112">
        <f t="shared" ref="AC370:AH370" si="10">IF($B370=AC$1896,AC369,0)</f>
        <v>0</v>
      </c>
      <c r="AD370" s="112">
        <f t="shared" si="10"/>
        <v>0</v>
      </c>
      <c r="AE370" s="112">
        <f t="shared" si="10"/>
        <v>0</v>
      </c>
      <c r="AF370" s="112">
        <f t="shared" si="10"/>
        <v>0</v>
      </c>
      <c r="AG370" s="112">
        <f t="shared" si="10"/>
        <v>0</v>
      </c>
      <c r="AH370" s="112">
        <f t="shared" si="10"/>
        <v>0</v>
      </c>
      <c r="AI370" s="164">
        <f>SUM(AC370:AH370)</f>
        <v>0</v>
      </c>
      <c r="AK370" s="550" t="str">
        <f>IF(AI370&gt;0,AI370,"")</f>
        <v/>
      </c>
      <c r="AL370" s="527"/>
      <c r="AN370" s="551">
        <f>(AI370/$AN$297)/2</f>
        <v>0</v>
      </c>
      <c r="AO370" s="552"/>
      <c r="BB370" s="127" t="s">
        <v>265</v>
      </c>
      <c r="BD370" s="127" t="s">
        <v>265</v>
      </c>
      <c r="BG370" s="128" t="s">
        <v>266</v>
      </c>
      <c r="BH370" s="134">
        <f>BH360</f>
        <v>0.1</v>
      </c>
      <c r="BI370" s="130" t="s">
        <v>266</v>
      </c>
      <c r="BJ370" s="135">
        <f>1-BH370</f>
        <v>0.9</v>
      </c>
    </row>
    <row r="371" spans="1:62" ht="14.4" x14ac:dyDescent="0.25">
      <c r="A371" s="117"/>
      <c r="B371" s="565"/>
      <c r="C371" s="565"/>
      <c r="D371" s="565"/>
      <c r="E371" s="132"/>
      <c r="F371" s="1"/>
      <c r="BB371" s="170">
        <f>$AC$1556</f>
        <v>10</v>
      </c>
      <c r="BD371" s="170">
        <f>$AC$1557</f>
        <v>25</v>
      </c>
      <c r="BG371" s="137" t="str">
        <f>BB369</f>
        <v>low</v>
      </c>
      <c r="BH371" s="137" t="str">
        <f>BD369</f>
        <v>high</v>
      </c>
      <c r="BI371" s="137" t="str">
        <f>BB369</f>
        <v>low</v>
      </c>
      <c r="BJ371" s="137" t="str">
        <f>BD369</f>
        <v>high</v>
      </c>
    </row>
    <row r="372" spans="1:62" ht="14.4" thickBot="1" x14ac:dyDescent="0.3">
      <c r="A372" s="117"/>
      <c r="B372" s="165"/>
      <c r="C372" s="165"/>
      <c r="D372" s="165"/>
      <c r="E372" s="132"/>
      <c r="F372" s="1"/>
      <c r="BB372" s="170">
        <f>IF(AK376=$AC$297,0,(BB371*AK376))</f>
        <v>0</v>
      </c>
      <c r="BD372" s="170">
        <f>IF(AK376=$AC$297,0,(BD371*AK376))</f>
        <v>0</v>
      </c>
      <c r="BG372" s="170">
        <f>BB372*BH370</f>
        <v>0</v>
      </c>
      <c r="BH372" s="170">
        <f>BD372*BH370</f>
        <v>0</v>
      </c>
      <c r="BI372" s="170">
        <f>BB372*BJ370</f>
        <v>0</v>
      </c>
      <c r="BJ372" s="170">
        <f>BD372*BJ370</f>
        <v>0</v>
      </c>
    </row>
    <row r="373" spans="1:62" ht="85.05" customHeight="1" thickTop="1" thickBot="1" x14ac:dyDescent="0.3">
      <c r="A373" s="117"/>
      <c r="B373" s="556"/>
      <c r="C373" s="557"/>
      <c r="D373" s="558"/>
      <c r="E373" s="132"/>
      <c r="F373" s="1"/>
      <c r="BJ373" s="138">
        <f>MIN(BJ372,($D$1330*10))</f>
        <v>0</v>
      </c>
    </row>
    <row r="374" spans="1:62" ht="16.8" thickTop="1" thickBot="1" x14ac:dyDescent="0.3">
      <c r="A374" s="117"/>
      <c r="B374" s="139" t="str">
        <f>IF(B370="","","SUPPORTER REVIEW: Prepare for Independent Verifier")</f>
        <v/>
      </c>
      <c r="C374" s="117"/>
      <c r="D374" s="117"/>
      <c r="E374" s="132"/>
      <c r="F374" s="1"/>
      <c r="BJ374" s="140"/>
    </row>
    <row r="375" spans="1:62" ht="14.4" thickTop="1" x14ac:dyDescent="0.25">
      <c r="A375" s="117"/>
      <c r="B375" s="141" t="str">
        <f>IF(B370="","","How many pages?")</f>
        <v/>
      </c>
      <c r="C375" s="142" t="str">
        <f>IF(AJ376&gt;30,"check if URL works, report from list below","")</f>
        <v/>
      </c>
      <c r="D375" s="143" t="str">
        <f>IF(B370="","","Estimated time to verify")</f>
        <v/>
      </c>
      <c r="E375" s="132"/>
      <c r="F375" s="1"/>
      <c r="AP375" s="56" t="s">
        <v>269</v>
      </c>
      <c r="AT375" s="144" t="str">
        <f>IF(AND(AJ376&gt;30,B376&gt;0),"ready","not ready")</f>
        <v>not ready</v>
      </c>
      <c r="AU375" s="144"/>
      <c r="AV375" s="144"/>
      <c r="BB375" s="56"/>
      <c r="BF375" s="113">
        <f>BF365</f>
        <v>0.05</v>
      </c>
      <c r="BG375" s="170">
        <f>BG372*$BF375</f>
        <v>0</v>
      </c>
      <c r="BH375" s="170">
        <f>BH372*$BF375</f>
        <v>0</v>
      </c>
      <c r="BI375" s="170">
        <f>BI372*$BF375</f>
        <v>0</v>
      </c>
      <c r="BJ375" s="170">
        <f>BJ372*$BF375</f>
        <v>0</v>
      </c>
    </row>
    <row r="376" spans="1:62" ht="14.4" thickBot="1" x14ac:dyDescent="0.3">
      <c r="A376" s="117"/>
      <c r="B376" s="163"/>
      <c r="C376" s="146"/>
      <c r="D376" s="147" t="str">
        <f>CONCATENATE(AK376,AL376)</f>
        <v>in estimated hours</v>
      </c>
      <c r="E376" s="132"/>
      <c r="F376" s="1"/>
      <c r="AD376" s="149">
        <f>IF(B370=B$1896,G$1896,AC375)</f>
        <v>0</v>
      </c>
      <c r="AE376" s="150">
        <f>IF(B370=B$1897,G$1897,AD375)</f>
        <v>0</v>
      </c>
      <c r="AF376" s="151">
        <f>IF(B370=B$1898,G$1898,AE375)</f>
        <v>0</v>
      </c>
      <c r="AG376" s="152">
        <f>IF(B370=B$1899,G$1899,AF375)</f>
        <v>0</v>
      </c>
      <c r="AH376" s="9"/>
      <c r="AI376" s="153">
        <f>MAX(AD376:AG376)</f>
        <v>0</v>
      </c>
      <c r="AJ376" s="56">
        <f>LEN(B370)</f>
        <v>0</v>
      </c>
      <c r="AK376" s="154" t="str">
        <f>IF(B376="",$AC$297,B376*AI376)</f>
        <v>in estimated</v>
      </c>
      <c r="AL376" s="56" t="s">
        <v>271</v>
      </c>
      <c r="AN376" s="56">
        <f>B376*AI376</f>
        <v>0</v>
      </c>
      <c r="AP376" s="155" t="str">
        <f>IF($C376=$D$1896,AP$297,"")</f>
        <v/>
      </c>
      <c r="AQ376" s="156" t="str">
        <f>IF($C376=$D$1897,AQ$297,"")</f>
        <v/>
      </c>
      <c r="AR376" s="157" t="str">
        <f>IF($C376=$D$1898,AR$297,"")</f>
        <v/>
      </c>
      <c r="AS376" s="158" t="str">
        <f>IF($C376=$D$1899,AS$297,"")</f>
        <v/>
      </c>
      <c r="AT376" s="159" t="str">
        <f>IF($C376=$D$1900,AT$297,"")</f>
        <v/>
      </c>
      <c r="AU376" s="160">
        <f>MAX(AP376:AS376)</f>
        <v>0</v>
      </c>
      <c r="AV376" s="154"/>
      <c r="AX376" s="112">
        <f>IF(AK376=$AC$297,0,AK376)</f>
        <v>0</v>
      </c>
      <c r="BB376" s="56"/>
      <c r="BG376" s="161">
        <f>BG372*0.95</f>
        <v>0</v>
      </c>
      <c r="BH376" s="161">
        <f>BH372*0.95</f>
        <v>0</v>
      </c>
      <c r="BI376" s="161">
        <f>BI372*0.95</f>
        <v>0</v>
      </c>
      <c r="BJ376" s="161">
        <f>BJ372*0.95</f>
        <v>0</v>
      </c>
    </row>
    <row r="377" spans="1:62" ht="14.4" thickTop="1" x14ac:dyDescent="0.25">
      <c r="A377" s="117"/>
      <c r="B377" s="117"/>
      <c r="C377" s="117"/>
      <c r="D377" s="117"/>
      <c r="E377" s="132"/>
      <c r="F377" s="1"/>
    </row>
    <row r="378" spans="1:62" ht="19.95" customHeight="1" x14ac:dyDescent="0.25">
      <c r="A378" s="114">
        <f>A368+1</f>
        <v>9</v>
      </c>
      <c r="B378" s="114" t="s">
        <v>287</v>
      </c>
      <c r="C378" s="114"/>
      <c r="D378" s="115">
        <f>IF(AN380&gt;0,AN380,0)</f>
        <v>0</v>
      </c>
      <c r="E378" s="132"/>
      <c r="F378" s="1"/>
    </row>
    <row r="379" spans="1:62" ht="18" customHeight="1" x14ac:dyDescent="0.25">
      <c r="A379" s="114"/>
      <c r="B379" s="563"/>
      <c r="C379" s="563"/>
      <c r="D379" s="563"/>
      <c r="E379" s="132"/>
      <c r="F379" s="1"/>
      <c r="AC379" s="121">
        <v>1</v>
      </c>
      <c r="AD379" s="122">
        <f>AC379-($AC379/5)</f>
        <v>0.8</v>
      </c>
      <c r="AE379" s="123">
        <f>AD379-($AC379/5)</f>
        <v>0.60000000000000009</v>
      </c>
      <c r="AF379" s="124">
        <f>AE379-($AC379/5)</f>
        <v>0.40000000000000008</v>
      </c>
      <c r="AG379" s="125">
        <f>AF379-($AC379/5)</f>
        <v>0.20000000000000007</v>
      </c>
      <c r="AH379" s="126">
        <f>AG379-($AC379/5)</f>
        <v>0</v>
      </c>
      <c r="AI379" s="120"/>
      <c r="AP379" s="120"/>
      <c r="AQ379" s="120"/>
      <c r="AR379" s="120"/>
      <c r="AS379" s="120"/>
      <c r="AT379" s="120"/>
      <c r="AU379" s="120"/>
      <c r="AV379" s="120"/>
      <c r="AW379" s="120"/>
      <c r="AX379" s="120"/>
      <c r="AY379" s="120"/>
      <c r="AZ379" s="120"/>
      <c r="BA379" s="120"/>
      <c r="BB379" s="127" t="s">
        <v>260</v>
      </c>
      <c r="BD379" s="127" t="s">
        <v>261</v>
      </c>
      <c r="BE379" s="120"/>
      <c r="BF379" s="120"/>
      <c r="BG379" s="128" t="s">
        <v>262</v>
      </c>
      <c r="BH379" s="129"/>
      <c r="BI379" s="130" t="s">
        <v>263</v>
      </c>
      <c r="BJ379" s="131"/>
    </row>
    <row r="380" spans="1:62" ht="14.4" x14ac:dyDescent="0.3">
      <c r="A380" s="117"/>
      <c r="B380" s="564"/>
      <c r="C380" s="564"/>
      <c r="D380" s="564"/>
      <c r="E380" s="132"/>
      <c r="F380" s="1"/>
      <c r="AC380" s="112">
        <f t="shared" ref="AC380:AH380" si="11">IF($B380=AC$1896,AC379,0)</f>
        <v>0</v>
      </c>
      <c r="AD380" s="112">
        <f t="shared" si="11"/>
        <v>0</v>
      </c>
      <c r="AE380" s="112">
        <f t="shared" si="11"/>
        <v>0</v>
      </c>
      <c r="AF380" s="112">
        <f t="shared" si="11"/>
        <v>0</v>
      </c>
      <c r="AG380" s="112">
        <f t="shared" si="11"/>
        <v>0</v>
      </c>
      <c r="AH380" s="112">
        <f t="shared" si="11"/>
        <v>0</v>
      </c>
      <c r="AI380" s="164">
        <f>SUM(AC380:AH380)</f>
        <v>0</v>
      </c>
      <c r="AK380" s="550" t="str">
        <f>IF(AI380&gt;0,AI380,"")</f>
        <v/>
      </c>
      <c r="AL380" s="527"/>
      <c r="AN380" s="551">
        <f>(AI380/$AN$297)/2</f>
        <v>0</v>
      </c>
      <c r="AO380" s="552"/>
      <c r="BB380" s="127" t="s">
        <v>265</v>
      </c>
      <c r="BD380" s="127" t="s">
        <v>265</v>
      </c>
      <c r="BG380" s="128" t="s">
        <v>266</v>
      </c>
      <c r="BH380" s="134">
        <f>BH370</f>
        <v>0.1</v>
      </c>
      <c r="BI380" s="130" t="s">
        <v>266</v>
      </c>
      <c r="BJ380" s="135">
        <f>1-BH380</f>
        <v>0.9</v>
      </c>
    </row>
    <row r="381" spans="1:62" ht="14.4" x14ac:dyDescent="0.25">
      <c r="A381" s="117"/>
      <c r="B381" s="565"/>
      <c r="C381" s="565"/>
      <c r="D381" s="565"/>
      <c r="E381" s="132"/>
      <c r="F381" s="1"/>
      <c r="BB381" s="170">
        <f>$AC$1556</f>
        <v>10</v>
      </c>
      <c r="BD381" s="170">
        <f>$AC$1557</f>
        <v>25</v>
      </c>
      <c r="BG381" s="137" t="str">
        <f>BB379</f>
        <v>low</v>
      </c>
      <c r="BH381" s="137" t="str">
        <f>BD379</f>
        <v>high</v>
      </c>
      <c r="BI381" s="137" t="str">
        <f>BB379</f>
        <v>low</v>
      </c>
      <c r="BJ381" s="137" t="str">
        <f>BD379</f>
        <v>high</v>
      </c>
    </row>
    <row r="382" spans="1:62" ht="14.4" thickBot="1" x14ac:dyDescent="0.3">
      <c r="A382" s="117"/>
      <c r="B382" s="165"/>
      <c r="C382" s="165"/>
      <c r="D382" s="165"/>
      <c r="E382" s="132"/>
      <c r="F382" s="1"/>
      <c r="BB382" s="170">
        <f>IF(AK386=$AC$297,0,(BB381*AK386))</f>
        <v>0</v>
      </c>
      <c r="BD382" s="170">
        <f>IF(AK386=$AC$297,0,(BD381*AK386))</f>
        <v>0</v>
      </c>
      <c r="BG382" s="170">
        <f>BB382*BH380</f>
        <v>0</v>
      </c>
      <c r="BH382" s="170">
        <f>BD382*BH380</f>
        <v>0</v>
      </c>
      <c r="BI382" s="170">
        <f>BB382*BJ380</f>
        <v>0</v>
      </c>
      <c r="BJ382" s="170">
        <f>BD382*BJ380</f>
        <v>0</v>
      </c>
    </row>
    <row r="383" spans="1:62" ht="85.05" customHeight="1" thickTop="1" thickBot="1" x14ac:dyDescent="0.3">
      <c r="A383" s="117"/>
      <c r="B383" s="556"/>
      <c r="C383" s="557"/>
      <c r="D383" s="558"/>
      <c r="E383" s="132"/>
      <c r="F383" s="1"/>
      <c r="BJ383" s="138">
        <f>MIN(BJ382,($D$1330*10))</f>
        <v>0</v>
      </c>
    </row>
    <row r="384" spans="1:62" ht="16.8" thickTop="1" thickBot="1" x14ac:dyDescent="0.3">
      <c r="A384" s="117"/>
      <c r="B384" s="139" t="str">
        <f>IF(B380="","","SUPPORTER REVIEW: Prepare for Independent Verifier")</f>
        <v/>
      </c>
      <c r="C384" s="117"/>
      <c r="D384" s="117"/>
      <c r="E384" s="132"/>
      <c r="F384" s="1"/>
      <c r="BJ384" s="140"/>
    </row>
    <row r="385" spans="1:62" ht="14.4" thickTop="1" x14ac:dyDescent="0.25">
      <c r="A385" s="117"/>
      <c r="B385" s="141" t="str">
        <f>IF(B380="","","How many pages?")</f>
        <v/>
      </c>
      <c r="C385" s="142" t="str">
        <f>IF(AJ386&gt;30,"check if URL works, report from list below","")</f>
        <v/>
      </c>
      <c r="D385" s="143" t="str">
        <f>IF(B380="","","Estimated time to verify")</f>
        <v/>
      </c>
      <c r="E385" s="132"/>
      <c r="F385" s="1"/>
      <c r="AP385" s="56" t="s">
        <v>269</v>
      </c>
      <c r="AT385" s="144" t="str">
        <f>IF(AND(AJ386&gt;30,B386&gt;0),"ready","not ready")</f>
        <v>not ready</v>
      </c>
      <c r="AU385" s="144"/>
      <c r="AV385" s="144"/>
      <c r="BB385" s="56"/>
      <c r="BF385" s="113">
        <f>BF375</f>
        <v>0.05</v>
      </c>
      <c r="BG385" s="170">
        <f>BG382*$BF385</f>
        <v>0</v>
      </c>
      <c r="BH385" s="170">
        <f>BH382*$BF385</f>
        <v>0</v>
      </c>
      <c r="BI385" s="170">
        <f>BI382*$BF385</f>
        <v>0</v>
      </c>
      <c r="BJ385" s="170">
        <f>BJ382*$BF385</f>
        <v>0</v>
      </c>
    </row>
    <row r="386" spans="1:62" ht="14.4" thickBot="1" x14ac:dyDescent="0.3">
      <c r="A386" s="117"/>
      <c r="B386" s="163"/>
      <c r="C386" s="146"/>
      <c r="D386" s="147" t="str">
        <f>CONCATENATE(AK386,AL386)</f>
        <v>in estimated hours</v>
      </c>
      <c r="E386" s="132"/>
      <c r="F386" s="1"/>
      <c r="AD386" s="149">
        <f>IF(B380=B$1896,G$1896,AC385)</f>
        <v>0</v>
      </c>
      <c r="AE386" s="150">
        <f>IF(B380=B$1897,G$1897,AD385)</f>
        <v>0</v>
      </c>
      <c r="AF386" s="151">
        <f>IF(B380=B$1898,G$1898,AE385)</f>
        <v>0</v>
      </c>
      <c r="AG386" s="152">
        <f>IF(B380=B$1899,G$1899,AF385)</f>
        <v>0</v>
      </c>
      <c r="AH386" s="9"/>
      <c r="AI386" s="153">
        <f>MAX(AD386:AG386)</f>
        <v>0</v>
      </c>
      <c r="AJ386" s="56">
        <f>LEN(B380)</f>
        <v>0</v>
      </c>
      <c r="AK386" s="154" t="str">
        <f>IF(B386="",$AC$297,B386*AI386)</f>
        <v>in estimated</v>
      </c>
      <c r="AL386" s="56" t="s">
        <v>271</v>
      </c>
      <c r="AN386" s="56">
        <f>B386*AI386</f>
        <v>0</v>
      </c>
      <c r="AP386" s="155" t="str">
        <f>IF($C386=$D$1896,AP$297,"")</f>
        <v/>
      </c>
      <c r="AQ386" s="156" t="str">
        <f>IF($C386=$D$1897,AQ$297,"")</f>
        <v/>
      </c>
      <c r="AR386" s="157" t="str">
        <f>IF($C386=$D$1898,AR$297,"")</f>
        <v/>
      </c>
      <c r="AS386" s="158" t="str">
        <f>IF($C386=$D$1899,AS$297,"")</f>
        <v/>
      </c>
      <c r="AT386" s="159" t="str">
        <f>IF($C386=$D$1900,AT$297,"")</f>
        <v/>
      </c>
      <c r="AU386" s="160">
        <f>MAX(AP386:AS386)</f>
        <v>0</v>
      </c>
      <c r="AV386" s="154"/>
      <c r="AX386" s="112">
        <f>IF(AK386=$AC$297,0,AK386)</f>
        <v>0</v>
      </c>
      <c r="BB386" s="56"/>
      <c r="BG386" s="161">
        <f>BG382*0.95</f>
        <v>0</v>
      </c>
      <c r="BH386" s="161">
        <f>BH382*0.95</f>
        <v>0</v>
      </c>
      <c r="BI386" s="161">
        <f>BI382*0.95</f>
        <v>0</v>
      </c>
      <c r="BJ386" s="161">
        <f>BJ382*0.95</f>
        <v>0</v>
      </c>
    </row>
    <row r="387" spans="1:62" ht="13.05" customHeight="1" thickTop="1" x14ac:dyDescent="0.25">
      <c r="A387" s="117"/>
      <c r="B387" s="117"/>
      <c r="C387" s="117"/>
      <c r="D387" s="117"/>
      <c r="E387" s="132"/>
      <c r="F387" s="1"/>
    </row>
    <row r="388" spans="1:62" ht="19.95" customHeight="1" x14ac:dyDescent="0.25">
      <c r="A388" s="114">
        <f>A378+1</f>
        <v>10</v>
      </c>
      <c r="B388" s="114" t="s">
        <v>288</v>
      </c>
      <c r="C388" s="114"/>
      <c r="D388" s="115">
        <f>IF(AN390&gt;0,AN390,0)</f>
        <v>0</v>
      </c>
      <c r="E388" s="132"/>
      <c r="F388" s="1"/>
    </row>
    <row r="389" spans="1:62" ht="18" customHeight="1" x14ac:dyDescent="0.25">
      <c r="A389" s="114"/>
      <c r="B389" s="563"/>
      <c r="C389" s="563"/>
      <c r="D389" s="563"/>
      <c r="E389" s="132"/>
      <c r="F389" s="1"/>
      <c r="AC389" s="121">
        <v>1</v>
      </c>
      <c r="AD389" s="122">
        <f>AC389-($AC389/5)</f>
        <v>0.8</v>
      </c>
      <c r="AE389" s="123">
        <f>AD389-($AC389/5)</f>
        <v>0.60000000000000009</v>
      </c>
      <c r="AF389" s="124">
        <f>AE389-($AC389/5)</f>
        <v>0.40000000000000008</v>
      </c>
      <c r="AG389" s="125">
        <f>AF389-($AC389/5)</f>
        <v>0.20000000000000007</v>
      </c>
      <c r="AH389" s="126">
        <f>AG389-($AC389/5)</f>
        <v>0</v>
      </c>
      <c r="AI389" s="120"/>
      <c r="AP389" s="120"/>
      <c r="AQ389" s="120"/>
      <c r="AR389" s="120"/>
      <c r="AS389" s="120"/>
      <c r="AT389" s="120"/>
      <c r="AU389" s="120"/>
      <c r="AV389" s="120"/>
      <c r="AW389" s="120"/>
      <c r="AX389" s="120"/>
      <c r="AY389" s="120"/>
      <c r="AZ389" s="120"/>
      <c r="BA389" s="120"/>
      <c r="BB389" s="127" t="s">
        <v>260</v>
      </c>
      <c r="BD389" s="127" t="s">
        <v>261</v>
      </c>
      <c r="BE389" s="120"/>
      <c r="BF389" s="120"/>
      <c r="BG389" s="128" t="s">
        <v>262</v>
      </c>
      <c r="BH389" s="129"/>
      <c r="BI389" s="130" t="s">
        <v>263</v>
      </c>
      <c r="BJ389" s="131"/>
    </row>
    <row r="390" spans="1:62" ht="14.4" x14ac:dyDescent="0.3">
      <c r="A390" s="117"/>
      <c r="B390" s="564"/>
      <c r="C390" s="564"/>
      <c r="D390" s="564"/>
      <c r="E390" s="132"/>
      <c r="F390" s="1"/>
      <c r="AC390" s="112">
        <f t="shared" ref="AC390:AH390" si="12">IF($B390=AC$1896,AC389,0)</f>
        <v>0</v>
      </c>
      <c r="AD390" s="112">
        <f t="shared" si="12"/>
        <v>0</v>
      </c>
      <c r="AE390" s="112">
        <f t="shared" si="12"/>
        <v>0</v>
      </c>
      <c r="AF390" s="112">
        <f t="shared" si="12"/>
        <v>0</v>
      </c>
      <c r="AG390" s="112">
        <f t="shared" si="12"/>
        <v>0</v>
      </c>
      <c r="AH390" s="112">
        <f t="shared" si="12"/>
        <v>0</v>
      </c>
      <c r="AI390" s="164">
        <f>SUM(AC390:AH390)</f>
        <v>0</v>
      </c>
      <c r="AK390" s="550" t="str">
        <f>IF(AI390&gt;0,AI390,"")</f>
        <v/>
      </c>
      <c r="AL390" s="527"/>
      <c r="AN390" s="551">
        <f>(AI390/$AN$297)/2</f>
        <v>0</v>
      </c>
      <c r="AO390" s="552"/>
      <c r="BB390" s="127" t="s">
        <v>265</v>
      </c>
      <c r="BD390" s="127" t="s">
        <v>265</v>
      </c>
      <c r="BG390" s="128" t="s">
        <v>266</v>
      </c>
      <c r="BH390" s="134">
        <f>BH380</f>
        <v>0.1</v>
      </c>
      <c r="BI390" s="130" t="s">
        <v>266</v>
      </c>
      <c r="BJ390" s="135">
        <f>1-BH390</f>
        <v>0.9</v>
      </c>
    </row>
    <row r="391" spans="1:62" ht="14.4" x14ac:dyDescent="0.25">
      <c r="A391" s="117"/>
      <c r="B391" s="565"/>
      <c r="C391" s="565"/>
      <c r="D391" s="565"/>
      <c r="E391" s="132"/>
      <c r="F391" s="1"/>
      <c r="BB391" s="170">
        <f>$AC$1556</f>
        <v>10</v>
      </c>
      <c r="BD391" s="170">
        <f>$AC$1557</f>
        <v>25</v>
      </c>
      <c r="BG391" s="137" t="str">
        <f>BB389</f>
        <v>low</v>
      </c>
      <c r="BH391" s="137" t="str">
        <f>BD389</f>
        <v>high</v>
      </c>
      <c r="BI391" s="137" t="str">
        <f>BB389</f>
        <v>low</v>
      </c>
      <c r="BJ391" s="137" t="str">
        <f>BD389</f>
        <v>high</v>
      </c>
    </row>
    <row r="392" spans="1:62" ht="14.4" thickBot="1" x14ac:dyDescent="0.3">
      <c r="A392" s="117"/>
      <c r="B392" s="165"/>
      <c r="C392" s="165"/>
      <c r="D392" s="165"/>
      <c r="E392" s="132"/>
      <c r="F392" s="1"/>
      <c r="BB392" s="170">
        <f>IF(AK396=$AC$297,0,(BB391*AK396))</f>
        <v>0</v>
      </c>
      <c r="BD392" s="170">
        <f>IF(AK396=$AC$297,0,(BD391*AK396))</f>
        <v>0</v>
      </c>
      <c r="BG392" s="170">
        <f>BB392*BH390</f>
        <v>0</v>
      </c>
      <c r="BH392" s="170">
        <f>BD392*BH390</f>
        <v>0</v>
      </c>
      <c r="BI392" s="170">
        <f>BB392*BJ390</f>
        <v>0</v>
      </c>
      <c r="BJ392" s="170">
        <f>BD392*BJ390</f>
        <v>0</v>
      </c>
    </row>
    <row r="393" spans="1:62" ht="85.05" customHeight="1" thickTop="1" thickBot="1" x14ac:dyDescent="0.3">
      <c r="A393" s="117"/>
      <c r="B393" s="556"/>
      <c r="C393" s="557"/>
      <c r="D393" s="558"/>
      <c r="E393" s="132"/>
      <c r="F393" s="1"/>
      <c r="BJ393" s="138">
        <f>MIN(BJ392,($D$1330*10))</f>
        <v>0</v>
      </c>
    </row>
    <row r="394" spans="1:62" ht="16.8" thickTop="1" thickBot="1" x14ac:dyDescent="0.3">
      <c r="A394" s="117"/>
      <c r="B394" s="139" t="str">
        <f>IF(B390="","","SUPPORTER REVIEW: Prepare for Independent Verifier")</f>
        <v/>
      </c>
      <c r="C394" s="117"/>
      <c r="D394" s="117"/>
      <c r="E394" s="132"/>
      <c r="F394" s="1"/>
      <c r="BJ394" s="140"/>
    </row>
    <row r="395" spans="1:62" ht="14.4" thickTop="1" x14ac:dyDescent="0.25">
      <c r="A395" s="117"/>
      <c r="B395" s="141" t="str">
        <f>IF(B390="","","How many pages?")</f>
        <v/>
      </c>
      <c r="C395" s="142" t="str">
        <f>IF(AJ396&gt;30,"check if URL works, report from list below","")</f>
        <v/>
      </c>
      <c r="D395" s="143" t="str">
        <f>IF(B390="","","Estimated time to verify")</f>
        <v/>
      </c>
      <c r="E395" s="132"/>
      <c r="F395" s="1"/>
      <c r="AP395" s="56" t="s">
        <v>269</v>
      </c>
      <c r="AT395" s="144" t="str">
        <f>IF(AND(AJ396&gt;30,B396&gt;0),"ready","not ready")</f>
        <v>not ready</v>
      </c>
      <c r="AU395" s="144"/>
      <c r="AV395" s="144"/>
      <c r="BB395" s="56"/>
      <c r="BF395" s="113">
        <f>BF385</f>
        <v>0.05</v>
      </c>
      <c r="BG395" s="170">
        <f>BG392*$BF395</f>
        <v>0</v>
      </c>
      <c r="BH395" s="170">
        <f>BH392*$BF395</f>
        <v>0</v>
      </c>
      <c r="BI395" s="170">
        <f>BI392*$BF395</f>
        <v>0</v>
      </c>
      <c r="BJ395" s="170">
        <f>BJ392*$BF395</f>
        <v>0</v>
      </c>
    </row>
    <row r="396" spans="1:62" ht="14.4" thickBot="1" x14ac:dyDescent="0.3">
      <c r="A396" s="117"/>
      <c r="B396" s="163"/>
      <c r="C396" s="146"/>
      <c r="D396" s="147" t="str">
        <f>CONCATENATE(AK396,AL396)</f>
        <v>in estimated hours</v>
      </c>
      <c r="E396" s="132"/>
      <c r="F396" s="1"/>
      <c r="AD396" s="149">
        <f>IF(B390=B$1896,G$1896,AC395)</f>
        <v>0</v>
      </c>
      <c r="AE396" s="150">
        <f>IF(B390=B$1897,G$1897,AD395)</f>
        <v>0</v>
      </c>
      <c r="AF396" s="151">
        <f>IF(B390=B$1898,G$1898,AE395)</f>
        <v>0</v>
      </c>
      <c r="AG396" s="152">
        <f>IF(B390=B$1899,G$1899,AF395)</f>
        <v>0</v>
      </c>
      <c r="AH396" s="9"/>
      <c r="AI396" s="153">
        <f>MAX(AD396:AG396)</f>
        <v>0</v>
      </c>
      <c r="AJ396" s="56">
        <f>LEN(B390)</f>
        <v>0</v>
      </c>
      <c r="AK396" s="154" t="str">
        <f>IF(B396="",$AC$297,B396*AI396)</f>
        <v>in estimated</v>
      </c>
      <c r="AL396" s="56" t="s">
        <v>271</v>
      </c>
      <c r="AN396" s="56">
        <f>B396*AI396</f>
        <v>0</v>
      </c>
      <c r="AP396" s="155" t="str">
        <f>IF($C396=$D$1896,AP$297,"")</f>
        <v/>
      </c>
      <c r="AQ396" s="156" t="str">
        <f>IF($C396=$D$1897,AQ$297,"")</f>
        <v/>
      </c>
      <c r="AR396" s="157" t="str">
        <f>IF($C396=$D$1898,AR$297,"")</f>
        <v/>
      </c>
      <c r="AS396" s="158" t="str">
        <f>IF($C396=$D$1899,AS$297,"")</f>
        <v/>
      </c>
      <c r="AT396" s="159" t="str">
        <f>IF($C396=$D$1900,AT$297,"")</f>
        <v/>
      </c>
      <c r="AU396" s="160">
        <f>MAX(AP396:AS396)</f>
        <v>0</v>
      </c>
      <c r="AV396" s="154"/>
      <c r="AX396" s="112">
        <f>IF(AK396=$AC$297,0,AK396)</f>
        <v>0</v>
      </c>
      <c r="BB396" s="56"/>
      <c r="BG396" s="161">
        <f>BG392*0.95</f>
        <v>0</v>
      </c>
      <c r="BH396" s="161">
        <f>BH392*0.95</f>
        <v>0</v>
      </c>
      <c r="BI396" s="161">
        <f>BI392*0.95</f>
        <v>0</v>
      </c>
      <c r="BJ396" s="161">
        <f>BJ392*0.95</f>
        <v>0</v>
      </c>
    </row>
    <row r="397" spans="1:62" ht="14.4" thickTop="1" x14ac:dyDescent="0.25">
      <c r="A397" s="117"/>
      <c r="B397" s="117"/>
      <c r="C397" s="117"/>
      <c r="D397" s="117"/>
      <c r="E397" s="132"/>
      <c r="F397" s="1"/>
    </row>
    <row r="398" spans="1:62" ht="19.95" customHeight="1" x14ac:dyDescent="0.25">
      <c r="A398" s="114">
        <f>A388+1</f>
        <v>11</v>
      </c>
      <c r="B398" s="114" t="s">
        <v>289</v>
      </c>
      <c r="C398" s="114"/>
      <c r="D398" s="115">
        <f>IF(AN400&gt;0,AN400,0)</f>
        <v>0</v>
      </c>
      <c r="E398" s="132"/>
      <c r="F398" s="1"/>
    </row>
    <row r="399" spans="1:62" ht="18" customHeight="1" x14ac:dyDescent="0.25">
      <c r="A399" s="114"/>
      <c r="B399" s="563" t="s">
        <v>290</v>
      </c>
      <c r="C399" s="563"/>
      <c r="D399" s="563"/>
      <c r="E399" s="132"/>
      <c r="F399" s="1"/>
      <c r="AC399" s="121">
        <v>1</v>
      </c>
      <c r="AD399" s="122">
        <f>AC399-($AC399/5)</f>
        <v>0.8</v>
      </c>
      <c r="AE399" s="123">
        <f>AD399-($AC399/5)</f>
        <v>0.60000000000000009</v>
      </c>
      <c r="AF399" s="124">
        <f>AE399-($AC399/5)</f>
        <v>0.40000000000000008</v>
      </c>
      <c r="AG399" s="125">
        <f>AF399-($AC399/5)</f>
        <v>0.20000000000000007</v>
      </c>
      <c r="AH399" s="126">
        <f>AG399-($AC399/5)</f>
        <v>0</v>
      </c>
      <c r="AI399" s="120"/>
      <c r="AP399" s="120"/>
      <c r="AQ399" s="120"/>
      <c r="AR399" s="120"/>
      <c r="AS399" s="120"/>
      <c r="AT399" s="120"/>
      <c r="AU399" s="120"/>
      <c r="AV399" s="120"/>
      <c r="AW399" s="120"/>
      <c r="AX399" s="120"/>
      <c r="AY399" s="120"/>
      <c r="AZ399" s="120"/>
      <c r="BA399" s="120"/>
      <c r="BB399" s="127" t="s">
        <v>260</v>
      </c>
      <c r="BD399" s="127" t="s">
        <v>261</v>
      </c>
      <c r="BE399" s="120"/>
      <c r="BF399" s="120"/>
      <c r="BG399" s="128" t="s">
        <v>262</v>
      </c>
      <c r="BH399" s="129"/>
      <c r="BI399" s="130" t="s">
        <v>263</v>
      </c>
      <c r="BJ399" s="131"/>
    </row>
    <row r="400" spans="1:62" ht="14.4" x14ac:dyDescent="0.3">
      <c r="A400" s="117"/>
      <c r="B400" s="564"/>
      <c r="C400" s="564"/>
      <c r="D400" s="564"/>
      <c r="E400" s="132"/>
      <c r="F400" s="1"/>
      <c r="AC400" s="112">
        <f t="shared" ref="AC400:AH400" si="13">IF($B400=AC$1896,AC399,0)</f>
        <v>0</v>
      </c>
      <c r="AD400" s="112">
        <f t="shared" si="13"/>
        <v>0</v>
      </c>
      <c r="AE400" s="112">
        <f t="shared" si="13"/>
        <v>0</v>
      </c>
      <c r="AF400" s="112">
        <f t="shared" si="13"/>
        <v>0</v>
      </c>
      <c r="AG400" s="112">
        <f t="shared" si="13"/>
        <v>0</v>
      </c>
      <c r="AH400" s="112">
        <f t="shared" si="13"/>
        <v>0</v>
      </c>
      <c r="AI400" s="164">
        <f>SUM(AC400:AH400)</f>
        <v>0</v>
      </c>
      <c r="AK400" s="550" t="str">
        <f>IF(AI400&gt;0,AI400,"")</f>
        <v/>
      </c>
      <c r="AL400" s="527"/>
      <c r="AN400" s="551">
        <f>(AI400/$AN$297)/2</f>
        <v>0</v>
      </c>
      <c r="AO400" s="552"/>
      <c r="BB400" s="127" t="s">
        <v>265</v>
      </c>
      <c r="BD400" s="127" t="s">
        <v>265</v>
      </c>
      <c r="BG400" s="128" t="s">
        <v>266</v>
      </c>
      <c r="BH400" s="134">
        <f>BH390</f>
        <v>0.1</v>
      </c>
      <c r="BI400" s="130" t="s">
        <v>266</v>
      </c>
      <c r="BJ400" s="135">
        <f>1-BH400</f>
        <v>0.9</v>
      </c>
    </row>
    <row r="401" spans="1:62" ht="14.4" x14ac:dyDescent="0.25">
      <c r="A401" s="117"/>
      <c r="B401" s="565"/>
      <c r="C401" s="565"/>
      <c r="D401" s="565"/>
      <c r="E401" s="132"/>
      <c r="F401" s="1"/>
      <c r="BB401" s="170">
        <f>$AC$1556</f>
        <v>10</v>
      </c>
      <c r="BD401" s="170">
        <f>$AC$1557</f>
        <v>25</v>
      </c>
      <c r="BG401" s="137" t="str">
        <f>BB399</f>
        <v>low</v>
      </c>
      <c r="BH401" s="137" t="str">
        <f>BD399</f>
        <v>high</v>
      </c>
      <c r="BI401" s="137" t="str">
        <f>BB399</f>
        <v>low</v>
      </c>
      <c r="BJ401" s="137" t="str">
        <f>BD399</f>
        <v>high</v>
      </c>
    </row>
    <row r="402" spans="1:62" ht="14.4" thickBot="1" x14ac:dyDescent="0.3">
      <c r="A402" s="117"/>
      <c r="B402" s="165"/>
      <c r="C402" s="165"/>
      <c r="D402" s="165"/>
      <c r="E402" s="132"/>
      <c r="F402" s="1"/>
      <c r="BB402" s="170">
        <f>IF(AK406=$AC$297,0,(BB401*AK406))</f>
        <v>0</v>
      </c>
      <c r="BD402" s="170">
        <f>IF(AK406=$AC$297,0,(BD401*AK406))</f>
        <v>0</v>
      </c>
      <c r="BG402" s="170">
        <f>BB402*BH400</f>
        <v>0</v>
      </c>
      <c r="BH402" s="170">
        <f>BD402*BH400</f>
        <v>0</v>
      </c>
      <c r="BI402" s="170">
        <f>BB402*BJ400</f>
        <v>0</v>
      </c>
      <c r="BJ402" s="170">
        <f>BD402*BJ400</f>
        <v>0</v>
      </c>
    </row>
    <row r="403" spans="1:62" ht="85.05" customHeight="1" thickTop="1" thickBot="1" x14ac:dyDescent="0.3">
      <c r="A403" s="117"/>
      <c r="B403" s="556"/>
      <c r="C403" s="557"/>
      <c r="D403" s="558"/>
      <c r="E403" s="132"/>
      <c r="F403" s="1"/>
      <c r="BJ403" s="138">
        <f>MIN(BJ402,($D$1330*10))</f>
        <v>0</v>
      </c>
    </row>
    <row r="404" spans="1:62" ht="16.8" thickTop="1" thickBot="1" x14ac:dyDescent="0.3">
      <c r="A404" s="117"/>
      <c r="B404" s="139" t="str">
        <f>IF(B400="","","SUPPORTER REVIEW: Prepare for Independent Verifier")</f>
        <v/>
      </c>
      <c r="C404" s="117"/>
      <c r="D404" s="117"/>
      <c r="E404" s="132"/>
      <c r="F404" s="1"/>
      <c r="BJ404" s="140"/>
    </row>
    <row r="405" spans="1:62" ht="14.4" thickTop="1" x14ac:dyDescent="0.25">
      <c r="A405" s="117"/>
      <c r="B405" s="141" t="str">
        <f>IF(B400="","","How many pages?")</f>
        <v/>
      </c>
      <c r="C405" s="142" t="str">
        <f>IF(AJ406&gt;30,"check if URL works, report from list below","")</f>
        <v/>
      </c>
      <c r="D405" s="143" t="str">
        <f>IF(B400="","","Estimated time to verify")</f>
        <v/>
      </c>
      <c r="E405" s="132"/>
      <c r="F405" s="1"/>
      <c r="AP405" s="56" t="s">
        <v>269</v>
      </c>
      <c r="AT405" s="144" t="str">
        <f>IF(AND(AJ406&gt;30,B406&gt;0),"ready","not ready")</f>
        <v>not ready</v>
      </c>
      <c r="AU405" s="144"/>
      <c r="AV405" s="144"/>
      <c r="BB405" s="56"/>
      <c r="BF405" s="113">
        <f>BF395</f>
        <v>0.05</v>
      </c>
      <c r="BG405" s="170">
        <f>BG402*$BF405</f>
        <v>0</v>
      </c>
      <c r="BH405" s="170">
        <f>BH402*$BF405</f>
        <v>0</v>
      </c>
      <c r="BI405" s="170">
        <f>BI402*$BF405</f>
        <v>0</v>
      </c>
      <c r="BJ405" s="170">
        <f>BJ402*$BF405</f>
        <v>0</v>
      </c>
    </row>
    <row r="406" spans="1:62" ht="14.4" thickBot="1" x14ac:dyDescent="0.3">
      <c r="A406" s="117"/>
      <c r="B406" s="163"/>
      <c r="C406" s="146"/>
      <c r="D406" s="147" t="str">
        <f>CONCATENATE(AK406,AL406)</f>
        <v>in estimated hours</v>
      </c>
      <c r="E406" s="132"/>
      <c r="F406" s="1"/>
      <c r="AD406" s="149">
        <f>IF(B400=B$1896,G$1896,AC405)</f>
        <v>0</v>
      </c>
      <c r="AE406" s="150">
        <f>IF(B400=B$1897,G$1897,AD405)</f>
        <v>0</v>
      </c>
      <c r="AF406" s="151">
        <f>IF(B400=B$1898,G$1898,AE405)</f>
        <v>0</v>
      </c>
      <c r="AG406" s="152">
        <f>IF(B400=B$1899,G$1899,AF405)</f>
        <v>0</v>
      </c>
      <c r="AH406" s="9"/>
      <c r="AI406" s="153">
        <f>MAX(AD406:AG406)</f>
        <v>0</v>
      </c>
      <c r="AJ406" s="56">
        <f>LEN(B400)</f>
        <v>0</v>
      </c>
      <c r="AK406" s="154" t="str">
        <f>IF(B406="",$AC$297,B406*AI406)</f>
        <v>in estimated</v>
      </c>
      <c r="AL406" s="56" t="s">
        <v>271</v>
      </c>
      <c r="AN406" s="56">
        <f>B406*AI406</f>
        <v>0</v>
      </c>
      <c r="AP406" s="155" t="str">
        <f>IF($C406=$D$1896,AP$297,"")</f>
        <v/>
      </c>
      <c r="AQ406" s="156" t="str">
        <f>IF($C406=$D$1897,AQ$297,"")</f>
        <v/>
      </c>
      <c r="AR406" s="157" t="str">
        <f>IF($C406=$D$1898,AR$297,"")</f>
        <v/>
      </c>
      <c r="AS406" s="158" t="str">
        <f>IF($C406=$D$1899,AS$297,"")</f>
        <v/>
      </c>
      <c r="AT406" s="159" t="str">
        <f>IF($C406=$D$1900,AT$297,"")</f>
        <v/>
      </c>
      <c r="AU406" s="160">
        <f>MAX(AP406:AS406)</f>
        <v>0</v>
      </c>
      <c r="AV406" s="154"/>
      <c r="AX406" s="112">
        <f>IF(AK406=$AC$297,0,AK406)</f>
        <v>0</v>
      </c>
      <c r="BB406" s="56"/>
      <c r="BG406" s="161">
        <f>BG402*0.95</f>
        <v>0</v>
      </c>
      <c r="BH406" s="161">
        <f>BH402*0.95</f>
        <v>0</v>
      </c>
      <c r="BI406" s="161">
        <f>BI402*0.95</f>
        <v>0</v>
      </c>
      <c r="BJ406" s="161">
        <f>BJ402*0.95</f>
        <v>0</v>
      </c>
    </row>
    <row r="407" spans="1:62" ht="14.4" thickTop="1" x14ac:dyDescent="0.25">
      <c r="A407" s="117"/>
      <c r="B407" s="117"/>
      <c r="C407" s="117"/>
      <c r="D407" s="117"/>
      <c r="E407" s="132"/>
      <c r="F407" s="1"/>
    </row>
    <row r="408" spans="1:62" ht="19.95" customHeight="1" x14ac:dyDescent="0.25">
      <c r="A408" s="114">
        <f>A398+1</f>
        <v>12</v>
      </c>
      <c r="B408" s="114" t="s">
        <v>291</v>
      </c>
      <c r="C408" s="114"/>
      <c r="D408" s="115">
        <f>IF(AN410&gt;0,AN410,0)</f>
        <v>0</v>
      </c>
      <c r="E408" s="132"/>
      <c r="F408" s="1"/>
    </row>
    <row r="409" spans="1:62" ht="18" customHeight="1" x14ac:dyDescent="0.25">
      <c r="A409" s="114"/>
      <c r="B409" s="563" t="s">
        <v>292</v>
      </c>
      <c r="C409" s="563"/>
      <c r="D409" s="563"/>
      <c r="E409" s="132"/>
      <c r="F409" s="1"/>
      <c r="AC409" s="121">
        <v>1</v>
      </c>
      <c r="AD409" s="122">
        <f>AC409-($AC409/5)</f>
        <v>0.8</v>
      </c>
      <c r="AE409" s="123">
        <f>AD409-($AC409/5)</f>
        <v>0.60000000000000009</v>
      </c>
      <c r="AF409" s="124">
        <f>AE409-($AC409/5)</f>
        <v>0.40000000000000008</v>
      </c>
      <c r="AG409" s="125">
        <f>AF409-($AC409/5)</f>
        <v>0.20000000000000007</v>
      </c>
      <c r="AH409" s="126">
        <f>AG409-($AC409/5)</f>
        <v>0</v>
      </c>
      <c r="AI409" s="120"/>
      <c r="AP409" s="120"/>
      <c r="AQ409" s="120"/>
      <c r="AR409" s="120"/>
      <c r="AS409" s="120"/>
      <c r="AT409" s="120"/>
      <c r="AU409" s="120"/>
      <c r="AV409" s="120"/>
      <c r="AW409" s="120"/>
      <c r="AX409" s="120"/>
      <c r="AY409" s="120"/>
      <c r="AZ409" s="120"/>
      <c r="BA409" s="120"/>
      <c r="BB409" s="127" t="s">
        <v>260</v>
      </c>
      <c r="BD409" s="127" t="s">
        <v>261</v>
      </c>
      <c r="BE409" s="120"/>
      <c r="BF409" s="120"/>
      <c r="BG409" s="128" t="s">
        <v>262</v>
      </c>
      <c r="BH409" s="129"/>
      <c r="BI409" s="130" t="s">
        <v>263</v>
      </c>
      <c r="BJ409" s="131"/>
    </row>
    <row r="410" spans="1:62" ht="14.4" x14ac:dyDescent="0.3">
      <c r="A410" s="117"/>
      <c r="B410" s="564"/>
      <c r="C410" s="564"/>
      <c r="D410" s="564"/>
      <c r="E410" s="132"/>
      <c r="F410" s="1"/>
      <c r="AC410" s="112">
        <f t="shared" ref="AC410:AH410" si="14">IF($B410=AC$1896,AC409,0)</f>
        <v>0</v>
      </c>
      <c r="AD410" s="112">
        <f t="shared" si="14"/>
        <v>0</v>
      </c>
      <c r="AE410" s="112">
        <f t="shared" si="14"/>
        <v>0</v>
      </c>
      <c r="AF410" s="112">
        <f t="shared" si="14"/>
        <v>0</v>
      </c>
      <c r="AG410" s="112">
        <f t="shared" si="14"/>
        <v>0</v>
      </c>
      <c r="AH410" s="112">
        <f t="shared" si="14"/>
        <v>0</v>
      </c>
      <c r="AI410" s="164">
        <f>SUM(AC410:AH410)</f>
        <v>0</v>
      </c>
      <c r="AK410" s="550" t="str">
        <f>IF(AI410&gt;0,AI410,"")</f>
        <v/>
      </c>
      <c r="AL410" s="527"/>
      <c r="AN410" s="551">
        <f>(AI410/$AN$297)/2</f>
        <v>0</v>
      </c>
      <c r="AO410" s="552"/>
      <c r="BB410" s="127" t="s">
        <v>265</v>
      </c>
      <c r="BD410" s="127" t="s">
        <v>265</v>
      </c>
      <c r="BG410" s="128" t="s">
        <v>266</v>
      </c>
      <c r="BH410" s="134">
        <f>BH400</f>
        <v>0.1</v>
      </c>
      <c r="BI410" s="130" t="s">
        <v>266</v>
      </c>
      <c r="BJ410" s="135">
        <f>1-BH410</f>
        <v>0.9</v>
      </c>
    </row>
    <row r="411" spans="1:62" ht="14.4" x14ac:dyDescent="0.25">
      <c r="A411" s="117"/>
      <c r="B411" s="565"/>
      <c r="C411" s="565"/>
      <c r="D411" s="565"/>
      <c r="E411" s="132"/>
      <c r="F411" s="1"/>
      <c r="BB411" s="170">
        <f>$AC$1556</f>
        <v>10</v>
      </c>
      <c r="BD411" s="170">
        <f>$AC$1557</f>
        <v>25</v>
      </c>
      <c r="BG411" s="137" t="str">
        <f>BB409</f>
        <v>low</v>
      </c>
      <c r="BH411" s="137" t="str">
        <f>BD409</f>
        <v>high</v>
      </c>
      <c r="BI411" s="137" t="str">
        <f>BB409</f>
        <v>low</v>
      </c>
      <c r="BJ411" s="137" t="str">
        <f>BD409</f>
        <v>high</v>
      </c>
    </row>
    <row r="412" spans="1:62" ht="14.4" thickBot="1" x14ac:dyDescent="0.3">
      <c r="A412" s="117"/>
      <c r="B412" s="165"/>
      <c r="C412" s="165"/>
      <c r="D412" s="165"/>
      <c r="E412" s="132"/>
      <c r="F412" s="1"/>
      <c r="BB412" s="170">
        <f>IF(AK416=$AC$297,0,(BB411*AK416))</f>
        <v>0</v>
      </c>
      <c r="BD412" s="170">
        <f>IF(AK416=$AC$297,0,(BD411*AK416))</f>
        <v>0</v>
      </c>
      <c r="BG412" s="170">
        <f>BB412*BH410</f>
        <v>0</v>
      </c>
      <c r="BH412" s="170">
        <f>BD412*BH410</f>
        <v>0</v>
      </c>
      <c r="BI412" s="170">
        <f>BB412*BJ410</f>
        <v>0</v>
      </c>
      <c r="BJ412" s="170">
        <f>BD412*BJ410</f>
        <v>0</v>
      </c>
    </row>
    <row r="413" spans="1:62" ht="85.05" customHeight="1" thickTop="1" thickBot="1" x14ac:dyDescent="0.3">
      <c r="A413" s="117"/>
      <c r="B413" s="556"/>
      <c r="C413" s="557"/>
      <c r="D413" s="558"/>
      <c r="E413" s="132"/>
      <c r="F413" s="1"/>
      <c r="BJ413" s="138">
        <f>MIN(BJ412,($D$1330*10))</f>
        <v>0</v>
      </c>
    </row>
    <row r="414" spans="1:62" ht="16.8" thickTop="1" thickBot="1" x14ac:dyDescent="0.3">
      <c r="A414" s="117"/>
      <c r="B414" s="139" t="str">
        <f>IF(B410="","","SUPPORTER REVIEW: Prepare for Independent Verifier")</f>
        <v/>
      </c>
      <c r="C414" s="117"/>
      <c r="D414" s="117"/>
      <c r="E414" s="132"/>
      <c r="F414" s="1"/>
      <c r="BJ414" s="140"/>
    </row>
    <row r="415" spans="1:62" ht="15" customHeight="1" thickTop="1" x14ac:dyDescent="0.25">
      <c r="A415" s="117"/>
      <c r="B415" s="141" t="str">
        <f>IF(B410="","","How many pages?")</f>
        <v/>
      </c>
      <c r="C415" s="142" t="str">
        <f>IF(AJ416&gt;30,"check if URL works, report from list below","")</f>
        <v/>
      </c>
      <c r="D415" s="143" t="str">
        <f>IF(B410="","","Estimated time to verify")</f>
        <v/>
      </c>
      <c r="E415" s="132"/>
      <c r="F415" s="1"/>
      <c r="AP415" s="56" t="s">
        <v>269</v>
      </c>
      <c r="AT415" s="144" t="str">
        <f>IF(AND(AJ416&gt;30,B416&gt;0),"ready","not ready")</f>
        <v>not ready</v>
      </c>
      <c r="AU415" s="144"/>
      <c r="AV415" s="144"/>
      <c r="BB415" s="56"/>
      <c r="BF415" s="113">
        <f>BF405</f>
        <v>0.05</v>
      </c>
      <c r="BG415" s="170">
        <f>BG412*$BF415</f>
        <v>0</v>
      </c>
      <c r="BH415" s="170">
        <f>BH412*$BF415</f>
        <v>0</v>
      </c>
      <c r="BI415" s="170">
        <f>BI412*$BF415</f>
        <v>0</v>
      </c>
      <c r="BJ415" s="170">
        <f>BJ412*$BF415</f>
        <v>0</v>
      </c>
    </row>
    <row r="416" spans="1:62" ht="15" customHeight="1" thickBot="1" x14ac:dyDescent="0.3">
      <c r="A416" s="117"/>
      <c r="B416" s="163"/>
      <c r="C416" s="146"/>
      <c r="D416" s="147" t="str">
        <f>CONCATENATE(AK416,AL416)</f>
        <v>in estimated hours</v>
      </c>
      <c r="E416" s="132"/>
      <c r="F416" s="1"/>
      <c r="AD416" s="149">
        <f>IF(B410=B$1896,G$1896,AC415)</f>
        <v>0</v>
      </c>
      <c r="AE416" s="150">
        <f>IF(B410=B$1897,G$1897,AD415)</f>
        <v>0</v>
      </c>
      <c r="AF416" s="151">
        <f>IF(B410=B$1898,G$1898,AE415)</f>
        <v>0</v>
      </c>
      <c r="AG416" s="152">
        <f>IF(B410=B$1899,G$1899,AF415)</f>
        <v>0</v>
      </c>
      <c r="AH416" s="9"/>
      <c r="AI416" s="153">
        <f>MAX(AD416:AG416)</f>
        <v>0</v>
      </c>
      <c r="AJ416" s="56">
        <f>LEN(B410)</f>
        <v>0</v>
      </c>
      <c r="AK416" s="154" t="str">
        <f>IF(B416="",$AC$297,B416*AI416)</f>
        <v>in estimated</v>
      </c>
      <c r="AL416" s="56" t="s">
        <v>271</v>
      </c>
      <c r="AN416" s="56">
        <f>B416*AI416</f>
        <v>0</v>
      </c>
      <c r="AP416" s="155" t="str">
        <f>IF($C416=$D$1896,AP$297,"")</f>
        <v/>
      </c>
      <c r="AQ416" s="156" t="str">
        <f>IF($C416=$D$1897,AQ$297,"")</f>
        <v/>
      </c>
      <c r="AR416" s="157" t="str">
        <f>IF($C416=$D$1898,AR$297,"")</f>
        <v/>
      </c>
      <c r="AS416" s="158" t="str">
        <f>IF($C416=$D$1899,AS$297,"")</f>
        <v/>
      </c>
      <c r="AT416" s="159" t="str">
        <f>IF($C416=$D$1900,AT$297,"")</f>
        <v/>
      </c>
      <c r="AU416" s="160">
        <f>MAX(AP416:AS416)</f>
        <v>0</v>
      </c>
      <c r="AV416" s="154"/>
      <c r="AX416" s="112">
        <f>IF(AK416=$AC$297,0,AK416)</f>
        <v>0</v>
      </c>
      <c r="BB416" s="56"/>
      <c r="BG416" s="161">
        <f>BG412*0.95</f>
        <v>0</v>
      </c>
      <c r="BH416" s="161">
        <f>BH412*0.95</f>
        <v>0</v>
      </c>
      <c r="BI416" s="161">
        <f>BI412*0.95</f>
        <v>0</v>
      </c>
      <c r="BJ416" s="161">
        <f>BJ412*0.95</f>
        <v>0</v>
      </c>
    </row>
    <row r="417" spans="1:62" ht="12" customHeight="1" thickTop="1" x14ac:dyDescent="0.25">
      <c r="A417" s="117"/>
      <c r="B417" s="117"/>
      <c r="C417" s="117"/>
      <c r="D417" s="117"/>
      <c r="E417" s="132"/>
      <c r="F417" s="1"/>
    </row>
    <row r="418" spans="1:62" ht="19.95" customHeight="1" x14ac:dyDescent="0.25">
      <c r="A418" s="114">
        <f>A408+1</f>
        <v>13</v>
      </c>
      <c r="B418" s="114" t="s">
        <v>293</v>
      </c>
      <c r="C418" s="114"/>
      <c r="D418" s="115">
        <f>IF(AN420&gt;0,AN420,0)</f>
        <v>0</v>
      </c>
      <c r="E418" s="132"/>
      <c r="F418" s="1"/>
    </row>
    <row r="419" spans="1:62" ht="18" customHeight="1" x14ac:dyDescent="0.25">
      <c r="A419" s="114"/>
      <c r="B419" s="563"/>
      <c r="C419" s="563"/>
      <c r="D419" s="563"/>
      <c r="E419" s="132"/>
      <c r="F419" s="1"/>
      <c r="AC419" s="121">
        <v>1</v>
      </c>
      <c r="AD419" s="122">
        <f>AC419-($AC419/5)</f>
        <v>0.8</v>
      </c>
      <c r="AE419" s="123">
        <f>AD419-($AC419/5)</f>
        <v>0.60000000000000009</v>
      </c>
      <c r="AF419" s="124">
        <f>AE419-($AC419/5)</f>
        <v>0.40000000000000008</v>
      </c>
      <c r="AG419" s="125">
        <f>AF419-($AC419/5)</f>
        <v>0.20000000000000007</v>
      </c>
      <c r="AH419" s="126">
        <f>AG419-($AC419/5)</f>
        <v>0</v>
      </c>
      <c r="AI419" s="120"/>
      <c r="AP419" s="120"/>
      <c r="AQ419" s="120"/>
      <c r="AR419" s="120"/>
      <c r="AS419" s="120"/>
      <c r="AT419" s="120"/>
      <c r="AU419" s="120"/>
      <c r="AV419" s="120"/>
      <c r="AW419" s="120"/>
      <c r="AX419" s="120"/>
      <c r="AY419" s="120"/>
      <c r="AZ419" s="120"/>
      <c r="BA419" s="120"/>
      <c r="BB419" s="127" t="s">
        <v>260</v>
      </c>
      <c r="BD419" s="127" t="s">
        <v>261</v>
      </c>
      <c r="BE419" s="120"/>
      <c r="BF419" s="120"/>
      <c r="BG419" s="128" t="s">
        <v>262</v>
      </c>
      <c r="BH419" s="129"/>
      <c r="BI419" s="130" t="s">
        <v>263</v>
      </c>
      <c r="BJ419" s="131"/>
    </row>
    <row r="420" spans="1:62" ht="14.4" x14ac:dyDescent="0.3">
      <c r="A420" s="117"/>
      <c r="B420" s="564"/>
      <c r="C420" s="564"/>
      <c r="D420" s="564"/>
      <c r="E420" s="132"/>
      <c r="F420" s="1"/>
      <c r="AC420" s="112">
        <f t="shared" ref="AC420:AH420" si="15">IF($B420=AC$1896,AC419,0)</f>
        <v>0</v>
      </c>
      <c r="AD420" s="112">
        <f t="shared" si="15"/>
        <v>0</v>
      </c>
      <c r="AE420" s="112">
        <f t="shared" si="15"/>
        <v>0</v>
      </c>
      <c r="AF420" s="112">
        <f t="shared" si="15"/>
        <v>0</v>
      </c>
      <c r="AG420" s="112">
        <f t="shared" si="15"/>
        <v>0</v>
      </c>
      <c r="AH420" s="112">
        <f t="shared" si="15"/>
        <v>0</v>
      </c>
      <c r="AI420" s="164">
        <f>SUM(AC420:AH420)</f>
        <v>0</v>
      </c>
      <c r="AK420" s="550" t="str">
        <f>IF(AI420&gt;0,AI420,"")</f>
        <v/>
      </c>
      <c r="AL420" s="527"/>
      <c r="AN420" s="551">
        <f>(AI420/$AN$297)/2</f>
        <v>0</v>
      </c>
      <c r="AO420" s="552"/>
      <c r="BB420" s="127" t="s">
        <v>265</v>
      </c>
      <c r="BD420" s="127" t="s">
        <v>265</v>
      </c>
      <c r="BG420" s="128" t="s">
        <v>266</v>
      </c>
      <c r="BH420" s="134">
        <f>BH410</f>
        <v>0.1</v>
      </c>
      <c r="BI420" s="130" t="s">
        <v>266</v>
      </c>
      <c r="BJ420" s="135">
        <f>1-BH420</f>
        <v>0.9</v>
      </c>
    </row>
    <row r="421" spans="1:62" ht="14.4" x14ac:dyDescent="0.25">
      <c r="A421" s="117"/>
      <c r="B421" s="565"/>
      <c r="C421" s="565"/>
      <c r="D421" s="565"/>
      <c r="E421" s="132"/>
      <c r="F421" s="1"/>
      <c r="BB421" s="170">
        <f>$AC$1556</f>
        <v>10</v>
      </c>
      <c r="BD421" s="170">
        <f>$AC$1557</f>
        <v>25</v>
      </c>
      <c r="BG421" s="137" t="str">
        <f>BB419</f>
        <v>low</v>
      </c>
      <c r="BH421" s="137" t="str">
        <f>BD419</f>
        <v>high</v>
      </c>
      <c r="BI421" s="137" t="str">
        <f>BB419</f>
        <v>low</v>
      </c>
      <c r="BJ421" s="137" t="str">
        <f>BD419</f>
        <v>high</v>
      </c>
    </row>
    <row r="422" spans="1:62" ht="14.4" customHeight="1" thickBot="1" x14ac:dyDescent="0.3">
      <c r="A422" s="117"/>
      <c r="B422" s="165"/>
      <c r="C422" s="165"/>
      <c r="D422" s="165"/>
      <c r="E422" s="132"/>
      <c r="F422" s="1"/>
      <c r="BB422" s="170">
        <f>IF(AK426=$AC$297,0,(BB421*AK426))</f>
        <v>0</v>
      </c>
      <c r="BD422" s="170">
        <f>IF(AK426=$AC$297,0,(BD421*AK426))</f>
        <v>0</v>
      </c>
      <c r="BG422" s="170">
        <f>BB422*BH420</f>
        <v>0</v>
      </c>
      <c r="BH422" s="170">
        <f>BD422*BH420</f>
        <v>0</v>
      </c>
      <c r="BI422" s="170">
        <f>BB422*BJ420</f>
        <v>0</v>
      </c>
      <c r="BJ422" s="170">
        <f>BD422*BJ420</f>
        <v>0</v>
      </c>
    </row>
    <row r="423" spans="1:62" ht="85.05" customHeight="1" thickTop="1" thickBot="1" x14ac:dyDescent="0.3">
      <c r="A423" s="117"/>
      <c r="B423" s="556"/>
      <c r="C423" s="557"/>
      <c r="D423" s="558"/>
      <c r="E423" s="132"/>
      <c r="F423" s="1"/>
      <c r="BJ423" s="138">
        <f>MIN(BJ422,($D$1330*10))</f>
        <v>0</v>
      </c>
    </row>
    <row r="424" spans="1:62" ht="16.8" customHeight="1" thickTop="1" thickBot="1" x14ac:dyDescent="0.3">
      <c r="A424" s="117"/>
      <c r="B424" s="139" t="str">
        <f>IF(B420="","","SUPPORTER REVIEW: Prepare for Independent Verifier")</f>
        <v/>
      </c>
      <c r="C424" s="117"/>
      <c r="D424" s="117"/>
      <c r="E424" s="132"/>
      <c r="F424" s="1"/>
      <c r="BJ424" s="140"/>
    </row>
    <row r="425" spans="1:62" ht="15" customHeight="1" thickTop="1" x14ac:dyDescent="0.25">
      <c r="A425" s="117"/>
      <c r="B425" s="141" t="str">
        <f>IF(B420="","","How many pages?")</f>
        <v/>
      </c>
      <c r="C425" s="142" t="str">
        <f>IF(AJ426&gt;30,"check if URL works, report from list below","")</f>
        <v/>
      </c>
      <c r="D425" s="143" t="str">
        <f>IF(B420="","","Estimated time to verify")</f>
        <v/>
      </c>
      <c r="E425" s="132"/>
      <c r="F425" s="1"/>
      <c r="AP425" s="56" t="s">
        <v>269</v>
      </c>
      <c r="AT425" s="144" t="str">
        <f>IF(AND(AJ426&gt;30,B426&gt;0),"ready","not ready")</f>
        <v>not ready</v>
      </c>
      <c r="AU425" s="144"/>
      <c r="AV425" s="144"/>
      <c r="BB425" s="56"/>
      <c r="BF425" s="113">
        <f>BF415</f>
        <v>0.05</v>
      </c>
      <c r="BG425" s="170">
        <f>BG422*$BF425</f>
        <v>0</v>
      </c>
      <c r="BH425" s="170">
        <f>BH422*$BF425</f>
        <v>0</v>
      </c>
      <c r="BI425" s="170">
        <f>BI422*$BF425</f>
        <v>0</v>
      </c>
      <c r="BJ425" s="170">
        <f>BJ422*$BF425</f>
        <v>0</v>
      </c>
    </row>
    <row r="426" spans="1:62" ht="15" customHeight="1" thickBot="1" x14ac:dyDescent="0.3">
      <c r="A426" s="117"/>
      <c r="B426" s="163"/>
      <c r="C426" s="146"/>
      <c r="D426" s="147" t="str">
        <f>CONCATENATE(AK426,AL426)</f>
        <v>in estimated hours</v>
      </c>
      <c r="E426" s="132"/>
      <c r="F426" s="1"/>
      <c r="AD426" s="149">
        <f>IF(B420=B$1896,G$1896,AC425)</f>
        <v>0</v>
      </c>
      <c r="AE426" s="150">
        <f>IF(B420=B$1897,G$1897,AD425)</f>
        <v>0</v>
      </c>
      <c r="AF426" s="151">
        <f>IF(B420=B$1898,G$1898,AE425)</f>
        <v>0</v>
      </c>
      <c r="AG426" s="152">
        <f>IF(B420=B$1899,G$1899,AF425)</f>
        <v>0</v>
      </c>
      <c r="AH426" s="9"/>
      <c r="AI426" s="153">
        <f>MAX(AD426:AG426)</f>
        <v>0</v>
      </c>
      <c r="AJ426" s="56">
        <f>LEN(B420)</f>
        <v>0</v>
      </c>
      <c r="AK426" s="154" t="str">
        <f>IF(B426="",$AC$297,B426*AI426)</f>
        <v>in estimated</v>
      </c>
      <c r="AL426" s="56" t="s">
        <v>271</v>
      </c>
      <c r="AN426" s="56">
        <f>B426*AI426</f>
        <v>0</v>
      </c>
      <c r="AP426" s="155" t="str">
        <f>IF($C426=$D$1896,AP$297,"")</f>
        <v/>
      </c>
      <c r="AQ426" s="156" t="str">
        <f>IF($C426=$D$1897,AQ$297,"")</f>
        <v/>
      </c>
      <c r="AR426" s="157" t="str">
        <f>IF($C426=$D$1898,AR$297,"")</f>
        <v/>
      </c>
      <c r="AS426" s="158" t="str">
        <f>IF($C426=$D$1899,AS$297,"")</f>
        <v/>
      </c>
      <c r="AT426" s="159" t="str">
        <f>IF($C426=$D$1900,AT$297,"")</f>
        <v/>
      </c>
      <c r="AU426" s="160">
        <f>MAX(AP426:AS426)</f>
        <v>0</v>
      </c>
      <c r="AV426" s="154"/>
      <c r="AX426" s="112">
        <f>IF(AK426=$AC$297,0,AK426)</f>
        <v>0</v>
      </c>
      <c r="BB426" s="56"/>
      <c r="BG426" s="161">
        <f>BG422*0.95</f>
        <v>0</v>
      </c>
      <c r="BH426" s="161">
        <f>BH422*0.95</f>
        <v>0</v>
      </c>
      <c r="BI426" s="161">
        <f>BI422*0.95</f>
        <v>0</v>
      </c>
      <c r="BJ426" s="161">
        <f>BJ422*0.95</f>
        <v>0</v>
      </c>
    </row>
    <row r="427" spans="1:62" ht="14.4" customHeight="1" thickTop="1" x14ac:dyDescent="0.25">
      <c r="A427" s="117"/>
      <c r="B427" s="117"/>
      <c r="C427" s="117"/>
      <c r="D427" s="117"/>
      <c r="E427" s="132"/>
      <c r="F427" s="1"/>
    </row>
    <row r="428" spans="1:62" ht="19.95" customHeight="1" x14ac:dyDescent="0.25">
      <c r="A428" s="114">
        <f>A418+1</f>
        <v>14</v>
      </c>
      <c r="B428" s="114" t="s">
        <v>294</v>
      </c>
      <c r="C428" s="114"/>
      <c r="D428" s="115">
        <f>IF(AN430&gt;0,AN430,0)</f>
        <v>0</v>
      </c>
      <c r="E428" s="132"/>
      <c r="F428" s="1"/>
    </row>
    <row r="429" spans="1:62" ht="18" customHeight="1" x14ac:dyDescent="0.25">
      <c r="A429" s="114"/>
      <c r="B429" s="563" t="s">
        <v>295</v>
      </c>
      <c r="C429" s="563"/>
      <c r="D429" s="563"/>
      <c r="E429" s="132"/>
      <c r="F429" s="1"/>
      <c r="AC429" s="121">
        <v>1</v>
      </c>
      <c r="AD429" s="122">
        <f>AC429-($AC429/5)</f>
        <v>0.8</v>
      </c>
      <c r="AE429" s="123">
        <f>AD429-($AC429/5)</f>
        <v>0.60000000000000009</v>
      </c>
      <c r="AF429" s="124">
        <f>AE429-($AC429/5)</f>
        <v>0.40000000000000008</v>
      </c>
      <c r="AG429" s="125">
        <f>AF429-($AC429/5)</f>
        <v>0.20000000000000007</v>
      </c>
      <c r="AH429" s="126">
        <f>AG429-($AC429/5)</f>
        <v>0</v>
      </c>
      <c r="AI429" s="120"/>
      <c r="AP429" s="120"/>
      <c r="AQ429" s="120"/>
      <c r="AR429" s="120"/>
      <c r="AS429" s="120"/>
      <c r="AT429" s="120"/>
      <c r="AU429" s="120"/>
      <c r="AV429" s="120"/>
      <c r="AW429" s="120"/>
      <c r="AX429" s="120"/>
      <c r="AY429" s="120"/>
      <c r="AZ429" s="120"/>
      <c r="BA429" s="120"/>
      <c r="BB429" s="127" t="s">
        <v>260</v>
      </c>
      <c r="BD429" s="127" t="s">
        <v>261</v>
      </c>
      <c r="BE429" s="120"/>
      <c r="BF429" s="120"/>
      <c r="BG429" s="128" t="s">
        <v>262</v>
      </c>
      <c r="BH429" s="129"/>
      <c r="BI429" s="130" t="s">
        <v>263</v>
      </c>
      <c r="BJ429" s="131"/>
    </row>
    <row r="430" spans="1:62" ht="14.4" x14ac:dyDescent="0.3">
      <c r="A430" s="117"/>
      <c r="B430" s="564"/>
      <c r="C430" s="564"/>
      <c r="D430" s="564"/>
      <c r="E430" s="132"/>
      <c r="F430" s="1"/>
      <c r="AC430" s="112">
        <f t="shared" ref="AC430:AH430" si="16">IF($B430=AC$1896,AC429,0)</f>
        <v>0</v>
      </c>
      <c r="AD430" s="112">
        <f t="shared" si="16"/>
        <v>0</v>
      </c>
      <c r="AE430" s="112">
        <f t="shared" si="16"/>
        <v>0</v>
      </c>
      <c r="AF430" s="112">
        <f t="shared" si="16"/>
        <v>0</v>
      </c>
      <c r="AG430" s="112">
        <f t="shared" si="16"/>
        <v>0</v>
      </c>
      <c r="AH430" s="112">
        <f t="shared" si="16"/>
        <v>0</v>
      </c>
      <c r="AI430" s="164">
        <f>SUM(AC430:AH430)</f>
        <v>0</v>
      </c>
      <c r="AK430" s="550" t="str">
        <f>IF(AI430&gt;0,AI430,"")</f>
        <v/>
      </c>
      <c r="AL430" s="527"/>
      <c r="AN430" s="551">
        <f>(AI430/$AN$297)/2</f>
        <v>0</v>
      </c>
      <c r="AO430" s="552"/>
      <c r="BB430" s="127" t="s">
        <v>265</v>
      </c>
      <c r="BD430" s="127" t="s">
        <v>265</v>
      </c>
      <c r="BG430" s="128" t="s">
        <v>266</v>
      </c>
      <c r="BH430" s="134">
        <f>BH420</f>
        <v>0.1</v>
      </c>
      <c r="BI430" s="130" t="s">
        <v>266</v>
      </c>
      <c r="BJ430" s="135">
        <f>1-BH430</f>
        <v>0.9</v>
      </c>
    </row>
    <row r="431" spans="1:62" ht="14.4" x14ac:dyDescent="0.25">
      <c r="A431" s="117"/>
      <c r="B431" s="565"/>
      <c r="C431" s="565"/>
      <c r="D431" s="565"/>
      <c r="E431" s="132"/>
      <c r="F431" s="1"/>
      <c r="BB431" s="170">
        <f>$AC$1556</f>
        <v>10</v>
      </c>
      <c r="BD431" s="170">
        <f>$AC$1557</f>
        <v>25</v>
      </c>
      <c r="BG431" s="137" t="str">
        <f>BB429</f>
        <v>low</v>
      </c>
      <c r="BH431" s="137" t="str">
        <f>BD429</f>
        <v>high</v>
      </c>
      <c r="BI431" s="137" t="str">
        <f>BB429</f>
        <v>low</v>
      </c>
      <c r="BJ431" s="137" t="str">
        <f>BD429</f>
        <v>high</v>
      </c>
    </row>
    <row r="432" spans="1:62" ht="14.4" customHeight="1" thickBot="1" x14ac:dyDescent="0.3">
      <c r="A432" s="117"/>
      <c r="B432" s="165"/>
      <c r="C432" s="165"/>
      <c r="D432" s="165"/>
      <c r="E432" s="132"/>
      <c r="F432" s="1"/>
      <c r="BB432" s="170">
        <f>IF(AK436=$AC$297,0,(BB431*AK436))</f>
        <v>0</v>
      </c>
      <c r="BD432" s="170">
        <f>IF(AK436=$AC$297,0,(BD431*AK436))</f>
        <v>0</v>
      </c>
      <c r="BG432" s="170">
        <f>BB432*BH430</f>
        <v>0</v>
      </c>
      <c r="BH432" s="170">
        <f>BD432*BH430</f>
        <v>0</v>
      </c>
      <c r="BI432" s="170">
        <f>BB432*BJ430</f>
        <v>0</v>
      </c>
      <c r="BJ432" s="170">
        <f>BD432*BJ430</f>
        <v>0</v>
      </c>
    </row>
    <row r="433" spans="1:62" ht="85.05" customHeight="1" thickTop="1" thickBot="1" x14ac:dyDescent="0.3">
      <c r="A433" s="117"/>
      <c r="B433" s="556"/>
      <c r="C433" s="557"/>
      <c r="D433" s="558"/>
      <c r="E433" s="132"/>
      <c r="F433" s="1"/>
      <c r="BJ433" s="138">
        <f>MIN(BJ432,($D$1330*10))</f>
        <v>0</v>
      </c>
    </row>
    <row r="434" spans="1:62" ht="16.8" customHeight="1" thickTop="1" thickBot="1" x14ac:dyDescent="0.3">
      <c r="A434" s="117"/>
      <c r="B434" s="139" t="str">
        <f>IF(B430="","","SUPPORTER REVIEW: Prepare for Independent Verifier")</f>
        <v/>
      </c>
      <c r="C434" s="117"/>
      <c r="D434" s="117"/>
      <c r="E434" s="132"/>
      <c r="F434" s="1"/>
      <c r="BJ434" s="140"/>
    </row>
    <row r="435" spans="1:62" ht="14.4" thickTop="1" x14ac:dyDescent="0.25">
      <c r="A435" s="117"/>
      <c r="B435" s="141" t="str">
        <f>IF(B430="","","How many pages?")</f>
        <v/>
      </c>
      <c r="C435" s="142" t="str">
        <f>IF(AJ436&gt;30,"check if URL works, report from list below","")</f>
        <v/>
      </c>
      <c r="D435" s="143" t="str">
        <f>IF(B430="","","Estimated time to verify")</f>
        <v/>
      </c>
      <c r="E435" s="132"/>
      <c r="F435" s="1"/>
      <c r="AP435" s="56" t="s">
        <v>269</v>
      </c>
      <c r="AT435" s="144" t="str">
        <f>IF(AND(AJ436&gt;30,B436&gt;0),"ready","not ready")</f>
        <v>not ready</v>
      </c>
      <c r="AU435" s="144"/>
      <c r="AV435" s="144"/>
      <c r="BB435" s="56"/>
      <c r="BF435" s="113">
        <f>BF425</f>
        <v>0.05</v>
      </c>
      <c r="BG435" s="170">
        <f>BG432*$BF435</f>
        <v>0</v>
      </c>
      <c r="BH435" s="170">
        <f>BH432*$BF435</f>
        <v>0</v>
      </c>
      <c r="BI435" s="170">
        <f>BI432*$BF435</f>
        <v>0</v>
      </c>
      <c r="BJ435" s="170">
        <f>BJ432*$BF435</f>
        <v>0</v>
      </c>
    </row>
    <row r="436" spans="1:62" ht="14.4" thickBot="1" x14ac:dyDescent="0.3">
      <c r="A436" s="117"/>
      <c r="B436" s="163"/>
      <c r="C436" s="146"/>
      <c r="D436" s="147" t="str">
        <f>CONCATENATE(AK436,AL436)</f>
        <v>in estimated hours</v>
      </c>
      <c r="E436" s="132"/>
      <c r="F436" s="1"/>
      <c r="AD436" s="149">
        <f>IF(B430=B$1896,G$1896,AC435)</f>
        <v>0</v>
      </c>
      <c r="AE436" s="150">
        <f>IF(B430=B$1897,G$1897,AD435)</f>
        <v>0</v>
      </c>
      <c r="AF436" s="151">
        <f>IF(B430=B$1898,G$1898,AE435)</f>
        <v>0</v>
      </c>
      <c r="AG436" s="152">
        <f>IF(B430=B$1899,G$1899,AF435)</f>
        <v>0</v>
      </c>
      <c r="AH436" s="9"/>
      <c r="AI436" s="153">
        <f>MAX(AD436:AG436)</f>
        <v>0</v>
      </c>
      <c r="AJ436" s="56">
        <f>LEN(B430)</f>
        <v>0</v>
      </c>
      <c r="AK436" s="154" t="str">
        <f>IF(B436="",$AC$297,B436*AI436)</f>
        <v>in estimated</v>
      </c>
      <c r="AL436" s="56" t="s">
        <v>271</v>
      </c>
      <c r="AN436" s="56">
        <f>B436*AI436</f>
        <v>0</v>
      </c>
      <c r="AP436" s="155" t="str">
        <f>IF($C436=$D$1896,AP$297,"")</f>
        <v/>
      </c>
      <c r="AQ436" s="156" t="str">
        <f>IF($C436=$D$1897,AQ$297,"")</f>
        <v/>
      </c>
      <c r="AR436" s="157" t="str">
        <f>IF($C436=$D$1898,AR$297,"")</f>
        <v/>
      </c>
      <c r="AS436" s="158" t="str">
        <f>IF($C436=$D$1899,AS$297,"")</f>
        <v/>
      </c>
      <c r="AT436" s="159" t="str">
        <f>IF($C436=$D$1900,AT$297,"")</f>
        <v/>
      </c>
      <c r="AU436" s="160">
        <f>MAX(AP436:AS436)</f>
        <v>0</v>
      </c>
      <c r="AV436" s="154"/>
      <c r="AX436" s="112">
        <f>IF(AK436=$AC$297,0,AK436)</f>
        <v>0</v>
      </c>
      <c r="BB436" s="56"/>
      <c r="BG436" s="161">
        <f>BG432*0.95</f>
        <v>0</v>
      </c>
      <c r="BH436" s="161">
        <f>BH432*0.95</f>
        <v>0</v>
      </c>
      <c r="BI436" s="161">
        <f>BI432*0.95</f>
        <v>0</v>
      </c>
      <c r="BJ436" s="161">
        <f>BJ432*0.95</f>
        <v>0</v>
      </c>
    </row>
    <row r="437" spans="1:62" ht="14.4" thickTop="1" x14ac:dyDescent="0.25">
      <c r="A437" s="117"/>
      <c r="B437" s="117"/>
      <c r="C437" s="117"/>
      <c r="D437" s="117"/>
      <c r="E437" s="132"/>
      <c r="F437" s="1"/>
    </row>
    <row r="438" spans="1:62" x14ac:dyDescent="0.25">
      <c r="A438" s="117"/>
      <c r="B438" s="117"/>
      <c r="C438" s="117"/>
      <c r="D438" s="117"/>
      <c r="E438" s="132"/>
      <c r="F438" s="1"/>
    </row>
    <row r="439" spans="1:62" ht="25.05" customHeight="1" x14ac:dyDescent="0.25">
      <c r="A439" s="117"/>
      <c r="B439" s="167">
        <f>D298+D308+D318+D328+D338+D348+D358+D368+D378+D388+D398+D408+D418+D428</f>
        <v>0</v>
      </c>
      <c r="C439" s="168" t="str">
        <f>IF(B439&gt;0,"Baseline score","")</f>
        <v/>
      </c>
      <c r="D439" s="117"/>
      <c r="E439" s="132"/>
      <c r="F439" s="1"/>
      <c r="BG439" s="169">
        <f>BG302+BG312+BG322+BG332+BG342+BG352++BG362+BG372+BG382+BG392+BG402+BG412+BG422+BG432</f>
        <v>0</v>
      </c>
      <c r="BH439" s="169">
        <f>BH302+BH312+BH322+BH332+BH342+BH352++BH362+BH372+BH382+BH392+BH402+BH412+BH422+BH432</f>
        <v>0</v>
      </c>
      <c r="BI439" s="169">
        <f>BI302+BI312+BI322+BI332+BI342+BI352++BI362+BI372+BI382+BI392+BI402+BI412+BI422+BI432</f>
        <v>0</v>
      </c>
      <c r="BJ439" s="169">
        <f>BJ302+BJ312+BJ322+BJ332+BJ342+BJ352++BJ362+BJ372+BJ382+BJ392+BJ402+BJ412+BJ422+BJ432</f>
        <v>0</v>
      </c>
    </row>
    <row r="440" spans="1:62" ht="13.8" customHeight="1" x14ac:dyDescent="0.3">
      <c r="A440" s="117"/>
      <c r="B440" s="117"/>
      <c r="C440" s="117"/>
      <c r="D440" s="117"/>
      <c r="E440" s="132"/>
      <c r="F440" s="1"/>
      <c r="AK440" s="56">
        <f>SUM(AK306:AK436)</f>
        <v>0</v>
      </c>
      <c r="AL440" s="56" t="str">
        <f>AL436</f>
        <v xml:space="preserve"> hours</v>
      </c>
      <c r="AP440" s="56">
        <f>ROUNDUP(AX440,0)</f>
        <v>0</v>
      </c>
      <c r="AX440" s="56">
        <f>AX306+AX316+AX326+AX336+AX346+AX356+AX366+AX376+AX386+AX396+AX406+AX416+AX426+AX436</f>
        <v>0</v>
      </c>
      <c r="BB440" s="566">
        <f>BB302+BB312+BB322+BB332+BB342+BB352+BB362+BB372+BB382+BB392+BB402+BB412+BB422+BB432</f>
        <v>0</v>
      </c>
      <c r="BC440" s="527"/>
      <c r="BD440" s="566">
        <f>BD302+BD312+BD322+BD332+BD342+BD352+BD362+BD372+BD382+BD392+BD402+BD412+BD422+BD432</f>
        <v>0</v>
      </c>
      <c r="BE440" s="527"/>
      <c r="BF440" s="171">
        <f>BF435</f>
        <v>0.05</v>
      </c>
      <c r="BG440" s="172">
        <f t="shared" ref="BG440:BJ441" si="17">BG305+BG315++BG325+BG335+BG345+BG355+BG365+BG375+BG385+BG395+BG405+BG415+BG425+BG435</f>
        <v>0</v>
      </c>
      <c r="BH440" s="172">
        <f t="shared" si="17"/>
        <v>0</v>
      </c>
      <c r="BI440" s="172">
        <f t="shared" si="17"/>
        <v>0</v>
      </c>
      <c r="BJ440" s="172">
        <f t="shared" si="17"/>
        <v>0</v>
      </c>
    </row>
    <row r="441" spans="1:62" ht="13.8" customHeight="1" x14ac:dyDescent="0.3">
      <c r="A441" s="117"/>
      <c r="B441" s="173" t="s">
        <v>296</v>
      </c>
      <c r="C441" s="174"/>
      <c r="D441" s="174"/>
      <c r="E441" s="132"/>
      <c r="F441" s="1"/>
      <c r="BB441" s="170"/>
      <c r="BC441" s="80"/>
      <c r="BD441" s="170"/>
      <c r="BE441" s="80"/>
      <c r="BF441" s="175"/>
      <c r="BG441" s="176">
        <f t="shared" si="17"/>
        <v>0</v>
      </c>
      <c r="BH441" s="176">
        <f t="shared" si="17"/>
        <v>0</v>
      </c>
      <c r="BI441" s="176">
        <f t="shared" si="17"/>
        <v>0</v>
      </c>
      <c r="BJ441" s="176">
        <f>BJ306+BJ316++BJ326+BJ336+BJ346+BJ356+BJ366+BJ376+BJ386+BJ396+BJ406+BJ416+BJ426+BJ436</f>
        <v>0</v>
      </c>
    </row>
    <row r="442" spans="1:62" ht="13.8" customHeight="1" x14ac:dyDescent="0.3">
      <c r="A442" s="117"/>
      <c r="B442" s="117"/>
      <c r="C442" s="117"/>
      <c r="D442" s="117"/>
      <c r="E442" s="132"/>
      <c r="F442" s="1"/>
      <c r="BB442" s="170"/>
      <c r="BC442" s="80"/>
      <c r="BD442" s="170"/>
      <c r="BE442" s="80"/>
    </row>
    <row r="443" spans="1:62" ht="13.8" customHeight="1" x14ac:dyDescent="0.3">
      <c r="A443" s="117"/>
      <c r="B443" s="177" t="s">
        <v>297</v>
      </c>
      <c r="C443" s="117"/>
      <c r="D443" s="117"/>
      <c r="E443" s="132"/>
      <c r="F443" s="1"/>
      <c r="AI443" s="56">
        <v>2</v>
      </c>
      <c r="AJ443" s="56">
        <f>AI443+2</f>
        <v>4</v>
      </c>
      <c r="AK443" s="56" t="s">
        <v>298</v>
      </c>
      <c r="BB443" s="170"/>
      <c r="BC443" s="80"/>
      <c r="BD443" s="170"/>
      <c r="BE443" s="80"/>
    </row>
    <row r="444" spans="1:62" s="181" customFormat="1" ht="19.95" customHeight="1" thickBot="1" x14ac:dyDescent="0.3">
      <c r="A444" s="177"/>
      <c r="B444" s="178" t="str">
        <f>IF(AND(AD459&gt;=AI443,AD459&lt;AJ443),AK443,IF(AND(AD459&gt;=AI444,AD459&lt;AJ444),AK444,IF(AND(AD459&gt;=AI445,AD459&lt;AJ445),AK445,AK443)))</f>
        <v>Contact us if you need any help with this process. Let's see what we can do.</v>
      </c>
      <c r="C444" s="177"/>
      <c r="D444" s="177"/>
      <c r="E444" s="179"/>
      <c r="F444" s="1"/>
      <c r="G444" s="180"/>
      <c r="H444" s="180"/>
      <c r="I444" s="180"/>
      <c r="J444" s="180"/>
      <c r="K444" s="180"/>
      <c r="L444" s="180"/>
      <c r="M444" s="180"/>
      <c r="N444" s="180"/>
      <c r="O444" s="180"/>
      <c r="P444" s="180"/>
      <c r="Q444" s="180"/>
      <c r="R444" s="180"/>
      <c r="S444" s="180"/>
      <c r="T444" s="180"/>
      <c r="U444" s="180"/>
      <c r="V444" s="180"/>
      <c r="W444" s="180"/>
      <c r="X444" s="180"/>
      <c r="Y444" s="180"/>
      <c r="Z444" s="180"/>
      <c r="AI444" s="181">
        <f>AJ443</f>
        <v>4</v>
      </c>
      <c r="AJ444" s="56">
        <f>AI444+5</f>
        <v>9</v>
      </c>
      <c r="AK444" s="56" t="s">
        <v>299</v>
      </c>
      <c r="BB444" s="182"/>
      <c r="BD444" s="182"/>
    </row>
    <row r="445" spans="1:62" ht="13.8" customHeight="1" thickTop="1" thickBot="1" x14ac:dyDescent="0.35">
      <c r="A445" s="117"/>
      <c r="B445" s="183" t="s">
        <v>300</v>
      </c>
      <c r="C445" s="184" t="s">
        <v>301</v>
      </c>
      <c r="D445" s="118"/>
      <c r="E445" s="132"/>
      <c r="F445" s="1"/>
      <c r="AD445" s="60">
        <f>SUM(AE445:AG445)</f>
        <v>1</v>
      </c>
      <c r="AE445" s="56">
        <f>IF(B445=AK457,1,0)</f>
        <v>1</v>
      </c>
      <c r="AF445" s="56">
        <f>IF(B445=AK458,2,0)</f>
        <v>0</v>
      </c>
      <c r="AG445" s="56">
        <f>IF(B445=AK459,3,0)</f>
        <v>0</v>
      </c>
      <c r="AI445" s="181">
        <f>AJ444</f>
        <v>9</v>
      </c>
      <c r="AJ445" s="56">
        <f>AI445+3</f>
        <v>12</v>
      </c>
      <c r="AK445" s="56" t="s">
        <v>302</v>
      </c>
      <c r="BB445" s="170"/>
      <c r="BC445" s="80"/>
      <c r="BD445" s="170"/>
      <c r="BE445" s="80"/>
    </row>
    <row r="446" spans="1:62" ht="4.95" customHeight="1" thickTop="1" thickBot="1" x14ac:dyDescent="0.35">
      <c r="A446" s="118"/>
      <c r="B446" s="118"/>
      <c r="C446" s="184"/>
      <c r="D446" s="118"/>
      <c r="E446" s="132"/>
      <c r="F446" s="1"/>
      <c r="BB446" s="170"/>
      <c r="BC446" s="80"/>
      <c r="BD446" s="170"/>
      <c r="BE446" s="80"/>
    </row>
    <row r="447" spans="1:62" ht="13.8" customHeight="1" thickTop="1" thickBot="1" x14ac:dyDescent="0.35">
      <c r="A447" s="117"/>
      <c r="B447" s="183" t="s">
        <v>303</v>
      </c>
      <c r="C447" s="184" t="s">
        <v>304</v>
      </c>
      <c r="D447" s="118"/>
      <c r="E447" s="132"/>
      <c r="F447" s="1"/>
      <c r="AD447" s="60">
        <f>SUM(AE447:AG447)</f>
        <v>3</v>
      </c>
      <c r="AE447" s="56">
        <f>IF(B447=AK457,1,0)</f>
        <v>0</v>
      </c>
      <c r="AF447" s="56">
        <f>IF(B447=AK458,2,0)</f>
        <v>0</v>
      </c>
      <c r="AG447" s="56">
        <f>IF(B447=AK459,3,0)</f>
        <v>3</v>
      </c>
      <c r="BB447" s="170"/>
      <c r="BC447" s="80"/>
      <c r="BD447" s="170"/>
      <c r="BE447" s="80"/>
    </row>
    <row r="448" spans="1:62" ht="4.95" customHeight="1" thickTop="1" thickBot="1" x14ac:dyDescent="0.35">
      <c r="A448" s="118"/>
      <c r="B448" s="118"/>
      <c r="C448" s="184"/>
      <c r="D448" s="118"/>
      <c r="E448" s="132"/>
      <c r="F448" s="1"/>
      <c r="BB448" s="170"/>
      <c r="BC448" s="80"/>
      <c r="BD448" s="170"/>
      <c r="BE448" s="80"/>
    </row>
    <row r="449" spans="1:60" ht="13.8" hidden="1" customHeight="1" thickTop="1" thickBot="1" x14ac:dyDescent="0.35">
      <c r="A449" s="117"/>
      <c r="B449" s="185"/>
      <c r="C449" s="184"/>
      <c r="D449" s="118"/>
      <c r="E449" s="132"/>
      <c r="F449" s="1"/>
      <c r="AD449" s="60">
        <f>SUM(AE449:AG449)</f>
        <v>6</v>
      </c>
      <c r="AE449" s="56">
        <f>IF(B449=AK461,1,0)</f>
        <v>1</v>
      </c>
      <c r="AF449" s="56">
        <f>IF(B449=AK462,2,0)</f>
        <v>2</v>
      </c>
      <c r="AG449" s="56">
        <f>IF(B449=AK463,3,0)</f>
        <v>3</v>
      </c>
      <c r="BB449" s="170"/>
      <c r="BC449" s="80"/>
      <c r="BD449" s="170"/>
      <c r="BE449" s="80"/>
    </row>
    <row r="450" spans="1:60" ht="4.95" hidden="1" customHeight="1" thickTop="1" thickBot="1" x14ac:dyDescent="0.35">
      <c r="A450" s="118"/>
      <c r="B450" s="118"/>
      <c r="C450" s="184"/>
      <c r="D450" s="118"/>
      <c r="E450" s="132"/>
      <c r="F450" s="1"/>
      <c r="BB450" s="170"/>
      <c r="BC450" s="80"/>
      <c r="BD450" s="170"/>
      <c r="BE450" s="80"/>
    </row>
    <row r="451" spans="1:60" ht="13.8" hidden="1" customHeight="1" thickTop="1" thickBot="1" x14ac:dyDescent="0.35">
      <c r="A451" s="117"/>
      <c r="B451" s="185"/>
      <c r="C451" s="184"/>
      <c r="D451" s="118"/>
      <c r="E451" s="132"/>
      <c r="F451" s="1"/>
      <c r="AD451" s="60">
        <f>SUM(AE451:AG451)</f>
        <v>6</v>
      </c>
      <c r="AE451" s="56">
        <f>IF(B451=AK463,1,0)</f>
        <v>1</v>
      </c>
      <c r="AF451" s="56">
        <f>IF(B451=AK464,2,0)</f>
        <v>2</v>
      </c>
      <c r="AG451" s="56">
        <f>IF(B451=AK465,3,0)</f>
        <v>3</v>
      </c>
      <c r="BB451" s="170"/>
      <c r="BC451" s="80"/>
      <c r="BD451" s="170"/>
      <c r="BE451" s="80"/>
    </row>
    <row r="452" spans="1:60" ht="4.95" hidden="1" customHeight="1" thickTop="1" thickBot="1" x14ac:dyDescent="0.35">
      <c r="A452" s="118"/>
      <c r="B452" s="118"/>
      <c r="C452" s="184"/>
      <c r="D452" s="118"/>
      <c r="E452" s="132"/>
      <c r="F452" s="1"/>
      <c r="BB452" s="170"/>
      <c r="BC452" s="80"/>
      <c r="BD452" s="170"/>
      <c r="BE452" s="80"/>
    </row>
    <row r="453" spans="1:60" ht="13.8" hidden="1" customHeight="1" thickTop="1" thickBot="1" x14ac:dyDescent="0.35">
      <c r="A453" s="117"/>
      <c r="B453" s="185"/>
      <c r="C453" s="184"/>
      <c r="D453" s="118"/>
      <c r="E453" s="132"/>
      <c r="F453" s="1"/>
      <c r="AD453" s="60">
        <f>SUM(AE453:AG453)</f>
        <v>6</v>
      </c>
      <c r="AE453" s="56">
        <f>IF(B453=AK465,1,0)</f>
        <v>1</v>
      </c>
      <c r="AF453" s="56">
        <f>IF(B453=AK466,2,0)</f>
        <v>2</v>
      </c>
      <c r="AG453" s="56">
        <f>IF(B453=AK467,3,0)</f>
        <v>3</v>
      </c>
      <c r="BB453" s="170"/>
      <c r="BC453" s="80"/>
      <c r="BD453" s="170"/>
      <c r="BE453" s="80"/>
    </row>
    <row r="454" spans="1:60" ht="4.95" hidden="1" customHeight="1" thickTop="1" thickBot="1" x14ac:dyDescent="0.35">
      <c r="A454" s="118"/>
      <c r="B454" s="118"/>
      <c r="C454" s="184"/>
      <c r="D454" s="118"/>
      <c r="E454" s="132"/>
      <c r="F454" s="1"/>
      <c r="BB454" s="170"/>
      <c r="BC454" s="80"/>
      <c r="BD454" s="170"/>
      <c r="BE454" s="80"/>
    </row>
    <row r="455" spans="1:60" ht="13.8" hidden="1" customHeight="1" thickTop="1" thickBot="1" x14ac:dyDescent="0.35">
      <c r="A455" s="117"/>
      <c r="B455" s="185"/>
      <c r="C455" s="184"/>
      <c r="D455" s="118"/>
      <c r="E455" s="132"/>
      <c r="F455" s="1"/>
      <c r="AD455" s="60">
        <f>SUM(AE455:AG455)</f>
        <v>6</v>
      </c>
      <c r="AE455" s="56">
        <f>IF(B455=AK467,1,0)</f>
        <v>1</v>
      </c>
      <c r="AF455" s="56">
        <f>IF(B455=AK468,2,0)</f>
        <v>2</v>
      </c>
      <c r="AG455" s="56">
        <f>IF(B455=AK469,3,0)</f>
        <v>3</v>
      </c>
      <c r="BB455" s="170"/>
      <c r="BC455" s="80"/>
      <c r="BD455" s="170"/>
      <c r="BE455" s="80"/>
    </row>
    <row r="456" spans="1:60" ht="4.95" hidden="1" customHeight="1" thickTop="1" thickBot="1" x14ac:dyDescent="0.35">
      <c r="A456" s="118"/>
      <c r="B456" s="118"/>
      <c r="C456" s="184"/>
      <c r="D456" s="118"/>
      <c r="E456" s="132"/>
      <c r="F456" s="1"/>
      <c r="BB456" s="170"/>
      <c r="BC456" s="80"/>
      <c r="BD456" s="170"/>
      <c r="BE456" s="80"/>
    </row>
    <row r="457" spans="1:60" ht="13.8" customHeight="1" thickTop="1" thickBot="1" x14ac:dyDescent="0.35">
      <c r="A457" s="117"/>
      <c r="B457" s="183" t="s">
        <v>305</v>
      </c>
      <c r="C457" s="184" t="s">
        <v>306</v>
      </c>
      <c r="D457" s="118"/>
      <c r="E457" s="132"/>
      <c r="F457" s="1"/>
      <c r="AD457" s="60">
        <f>SUM(AE457:AG457)</f>
        <v>2</v>
      </c>
      <c r="AE457" s="56">
        <f>IF(B457=AK457,1,0)</f>
        <v>0</v>
      </c>
      <c r="AF457" s="56">
        <f>IF(B457=AK458,2,0)</f>
        <v>2</v>
      </c>
      <c r="AG457" s="56">
        <f>IF(B457=AK459,3,0)</f>
        <v>0</v>
      </c>
      <c r="AK457" s="56" t="s">
        <v>300</v>
      </c>
      <c r="BB457" s="170"/>
      <c r="BC457" s="80"/>
      <c r="BD457" s="170"/>
      <c r="BE457" s="80"/>
    </row>
    <row r="458" spans="1:60" ht="4.95" customHeight="1" thickTop="1" x14ac:dyDescent="0.3">
      <c r="A458" s="117"/>
      <c r="B458" s="117"/>
      <c r="C458" s="117"/>
      <c r="D458" s="118"/>
      <c r="E458" s="132"/>
      <c r="F458" s="1"/>
      <c r="AK458" s="56" t="s">
        <v>305</v>
      </c>
      <c r="BB458" s="170"/>
      <c r="BC458" s="80"/>
      <c r="BD458" s="170"/>
      <c r="BE458" s="80"/>
    </row>
    <row r="459" spans="1:60" ht="13.8" customHeight="1" x14ac:dyDescent="0.3">
      <c r="A459" s="117"/>
      <c r="B459" s="186" t="s">
        <v>307</v>
      </c>
      <c r="C459" s="118"/>
      <c r="D459" s="118"/>
      <c r="E459" s="132"/>
      <c r="F459" s="1"/>
      <c r="AD459" s="187">
        <f>AD445+AD447+AD457</f>
        <v>6</v>
      </c>
      <c r="AK459" s="56" t="s">
        <v>303</v>
      </c>
      <c r="BB459" s="170"/>
      <c r="BC459" s="80"/>
      <c r="BD459" s="170"/>
      <c r="BE459" s="80"/>
    </row>
    <row r="460" spans="1:60" ht="13.8" customHeight="1" x14ac:dyDescent="0.3">
      <c r="A460" s="117"/>
      <c r="B460" s="186" t="s">
        <v>308</v>
      </c>
      <c r="C460" s="117"/>
      <c r="D460" s="117"/>
      <c r="E460" s="132"/>
      <c r="F460" s="1"/>
      <c r="BB460" s="170"/>
      <c r="BC460" s="80"/>
      <c r="BD460" s="170"/>
      <c r="BE460" s="80"/>
    </row>
    <row r="461" spans="1:60" ht="13.95" customHeight="1" x14ac:dyDescent="0.25">
      <c r="A461" s="117"/>
      <c r="B461" s="117"/>
      <c r="C461" s="117"/>
      <c r="D461" s="117"/>
      <c r="E461" s="132"/>
      <c r="F461" s="1"/>
    </row>
    <row r="462" spans="1:60" ht="30" customHeight="1" x14ac:dyDescent="0.25">
      <c r="A462" s="188" t="s">
        <v>73</v>
      </c>
      <c r="B462" s="46" t="s">
        <v>309</v>
      </c>
      <c r="C462" s="46"/>
      <c r="D462" s="46"/>
      <c r="E462" s="475"/>
      <c r="F462" s="475" t="s">
        <v>949</v>
      </c>
    </row>
    <row r="463" spans="1:60" s="120" customFormat="1" ht="19.95" customHeight="1" x14ac:dyDescent="0.25">
      <c r="A463" s="108" t="s">
        <v>310</v>
      </c>
      <c r="B463" s="109"/>
      <c r="C463" s="109"/>
      <c r="D463" s="109"/>
      <c r="E463" s="189"/>
      <c r="F463" s="108"/>
      <c r="G463" s="119"/>
      <c r="H463" s="119"/>
      <c r="I463" s="119"/>
      <c r="J463" s="119"/>
      <c r="K463" s="119"/>
      <c r="L463" s="119"/>
      <c r="M463" s="119"/>
      <c r="N463" s="119"/>
      <c r="O463" s="119"/>
      <c r="P463" s="119"/>
      <c r="Q463" s="119"/>
      <c r="R463" s="119"/>
      <c r="S463" s="119"/>
      <c r="T463" s="119"/>
      <c r="U463" s="119"/>
      <c r="V463" s="119"/>
      <c r="W463" s="119"/>
      <c r="X463" s="119"/>
      <c r="Y463" s="119"/>
      <c r="Z463" s="119"/>
      <c r="AA463" s="56"/>
      <c r="AB463" s="190">
        <v>0</v>
      </c>
      <c r="AC463" s="191">
        <f>AD463/2</f>
        <v>1.25</v>
      </c>
      <c r="AD463" s="192">
        <f>AE463/2</f>
        <v>2.5</v>
      </c>
      <c r="AE463" s="193">
        <v>5</v>
      </c>
      <c r="AN463" s="194">
        <f>AE463*-2</f>
        <v>-10</v>
      </c>
      <c r="AO463" s="190">
        <f>AE463*-1</f>
        <v>-5</v>
      </c>
      <c r="AP463" s="190">
        <f>AD463*-1</f>
        <v>-2.5</v>
      </c>
      <c r="AQ463" s="195">
        <f>AE463*-0.1</f>
        <v>-0.5</v>
      </c>
      <c r="AR463" s="195">
        <v>0</v>
      </c>
      <c r="AS463" s="195">
        <f>AE463*0.1</f>
        <v>0.5</v>
      </c>
      <c r="AT463" s="192">
        <f>AD463</f>
        <v>2.5</v>
      </c>
      <c r="AU463" s="193">
        <f>AE463</f>
        <v>5</v>
      </c>
      <c r="AV463" s="196"/>
      <c r="BB463" s="197"/>
      <c r="BG463" s="198">
        <f>B439</f>
        <v>0</v>
      </c>
      <c r="BH463" s="402"/>
    </row>
    <row r="464" spans="1:60" ht="19.95" customHeight="1" x14ac:dyDescent="0.25">
      <c r="A464" s="200">
        <f>A428+1</f>
        <v>15</v>
      </c>
      <c r="B464" s="200" t="s">
        <v>311</v>
      </c>
      <c r="C464" s="200"/>
      <c r="D464" s="201" t="str">
        <f>IF(B466="","If claimed, explain in white box below.","")</f>
        <v>If claimed, explain in white box below.</v>
      </c>
      <c r="E464" s="200"/>
      <c r="F464" s="1"/>
    </row>
    <row r="465" spans="1:62" ht="30" customHeight="1" x14ac:dyDescent="0.25">
      <c r="A465" s="202"/>
      <c r="B465" s="567" t="s">
        <v>312</v>
      </c>
      <c r="C465" s="568"/>
      <c r="D465" s="569"/>
      <c r="E465" s="203"/>
      <c r="F465" s="1"/>
    </row>
    <row r="466" spans="1:62" ht="220.05" customHeight="1" thickBot="1" x14ac:dyDescent="0.3">
      <c r="A466" s="202"/>
      <c r="B466" s="570"/>
      <c r="C466" s="571"/>
      <c r="D466" s="572"/>
      <c r="E466" s="203"/>
      <c r="F466" s="1"/>
      <c r="BG466" s="60" t="s">
        <v>313</v>
      </c>
    </row>
    <row r="467" spans="1:62" ht="15" customHeight="1" thickTop="1" thickBot="1" x14ac:dyDescent="0.3">
      <c r="A467" s="202"/>
      <c r="B467" s="204" t="str">
        <f>IF(B466="","","Claimed?")</f>
        <v/>
      </c>
      <c r="C467" s="204" t="str">
        <f>IF(B467="","","Verifiable?")</f>
        <v/>
      </c>
      <c r="D467" s="205" t="str">
        <f>IF(C468="","","Independent verification")</f>
        <v/>
      </c>
      <c r="E467" s="573">
        <f>BI468</f>
        <v>0</v>
      </c>
      <c r="F467" s="574"/>
      <c r="AA467" s="60"/>
      <c r="AB467" s="60" t="s">
        <v>314</v>
      </c>
      <c r="AF467" s="164"/>
      <c r="AG467" s="60" t="s">
        <v>315</v>
      </c>
      <c r="AM467" s="164"/>
      <c r="AN467" s="60" t="s">
        <v>316</v>
      </c>
      <c r="AV467" s="206"/>
      <c r="AX467" s="207" t="s">
        <v>317</v>
      </c>
      <c r="AZ467" s="208" t="s">
        <v>318</v>
      </c>
      <c r="BB467" s="209" t="s">
        <v>319</v>
      </c>
      <c r="BD467" s="208" t="s">
        <v>320</v>
      </c>
      <c r="BG467" s="210" t="s">
        <v>317</v>
      </c>
      <c r="BH467" s="211" t="s">
        <v>318</v>
      </c>
      <c r="BI467" s="210" t="s">
        <v>321</v>
      </c>
      <c r="BJ467" s="211" t="s">
        <v>322</v>
      </c>
    </row>
    <row r="468" spans="1:62" ht="13.8" customHeight="1" thickTop="1" thickBot="1" x14ac:dyDescent="0.3">
      <c r="A468" s="202"/>
      <c r="B468" s="212"/>
      <c r="C468" s="213"/>
      <c r="D468" s="214"/>
      <c r="E468" s="573">
        <f>BJ468</f>
        <v>0</v>
      </c>
      <c r="F468" s="574"/>
      <c r="AA468" s="112"/>
      <c r="AB468" s="112">
        <f>IF(B468=$B$1871,$AB$463,0)</f>
        <v>0</v>
      </c>
      <c r="AC468" s="112">
        <f>IF(B468=$B$1872,$AC$463,0)</f>
        <v>0</v>
      </c>
      <c r="AD468" s="112">
        <f>IF(B468=$B$1873,$AD$463,0)</f>
        <v>0</v>
      </c>
      <c r="AE468" s="112">
        <f>IF(B468=$B$1874,$AE$463,0)</f>
        <v>0</v>
      </c>
      <c r="AF468" s="133">
        <f>SUM(AB468:AE468)</f>
        <v>0</v>
      </c>
      <c r="AG468" s="112">
        <f>IF(C468=$B$1877,$E$1877,0)</f>
        <v>0</v>
      </c>
      <c r="AH468" s="112">
        <f>IF(C468=$B$1878,$E$1878,0)</f>
        <v>0</v>
      </c>
      <c r="AI468" s="112">
        <f>IF(C468=$B$1879,$E$1879,0)</f>
        <v>0</v>
      </c>
      <c r="AJ468" s="112">
        <f>IF(C468=$B$1880,$E$1880,0)</f>
        <v>0</v>
      </c>
      <c r="AK468" s="112">
        <f>IF(C468=$B$1881,$E$1881,0)</f>
        <v>0</v>
      </c>
      <c r="AL468" s="112">
        <f>IF(C468=$B$1882,$E$1882,0)</f>
        <v>0</v>
      </c>
      <c r="AM468" s="133">
        <f>SUM(AG468:AL468)</f>
        <v>0</v>
      </c>
      <c r="AN468" s="112">
        <f>IF($D468=$B$1885,AN$463,0)</f>
        <v>0</v>
      </c>
      <c r="AO468" s="112">
        <f>IF($D468=$B$1886,AO$463,0)</f>
        <v>0</v>
      </c>
      <c r="AP468" s="112">
        <f>IF($D468=$B$1887,AP$463,0)</f>
        <v>0</v>
      </c>
      <c r="AQ468" s="112">
        <f>IF($D468=$B$1888,AQ$463,0)</f>
        <v>0</v>
      </c>
      <c r="AR468" s="112">
        <f>IF($D468=$B$1889,AR$463,0)</f>
        <v>0</v>
      </c>
      <c r="AS468" s="112">
        <f>IF($D468=$B$1890,AS$463,0)</f>
        <v>0</v>
      </c>
      <c r="AT468" s="112">
        <f>IF($D468=$B$1891,AT$463,0)</f>
        <v>0</v>
      </c>
      <c r="AU468" s="112">
        <f>IF($D468=$B$1892,AU$463,0)</f>
        <v>0</v>
      </c>
      <c r="AV468" s="215">
        <f>SUM(AN468:AU468)</f>
        <v>0</v>
      </c>
      <c r="AX468" s="216">
        <f>AF468*AM468</f>
        <v>0</v>
      </c>
      <c r="AZ468" s="158">
        <f>AX468+(AV468*AM468)</f>
        <v>0</v>
      </c>
      <c r="BB468" s="217">
        <f>(AF468*AM468)*0.01</f>
        <v>0</v>
      </c>
      <c r="BD468" s="218">
        <f>AZ468*0.01</f>
        <v>0</v>
      </c>
      <c r="BE468" s="402"/>
      <c r="BG468" s="217">
        <f>IF(AF468&gt;0,BG463+BB468,BG463)</f>
        <v>0</v>
      </c>
      <c r="BH468" s="218">
        <f>IF(AV468&gt;0,BG463+BD468,BG463)</f>
        <v>0</v>
      </c>
      <c r="BI468" s="217">
        <f>IF(BG468&gt;0.99,0.99,BG468)</f>
        <v>0</v>
      </c>
      <c r="BJ468" s="218">
        <f>IF(BH468&gt;0.99,0.99,BH468)</f>
        <v>0</v>
      </c>
    </row>
    <row r="469" spans="1:62" ht="19.95" customHeight="1" thickTop="1" x14ac:dyDescent="0.25">
      <c r="A469" s="200">
        <f>A464+1</f>
        <v>16</v>
      </c>
      <c r="B469" s="200" t="s">
        <v>324</v>
      </c>
      <c r="C469" s="200"/>
      <c r="D469" s="201" t="str">
        <f>IF(B471="","If claimed, explain in white box below.","")</f>
        <v>If claimed, explain in white box below.</v>
      </c>
      <c r="E469" s="203"/>
      <c r="F469" s="1"/>
      <c r="AZ469" s="219">
        <f>IF(AV468=0,0,(AX468+(AV468*AM468)))</f>
        <v>0</v>
      </c>
    </row>
    <row r="470" spans="1:62" ht="45" customHeight="1" x14ac:dyDescent="0.25">
      <c r="A470" s="202"/>
      <c r="B470" s="567" t="s">
        <v>325</v>
      </c>
      <c r="C470" s="568"/>
      <c r="D470" s="569"/>
      <c r="E470" s="203"/>
      <c r="F470" s="1"/>
    </row>
    <row r="471" spans="1:62" ht="220.05" customHeight="1" thickBot="1" x14ac:dyDescent="0.3">
      <c r="A471" s="202"/>
      <c r="B471" s="570"/>
      <c r="C471" s="571"/>
      <c r="D471" s="572"/>
      <c r="E471" s="203"/>
      <c r="F471" s="1"/>
    </row>
    <row r="472" spans="1:62" ht="13.8" customHeight="1" thickTop="1" thickBot="1" x14ac:dyDescent="0.3">
      <c r="A472" s="202"/>
      <c r="B472" s="204" t="str">
        <f>IF(B471="","","Claimed?")</f>
        <v/>
      </c>
      <c r="C472" s="204" t="str">
        <f>IF(B472="","","Verifiable?")</f>
        <v/>
      </c>
      <c r="D472" s="205" t="str">
        <f>IF(C473="","","Independent verification")</f>
        <v/>
      </c>
      <c r="E472" s="573">
        <f>BI473</f>
        <v>0</v>
      </c>
      <c r="F472" s="574"/>
      <c r="AA472" s="60"/>
      <c r="AB472" s="60" t="s">
        <v>314</v>
      </c>
      <c r="AF472" s="220"/>
      <c r="AG472" s="60" t="s">
        <v>315</v>
      </c>
      <c r="AM472" s="221"/>
      <c r="AN472" s="60" t="s">
        <v>316</v>
      </c>
      <c r="AV472" s="222"/>
      <c r="AX472" s="207" t="s">
        <v>317</v>
      </c>
      <c r="AZ472" s="208" t="s">
        <v>318</v>
      </c>
      <c r="BB472" s="209" t="s">
        <v>319</v>
      </c>
      <c r="BD472" s="208" t="s">
        <v>320</v>
      </c>
      <c r="BG472" s="210" t="s">
        <v>326</v>
      </c>
      <c r="BH472" s="211" t="s">
        <v>327</v>
      </c>
      <c r="BI472" s="210" t="s">
        <v>321</v>
      </c>
      <c r="BJ472" s="211" t="s">
        <v>322</v>
      </c>
    </row>
    <row r="473" spans="1:62" ht="15" thickTop="1" thickBot="1" x14ac:dyDescent="0.3">
      <c r="A473" s="202"/>
      <c r="B473" s="212"/>
      <c r="C473" s="213"/>
      <c r="D473" s="223"/>
      <c r="E473" s="573">
        <f>BJ473</f>
        <v>0</v>
      </c>
      <c r="F473" s="574"/>
      <c r="AA473" s="112"/>
      <c r="AB473" s="112">
        <f>IF(B473=$B$1871,$AB$463,0)</f>
        <v>0</v>
      </c>
      <c r="AC473" s="112">
        <f>IF(B473=$B$1872,$AC$463,0)</f>
        <v>0</v>
      </c>
      <c r="AD473" s="112">
        <f>IF(B473=$B$1873,$AD$463,0)</f>
        <v>0</v>
      </c>
      <c r="AE473" s="112">
        <f>IF(B473=$B$1874,$AE$463,0)</f>
        <v>0</v>
      </c>
      <c r="AF473" s="224">
        <f>SUM(AB473:AE473)</f>
        <v>0</v>
      </c>
      <c r="AG473" s="112">
        <f>IF(C473=$B$1877,$E$1877,0)</f>
        <v>0</v>
      </c>
      <c r="AH473" s="112">
        <f>IF(C473=$B$1878,$E$1878,0)</f>
        <v>0</v>
      </c>
      <c r="AI473" s="112">
        <f>IF(C473=$B$1879,$E$1879,0)</f>
        <v>0</v>
      </c>
      <c r="AJ473" s="112">
        <f>IF(C473=$B$1880,$E$1880,0)</f>
        <v>0</v>
      </c>
      <c r="AK473" s="112">
        <f>IF(C473=$B$1881,$E$1881,0)</f>
        <v>0</v>
      </c>
      <c r="AL473" s="112">
        <f>IF(C473=$B$1882,$E$1882,0)</f>
        <v>0</v>
      </c>
      <c r="AM473" s="225">
        <f>SUM(AG473:AL473)</f>
        <v>0</v>
      </c>
      <c r="AN473" s="112">
        <f>IF($D473=$B$1885,AN$463,0)</f>
        <v>0</v>
      </c>
      <c r="AO473" s="112">
        <f>IF($D473=$B$1886,AO$463,0)</f>
        <v>0</v>
      </c>
      <c r="AP473" s="112">
        <f>IF($D473=$B$1887,AP$463,0)</f>
        <v>0</v>
      </c>
      <c r="AQ473" s="112">
        <f>IF($D473=$B$1888,AQ$463,0)</f>
        <v>0</v>
      </c>
      <c r="AR473" s="112">
        <f>IF($D473=$B$1889,AR$463,0)</f>
        <v>0</v>
      </c>
      <c r="AS473" s="112">
        <f>IF($D473=$B$1890,AS$463,0)</f>
        <v>0</v>
      </c>
      <c r="AT473" s="112">
        <f>IF($D473=$B$1891,AT$463,0)</f>
        <v>0</v>
      </c>
      <c r="AU473" s="112">
        <f>IF($D473=$B$1892,AU$463,0)</f>
        <v>0</v>
      </c>
      <c r="AV473" s="226">
        <f>SUM(AN473:AU473)</f>
        <v>0</v>
      </c>
      <c r="AX473" s="216">
        <f>AF473*AM473</f>
        <v>0</v>
      </c>
      <c r="AZ473" s="158">
        <f>AX473+(AV473*AM473)</f>
        <v>0</v>
      </c>
      <c r="BB473" s="217">
        <f>(AF473*AM473)*0.01</f>
        <v>0</v>
      </c>
      <c r="BD473" s="218">
        <f>AZ473*0.01</f>
        <v>0</v>
      </c>
      <c r="BE473" s="402"/>
      <c r="BG473" s="217">
        <f>IF(AF473&gt;0,BG468+BB473,BG468)</f>
        <v>0</v>
      </c>
      <c r="BH473" s="218">
        <f>IF(AV473&gt;0,BH468+BD473,BH468)</f>
        <v>0</v>
      </c>
      <c r="BI473" s="217">
        <f>IF(BG473&gt;0.99,0.99,BG473)</f>
        <v>0</v>
      </c>
      <c r="BJ473" s="218">
        <f>IF(BH473&gt;0.99,0.99,BH473)</f>
        <v>0</v>
      </c>
    </row>
    <row r="474" spans="1:62" ht="4.95" customHeight="1" thickTop="1" x14ac:dyDescent="0.25">
      <c r="A474" s="203"/>
      <c r="B474" s="203"/>
      <c r="C474" s="203"/>
      <c r="D474" s="203"/>
      <c r="E474" s="203"/>
      <c r="F474" s="1"/>
    </row>
    <row r="475" spans="1:62" ht="19.95" customHeight="1" x14ac:dyDescent="0.25">
      <c r="A475" s="200">
        <f>A469+1</f>
        <v>17</v>
      </c>
      <c r="B475" s="200" t="s">
        <v>328</v>
      </c>
      <c r="C475" s="200"/>
      <c r="D475" s="201" t="str">
        <f>IF(B477="","If claimed, explain in white box below.","")</f>
        <v>If claimed, explain in white box below.</v>
      </c>
      <c r="E475" s="203"/>
      <c r="F475" s="1"/>
    </row>
    <row r="476" spans="1:62" ht="45" customHeight="1" x14ac:dyDescent="0.25">
      <c r="A476" s="202"/>
      <c r="B476" s="567" t="s">
        <v>329</v>
      </c>
      <c r="C476" s="568"/>
      <c r="D476" s="569"/>
      <c r="E476" s="203"/>
      <c r="F476" s="1"/>
    </row>
    <row r="477" spans="1:62" ht="235.05" customHeight="1" thickBot="1" x14ac:dyDescent="0.3">
      <c r="A477" s="202"/>
      <c r="B477" s="570"/>
      <c r="C477" s="571"/>
      <c r="D477" s="572"/>
      <c r="E477" s="203"/>
      <c r="F477" s="1"/>
    </row>
    <row r="478" spans="1:62" ht="15" thickTop="1" thickBot="1" x14ac:dyDescent="0.3">
      <c r="A478" s="202"/>
      <c r="B478" s="204" t="str">
        <f>IF(B477="","","Claimed?")</f>
        <v/>
      </c>
      <c r="C478" s="204" t="str">
        <f>IF(B478="","","Verifiable?")</f>
        <v/>
      </c>
      <c r="D478" s="205" t="str">
        <f>IF(C479="","","Independent verification")</f>
        <v/>
      </c>
      <c r="E478" s="573">
        <f>BI479</f>
        <v>0</v>
      </c>
      <c r="F478" s="574"/>
      <c r="AA478" s="60"/>
      <c r="AB478" s="60" t="s">
        <v>314</v>
      </c>
      <c r="AF478" s="220"/>
      <c r="AG478" s="60" t="s">
        <v>315</v>
      </c>
      <c r="AM478" s="221"/>
      <c r="AN478" s="60" t="s">
        <v>316</v>
      </c>
      <c r="AV478" s="222"/>
      <c r="AX478" s="207" t="s">
        <v>317</v>
      </c>
      <c r="AZ478" s="208" t="s">
        <v>318</v>
      </c>
      <c r="BB478" s="209" t="s">
        <v>319</v>
      </c>
      <c r="BD478" s="208" t="s">
        <v>320</v>
      </c>
      <c r="BG478" s="210" t="s">
        <v>326</v>
      </c>
      <c r="BH478" s="211" t="s">
        <v>327</v>
      </c>
      <c r="BI478" s="210" t="s">
        <v>321</v>
      </c>
      <c r="BJ478" s="211" t="s">
        <v>322</v>
      </c>
    </row>
    <row r="479" spans="1:62" ht="15" thickTop="1" thickBot="1" x14ac:dyDescent="0.3">
      <c r="A479" s="202"/>
      <c r="B479" s="212"/>
      <c r="C479" s="213"/>
      <c r="D479" s="227"/>
      <c r="E479" s="573">
        <f>BJ479</f>
        <v>0</v>
      </c>
      <c r="F479" s="574"/>
      <c r="AA479" s="112"/>
      <c r="AB479" s="112">
        <f>IF(B479=$B$1871,$AB$463,0)</f>
        <v>0</v>
      </c>
      <c r="AC479" s="112">
        <f>IF(B479=$B$1872,$AC$463,0)</f>
        <v>0</v>
      </c>
      <c r="AD479" s="112">
        <f>IF(B479=$B$1873,$AD$463,0)</f>
        <v>0</v>
      </c>
      <c r="AE479" s="112">
        <f>IF(B479=$B$1874,$AE$463,0)</f>
        <v>0</v>
      </c>
      <c r="AF479" s="224">
        <f>SUM(AB479:AE479)</f>
        <v>0</v>
      </c>
      <c r="AG479" s="112">
        <f>IF(C479=$B$1877,$E$1877,0)</f>
        <v>0</v>
      </c>
      <c r="AH479" s="112">
        <f>IF(C479=$B$1878,$E$1878,0)</f>
        <v>0</v>
      </c>
      <c r="AI479" s="112">
        <f>IF(C479=$B$1879,$E$1879,0)</f>
        <v>0</v>
      </c>
      <c r="AJ479" s="112">
        <f>IF(C479=$B$1880,$E$1880,0)</f>
        <v>0</v>
      </c>
      <c r="AK479" s="112">
        <f>IF(C479=$B$1881,$E$1881,0)</f>
        <v>0</v>
      </c>
      <c r="AL479" s="112">
        <f>IF(C479=$B$1882,$E$1882,0)</f>
        <v>0</v>
      </c>
      <c r="AM479" s="225">
        <f>SUM(AG479:AL479)</f>
        <v>0</v>
      </c>
      <c r="AN479" s="112">
        <f>IF($D479=$B$1885,AN$463,0)</f>
        <v>0</v>
      </c>
      <c r="AO479" s="112">
        <f>IF($D479=$B$1886,AO$463,0)</f>
        <v>0</v>
      </c>
      <c r="AP479" s="112">
        <f>IF($D479=$B$1887,AP$463,0)</f>
        <v>0</v>
      </c>
      <c r="AQ479" s="112">
        <f>IF($D479=$B$1888,AQ$463,0)</f>
        <v>0</v>
      </c>
      <c r="AR479" s="112">
        <f>IF($D479=$B$1889,AR$463,0)</f>
        <v>0</v>
      </c>
      <c r="AS479" s="112">
        <f>IF($D479=$B$1890,AS$463,0)</f>
        <v>0</v>
      </c>
      <c r="AT479" s="112">
        <f>IF($D479=$B$1891,AT$463,0)</f>
        <v>0</v>
      </c>
      <c r="AU479" s="112">
        <f>IF($D479=$B$1892,AU$463,0)</f>
        <v>0</v>
      </c>
      <c r="AV479" s="226">
        <f>SUM(AN479:AU479)</f>
        <v>0</v>
      </c>
      <c r="AX479" s="216">
        <f>AF479*AM479</f>
        <v>0</v>
      </c>
      <c r="AZ479" s="158">
        <f>AX479+(AV479*AM479)</f>
        <v>0</v>
      </c>
      <c r="BB479" s="217">
        <f>(AF479*AM479)*0.01</f>
        <v>0</v>
      </c>
      <c r="BD479" s="218">
        <f>AZ479*0.01</f>
        <v>0</v>
      </c>
      <c r="BE479" s="402"/>
      <c r="BG479" s="217">
        <f>IF(AF479&gt;0,BG473+BB479,BG473)</f>
        <v>0</v>
      </c>
      <c r="BH479" s="218">
        <f>IF(AV479&gt;0,BH473+BD479,BH473)</f>
        <v>0</v>
      </c>
      <c r="BI479" s="217">
        <f>IF(BG479&gt;0.99,0.99,BG479)</f>
        <v>0</v>
      </c>
      <c r="BJ479" s="218">
        <f>IF(BH479&gt;0.99,0.99,BH479)</f>
        <v>0</v>
      </c>
    </row>
    <row r="480" spans="1:62" ht="19.95" customHeight="1" thickTop="1" x14ac:dyDescent="0.25">
      <c r="A480" s="200">
        <f>A475+1</f>
        <v>18</v>
      </c>
      <c r="B480" s="200" t="s">
        <v>333</v>
      </c>
      <c r="C480" s="200"/>
      <c r="D480" s="201" t="str">
        <f>IF(B482="","If claimed, explain in white box below.","")</f>
        <v>If claimed, explain in white box below.</v>
      </c>
      <c r="E480" s="228"/>
      <c r="F480" s="1"/>
    </row>
    <row r="481" spans="1:62" ht="55.05" customHeight="1" x14ac:dyDescent="0.25">
      <c r="A481" s="202"/>
      <c r="B481" s="567" t="s">
        <v>334</v>
      </c>
      <c r="C481" s="568"/>
      <c r="D481" s="569"/>
      <c r="E481" s="203"/>
      <c r="F481" s="1"/>
    </row>
    <row r="482" spans="1:62" ht="235.05" customHeight="1" thickBot="1" x14ac:dyDescent="0.3">
      <c r="A482" s="202"/>
      <c r="B482" s="570"/>
      <c r="C482" s="571"/>
      <c r="D482" s="572"/>
      <c r="E482" s="203"/>
      <c r="F482" s="1"/>
    </row>
    <row r="483" spans="1:62" ht="15" thickTop="1" thickBot="1" x14ac:dyDescent="0.3">
      <c r="A483" s="202"/>
      <c r="B483" s="204" t="str">
        <f>IF(B482="","","Claimed?")</f>
        <v/>
      </c>
      <c r="C483" s="204" t="str">
        <f>IF(B483="","","Verifiable?")</f>
        <v/>
      </c>
      <c r="D483" s="205" t="str">
        <f>IF(C484="","","Independent verification")</f>
        <v/>
      </c>
      <c r="E483" s="573">
        <f>BI484</f>
        <v>0</v>
      </c>
      <c r="F483" s="574"/>
      <c r="AA483" s="60"/>
      <c r="AB483" s="60" t="s">
        <v>314</v>
      </c>
      <c r="AF483" s="220"/>
      <c r="AG483" s="60" t="s">
        <v>315</v>
      </c>
      <c r="AM483" s="221"/>
      <c r="AN483" s="60" t="s">
        <v>316</v>
      </c>
      <c r="AV483" s="222"/>
      <c r="AX483" s="207" t="s">
        <v>317</v>
      </c>
      <c r="AZ483" s="208" t="s">
        <v>318</v>
      </c>
      <c r="BB483" s="209" t="s">
        <v>319</v>
      </c>
      <c r="BD483" s="208" t="s">
        <v>320</v>
      </c>
      <c r="BG483" s="210" t="s">
        <v>326</v>
      </c>
      <c r="BH483" s="211" t="s">
        <v>327</v>
      </c>
      <c r="BI483" s="210" t="s">
        <v>321</v>
      </c>
      <c r="BJ483" s="211" t="s">
        <v>322</v>
      </c>
    </row>
    <row r="484" spans="1:62" ht="15" thickTop="1" thickBot="1" x14ac:dyDescent="0.3">
      <c r="A484" s="202"/>
      <c r="B484" s="212"/>
      <c r="C484" s="213"/>
      <c r="D484" s="223"/>
      <c r="E484" s="573">
        <f>BJ484</f>
        <v>0</v>
      </c>
      <c r="F484" s="574"/>
      <c r="AA484" s="112"/>
      <c r="AB484" s="112">
        <f>IF(B484=$B$1871,$AB$463,0)</f>
        <v>0</v>
      </c>
      <c r="AC484" s="112">
        <f>IF(B484=$B$1872,$AC$463,0)</f>
        <v>0</v>
      </c>
      <c r="AD484" s="112">
        <f>IF(B484=$B$1873,$AD$463,0)</f>
        <v>0</v>
      </c>
      <c r="AE484" s="112">
        <f>IF(B484=$B$1874,$AE$463,0)</f>
        <v>0</v>
      </c>
      <c r="AF484" s="224">
        <f>SUM(AB484:AE484)</f>
        <v>0</v>
      </c>
      <c r="AG484" s="112">
        <f>IF(C484=$B$1877,$E$1877,0)</f>
        <v>0</v>
      </c>
      <c r="AH484" s="112">
        <f>IF(C484=$B$1878,$E$1878,0)</f>
        <v>0</v>
      </c>
      <c r="AI484" s="112">
        <f>IF(C484=$B$1879,$E$1879,0)</f>
        <v>0</v>
      </c>
      <c r="AJ484" s="112">
        <f>IF(C484=$B$1880,$E$1880,0)</f>
        <v>0</v>
      </c>
      <c r="AK484" s="112">
        <f>IF(C484=$B$1881,$E$1881,0)</f>
        <v>0</v>
      </c>
      <c r="AL484" s="112">
        <f>IF(C484=$B$1882,$E$1882,0)</f>
        <v>0</v>
      </c>
      <c r="AM484" s="225">
        <f>SUM(AG484:AL484)</f>
        <v>0</v>
      </c>
      <c r="AN484" s="112">
        <f>IF($D484=$B$1885,AN$463,0)</f>
        <v>0</v>
      </c>
      <c r="AO484" s="112">
        <f>IF($D484=$B$1886,AO$463,0)</f>
        <v>0</v>
      </c>
      <c r="AP484" s="112">
        <f>IF($D484=$B$1887,AP$463,0)</f>
        <v>0</v>
      </c>
      <c r="AQ484" s="112">
        <f>IF($D484=$B$1888,AQ$463,0)</f>
        <v>0</v>
      </c>
      <c r="AR484" s="112">
        <f>IF($D484=$B$1889,AR$463,0)</f>
        <v>0</v>
      </c>
      <c r="AS484" s="112">
        <f>IF($D484=$B$1890,AS$463,0)</f>
        <v>0</v>
      </c>
      <c r="AT484" s="112">
        <f>IF($D484=$B$1891,AT$463,0)</f>
        <v>0</v>
      </c>
      <c r="AU484" s="112">
        <f>IF($D484=$B$1892,AU$463,0)</f>
        <v>0</v>
      </c>
      <c r="AV484" s="226">
        <f>SUM(AN484:AU484)</f>
        <v>0</v>
      </c>
      <c r="AX484" s="216">
        <f>AF484*AM484</f>
        <v>0</v>
      </c>
      <c r="AZ484" s="158">
        <f>AX484+(AV484*AM484)</f>
        <v>0</v>
      </c>
      <c r="BB484" s="217">
        <f>(AF484*AM484)*0.01</f>
        <v>0</v>
      </c>
      <c r="BD484" s="218">
        <f>AZ484*0.01</f>
        <v>0</v>
      </c>
      <c r="BE484" s="402"/>
      <c r="BG484" s="217">
        <f>IF(AF484&gt;0,BG479+BB484,BG479)</f>
        <v>0</v>
      </c>
      <c r="BH484" s="218">
        <f>IF(AV484&gt;0,BH479+BD484,BH479)</f>
        <v>0</v>
      </c>
      <c r="BI484" s="217">
        <f>IF(BG484&gt;0.99,0.99,BG484)</f>
        <v>0</v>
      </c>
      <c r="BJ484" s="218">
        <f>IF(BH484&gt;0.99,0.99,BH484)</f>
        <v>0</v>
      </c>
    </row>
    <row r="485" spans="1:62" ht="4.95" customHeight="1" thickTop="1" x14ac:dyDescent="0.25">
      <c r="A485" s="203"/>
      <c r="B485" s="203"/>
      <c r="C485" s="203"/>
      <c r="D485" s="203"/>
      <c r="E485" s="203"/>
      <c r="F485" s="1"/>
    </row>
    <row r="486" spans="1:62" ht="19.95" customHeight="1" x14ac:dyDescent="0.25">
      <c r="A486" s="200">
        <f>A480+1</f>
        <v>19</v>
      </c>
      <c r="B486" s="200" t="s">
        <v>336</v>
      </c>
      <c r="C486" s="200"/>
      <c r="D486" s="201" t="str">
        <f>IF(B488="","If claimed, explain in white box below.","")</f>
        <v>If claimed, explain in white box below.</v>
      </c>
      <c r="E486" s="228"/>
      <c r="F486" s="1"/>
    </row>
    <row r="487" spans="1:62" ht="45" customHeight="1" x14ac:dyDescent="0.25">
      <c r="A487" s="202"/>
      <c r="B487" s="567" t="s">
        <v>337</v>
      </c>
      <c r="C487" s="568"/>
      <c r="D487" s="569"/>
      <c r="E487" s="203"/>
      <c r="F487" s="1"/>
    </row>
    <row r="488" spans="1:62" ht="235.05" customHeight="1" thickBot="1" x14ac:dyDescent="0.3">
      <c r="A488" s="202"/>
      <c r="B488" s="570"/>
      <c r="C488" s="571"/>
      <c r="D488" s="572"/>
      <c r="E488" s="203"/>
      <c r="F488" s="1"/>
    </row>
    <row r="489" spans="1:62" ht="15" thickTop="1" thickBot="1" x14ac:dyDescent="0.3">
      <c r="A489" s="202"/>
      <c r="B489" s="204" t="str">
        <f>IF(B488="","","Claimed?")</f>
        <v/>
      </c>
      <c r="C489" s="204" t="str">
        <f>IF(B489="","","Verifiable?")</f>
        <v/>
      </c>
      <c r="D489" s="205" t="str">
        <f>IF(C490="","","Independent verification")</f>
        <v/>
      </c>
      <c r="E489" s="573">
        <f>BI490</f>
        <v>0</v>
      </c>
      <c r="F489" s="574"/>
      <c r="AA489" s="60"/>
      <c r="AB489" s="60" t="s">
        <v>314</v>
      </c>
      <c r="AF489" s="220"/>
      <c r="AG489" s="60" t="s">
        <v>315</v>
      </c>
      <c r="AM489" s="221"/>
      <c r="AN489" s="60" t="s">
        <v>316</v>
      </c>
      <c r="AV489" s="222"/>
      <c r="AX489" s="207" t="s">
        <v>317</v>
      </c>
      <c r="AZ489" s="208" t="s">
        <v>318</v>
      </c>
      <c r="BB489" s="209" t="s">
        <v>319</v>
      </c>
      <c r="BD489" s="208" t="s">
        <v>320</v>
      </c>
      <c r="BG489" s="210" t="s">
        <v>326</v>
      </c>
      <c r="BH489" s="211" t="s">
        <v>327</v>
      </c>
      <c r="BI489" s="210" t="s">
        <v>321</v>
      </c>
      <c r="BJ489" s="211" t="s">
        <v>322</v>
      </c>
    </row>
    <row r="490" spans="1:62" ht="15" thickTop="1" thickBot="1" x14ac:dyDescent="0.3">
      <c r="A490" s="202"/>
      <c r="B490" s="212"/>
      <c r="C490" s="213"/>
      <c r="D490" s="223"/>
      <c r="E490" s="573">
        <f>BJ490</f>
        <v>0</v>
      </c>
      <c r="F490" s="574"/>
      <c r="AA490" s="112"/>
      <c r="AB490" s="112">
        <f>IF(B490=$B$1871,$AB$463,0)</f>
        <v>0</v>
      </c>
      <c r="AC490" s="112">
        <f>IF(B490=$B$1872,$AC$463,0)</f>
        <v>0</v>
      </c>
      <c r="AD490" s="112">
        <f>IF(B490=$B$1873,$AD$463,0)</f>
        <v>0</v>
      </c>
      <c r="AE490" s="112">
        <f>IF(B490=$B$1874,$AE$463,0)</f>
        <v>0</v>
      </c>
      <c r="AF490" s="224">
        <f>SUM(AB490:AE490)</f>
        <v>0</v>
      </c>
      <c r="AG490" s="112">
        <f>IF(C490=$B$1877,$E$1877,0)</f>
        <v>0</v>
      </c>
      <c r="AH490" s="112">
        <f>IF(C490=$B$1878,$E$1878,0)</f>
        <v>0</v>
      </c>
      <c r="AI490" s="112">
        <f>IF(C490=$B$1879,$E$1879,0)</f>
        <v>0</v>
      </c>
      <c r="AJ490" s="112">
        <f>IF(C490=$B$1880,$E$1880,0)</f>
        <v>0</v>
      </c>
      <c r="AK490" s="112">
        <f>IF(C490=$B$1881,$E$1881,0)</f>
        <v>0</v>
      </c>
      <c r="AL490" s="112">
        <f>IF(C490=$B$1882,$E$1882,0)</f>
        <v>0</v>
      </c>
      <c r="AM490" s="225">
        <f>SUM(AG490:AL490)</f>
        <v>0</v>
      </c>
      <c r="AN490" s="112">
        <f>IF($D490=$B$1885,AN$463,0)</f>
        <v>0</v>
      </c>
      <c r="AO490" s="112">
        <f>IF($D490=$B$1886,AO$463,0)</f>
        <v>0</v>
      </c>
      <c r="AP490" s="112">
        <f>IF($D490=$B$1887,AP$463,0)</f>
        <v>0</v>
      </c>
      <c r="AQ490" s="112">
        <f>IF($D490=$B$1888,AQ$463,0)</f>
        <v>0</v>
      </c>
      <c r="AR490" s="112">
        <f>IF($D490=$B$1889,AR$463,0)</f>
        <v>0</v>
      </c>
      <c r="AS490" s="112">
        <f>IF($D490=$B$1890,AS$463,0)</f>
        <v>0</v>
      </c>
      <c r="AT490" s="112">
        <f>IF($D490=$B$1891,AT$463,0)</f>
        <v>0</v>
      </c>
      <c r="AU490" s="112">
        <f>IF($D490=$B$1892,AU$463,0)</f>
        <v>0</v>
      </c>
      <c r="AV490" s="226">
        <f>SUM(AN490:AU490)</f>
        <v>0</v>
      </c>
      <c r="AX490" s="216">
        <f>AF490*AM490</f>
        <v>0</v>
      </c>
      <c r="AZ490" s="158">
        <f>AX490+(AV490*AM490)</f>
        <v>0</v>
      </c>
      <c r="BB490" s="217">
        <f>(AF490*AM490)*0.01</f>
        <v>0</v>
      </c>
      <c r="BD490" s="218">
        <f>AZ490*0.01</f>
        <v>0</v>
      </c>
      <c r="BE490" s="402"/>
      <c r="BG490" s="217">
        <f>IF(AF490&gt;0,BG484+BB490,BG484)</f>
        <v>0</v>
      </c>
      <c r="BH490" s="218">
        <f>IF(AV490&gt;0,BH484+BD490,BH484)</f>
        <v>0</v>
      </c>
      <c r="BI490" s="217">
        <f>IF(BG490&gt;0.99,0.99,BG490)</f>
        <v>0</v>
      </c>
      <c r="BJ490" s="218">
        <f>IF(BH490&gt;0.99,0.99,BH490)</f>
        <v>0</v>
      </c>
    </row>
    <row r="491" spans="1:62" ht="19.95" customHeight="1" thickTop="1" x14ac:dyDescent="0.25">
      <c r="A491" s="200">
        <f>A486+1</f>
        <v>20</v>
      </c>
      <c r="B491" s="200" t="s">
        <v>338</v>
      </c>
      <c r="C491" s="200"/>
      <c r="D491" s="201" t="str">
        <f>IF(B493="","If claimed, explain in white box below.","")</f>
        <v>If claimed, explain in white box below.</v>
      </c>
      <c r="E491" s="228"/>
      <c r="F491" s="1"/>
      <c r="BC491" s="16"/>
    </row>
    <row r="492" spans="1:62" ht="45" customHeight="1" x14ac:dyDescent="0.25">
      <c r="A492" s="202"/>
      <c r="B492" s="567" t="s">
        <v>339</v>
      </c>
      <c r="C492" s="568"/>
      <c r="D492" s="569"/>
      <c r="E492" s="203"/>
      <c r="F492" s="1"/>
    </row>
    <row r="493" spans="1:62" ht="235.05" customHeight="1" thickBot="1" x14ac:dyDescent="0.3">
      <c r="A493" s="202"/>
      <c r="B493" s="570"/>
      <c r="C493" s="571"/>
      <c r="D493" s="572"/>
      <c r="E493" s="203"/>
      <c r="F493" s="1"/>
    </row>
    <row r="494" spans="1:62" ht="15" thickTop="1" thickBot="1" x14ac:dyDescent="0.3">
      <c r="A494" s="202"/>
      <c r="B494" s="204" t="str">
        <f>IF(B493="","","Claimed?")</f>
        <v/>
      </c>
      <c r="C494" s="204" t="str">
        <f>IF(B494="","","Verifiable?")</f>
        <v/>
      </c>
      <c r="D494" s="205" t="str">
        <f>IF(C495="","","Independent verification")</f>
        <v/>
      </c>
      <c r="E494" s="573">
        <f>BI495</f>
        <v>0</v>
      </c>
      <c r="F494" s="574"/>
      <c r="AA494" s="60"/>
      <c r="AB494" s="60" t="s">
        <v>314</v>
      </c>
      <c r="AF494" s="220"/>
      <c r="AG494" s="60" t="s">
        <v>315</v>
      </c>
      <c r="AM494" s="221"/>
      <c r="AN494" s="60" t="s">
        <v>316</v>
      </c>
      <c r="AV494" s="222"/>
      <c r="AX494" s="207" t="s">
        <v>317</v>
      </c>
      <c r="AZ494" s="208" t="s">
        <v>318</v>
      </c>
      <c r="BB494" s="209" t="s">
        <v>319</v>
      </c>
      <c r="BD494" s="208" t="s">
        <v>320</v>
      </c>
      <c r="BG494" s="210" t="s">
        <v>326</v>
      </c>
      <c r="BH494" s="211" t="s">
        <v>327</v>
      </c>
      <c r="BI494" s="210" t="s">
        <v>321</v>
      </c>
      <c r="BJ494" s="211" t="s">
        <v>322</v>
      </c>
    </row>
    <row r="495" spans="1:62" ht="15" thickTop="1" thickBot="1" x14ac:dyDescent="0.3">
      <c r="A495" s="202"/>
      <c r="B495" s="212"/>
      <c r="C495" s="213"/>
      <c r="D495" s="223"/>
      <c r="E495" s="573">
        <f>BJ495</f>
        <v>0</v>
      </c>
      <c r="F495" s="574"/>
      <c r="AA495" s="112"/>
      <c r="AB495" s="112">
        <f>IF(B495=$B$1871,$AB$463,0)</f>
        <v>0</v>
      </c>
      <c r="AC495" s="112">
        <f>IF(B495=$B$1872,$AC$463,0)</f>
        <v>0</v>
      </c>
      <c r="AD495" s="112">
        <f>IF(B495=$B$1873,$AD$463,0)</f>
        <v>0</v>
      </c>
      <c r="AE495" s="112">
        <f>IF(B495=$B$1874,$AE$463,0)</f>
        <v>0</v>
      </c>
      <c r="AF495" s="224">
        <f>SUM(AB495:AE495)</f>
        <v>0</v>
      </c>
      <c r="AG495" s="112">
        <f>IF(C495=$B$1877,$E$1877,0)</f>
        <v>0</v>
      </c>
      <c r="AH495" s="112">
        <f>IF(C495=$B$1878,$E$1878,0)</f>
        <v>0</v>
      </c>
      <c r="AI495" s="112">
        <f>IF(C495=$B$1879,$E$1879,0)</f>
        <v>0</v>
      </c>
      <c r="AJ495" s="112">
        <f>IF(C495=$B$1880,$E$1880,0)</f>
        <v>0</v>
      </c>
      <c r="AK495" s="112">
        <f>IF(C495=$B$1881,$E$1881,0)</f>
        <v>0</v>
      </c>
      <c r="AL495" s="112">
        <f>IF(C495=$B$1882,$E$1882,0)</f>
        <v>0</v>
      </c>
      <c r="AM495" s="225">
        <f>SUM(AG495:AL495)</f>
        <v>0</v>
      </c>
      <c r="AN495" s="112">
        <f>IF($D495=$B$1885,AN$463,0)</f>
        <v>0</v>
      </c>
      <c r="AO495" s="112">
        <f>IF($D495=$B$1886,AO$463,0)</f>
        <v>0</v>
      </c>
      <c r="AP495" s="112">
        <f>IF($D495=$B$1887,AP$463,0)</f>
        <v>0</v>
      </c>
      <c r="AQ495" s="112">
        <f>IF($D495=$B$1888,AQ$463,0)</f>
        <v>0</v>
      </c>
      <c r="AR495" s="112">
        <f>IF($D495=$B$1889,AR$463,0)</f>
        <v>0</v>
      </c>
      <c r="AS495" s="112">
        <f>IF($D495=$B$1890,AS$463,0)</f>
        <v>0</v>
      </c>
      <c r="AT495" s="112">
        <f>IF($D495=$B$1891,AT$463,0)</f>
        <v>0</v>
      </c>
      <c r="AU495" s="112">
        <f>IF($D495=$B$1892,AU$463,0)</f>
        <v>0</v>
      </c>
      <c r="AV495" s="226">
        <f>SUM(AN495:AU495)</f>
        <v>0</v>
      </c>
      <c r="AX495" s="216">
        <f>AF495*AM495</f>
        <v>0</v>
      </c>
      <c r="AZ495" s="158">
        <f>AX495+(AV495*AM495)</f>
        <v>0</v>
      </c>
      <c r="BB495" s="217">
        <f>(AF495*AM495)*0.01</f>
        <v>0</v>
      </c>
      <c r="BD495" s="218">
        <f>AZ495*0.01</f>
        <v>0</v>
      </c>
      <c r="BE495" s="402"/>
      <c r="BG495" s="217">
        <f>IF(AF495&gt;0,BG490+BB495,BG490)</f>
        <v>0</v>
      </c>
      <c r="BH495" s="218">
        <f>IF(AV495&gt;0,BH490+BD495,BH490)</f>
        <v>0</v>
      </c>
      <c r="BI495" s="217">
        <f>IF(BG495&gt;0.99,0.99,BG495)</f>
        <v>0</v>
      </c>
      <c r="BJ495" s="218">
        <f>IF(BH495&gt;0.99,0.99,BH495)</f>
        <v>0</v>
      </c>
    </row>
    <row r="496" spans="1:62" ht="14.4" thickTop="1" x14ac:dyDescent="0.25">
      <c r="A496" s="202"/>
      <c r="B496" s="203"/>
      <c r="C496" s="203"/>
      <c r="D496" s="203"/>
      <c r="E496" s="203"/>
      <c r="F496" s="1"/>
    </row>
    <row r="497" spans="1:62" ht="30" customHeight="1" x14ac:dyDescent="0.25">
      <c r="A497" s="188" t="s">
        <v>75</v>
      </c>
      <c r="B497" s="46" t="s">
        <v>342</v>
      </c>
      <c r="C497" s="46"/>
      <c r="D497" s="46"/>
      <c r="E497" s="475"/>
      <c r="F497" s="475" t="s">
        <v>949</v>
      </c>
    </row>
    <row r="498" spans="1:62" ht="19.95" customHeight="1" x14ac:dyDescent="0.25">
      <c r="A498" s="108" t="s">
        <v>343</v>
      </c>
      <c r="B498" s="109"/>
      <c r="C498" s="109"/>
      <c r="D498" s="109"/>
      <c r="E498" s="110"/>
      <c r="F498" s="108"/>
      <c r="AA498" s="190"/>
      <c r="AB498" s="190">
        <v>0</v>
      </c>
      <c r="AC498" s="191">
        <f>AD498/2</f>
        <v>1</v>
      </c>
      <c r="AD498" s="192">
        <f>AE498/2</f>
        <v>2</v>
      </c>
      <c r="AE498" s="193">
        <v>4</v>
      </c>
      <c r="AF498" s="120"/>
      <c r="AG498" s="120"/>
      <c r="AH498" s="120"/>
      <c r="AI498" s="120"/>
      <c r="AJ498" s="120"/>
      <c r="AK498" s="120"/>
      <c r="AL498" s="120"/>
      <c r="AM498" s="120"/>
      <c r="AN498" s="194">
        <f>AE498*-2</f>
        <v>-8</v>
      </c>
      <c r="AO498" s="190">
        <f>AE498*-1</f>
        <v>-4</v>
      </c>
      <c r="AP498" s="190">
        <f>AD498*-1</f>
        <v>-2</v>
      </c>
      <c r="AQ498" s="195">
        <f>AE498*-0.1</f>
        <v>-0.4</v>
      </c>
      <c r="AR498" s="195">
        <v>0</v>
      </c>
      <c r="AS498" s="195">
        <f>AE498*0.1</f>
        <v>0.4</v>
      </c>
      <c r="AT498" s="192">
        <f>AD498</f>
        <v>2</v>
      </c>
      <c r="AU498" s="193">
        <f>AE498</f>
        <v>4</v>
      </c>
      <c r="AV498" s="196"/>
      <c r="AW498" s="120"/>
      <c r="AX498" s="120"/>
      <c r="AY498" s="120"/>
      <c r="AZ498" s="120"/>
      <c r="BA498" s="120"/>
      <c r="BB498" s="197"/>
      <c r="BC498" s="120"/>
      <c r="BD498" s="120"/>
      <c r="BE498" s="120"/>
      <c r="BF498" s="120"/>
      <c r="BG498" s="229">
        <f>BG463</f>
        <v>0</v>
      </c>
      <c r="BH498" s="402"/>
      <c r="BI498" s="120"/>
    </row>
    <row r="499" spans="1:62" ht="15.6" x14ac:dyDescent="0.25">
      <c r="A499" s="200">
        <f>A491+1</f>
        <v>21</v>
      </c>
      <c r="B499" s="200" t="s">
        <v>344</v>
      </c>
      <c r="C499" s="200"/>
      <c r="D499" s="201" t="str">
        <f>IF(B501="","If claimed, explain in white box below.","")</f>
        <v>If claimed, explain in white box below.</v>
      </c>
      <c r="E499" s="203"/>
      <c r="F499" s="1"/>
    </row>
    <row r="500" spans="1:62" x14ac:dyDescent="0.25">
      <c r="A500" s="202"/>
      <c r="B500" s="567" t="s">
        <v>345</v>
      </c>
      <c r="C500" s="568"/>
      <c r="D500" s="569"/>
      <c r="E500" s="203"/>
      <c r="F500" s="1"/>
    </row>
    <row r="501" spans="1:62" ht="147" customHeight="1" thickBot="1" x14ac:dyDescent="0.3">
      <c r="A501" s="202"/>
      <c r="B501" s="570"/>
      <c r="C501" s="571"/>
      <c r="D501" s="572"/>
      <c r="E501" s="203"/>
      <c r="F501" s="1"/>
    </row>
    <row r="502" spans="1:62" ht="15" thickTop="1" thickBot="1" x14ac:dyDescent="0.3">
      <c r="A502" s="202"/>
      <c r="B502" s="204" t="str">
        <f>IF(B501="","","Claimed?")</f>
        <v/>
      </c>
      <c r="C502" s="204" t="str">
        <f>IF(B502="","","Verifiable?")</f>
        <v/>
      </c>
      <c r="D502" s="205" t="str">
        <f>IF(C503="","","Independent verification")</f>
        <v/>
      </c>
      <c r="E502" s="573">
        <f>BI503</f>
        <v>0</v>
      </c>
      <c r="F502" s="574"/>
      <c r="AA502" s="60"/>
      <c r="AB502" s="60" t="s">
        <v>314</v>
      </c>
      <c r="AF502" s="220"/>
      <c r="AG502" s="60" t="s">
        <v>315</v>
      </c>
      <c r="AM502" s="221"/>
      <c r="AN502" s="60" t="s">
        <v>316</v>
      </c>
      <c r="AV502" s="222"/>
      <c r="AX502" s="207" t="s">
        <v>317</v>
      </c>
      <c r="AZ502" s="208" t="s">
        <v>318</v>
      </c>
      <c r="BB502" s="209" t="s">
        <v>319</v>
      </c>
      <c r="BD502" s="208" t="s">
        <v>320</v>
      </c>
      <c r="BG502" s="210" t="s">
        <v>326</v>
      </c>
      <c r="BH502" s="211" t="s">
        <v>327</v>
      </c>
      <c r="BI502" s="210" t="s">
        <v>321</v>
      </c>
      <c r="BJ502" s="211" t="s">
        <v>322</v>
      </c>
    </row>
    <row r="503" spans="1:62" ht="15" thickTop="1" thickBot="1" x14ac:dyDescent="0.3">
      <c r="A503" s="202"/>
      <c r="B503" s="212"/>
      <c r="C503" s="213"/>
      <c r="D503" s="223"/>
      <c r="E503" s="573">
        <f>BJ503</f>
        <v>0</v>
      </c>
      <c r="F503" s="574"/>
      <c r="AA503" s="112"/>
      <c r="AB503" s="112">
        <f>IF(B503=$B$1871,$AB$463,0)</f>
        <v>0</v>
      </c>
      <c r="AC503" s="112">
        <f>IF(B503=$B$1872,$AC$463,0)</f>
        <v>0</v>
      </c>
      <c r="AD503" s="112">
        <f>IF(B503=$B$1873,$AD$463,0)</f>
        <v>0</v>
      </c>
      <c r="AE503" s="112">
        <f>IF(B503=$B$1874,$AE$463,0)</f>
        <v>0</v>
      </c>
      <c r="AF503" s="224">
        <f>SUM(AB503:AE503)</f>
        <v>0</v>
      </c>
      <c r="AG503" s="112">
        <f>IF(C503=$B$1877,$E$1877,0)</f>
        <v>0</v>
      </c>
      <c r="AH503" s="112">
        <f>IF(C503=$B$1878,$E$1878,0)</f>
        <v>0</v>
      </c>
      <c r="AI503" s="112">
        <f>IF(C503=$B$1879,$E$1879,0)</f>
        <v>0</v>
      </c>
      <c r="AJ503" s="112">
        <f>IF(C503=$B$1880,$E$1880,0)</f>
        <v>0</v>
      </c>
      <c r="AK503" s="112">
        <f>IF(C503=$B$1881,$E$1881,0)</f>
        <v>0</v>
      </c>
      <c r="AL503" s="112">
        <f>IF(C503=$B$1882,$E$1882,0)</f>
        <v>0</v>
      </c>
      <c r="AM503" s="225">
        <f>SUM(AG503:AL503)</f>
        <v>0</v>
      </c>
      <c r="AN503" s="112">
        <f>IF($D503=$B$1885,AN$463,0)</f>
        <v>0</v>
      </c>
      <c r="AO503" s="112">
        <f>IF($D503=$B$1886,AO$463,0)</f>
        <v>0</v>
      </c>
      <c r="AP503" s="112">
        <f>IF($D503=$B$1887,AP$463,0)</f>
        <v>0</v>
      </c>
      <c r="AQ503" s="112">
        <f>IF($D503=$B$1888,AQ$463,0)</f>
        <v>0</v>
      </c>
      <c r="AR503" s="112">
        <f>IF($D503=$B$1889,AR$463,0)</f>
        <v>0</v>
      </c>
      <c r="AS503" s="112">
        <f>IF($D503=$B$1890,AS$463,0)</f>
        <v>0</v>
      </c>
      <c r="AT503" s="112">
        <f>IF($D503=$B$1891,AT$463,0)</f>
        <v>0</v>
      </c>
      <c r="AU503" s="112">
        <f>IF($D503=$B$1892,AU$463,0)</f>
        <v>0</v>
      </c>
      <c r="AV503" s="226">
        <f>SUM(AN503:AU503)</f>
        <v>0</v>
      </c>
      <c r="AX503" s="216">
        <f>AF503*AM503</f>
        <v>0</v>
      </c>
      <c r="AZ503" s="158">
        <f>AX503+(AV503*AM503)</f>
        <v>0</v>
      </c>
      <c r="BB503" s="217">
        <f>(AF503*AM503)*0.01</f>
        <v>0</v>
      </c>
      <c r="BD503" s="218">
        <f>AZ503*0.01</f>
        <v>0</v>
      </c>
      <c r="BE503" s="402"/>
      <c r="BG503" s="217">
        <f>IF(AF503&gt;0,BG495+BB503,BG495)</f>
        <v>0</v>
      </c>
      <c r="BH503" s="218">
        <f>IF(AV503&gt;0,BH495+BD503,BH495)</f>
        <v>0</v>
      </c>
      <c r="BI503" s="217">
        <f>IF(BG503&gt;0.99,0.99,BG503)</f>
        <v>0</v>
      </c>
      <c r="BJ503" s="218">
        <f>IF(BH503&gt;0.99,0.99,BH503)</f>
        <v>0</v>
      </c>
    </row>
    <row r="504" spans="1:62" ht="16.2" thickTop="1" x14ac:dyDescent="0.25">
      <c r="A504" s="200">
        <f>A499+1</f>
        <v>22</v>
      </c>
      <c r="B504" s="200" t="s">
        <v>348</v>
      </c>
      <c r="C504" s="200"/>
      <c r="D504" s="201" t="str">
        <f>IF(B506="","If claimed, explain in white box below.","")</f>
        <v>If claimed, explain in white box below.</v>
      </c>
      <c r="E504" s="203"/>
      <c r="F504" s="1"/>
    </row>
    <row r="505" spans="1:62" x14ac:dyDescent="0.25">
      <c r="A505" s="202"/>
      <c r="B505" s="567" t="s">
        <v>349</v>
      </c>
      <c r="C505" s="568"/>
      <c r="D505" s="569"/>
      <c r="E505" s="203"/>
      <c r="F505" s="1"/>
    </row>
    <row r="506" spans="1:62" ht="147" customHeight="1" thickBot="1" x14ac:dyDescent="0.3">
      <c r="A506" s="202"/>
      <c r="B506" s="570"/>
      <c r="C506" s="571"/>
      <c r="D506" s="572"/>
      <c r="E506" s="203"/>
      <c r="F506" s="1"/>
    </row>
    <row r="507" spans="1:62" ht="15" thickTop="1" thickBot="1" x14ac:dyDescent="0.3">
      <c r="A507" s="202"/>
      <c r="B507" s="204" t="str">
        <f>IF(B506="","","Claimed?")</f>
        <v/>
      </c>
      <c r="C507" s="204" t="str">
        <f>IF(B507="","","Verifiable?")</f>
        <v/>
      </c>
      <c r="D507" s="205" t="str">
        <f>IF(C508="","","Independent verification")</f>
        <v/>
      </c>
      <c r="E507" s="573">
        <f>BI508</f>
        <v>0</v>
      </c>
      <c r="F507" s="574"/>
      <c r="AA507" s="60"/>
      <c r="AB507" s="60" t="s">
        <v>314</v>
      </c>
      <c r="AF507" s="220"/>
      <c r="AG507" s="60" t="s">
        <v>315</v>
      </c>
      <c r="AM507" s="221"/>
      <c r="AN507" s="60" t="s">
        <v>316</v>
      </c>
      <c r="AV507" s="222"/>
      <c r="AX507" s="207" t="s">
        <v>317</v>
      </c>
      <c r="AZ507" s="208" t="s">
        <v>318</v>
      </c>
      <c r="BB507" s="209" t="s">
        <v>319</v>
      </c>
      <c r="BD507" s="208" t="s">
        <v>320</v>
      </c>
      <c r="BG507" s="210" t="s">
        <v>326</v>
      </c>
      <c r="BH507" s="211" t="s">
        <v>327</v>
      </c>
      <c r="BI507" s="210" t="s">
        <v>321</v>
      </c>
      <c r="BJ507" s="211" t="s">
        <v>322</v>
      </c>
    </row>
    <row r="508" spans="1:62" ht="15" thickTop="1" thickBot="1" x14ac:dyDescent="0.3">
      <c r="A508" s="202"/>
      <c r="B508" s="212"/>
      <c r="C508" s="213"/>
      <c r="D508" s="223"/>
      <c r="E508" s="573">
        <f>BJ508</f>
        <v>0</v>
      </c>
      <c r="F508" s="574"/>
      <c r="AA508" s="112"/>
      <c r="AB508" s="112">
        <f>IF(B508=$B$1871,$AB$463,0)</f>
        <v>0</v>
      </c>
      <c r="AC508" s="112">
        <f>IF(B508=$B$1872,$AC$463,0)</f>
        <v>0</v>
      </c>
      <c r="AD508" s="112">
        <f>IF(B508=$B$1873,$AD$463,0)</f>
        <v>0</v>
      </c>
      <c r="AE508" s="112">
        <f>IF(B508=$B$1874,$AE$463,0)</f>
        <v>0</v>
      </c>
      <c r="AF508" s="224">
        <f>SUM(AB508:AE508)</f>
        <v>0</v>
      </c>
      <c r="AG508" s="112">
        <f>IF(C508=$B$1877,$E$1877,0)</f>
        <v>0</v>
      </c>
      <c r="AH508" s="112">
        <f>IF(C508=$B$1878,$E$1878,0)</f>
        <v>0</v>
      </c>
      <c r="AI508" s="112">
        <f>IF(C508=$B$1879,$E$1879,0)</f>
        <v>0</v>
      </c>
      <c r="AJ508" s="112">
        <f>IF(C508=$B$1880,$E$1880,0)</f>
        <v>0</v>
      </c>
      <c r="AK508" s="112">
        <f>IF(C508=$B$1881,$E$1881,0)</f>
        <v>0</v>
      </c>
      <c r="AL508" s="112">
        <f>IF(C508=$B$1882,$E$1882,0)</f>
        <v>0</v>
      </c>
      <c r="AM508" s="225">
        <f>SUM(AG508:AL508)</f>
        <v>0</v>
      </c>
      <c r="AN508" s="112">
        <f>IF($D508=$B$1885,AN$463,0)</f>
        <v>0</v>
      </c>
      <c r="AO508" s="112">
        <f>IF($D508=$B$1886,AO$463,0)</f>
        <v>0</v>
      </c>
      <c r="AP508" s="112">
        <f>IF($D508=$B$1887,AP$463,0)</f>
        <v>0</v>
      </c>
      <c r="AQ508" s="112">
        <f>IF($D508=$B$1888,AQ$463,0)</f>
        <v>0</v>
      </c>
      <c r="AR508" s="112">
        <f>IF($D508=$B$1889,AR$463,0)</f>
        <v>0</v>
      </c>
      <c r="AS508" s="112">
        <f>IF($D508=$B$1890,AS$463,0)</f>
        <v>0</v>
      </c>
      <c r="AT508" s="112">
        <f>IF($D508=$B$1891,AT$463,0)</f>
        <v>0</v>
      </c>
      <c r="AU508" s="112">
        <f>IF($D508=$B$1892,AU$463,0)</f>
        <v>0</v>
      </c>
      <c r="AV508" s="226">
        <f>SUM(AN508:AU508)</f>
        <v>0</v>
      </c>
      <c r="AX508" s="216">
        <f>AF508*AM508</f>
        <v>0</v>
      </c>
      <c r="AZ508" s="158">
        <f>AX508+(AV508*AM508)</f>
        <v>0</v>
      </c>
      <c r="BB508" s="217">
        <f>(AF508*AM508)*0.01</f>
        <v>0</v>
      </c>
      <c r="BD508" s="218">
        <f>AZ508*0.01</f>
        <v>0</v>
      </c>
      <c r="BE508" s="402"/>
      <c r="BG508" s="217">
        <f>IF(AF508&gt;0,BG503+BB508,BG503)</f>
        <v>0</v>
      </c>
      <c r="BH508" s="218">
        <f>IF(AV508&gt;0,BH503+BD508,BH503)</f>
        <v>0</v>
      </c>
      <c r="BI508" s="217">
        <f>IF(BG508&gt;0.99,0.99,BG508)</f>
        <v>0</v>
      </c>
      <c r="BJ508" s="218">
        <f>IF(BH508&gt;0.99,0.99,BH508)</f>
        <v>0</v>
      </c>
    </row>
    <row r="509" spans="1:62" ht="16.2" thickTop="1" x14ac:dyDescent="0.25">
      <c r="A509" s="200">
        <f>A504+1</f>
        <v>23</v>
      </c>
      <c r="B509" s="200" t="s">
        <v>352</v>
      </c>
      <c r="C509" s="200"/>
      <c r="D509" s="201" t="str">
        <f>IF(B511="","If claimed, explain in white box below.","")</f>
        <v>If claimed, explain in white box below.</v>
      </c>
      <c r="E509" s="203"/>
      <c r="F509" s="1"/>
    </row>
    <row r="510" spans="1:62" x14ac:dyDescent="0.25">
      <c r="A510" s="202"/>
      <c r="B510" s="567" t="s">
        <v>353</v>
      </c>
      <c r="C510" s="568"/>
      <c r="D510" s="569"/>
      <c r="E510" s="203"/>
      <c r="F510" s="1"/>
    </row>
    <row r="511" spans="1:62" ht="147" customHeight="1" thickBot="1" x14ac:dyDescent="0.3">
      <c r="A511" s="202"/>
      <c r="B511" s="570"/>
      <c r="C511" s="571"/>
      <c r="D511" s="572"/>
      <c r="E511" s="203"/>
      <c r="F511" s="1"/>
    </row>
    <row r="512" spans="1:62" ht="15" thickTop="1" thickBot="1" x14ac:dyDescent="0.3">
      <c r="A512" s="202"/>
      <c r="B512" s="204" t="str">
        <f>IF(B511="","","Claimed?")</f>
        <v/>
      </c>
      <c r="C512" s="204" t="str">
        <f>IF(B512="","","Verifiable?")</f>
        <v/>
      </c>
      <c r="D512" s="205" t="str">
        <f>IF(C513="","","Independent verification")</f>
        <v/>
      </c>
      <c r="E512" s="573">
        <f>BI513</f>
        <v>0</v>
      </c>
      <c r="F512" s="574"/>
      <c r="AA512" s="60"/>
      <c r="AB512" s="60" t="s">
        <v>314</v>
      </c>
      <c r="AF512" s="220"/>
      <c r="AG512" s="60" t="s">
        <v>315</v>
      </c>
      <c r="AM512" s="221"/>
      <c r="AN512" s="60" t="s">
        <v>316</v>
      </c>
      <c r="AV512" s="222"/>
      <c r="AX512" s="207" t="s">
        <v>317</v>
      </c>
      <c r="AZ512" s="208" t="s">
        <v>318</v>
      </c>
      <c r="BB512" s="209" t="s">
        <v>319</v>
      </c>
      <c r="BD512" s="208" t="s">
        <v>320</v>
      </c>
      <c r="BG512" s="210" t="s">
        <v>326</v>
      </c>
      <c r="BH512" s="211" t="s">
        <v>327</v>
      </c>
      <c r="BI512" s="210" t="s">
        <v>321</v>
      </c>
      <c r="BJ512" s="211" t="s">
        <v>322</v>
      </c>
    </row>
    <row r="513" spans="1:62" ht="15" thickTop="1" thickBot="1" x14ac:dyDescent="0.3">
      <c r="A513" s="202"/>
      <c r="B513" s="212"/>
      <c r="C513" s="213"/>
      <c r="D513" s="223"/>
      <c r="E513" s="573">
        <f>BJ513</f>
        <v>0</v>
      </c>
      <c r="F513" s="574"/>
      <c r="AA513" s="112"/>
      <c r="AB513" s="112">
        <f>IF(B513=$B$1871,$AB$463,0)</f>
        <v>0</v>
      </c>
      <c r="AC513" s="112">
        <f>IF(B513=$B$1872,$AC$463,0)</f>
        <v>0</v>
      </c>
      <c r="AD513" s="112">
        <f>IF(B513=$B$1873,$AD$463,0)</f>
        <v>0</v>
      </c>
      <c r="AE513" s="112">
        <f>IF(B513=$B$1874,$AE$463,0)</f>
        <v>0</v>
      </c>
      <c r="AF513" s="224">
        <f>SUM(AB513:AE513)</f>
        <v>0</v>
      </c>
      <c r="AG513" s="112">
        <f>IF(C513=$B$1877,$E$1877,0)</f>
        <v>0</v>
      </c>
      <c r="AH513" s="112">
        <f>IF(C513=$B$1878,$E$1878,0)</f>
        <v>0</v>
      </c>
      <c r="AI513" s="112">
        <f>IF(C513=$B$1879,$E$1879,0)</f>
        <v>0</v>
      </c>
      <c r="AJ513" s="112">
        <f>IF(C513=$B$1880,$E$1880,0)</f>
        <v>0</v>
      </c>
      <c r="AK513" s="112">
        <f>IF(C513=$B$1881,$E$1881,0)</f>
        <v>0</v>
      </c>
      <c r="AL513" s="112">
        <f>IF(C513=$B$1882,$E$1882,0)</f>
        <v>0</v>
      </c>
      <c r="AM513" s="225">
        <f>SUM(AG513:AL513)</f>
        <v>0</v>
      </c>
      <c r="AN513" s="112">
        <f>IF($D513=$B$1885,AN$463,0)</f>
        <v>0</v>
      </c>
      <c r="AO513" s="112">
        <f>IF($D513=$B$1886,AO$463,0)</f>
        <v>0</v>
      </c>
      <c r="AP513" s="112">
        <f>IF($D513=$B$1887,AP$463,0)</f>
        <v>0</v>
      </c>
      <c r="AQ513" s="112">
        <f>IF($D513=$B$1888,AQ$463,0)</f>
        <v>0</v>
      </c>
      <c r="AR513" s="112">
        <f>IF($D513=$B$1889,AR$463,0)</f>
        <v>0</v>
      </c>
      <c r="AS513" s="112">
        <f>IF($D513=$B$1890,AS$463,0)</f>
        <v>0</v>
      </c>
      <c r="AT513" s="112">
        <f>IF($D513=$B$1891,AT$463,0)</f>
        <v>0</v>
      </c>
      <c r="AU513" s="112">
        <f>IF($D513=$B$1892,AU$463,0)</f>
        <v>0</v>
      </c>
      <c r="AV513" s="226">
        <f>SUM(AN513:AU513)</f>
        <v>0</v>
      </c>
      <c r="AX513" s="216">
        <f>AF513*AM513</f>
        <v>0</v>
      </c>
      <c r="AZ513" s="158">
        <f>AX513+(AV513*AM513)</f>
        <v>0</v>
      </c>
      <c r="BB513" s="217">
        <f>(AF513*AM513)*0.01</f>
        <v>0</v>
      </c>
      <c r="BD513" s="218">
        <f>AZ513*0.01</f>
        <v>0</v>
      </c>
      <c r="BE513" s="402"/>
      <c r="BG513" s="217">
        <f>IF(AF513&gt;0,BG508+BB513,BG508)</f>
        <v>0</v>
      </c>
      <c r="BH513" s="218">
        <f>IF(AV513&gt;0,BH508+BD513,BH508)</f>
        <v>0</v>
      </c>
      <c r="BI513" s="217">
        <f>IF(BG513&gt;0.99,0.99,BG513)</f>
        <v>0</v>
      </c>
      <c r="BJ513" s="218">
        <f>IF(BH513&gt;0.99,0.99,BH513)</f>
        <v>0</v>
      </c>
    </row>
    <row r="514" spans="1:62" ht="4.95" customHeight="1" thickTop="1" x14ac:dyDescent="0.25">
      <c r="A514" s="203"/>
      <c r="B514" s="203"/>
      <c r="C514" s="203"/>
      <c r="D514" s="203"/>
      <c r="E514" s="203"/>
      <c r="F514" s="1"/>
    </row>
    <row r="515" spans="1:62" ht="15.6" x14ac:dyDescent="0.25">
      <c r="A515" s="200">
        <f>A509+1</f>
        <v>24</v>
      </c>
      <c r="B515" s="200" t="s">
        <v>355</v>
      </c>
      <c r="C515" s="200"/>
      <c r="D515" s="201" t="str">
        <f>IF(B517="","If claimed, explain in white box below.","")</f>
        <v>If claimed, explain in white box below.</v>
      </c>
      <c r="E515" s="203"/>
      <c r="F515" s="1"/>
    </row>
    <row r="516" spans="1:62" x14ac:dyDescent="0.25">
      <c r="A516" s="202"/>
      <c r="B516" s="567" t="s">
        <v>356</v>
      </c>
      <c r="C516" s="568"/>
      <c r="D516" s="569"/>
      <c r="E516" s="203"/>
      <c r="F516" s="1"/>
    </row>
    <row r="517" spans="1:62" ht="160.05000000000001" customHeight="1" thickBot="1" x14ac:dyDescent="0.3">
      <c r="A517" s="202"/>
      <c r="B517" s="570"/>
      <c r="C517" s="571"/>
      <c r="D517" s="572"/>
      <c r="E517" s="203"/>
      <c r="F517" s="1"/>
    </row>
    <row r="518" spans="1:62" ht="15" thickTop="1" thickBot="1" x14ac:dyDescent="0.3">
      <c r="A518" s="202"/>
      <c r="B518" s="204" t="str">
        <f>IF(B517="","","Claimed?")</f>
        <v/>
      </c>
      <c r="C518" s="204" t="str">
        <f>IF(B518="","","Verifiable?")</f>
        <v/>
      </c>
      <c r="D518" s="205" t="str">
        <f>IF(C519="","","Independent verification")</f>
        <v/>
      </c>
      <c r="E518" s="573">
        <f>BI519</f>
        <v>0</v>
      </c>
      <c r="F518" s="574"/>
      <c r="AA518" s="60"/>
      <c r="AB518" s="60" t="s">
        <v>314</v>
      </c>
      <c r="AF518" s="220"/>
      <c r="AG518" s="60" t="s">
        <v>315</v>
      </c>
      <c r="AM518" s="221"/>
      <c r="AN518" s="60" t="s">
        <v>316</v>
      </c>
      <c r="AV518" s="222"/>
      <c r="AX518" s="207" t="s">
        <v>317</v>
      </c>
      <c r="AZ518" s="208" t="s">
        <v>318</v>
      </c>
      <c r="BB518" s="209" t="s">
        <v>319</v>
      </c>
      <c r="BD518" s="208" t="s">
        <v>320</v>
      </c>
      <c r="BG518" s="210" t="s">
        <v>326</v>
      </c>
      <c r="BH518" s="211" t="s">
        <v>327</v>
      </c>
      <c r="BI518" s="210" t="s">
        <v>321</v>
      </c>
      <c r="BJ518" s="211" t="s">
        <v>322</v>
      </c>
    </row>
    <row r="519" spans="1:62" ht="15" thickTop="1" thickBot="1" x14ac:dyDescent="0.3">
      <c r="A519" s="202"/>
      <c r="B519" s="212"/>
      <c r="C519" s="213"/>
      <c r="D519" s="223"/>
      <c r="E519" s="573">
        <f>BJ519</f>
        <v>0</v>
      </c>
      <c r="F519" s="574"/>
      <c r="AA519" s="112"/>
      <c r="AB519" s="112">
        <f>IF(B519=$B$1871,$AB$463,0)</f>
        <v>0</v>
      </c>
      <c r="AC519" s="112">
        <f>IF(B519=$B$1872,$AC$463,0)</f>
        <v>0</v>
      </c>
      <c r="AD519" s="112">
        <f>IF(B519=$B$1873,$AD$463,0)</f>
        <v>0</v>
      </c>
      <c r="AE519" s="112">
        <f>IF(B519=$B$1874,$AE$463,0)</f>
        <v>0</v>
      </c>
      <c r="AF519" s="224">
        <f>SUM(AB519:AE519)</f>
        <v>0</v>
      </c>
      <c r="AG519" s="112">
        <f>IF(C519=$B$1877,$E$1877,0)</f>
        <v>0</v>
      </c>
      <c r="AH519" s="112">
        <f>IF(C519=$B$1878,$E$1878,0)</f>
        <v>0</v>
      </c>
      <c r="AI519" s="112">
        <f>IF(C519=$B$1879,$E$1879,0)</f>
        <v>0</v>
      </c>
      <c r="AJ519" s="112">
        <f>IF(C519=$B$1880,$E$1880,0)</f>
        <v>0</v>
      </c>
      <c r="AK519" s="112">
        <f>IF(C519=$B$1881,$E$1881,0)</f>
        <v>0</v>
      </c>
      <c r="AL519" s="112">
        <f>IF(C519=$B$1882,$E$1882,0)</f>
        <v>0</v>
      </c>
      <c r="AM519" s="225">
        <f>SUM(AG519:AL519)</f>
        <v>0</v>
      </c>
      <c r="AN519" s="112">
        <f>IF($D519=$B$1885,AN$463,0)</f>
        <v>0</v>
      </c>
      <c r="AO519" s="112">
        <f>IF($D519=$B$1886,AO$463,0)</f>
        <v>0</v>
      </c>
      <c r="AP519" s="112">
        <f>IF($D519=$B$1887,AP$463,0)</f>
        <v>0</v>
      </c>
      <c r="AQ519" s="112">
        <f>IF($D519=$B$1888,AQ$463,0)</f>
        <v>0</v>
      </c>
      <c r="AR519" s="112">
        <f>IF($D519=$B$1889,AR$463,0)</f>
        <v>0</v>
      </c>
      <c r="AS519" s="112">
        <f>IF($D519=$B$1890,AS$463,0)</f>
        <v>0</v>
      </c>
      <c r="AT519" s="112">
        <f>IF($D519=$B$1891,AT$463,0)</f>
        <v>0</v>
      </c>
      <c r="AU519" s="112">
        <f>IF($D519=$B$1892,AU$463,0)</f>
        <v>0</v>
      </c>
      <c r="AV519" s="226">
        <f>SUM(AN519:AU519)</f>
        <v>0</v>
      </c>
      <c r="AX519" s="216">
        <f>AF519*AM519</f>
        <v>0</v>
      </c>
      <c r="AZ519" s="158">
        <f>AX519+(AV519*AM519)</f>
        <v>0</v>
      </c>
      <c r="BB519" s="217">
        <f>(AF519*AM519)*0.01</f>
        <v>0</v>
      </c>
      <c r="BD519" s="218">
        <f>AZ519*0.01</f>
        <v>0</v>
      </c>
      <c r="BE519" s="402"/>
      <c r="BG519" s="217">
        <f>IF(AF519&gt;0,BG513+BB519,BG513)</f>
        <v>0</v>
      </c>
      <c r="BH519" s="218">
        <f>IF(AV519&gt;0,BH513+BD519,BH513)</f>
        <v>0</v>
      </c>
      <c r="BI519" s="217">
        <f>IF(BG519&gt;0.99,0.99,BG519)</f>
        <v>0</v>
      </c>
      <c r="BJ519" s="218">
        <f>IF(BH519&gt;0.99,0.99,BH519)</f>
        <v>0</v>
      </c>
    </row>
    <row r="520" spans="1:62" ht="16.2" thickTop="1" x14ac:dyDescent="0.25">
      <c r="A520" s="200">
        <f>A515+1</f>
        <v>25</v>
      </c>
      <c r="B520" s="200" t="s">
        <v>359</v>
      </c>
      <c r="C520" s="200"/>
      <c r="D520" s="201" t="str">
        <f>IF(B522="","If claimed, explain in white box below.","")</f>
        <v>If claimed, explain in white box below.</v>
      </c>
      <c r="E520" s="203"/>
      <c r="F520" s="1"/>
    </row>
    <row r="521" spans="1:62" x14ac:dyDescent="0.25">
      <c r="A521" s="202"/>
      <c r="B521" s="567" t="s">
        <v>360</v>
      </c>
      <c r="C521" s="568"/>
      <c r="D521" s="569"/>
      <c r="E521" s="203"/>
      <c r="F521" s="1"/>
    </row>
    <row r="522" spans="1:62" ht="160.05000000000001" customHeight="1" thickBot="1" x14ac:dyDescent="0.3">
      <c r="A522" s="202"/>
      <c r="B522" s="570"/>
      <c r="C522" s="571"/>
      <c r="D522" s="572"/>
      <c r="E522" s="203"/>
      <c r="F522" s="1"/>
    </row>
    <row r="523" spans="1:62" ht="15" thickTop="1" thickBot="1" x14ac:dyDescent="0.3">
      <c r="A523" s="202"/>
      <c r="B523" s="204" t="str">
        <f>IF(B522="","","Claimed?")</f>
        <v/>
      </c>
      <c r="C523" s="204" t="str">
        <f>IF(B523="","","Verifiable?")</f>
        <v/>
      </c>
      <c r="D523" s="205" t="str">
        <f>IF(C524="","","Independent verification")</f>
        <v/>
      </c>
      <c r="E523" s="573">
        <f>BI524</f>
        <v>0</v>
      </c>
      <c r="F523" s="574"/>
      <c r="AA523" s="60"/>
      <c r="AB523" s="60" t="s">
        <v>314</v>
      </c>
      <c r="AF523" s="220"/>
      <c r="AG523" s="60" t="s">
        <v>315</v>
      </c>
      <c r="AM523" s="221"/>
      <c r="AN523" s="60" t="s">
        <v>316</v>
      </c>
      <c r="AV523" s="222"/>
      <c r="AX523" s="207" t="s">
        <v>317</v>
      </c>
      <c r="AZ523" s="208" t="s">
        <v>318</v>
      </c>
      <c r="BB523" s="209" t="s">
        <v>319</v>
      </c>
      <c r="BD523" s="208" t="s">
        <v>320</v>
      </c>
      <c r="BG523" s="210" t="s">
        <v>326</v>
      </c>
      <c r="BH523" s="211" t="s">
        <v>327</v>
      </c>
      <c r="BI523" s="210" t="s">
        <v>321</v>
      </c>
      <c r="BJ523" s="211" t="s">
        <v>322</v>
      </c>
    </row>
    <row r="524" spans="1:62" ht="15" thickTop="1" thickBot="1" x14ac:dyDescent="0.3">
      <c r="A524" s="202"/>
      <c r="B524" s="212"/>
      <c r="C524" s="213"/>
      <c r="D524" s="223"/>
      <c r="E524" s="573">
        <f>BJ524</f>
        <v>0</v>
      </c>
      <c r="F524" s="574"/>
      <c r="AA524" s="112"/>
      <c r="AB524" s="112">
        <f>IF(B524=$B$1871,$AB$463,0)</f>
        <v>0</v>
      </c>
      <c r="AC524" s="112">
        <f>IF(B524=$B$1872,$AC$463,0)</f>
        <v>0</v>
      </c>
      <c r="AD524" s="112">
        <f>IF(B524=$B$1873,$AD$463,0)</f>
        <v>0</v>
      </c>
      <c r="AE524" s="112">
        <f>IF(B524=$B$1874,$AE$463,0)</f>
        <v>0</v>
      </c>
      <c r="AF524" s="224">
        <f>SUM(AB524:AE524)</f>
        <v>0</v>
      </c>
      <c r="AG524" s="112">
        <f>IF(C524=$B$1877,$E$1877,0)</f>
        <v>0</v>
      </c>
      <c r="AH524" s="112">
        <f>IF(C524=$B$1878,$E$1878,0)</f>
        <v>0</v>
      </c>
      <c r="AI524" s="112">
        <f>IF(C524=$B$1879,$E$1879,0)</f>
        <v>0</v>
      </c>
      <c r="AJ524" s="112">
        <f>IF(C524=$B$1880,$E$1880,0)</f>
        <v>0</v>
      </c>
      <c r="AK524" s="112">
        <f>IF(C524=$B$1881,$E$1881,0)</f>
        <v>0</v>
      </c>
      <c r="AL524" s="112">
        <f>IF(C524=$B$1882,$E$1882,0)</f>
        <v>0</v>
      </c>
      <c r="AM524" s="225">
        <f>SUM(AG524:AL524)</f>
        <v>0</v>
      </c>
      <c r="AN524" s="112">
        <f>IF($D524=$B$1885,AN$463,0)</f>
        <v>0</v>
      </c>
      <c r="AO524" s="112">
        <f>IF($D524=$B$1886,AO$463,0)</f>
        <v>0</v>
      </c>
      <c r="AP524" s="112">
        <f>IF($D524=$B$1887,AP$463,0)</f>
        <v>0</v>
      </c>
      <c r="AQ524" s="112">
        <f>IF($D524=$B$1888,AQ$463,0)</f>
        <v>0</v>
      </c>
      <c r="AR524" s="112">
        <f>IF($D524=$B$1889,AR$463,0)</f>
        <v>0</v>
      </c>
      <c r="AS524" s="112">
        <f>IF($D524=$B$1890,AS$463,0)</f>
        <v>0</v>
      </c>
      <c r="AT524" s="112">
        <f>IF($D524=$B$1891,AT$463,0)</f>
        <v>0</v>
      </c>
      <c r="AU524" s="112">
        <f>IF($D524=$B$1892,AU$463,0)</f>
        <v>0</v>
      </c>
      <c r="AV524" s="226">
        <f>SUM(AN524:AU524)</f>
        <v>0</v>
      </c>
      <c r="AX524" s="216">
        <f>AF524*AM524</f>
        <v>0</v>
      </c>
      <c r="AZ524" s="158">
        <f>AX524+(AV524*AM524)</f>
        <v>0</v>
      </c>
      <c r="BB524" s="217">
        <f>(AF524*AM524)*0.01</f>
        <v>0</v>
      </c>
      <c r="BD524" s="218">
        <f>AZ524*0.01</f>
        <v>0</v>
      </c>
      <c r="BE524" s="402"/>
      <c r="BG524" s="217">
        <f>IF(AF524&gt;0,BG519+BB524,BG519)</f>
        <v>0</v>
      </c>
      <c r="BH524" s="218">
        <f>IF(AV524&gt;0,BH519+BD524,BH519)</f>
        <v>0</v>
      </c>
      <c r="BI524" s="217">
        <f>IF(BG524&gt;0.99,0.99,BG524)</f>
        <v>0</v>
      </c>
      <c r="BJ524" s="218">
        <f>IF(BH524&gt;0.99,0.99,BH524)</f>
        <v>0</v>
      </c>
    </row>
    <row r="525" spans="1:62" ht="16.2" thickTop="1" x14ac:dyDescent="0.25">
      <c r="A525" s="200">
        <f>A520+1</f>
        <v>26</v>
      </c>
      <c r="B525" s="200" t="s">
        <v>362</v>
      </c>
      <c r="C525" s="200"/>
      <c r="D525" s="201" t="str">
        <f>IF(B527="","If claimed, explain in white box below.","")</f>
        <v>If claimed, explain in white box below.</v>
      </c>
      <c r="E525" s="203"/>
      <c r="F525" s="1"/>
    </row>
    <row r="526" spans="1:62" x14ac:dyDescent="0.25">
      <c r="A526" s="202"/>
      <c r="B526" s="567" t="s">
        <v>363</v>
      </c>
      <c r="C526" s="568"/>
      <c r="D526" s="569"/>
      <c r="E526" s="203"/>
      <c r="F526" s="1"/>
    </row>
    <row r="527" spans="1:62" ht="160.05000000000001" customHeight="1" thickBot="1" x14ac:dyDescent="0.3">
      <c r="A527" s="202"/>
      <c r="B527" s="570"/>
      <c r="C527" s="571"/>
      <c r="D527" s="572"/>
      <c r="E527" s="203"/>
      <c r="F527" s="1"/>
    </row>
    <row r="528" spans="1:62" ht="15" thickTop="1" thickBot="1" x14ac:dyDescent="0.3">
      <c r="A528" s="202"/>
      <c r="B528" s="204" t="str">
        <f>IF(B527="","","Claimed?")</f>
        <v/>
      </c>
      <c r="C528" s="204" t="str">
        <f>IF(B528="","","Verifiable?")</f>
        <v/>
      </c>
      <c r="D528" s="205" t="str">
        <f>IF(C529="","","Independent verification")</f>
        <v/>
      </c>
      <c r="E528" s="573">
        <f>BI529</f>
        <v>0</v>
      </c>
      <c r="F528" s="574"/>
      <c r="AA528" s="60"/>
      <c r="AB528" s="60" t="s">
        <v>314</v>
      </c>
      <c r="AF528" s="220"/>
      <c r="AG528" s="60" t="s">
        <v>315</v>
      </c>
      <c r="AM528" s="221"/>
      <c r="AN528" s="60" t="s">
        <v>316</v>
      </c>
      <c r="AV528" s="222"/>
      <c r="AX528" s="207" t="s">
        <v>317</v>
      </c>
      <c r="AZ528" s="208" t="s">
        <v>318</v>
      </c>
      <c r="BB528" s="209" t="s">
        <v>319</v>
      </c>
      <c r="BD528" s="208" t="s">
        <v>320</v>
      </c>
      <c r="BG528" s="210" t="s">
        <v>326</v>
      </c>
      <c r="BH528" s="211" t="s">
        <v>327</v>
      </c>
      <c r="BI528" s="210" t="s">
        <v>321</v>
      </c>
      <c r="BJ528" s="211" t="s">
        <v>322</v>
      </c>
    </row>
    <row r="529" spans="1:62" ht="15" thickTop="1" thickBot="1" x14ac:dyDescent="0.3">
      <c r="A529" s="202"/>
      <c r="B529" s="212"/>
      <c r="C529" s="213"/>
      <c r="D529" s="223"/>
      <c r="E529" s="573">
        <f>BJ529</f>
        <v>0</v>
      </c>
      <c r="F529" s="574"/>
      <c r="AA529" s="112"/>
      <c r="AB529" s="112">
        <f>IF(B529=$B$1871,$AB$463,0)</f>
        <v>0</v>
      </c>
      <c r="AC529" s="112">
        <f>IF(B529=$B$1872,$AC$463,0)</f>
        <v>0</v>
      </c>
      <c r="AD529" s="112">
        <f>IF(B529=$B$1873,$AD$463,0)</f>
        <v>0</v>
      </c>
      <c r="AE529" s="112">
        <f>IF(B529=$B$1874,$AE$463,0)</f>
        <v>0</v>
      </c>
      <c r="AF529" s="224">
        <f>SUM(AB529:AE529)</f>
        <v>0</v>
      </c>
      <c r="AG529" s="112">
        <f>IF(C529=$B$1877,$E$1877,0)</f>
        <v>0</v>
      </c>
      <c r="AH529" s="112">
        <f>IF(C529=$B$1878,$E$1878,0)</f>
        <v>0</v>
      </c>
      <c r="AI529" s="112">
        <f>IF(C529=$B$1879,$E$1879,0)</f>
        <v>0</v>
      </c>
      <c r="AJ529" s="112">
        <f>IF(C529=$B$1880,$E$1880,0)</f>
        <v>0</v>
      </c>
      <c r="AK529" s="112">
        <f>IF(C529=$B$1881,$E$1881,0)</f>
        <v>0</v>
      </c>
      <c r="AL529" s="112">
        <f>IF(C529=$B$1882,$E$1882,0)</f>
        <v>0</v>
      </c>
      <c r="AM529" s="225">
        <f>SUM(AG529:AL529)</f>
        <v>0</v>
      </c>
      <c r="AN529" s="112">
        <f>IF($D529=$B$1885,AN$463,0)</f>
        <v>0</v>
      </c>
      <c r="AO529" s="112">
        <f>IF($D529=$B$1886,AO$463,0)</f>
        <v>0</v>
      </c>
      <c r="AP529" s="112">
        <f>IF($D529=$B$1887,AP$463,0)</f>
        <v>0</v>
      </c>
      <c r="AQ529" s="112">
        <f>IF($D529=$B$1888,AQ$463,0)</f>
        <v>0</v>
      </c>
      <c r="AR529" s="112">
        <f>IF($D529=$B$1889,AR$463,0)</f>
        <v>0</v>
      </c>
      <c r="AS529" s="112">
        <f>IF($D529=$B$1890,AS$463,0)</f>
        <v>0</v>
      </c>
      <c r="AT529" s="112">
        <f>IF($D529=$B$1891,AT$463,0)</f>
        <v>0</v>
      </c>
      <c r="AU529" s="112">
        <f>IF($D529=$B$1892,AU$463,0)</f>
        <v>0</v>
      </c>
      <c r="AV529" s="226">
        <f>SUM(AN529:AU529)</f>
        <v>0</v>
      </c>
      <c r="AX529" s="216">
        <f>AF529*AM529</f>
        <v>0</v>
      </c>
      <c r="AZ529" s="158">
        <f>AX529+(AV529*AM529)</f>
        <v>0</v>
      </c>
      <c r="BB529" s="217">
        <f>(AF529*AM529)*0.01</f>
        <v>0</v>
      </c>
      <c r="BD529" s="218">
        <f>AZ529*0.01</f>
        <v>0</v>
      </c>
      <c r="BE529" s="402"/>
      <c r="BG529" s="217">
        <f>IF(AF529&gt;0,BG524+BB529,BG524)</f>
        <v>0</v>
      </c>
      <c r="BH529" s="218">
        <f>IF(AV529&gt;0,BH524+BD529,BH524)</f>
        <v>0</v>
      </c>
      <c r="BI529" s="217">
        <f>IF(BG529&gt;0.99,0.99,BG529)</f>
        <v>0</v>
      </c>
      <c r="BJ529" s="218">
        <f>IF(BH529&gt;0.99,0.99,BH529)</f>
        <v>0</v>
      </c>
    </row>
    <row r="530" spans="1:62" ht="14.4" thickTop="1" x14ac:dyDescent="0.25">
      <c r="A530" s="202"/>
      <c r="B530" s="203"/>
      <c r="C530" s="203"/>
      <c r="D530" s="203"/>
      <c r="E530" s="203"/>
      <c r="F530" s="1"/>
    </row>
    <row r="531" spans="1:62" ht="30" customHeight="1" x14ac:dyDescent="0.25">
      <c r="A531" s="188" t="s">
        <v>77</v>
      </c>
      <c r="B531" s="46" t="s">
        <v>365</v>
      </c>
      <c r="C531" s="46"/>
      <c r="D531" s="46"/>
      <c r="E531" s="475"/>
      <c r="F531" s="475" t="s">
        <v>949</v>
      </c>
    </row>
    <row r="532" spans="1:62" ht="19.95" customHeight="1" x14ac:dyDescent="0.25">
      <c r="A532" s="108" t="s">
        <v>366</v>
      </c>
      <c r="B532" s="109"/>
      <c r="C532" s="109"/>
      <c r="D532" s="109"/>
      <c r="E532" s="110"/>
      <c r="F532" s="108"/>
      <c r="AA532" s="190"/>
      <c r="AB532" s="190">
        <v>0</v>
      </c>
      <c r="AC532" s="191">
        <f>AD532/2</f>
        <v>0.75</v>
      </c>
      <c r="AD532" s="192">
        <f>AE532/2</f>
        <v>1.5</v>
      </c>
      <c r="AE532" s="193">
        <v>3</v>
      </c>
      <c r="AF532" s="120"/>
      <c r="AG532" s="120"/>
      <c r="AH532" s="120"/>
      <c r="AI532" s="120"/>
      <c r="AJ532" s="120"/>
      <c r="AK532" s="120"/>
      <c r="AL532" s="120"/>
      <c r="AM532" s="120"/>
      <c r="AN532" s="194">
        <f>AE532*-2</f>
        <v>-6</v>
      </c>
      <c r="AO532" s="190">
        <f>AE532*-1</f>
        <v>-3</v>
      </c>
      <c r="AP532" s="190">
        <f>AD532*-1</f>
        <v>-1.5</v>
      </c>
      <c r="AQ532" s="195">
        <f>AE532*-0.1</f>
        <v>-0.30000000000000004</v>
      </c>
      <c r="AR532" s="195">
        <v>0</v>
      </c>
      <c r="AS532" s="195">
        <f>AE532*0.1</f>
        <v>0.30000000000000004</v>
      </c>
      <c r="AT532" s="192">
        <f>AD532</f>
        <v>1.5</v>
      </c>
      <c r="AU532" s="193">
        <f>AE532</f>
        <v>3</v>
      </c>
      <c r="AV532" s="196"/>
      <c r="AW532" s="120"/>
      <c r="AX532" s="120"/>
      <c r="AY532" s="120"/>
      <c r="AZ532" s="120"/>
      <c r="BA532" s="120"/>
      <c r="BB532" s="197"/>
      <c r="BC532" s="120"/>
      <c r="BD532" s="120"/>
      <c r="BE532" s="120"/>
      <c r="BF532" s="120"/>
      <c r="BG532" s="229">
        <f>BG498</f>
        <v>0</v>
      </c>
    </row>
    <row r="533" spans="1:62" ht="15.6" x14ac:dyDescent="0.25">
      <c r="A533" s="200">
        <f>A525+1</f>
        <v>27</v>
      </c>
      <c r="B533" s="200" t="s">
        <v>367</v>
      </c>
      <c r="C533" s="200"/>
      <c r="D533" s="201" t="str">
        <f>IF(B535="","If claimed, explain in white box below.","")</f>
        <v>If claimed, explain in white box below.</v>
      </c>
      <c r="E533" s="203"/>
      <c r="F533" s="1"/>
    </row>
    <row r="534" spans="1:62" x14ac:dyDescent="0.25">
      <c r="A534" s="202"/>
      <c r="B534" s="567" t="s">
        <v>368</v>
      </c>
      <c r="C534" s="568"/>
      <c r="D534" s="569"/>
      <c r="E534" s="203"/>
      <c r="F534" s="1"/>
    </row>
    <row r="535" spans="1:62" ht="136.94999999999999" customHeight="1" thickBot="1" x14ac:dyDescent="0.3">
      <c r="A535" s="202"/>
      <c r="B535" s="570"/>
      <c r="C535" s="571"/>
      <c r="D535" s="572"/>
      <c r="E535" s="203"/>
      <c r="F535" s="1"/>
    </row>
    <row r="536" spans="1:62" ht="15" thickTop="1" thickBot="1" x14ac:dyDescent="0.3">
      <c r="A536" s="202"/>
      <c r="B536" s="204" t="str">
        <f>IF(B535="","","Claimed?")</f>
        <v/>
      </c>
      <c r="C536" s="204" t="str">
        <f>IF(B536="","","Verifiable?")</f>
        <v/>
      </c>
      <c r="D536" s="205" t="str">
        <f>IF(C537="","","Independent verification")</f>
        <v/>
      </c>
      <c r="E536" s="573">
        <f>BI537</f>
        <v>0</v>
      </c>
      <c r="F536" s="574"/>
      <c r="AA536" s="60"/>
      <c r="AB536" s="60" t="s">
        <v>314</v>
      </c>
      <c r="AF536" s="220"/>
      <c r="AG536" s="60" t="s">
        <v>315</v>
      </c>
      <c r="AM536" s="221"/>
      <c r="AN536" s="60" t="s">
        <v>316</v>
      </c>
      <c r="AV536" s="222"/>
      <c r="AX536" s="207" t="s">
        <v>317</v>
      </c>
      <c r="AZ536" s="208" t="s">
        <v>318</v>
      </c>
      <c r="BB536" s="209" t="s">
        <v>319</v>
      </c>
      <c r="BD536" s="208" t="s">
        <v>320</v>
      </c>
      <c r="BG536" s="210" t="s">
        <v>326</v>
      </c>
      <c r="BH536" s="211" t="s">
        <v>327</v>
      </c>
      <c r="BI536" s="210" t="s">
        <v>321</v>
      </c>
      <c r="BJ536" s="211" t="s">
        <v>322</v>
      </c>
    </row>
    <row r="537" spans="1:62" ht="15" thickTop="1" thickBot="1" x14ac:dyDescent="0.3">
      <c r="A537" s="202"/>
      <c r="B537" s="212"/>
      <c r="C537" s="213"/>
      <c r="D537" s="223"/>
      <c r="E537" s="573">
        <f>BJ537</f>
        <v>0</v>
      </c>
      <c r="F537" s="574"/>
      <c r="AA537" s="112"/>
      <c r="AB537" s="112">
        <f>IF(B537=$B$1871,$AB$463,0)</f>
        <v>0</v>
      </c>
      <c r="AC537" s="112">
        <f>IF(B537=$B$1872,$AC$463,0)</f>
        <v>0</v>
      </c>
      <c r="AD537" s="112">
        <f>IF(B537=$B$1873,$AD$463,0)</f>
        <v>0</v>
      </c>
      <c r="AE537" s="112">
        <f>IF(B537=$B$1874,$AE$463,0)</f>
        <v>0</v>
      </c>
      <c r="AF537" s="224">
        <f>SUM(AB537:AE537)</f>
        <v>0</v>
      </c>
      <c r="AG537" s="112">
        <f>IF(C537=$B$1877,$E$1877,0)</f>
        <v>0</v>
      </c>
      <c r="AH537" s="112">
        <f>IF(C537=$B$1878,$E$1878,0)</f>
        <v>0</v>
      </c>
      <c r="AI537" s="112">
        <f>IF(C537=$B$1879,$E$1879,0)</f>
        <v>0</v>
      </c>
      <c r="AJ537" s="112">
        <f>IF(C537=$B$1880,$E$1880,0)</f>
        <v>0</v>
      </c>
      <c r="AK537" s="112">
        <f>IF(C537=$B$1881,$E$1881,0)</f>
        <v>0</v>
      </c>
      <c r="AL537" s="112">
        <f>IF(C537=$B$1882,$E$1882,0)</f>
        <v>0</v>
      </c>
      <c r="AM537" s="225">
        <f>SUM(AG537:AL537)</f>
        <v>0</v>
      </c>
      <c r="AN537" s="112">
        <f>IF($D537=$B$1885,AN$463,0)</f>
        <v>0</v>
      </c>
      <c r="AO537" s="112">
        <f>IF($D537=$B$1886,AO$463,0)</f>
        <v>0</v>
      </c>
      <c r="AP537" s="112">
        <f>IF($D537=$B$1887,AP$463,0)</f>
        <v>0</v>
      </c>
      <c r="AQ537" s="112">
        <f>IF($D537=$B$1888,AQ$463,0)</f>
        <v>0</v>
      </c>
      <c r="AR537" s="112">
        <f>IF($D537=$B$1889,AR$463,0)</f>
        <v>0</v>
      </c>
      <c r="AS537" s="112">
        <f>IF($D537=$B$1890,AS$463,0)</f>
        <v>0</v>
      </c>
      <c r="AT537" s="112">
        <f>IF($D537=$B$1891,AT$463,0)</f>
        <v>0</v>
      </c>
      <c r="AU537" s="112">
        <f>IF($D537=$B$1892,AU$463,0)</f>
        <v>0</v>
      </c>
      <c r="AV537" s="226">
        <f>SUM(AN537:AU537)</f>
        <v>0</v>
      </c>
      <c r="AX537" s="216">
        <f>AF537*AM537</f>
        <v>0</v>
      </c>
      <c r="AZ537" s="158">
        <f>AX537+(AV537*AM537)</f>
        <v>0</v>
      </c>
      <c r="BB537" s="217">
        <f>(AF537*AM537)*0.01</f>
        <v>0</v>
      </c>
      <c r="BD537" s="218">
        <f>AZ537*0.01</f>
        <v>0</v>
      </c>
      <c r="BE537" s="402"/>
      <c r="BG537" s="217">
        <f>IF(AF537&gt;0,BG529+BB537,BG529)</f>
        <v>0</v>
      </c>
      <c r="BH537" s="218">
        <f>IF(AV537&gt;0,BH529+BD537,BH529)</f>
        <v>0</v>
      </c>
      <c r="BI537" s="217">
        <f>IF(BG537&gt;0.99,0.99,BG537)</f>
        <v>0</v>
      </c>
      <c r="BJ537" s="218">
        <f>IF(BH537&gt;0.99,0.99,BH537)</f>
        <v>0</v>
      </c>
    </row>
    <row r="538" spans="1:62" ht="16.2" thickTop="1" x14ac:dyDescent="0.25">
      <c r="A538" s="200">
        <f>A533+1</f>
        <v>28</v>
      </c>
      <c r="B538" s="200" t="s">
        <v>370</v>
      </c>
      <c r="C538" s="230"/>
      <c r="D538" s="201" t="str">
        <f>IF(B540="","If claimed, explain in white box below.","")</f>
        <v>If claimed, explain in white box below.</v>
      </c>
      <c r="E538" s="203"/>
      <c r="F538" s="1"/>
    </row>
    <row r="539" spans="1:62" x14ac:dyDescent="0.25">
      <c r="A539" s="202"/>
      <c r="B539" s="567" t="s">
        <v>371</v>
      </c>
      <c r="C539" s="568"/>
      <c r="D539" s="569"/>
      <c r="E539" s="203"/>
      <c r="F539" s="1"/>
    </row>
    <row r="540" spans="1:62" ht="136.94999999999999" customHeight="1" thickBot="1" x14ac:dyDescent="0.3">
      <c r="A540" s="202"/>
      <c r="B540" s="570"/>
      <c r="C540" s="571"/>
      <c r="D540" s="572"/>
      <c r="E540" s="203"/>
      <c r="F540" s="1"/>
    </row>
    <row r="541" spans="1:62" ht="15" thickTop="1" thickBot="1" x14ac:dyDescent="0.3">
      <c r="A541" s="202"/>
      <c r="B541" s="204" t="str">
        <f>IF(B540="","","Claimed?")</f>
        <v/>
      </c>
      <c r="C541" s="204" t="str">
        <f>IF(B541="","","Verifiable?")</f>
        <v/>
      </c>
      <c r="D541" s="205" t="str">
        <f>IF(C542="","","Independent verification")</f>
        <v/>
      </c>
      <c r="E541" s="573">
        <f>BI542</f>
        <v>0</v>
      </c>
      <c r="F541" s="574"/>
      <c r="AA541" s="60"/>
      <c r="AB541" s="60" t="s">
        <v>314</v>
      </c>
      <c r="AF541" s="220"/>
      <c r="AG541" s="60" t="s">
        <v>315</v>
      </c>
      <c r="AM541" s="221"/>
      <c r="AN541" s="60" t="s">
        <v>316</v>
      </c>
      <c r="AV541" s="222"/>
      <c r="AX541" s="207" t="s">
        <v>317</v>
      </c>
      <c r="AZ541" s="208" t="s">
        <v>318</v>
      </c>
      <c r="BB541" s="209" t="s">
        <v>319</v>
      </c>
      <c r="BD541" s="208" t="s">
        <v>320</v>
      </c>
      <c r="BG541" s="210" t="s">
        <v>326</v>
      </c>
      <c r="BH541" s="211" t="s">
        <v>327</v>
      </c>
      <c r="BI541" s="210" t="s">
        <v>321</v>
      </c>
      <c r="BJ541" s="211" t="s">
        <v>322</v>
      </c>
    </row>
    <row r="542" spans="1:62" ht="15" thickTop="1" thickBot="1" x14ac:dyDescent="0.3">
      <c r="A542" s="202"/>
      <c r="B542" s="212"/>
      <c r="C542" s="213"/>
      <c r="D542" s="223"/>
      <c r="E542" s="573">
        <f>BJ542</f>
        <v>0</v>
      </c>
      <c r="F542" s="574"/>
      <c r="AA542" s="112"/>
      <c r="AB542" s="112">
        <f>IF(B542=$B$1871,$AB$463,0)</f>
        <v>0</v>
      </c>
      <c r="AC542" s="112">
        <f>IF(B542=$B$1872,$AC$463,0)</f>
        <v>0</v>
      </c>
      <c r="AD542" s="112">
        <f>IF(B542=$B$1873,$AD$463,0)</f>
        <v>0</v>
      </c>
      <c r="AE542" s="112">
        <f>IF(B542=$B$1874,$AE$463,0)</f>
        <v>0</v>
      </c>
      <c r="AF542" s="224">
        <f>SUM(AB542:AE542)</f>
        <v>0</v>
      </c>
      <c r="AG542" s="112">
        <f>IF(C542=$B$1877,$E$1877,0)</f>
        <v>0</v>
      </c>
      <c r="AH542" s="112">
        <f>IF(C542=$B$1878,$E$1878,0)</f>
        <v>0</v>
      </c>
      <c r="AI542" s="112">
        <f>IF(C542=$B$1879,$E$1879,0)</f>
        <v>0</v>
      </c>
      <c r="AJ542" s="112">
        <f>IF(C542=$B$1880,$E$1880,0)</f>
        <v>0</v>
      </c>
      <c r="AK542" s="112">
        <f>IF(C542=$B$1881,$E$1881,0)</f>
        <v>0</v>
      </c>
      <c r="AL542" s="112">
        <f>IF(C542=$B$1882,$E$1882,0)</f>
        <v>0</v>
      </c>
      <c r="AM542" s="225">
        <f>SUM(AG542:AL542)</f>
        <v>0</v>
      </c>
      <c r="AN542" s="112">
        <f>IF($D542=$B$1885,AN$463,0)</f>
        <v>0</v>
      </c>
      <c r="AO542" s="112">
        <f>IF($D542=$B$1886,AO$463,0)</f>
        <v>0</v>
      </c>
      <c r="AP542" s="112">
        <f>IF($D542=$B$1887,AP$463,0)</f>
        <v>0</v>
      </c>
      <c r="AQ542" s="112">
        <f>IF($D542=$B$1888,AQ$463,0)</f>
        <v>0</v>
      </c>
      <c r="AR542" s="112">
        <f>IF($D542=$B$1889,AR$463,0)</f>
        <v>0</v>
      </c>
      <c r="AS542" s="112">
        <f>IF($D542=$B$1890,AS$463,0)</f>
        <v>0</v>
      </c>
      <c r="AT542" s="112">
        <f>IF($D542=$B$1891,AT$463,0)</f>
        <v>0</v>
      </c>
      <c r="AU542" s="112">
        <f>IF($D542=$B$1892,AU$463,0)</f>
        <v>0</v>
      </c>
      <c r="AV542" s="226">
        <f>SUM(AN542:AU542)</f>
        <v>0</v>
      </c>
      <c r="AX542" s="216">
        <f>AF542*AM542</f>
        <v>0</v>
      </c>
      <c r="AZ542" s="158">
        <f>AX542+(AV542*AM542)</f>
        <v>0</v>
      </c>
      <c r="BB542" s="217">
        <f>(AF542*AM542)*0.01</f>
        <v>0</v>
      </c>
      <c r="BD542" s="218">
        <f>AZ542*0.01</f>
        <v>0</v>
      </c>
      <c r="BE542" s="402"/>
      <c r="BG542" s="217">
        <f>IF(AF542&gt;0,BG537+BB542,BG537)</f>
        <v>0</v>
      </c>
      <c r="BH542" s="218">
        <f>IF(AV542&gt;0,BH537+BD542,BH537)</f>
        <v>0</v>
      </c>
      <c r="BI542" s="217">
        <f>IF(BG542&gt;0.99,0.99,BG542)</f>
        <v>0</v>
      </c>
      <c r="BJ542" s="218">
        <f>IF(BH542&gt;0.99,0.99,BH542)</f>
        <v>0</v>
      </c>
    </row>
    <row r="543" spans="1:62" ht="16.2" thickTop="1" x14ac:dyDescent="0.25">
      <c r="A543" s="200">
        <f>A538+1</f>
        <v>29</v>
      </c>
      <c r="B543" s="200" t="s">
        <v>374</v>
      </c>
      <c r="C543" s="200"/>
      <c r="D543" s="201" t="str">
        <f>IF(B545="","If claimed, explain in white box below.","")</f>
        <v>If claimed, explain in white box below.</v>
      </c>
      <c r="E543" s="203"/>
      <c r="F543" s="1"/>
    </row>
    <row r="544" spans="1:62" ht="45" customHeight="1" x14ac:dyDescent="0.25">
      <c r="A544" s="202"/>
      <c r="B544" s="567" t="s">
        <v>375</v>
      </c>
      <c r="C544" s="568"/>
      <c r="D544" s="569"/>
      <c r="E544" s="203"/>
      <c r="F544" s="1"/>
    </row>
    <row r="545" spans="1:62" ht="136.94999999999999" customHeight="1" thickBot="1" x14ac:dyDescent="0.3">
      <c r="A545" s="202"/>
      <c r="B545" s="570"/>
      <c r="C545" s="571"/>
      <c r="D545" s="572"/>
      <c r="E545" s="203"/>
      <c r="F545" s="1"/>
    </row>
    <row r="546" spans="1:62" ht="15" thickTop="1" thickBot="1" x14ac:dyDescent="0.3">
      <c r="A546" s="202"/>
      <c r="B546" s="204" t="str">
        <f>IF(B545="","","Claimed?")</f>
        <v/>
      </c>
      <c r="C546" s="204" t="str">
        <f>IF(B546="","","Verifiable?")</f>
        <v/>
      </c>
      <c r="D546" s="205" t="str">
        <f>IF(C547="","","Independent verification")</f>
        <v/>
      </c>
      <c r="E546" s="573">
        <f>BI547</f>
        <v>0</v>
      </c>
      <c r="F546" s="574"/>
      <c r="AA546" s="60"/>
      <c r="AB546" s="60" t="s">
        <v>314</v>
      </c>
      <c r="AF546" s="220"/>
      <c r="AG546" s="60" t="s">
        <v>315</v>
      </c>
      <c r="AM546" s="221"/>
      <c r="AN546" s="60" t="s">
        <v>316</v>
      </c>
      <c r="AV546" s="222"/>
      <c r="AX546" s="207" t="s">
        <v>317</v>
      </c>
      <c r="AZ546" s="208" t="s">
        <v>318</v>
      </c>
      <c r="BB546" s="209" t="s">
        <v>319</v>
      </c>
      <c r="BD546" s="208" t="s">
        <v>320</v>
      </c>
      <c r="BG546" s="210" t="s">
        <v>326</v>
      </c>
      <c r="BH546" s="211" t="s">
        <v>327</v>
      </c>
      <c r="BI546" s="210" t="s">
        <v>321</v>
      </c>
      <c r="BJ546" s="211" t="s">
        <v>322</v>
      </c>
    </row>
    <row r="547" spans="1:62" ht="15" thickTop="1" thickBot="1" x14ac:dyDescent="0.3">
      <c r="A547" s="202"/>
      <c r="B547" s="212"/>
      <c r="C547" s="213"/>
      <c r="D547" s="223"/>
      <c r="E547" s="573">
        <f>BJ547</f>
        <v>0</v>
      </c>
      <c r="F547" s="574"/>
      <c r="AA547" s="112"/>
      <c r="AB547" s="112">
        <f>IF(B547=$B$1871,$AB$463,0)</f>
        <v>0</v>
      </c>
      <c r="AC547" s="112">
        <f>IF(B547=$B$1872,$AC$463,0)</f>
        <v>0</v>
      </c>
      <c r="AD547" s="112">
        <f>IF(B547=$B$1873,$AD$463,0)</f>
        <v>0</v>
      </c>
      <c r="AE547" s="112">
        <f>IF(B547=$B$1874,$AE$463,0)</f>
        <v>0</v>
      </c>
      <c r="AF547" s="224">
        <f>SUM(AB547:AE547)</f>
        <v>0</v>
      </c>
      <c r="AG547" s="112">
        <f>IF(C547=$B$1877,$E$1877,0)</f>
        <v>0</v>
      </c>
      <c r="AH547" s="112">
        <f>IF(C547=$B$1878,$E$1878,0)</f>
        <v>0</v>
      </c>
      <c r="AI547" s="112">
        <f>IF(C547=$B$1879,$E$1879,0)</f>
        <v>0</v>
      </c>
      <c r="AJ547" s="112">
        <f>IF(C547=$B$1880,$E$1880,0)</f>
        <v>0</v>
      </c>
      <c r="AK547" s="112">
        <f>IF(C547=$B$1881,$E$1881,0)</f>
        <v>0</v>
      </c>
      <c r="AL547" s="112">
        <f>IF(C547=$B$1882,$E$1882,0)</f>
        <v>0</v>
      </c>
      <c r="AM547" s="225">
        <f>SUM(AG547:AL547)</f>
        <v>0</v>
      </c>
      <c r="AN547" s="112">
        <f>IF($D547=$B$1885,AN$463,0)</f>
        <v>0</v>
      </c>
      <c r="AO547" s="112">
        <f>IF($D547=$B$1886,AO$463,0)</f>
        <v>0</v>
      </c>
      <c r="AP547" s="112">
        <f>IF($D547=$B$1887,AP$463,0)</f>
        <v>0</v>
      </c>
      <c r="AQ547" s="112">
        <f>IF($D547=$B$1888,AQ$463,0)</f>
        <v>0</v>
      </c>
      <c r="AR547" s="112">
        <f>IF($D547=$B$1889,AR$463,0)</f>
        <v>0</v>
      </c>
      <c r="AS547" s="112">
        <f>IF($D547=$B$1890,AS$463,0)</f>
        <v>0</v>
      </c>
      <c r="AT547" s="112">
        <f>IF($D547=$B$1891,AT$463,0)</f>
        <v>0</v>
      </c>
      <c r="AU547" s="112">
        <f>IF($D547=$B$1892,AU$463,0)</f>
        <v>0</v>
      </c>
      <c r="AV547" s="226">
        <f>SUM(AN547:AU547)</f>
        <v>0</v>
      </c>
      <c r="AX547" s="216">
        <f>AF547*AM547</f>
        <v>0</v>
      </c>
      <c r="AZ547" s="158">
        <f>AX547+(AV547*AM547)</f>
        <v>0</v>
      </c>
      <c r="BB547" s="217">
        <f>(AF547*AM547)*0.01</f>
        <v>0</v>
      </c>
      <c r="BD547" s="218">
        <f>AZ547*0.01</f>
        <v>0</v>
      </c>
      <c r="BE547" s="402"/>
      <c r="BG547" s="217">
        <f>IF(AF547&gt;0,BG542+BB547,BG542)</f>
        <v>0</v>
      </c>
      <c r="BH547" s="218">
        <f>IF(AV547&gt;0,BH542+BD547,BH542)</f>
        <v>0</v>
      </c>
      <c r="BI547" s="217">
        <f>IF(BG547&gt;0.99,0.99,BG547)</f>
        <v>0</v>
      </c>
      <c r="BJ547" s="218">
        <f>IF(BH547&gt;0.99,0.99,BH547)</f>
        <v>0</v>
      </c>
    </row>
    <row r="548" spans="1:62" ht="4.95" customHeight="1" thickTop="1" x14ac:dyDescent="0.25">
      <c r="A548" s="203"/>
      <c r="B548" s="203"/>
      <c r="C548" s="203"/>
      <c r="D548" s="203"/>
      <c r="E548" s="203"/>
      <c r="F548" s="1"/>
    </row>
    <row r="549" spans="1:62" ht="15.6" x14ac:dyDescent="0.25">
      <c r="A549" s="200">
        <f>A543+1</f>
        <v>30</v>
      </c>
      <c r="B549" s="200" t="s">
        <v>376</v>
      </c>
      <c r="C549" s="200"/>
      <c r="D549" s="201" t="str">
        <f>IF(B551="","If claimed, explain in white box below.","")</f>
        <v>If claimed, explain in white box below.</v>
      </c>
      <c r="E549" s="203"/>
      <c r="F549" s="1"/>
    </row>
    <row r="550" spans="1:62" x14ac:dyDescent="0.25">
      <c r="A550" s="202"/>
      <c r="B550" s="567" t="s">
        <v>377</v>
      </c>
      <c r="C550" s="568"/>
      <c r="D550" s="569"/>
      <c r="E550" s="203"/>
      <c r="F550" s="1"/>
    </row>
    <row r="551" spans="1:62" ht="150" customHeight="1" thickBot="1" x14ac:dyDescent="0.3">
      <c r="A551" s="202"/>
      <c r="B551" s="570"/>
      <c r="C551" s="571"/>
      <c r="D551" s="572"/>
      <c r="E551" s="203"/>
      <c r="F551" s="1"/>
    </row>
    <row r="552" spans="1:62" ht="15" thickTop="1" thickBot="1" x14ac:dyDescent="0.3">
      <c r="A552" s="202"/>
      <c r="B552" s="204" t="str">
        <f>IF(B551="","","Claimed?")</f>
        <v/>
      </c>
      <c r="C552" s="204" t="str">
        <f>IF(B552="","","Verifiable?")</f>
        <v/>
      </c>
      <c r="D552" s="205" t="str">
        <f>IF(C553="","","Independent verification")</f>
        <v/>
      </c>
      <c r="E552" s="573">
        <f>BI553</f>
        <v>0</v>
      </c>
      <c r="F552" s="574"/>
      <c r="AA552" s="60"/>
      <c r="AB552" s="60" t="s">
        <v>314</v>
      </c>
      <c r="AF552" s="220"/>
      <c r="AG552" s="60" t="s">
        <v>315</v>
      </c>
      <c r="AM552" s="221"/>
      <c r="AN552" s="60" t="s">
        <v>316</v>
      </c>
      <c r="AV552" s="222"/>
      <c r="AX552" s="207" t="s">
        <v>317</v>
      </c>
      <c r="AZ552" s="208" t="s">
        <v>318</v>
      </c>
      <c r="BB552" s="209" t="s">
        <v>319</v>
      </c>
      <c r="BD552" s="208" t="s">
        <v>320</v>
      </c>
      <c r="BG552" s="210" t="s">
        <v>326</v>
      </c>
      <c r="BH552" s="211" t="s">
        <v>327</v>
      </c>
      <c r="BI552" s="210" t="s">
        <v>321</v>
      </c>
      <c r="BJ552" s="211" t="s">
        <v>322</v>
      </c>
    </row>
    <row r="553" spans="1:62" ht="15" thickTop="1" thickBot="1" x14ac:dyDescent="0.3">
      <c r="A553" s="202"/>
      <c r="B553" s="212"/>
      <c r="C553" s="213"/>
      <c r="D553" s="223"/>
      <c r="E553" s="573">
        <f>BJ553</f>
        <v>0</v>
      </c>
      <c r="F553" s="574"/>
      <c r="AA553" s="112"/>
      <c r="AB553" s="112">
        <f>IF(B553=$B$1871,$AB$463,0)</f>
        <v>0</v>
      </c>
      <c r="AC553" s="112">
        <f>IF(B553=$B$1872,$AC$463,0)</f>
        <v>0</v>
      </c>
      <c r="AD553" s="112">
        <f>IF(B553=$B$1873,$AD$463,0)</f>
        <v>0</v>
      </c>
      <c r="AE553" s="112">
        <f>IF(B553=$B$1874,$AE$463,0)</f>
        <v>0</v>
      </c>
      <c r="AF553" s="224">
        <f>SUM(AB553:AE553)</f>
        <v>0</v>
      </c>
      <c r="AG553" s="112">
        <f>IF(C553=$B$1877,$E$1877,0)</f>
        <v>0</v>
      </c>
      <c r="AH553" s="112">
        <f>IF(C553=$B$1878,$E$1878,0)</f>
        <v>0</v>
      </c>
      <c r="AI553" s="112">
        <f>IF(C553=$B$1879,$E$1879,0)</f>
        <v>0</v>
      </c>
      <c r="AJ553" s="112">
        <f>IF(C553=$B$1880,$E$1880,0)</f>
        <v>0</v>
      </c>
      <c r="AK553" s="112">
        <f>IF(C553=$B$1881,$E$1881,0)</f>
        <v>0</v>
      </c>
      <c r="AL553" s="112">
        <f>IF(C553=$B$1882,$E$1882,0)</f>
        <v>0</v>
      </c>
      <c r="AM553" s="225">
        <f>SUM(AG553:AL553)</f>
        <v>0</v>
      </c>
      <c r="AN553" s="112">
        <f>IF($D553=$B$1885,AN$463,0)</f>
        <v>0</v>
      </c>
      <c r="AO553" s="112">
        <f>IF($D553=$B$1886,AO$463,0)</f>
        <v>0</v>
      </c>
      <c r="AP553" s="112">
        <f>IF($D553=$B$1887,AP$463,0)</f>
        <v>0</v>
      </c>
      <c r="AQ553" s="112">
        <f>IF($D553=$B$1888,AQ$463,0)</f>
        <v>0</v>
      </c>
      <c r="AR553" s="112">
        <f>IF($D553=$B$1889,AR$463,0)</f>
        <v>0</v>
      </c>
      <c r="AS553" s="112">
        <f>IF($D553=$B$1890,AS$463,0)</f>
        <v>0</v>
      </c>
      <c r="AT553" s="112">
        <f>IF($D553=$B$1891,AT$463,0)</f>
        <v>0</v>
      </c>
      <c r="AU553" s="112">
        <f>IF($D553=$B$1892,AU$463,0)</f>
        <v>0</v>
      </c>
      <c r="AV553" s="226">
        <f>SUM(AN553:AU553)</f>
        <v>0</v>
      </c>
      <c r="AX553" s="216">
        <f>AF553*AM553</f>
        <v>0</v>
      </c>
      <c r="AZ553" s="158">
        <f>AX553+(AV553*AM553)</f>
        <v>0</v>
      </c>
      <c r="BB553" s="217">
        <f>(AF553*AM553)*0.01</f>
        <v>0</v>
      </c>
      <c r="BD553" s="218">
        <f>AZ553*0.01</f>
        <v>0</v>
      </c>
      <c r="BE553" s="402"/>
      <c r="BG553" s="217">
        <f>IF(AF553&gt;0,BG547+BB553,BG547)</f>
        <v>0</v>
      </c>
      <c r="BH553" s="218">
        <f>IF(AV553&gt;0,BH547+BD553,BH547)</f>
        <v>0</v>
      </c>
      <c r="BI553" s="217">
        <f>IF(BG553&gt;0.99,0.99,BG553)</f>
        <v>0</v>
      </c>
      <c r="BJ553" s="218">
        <f>IF(BH553&gt;0.99,0.99,BH553)</f>
        <v>0</v>
      </c>
    </row>
    <row r="554" spans="1:62" ht="16.2" thickTop="1" x14ac:dyDescent="0.25">
      <c r="A554" s="200">
        <f>A549+1</f>
        <v>31</v>
      </c>
      <c r="B554" s="200" t="s">
        <v>378</v>
      </c>
      <c r="C554" s="200"/>
      <c r="D554" s="201" t="str">
        <f>IF(B556="","If claimed, explain in white box below.","")</f>
        <v>If claimed, explain in white box below.</v>
      </c>
      <c r="E554" s="203"/>
      <c r="F554" s="1"/>
    </row>
    <row r="555" spans="1:62" ht="28.05" customHeight="1" x14ac:dyDescent="0.25">
      <c r="A555" s="202"/>
      <c r="B555" s="567" t="s">
        <v>379</v>
      </c>
      <c r="C555" s="568"/>
      <c r="D555" s="569"/>
      <c r="E555" s="203"/>
      <c r="F555" s="1"/>
    </row>
    <row r="556" spans="1:62" ht="150" customHeight="1" thickBot="1" x14ac:dyDescent="0.3">
      <c r="A556" s="202"/>
      <c r="B556" s="570"/>
      <c r="C556" s="571"/>
      <c r="D556" s="572"/>
      <c r="E556" s="203"/>
      <c r="F556" s="1"/>
    </row>
    <row r="557" spans="1:62" ht="15" thickTop="1" thickBot="1" x14ac:dyDescent="0.3">
      <c r="A557" s="202"/>
      <c r="B557" s="204" t="str">
        <f>IF(B556="","","Claimed?")</f>
        <v/>
      </c>
      <c r="C557" s="204" t="str">
        <f>IF(B557="","","Verifiable?")</f>
        <v/>
      </c>
      <c r="D557" s="205" t="str">
        <f>IF(C558="","","Independent verification")</f>
        <v/>
      </c>
      <c r="E557" s="573">
        <f>BI558</f>
        <v>0</v>
      </c>
      <c r="F557" s="574"/>
      <c r="AA557" s="60"/>
      <c r="AB557" s="60" t="s">
        <v>314</v>
      </c>
      <c r="AF557" s="220"/>
      <c r="AG557" s="60" t="s">
        <v>315</v>
      </c>
      <c r="AM557" s="221"/>
      <c r="AN557" s="60" t="s">
        <v>316</v>
      </c>
      <c r="AV557" s="222"/>
      <c r="AX557" s="207" t="s">
        <v>317</v>
      </c>
      <c r="AZ557" s="208" t="s">
        <v>318</v>
      </c>
      <c r="BB557" s="209" t="s">
        <v>319</v>
      </c>
      <c r="BD557" s="208" t="s">
        <v>320</v>
      </c>
      <c r="BG557" s="210" t="s">
        <v>326</v>
      </c>
      <c r="BH557" s="211" t="s">
        <v>327</v>
      </c>
      <c r="BI557" s="210" t="s">
        <v>321</v>
      </c>
      <c r="BJ557" s="211" t="s">
        <v>322</v>
      </c>
    </row>
    <row r="558" spans="1:62" ht="15" thickTop="1" thickBot="1" x14ac:dyDescent="0.3">
      <c r="A558" s="202"/>
      <c r="B558" s="212"/>
      <c r="C558" s="213"/>
      <c r="D558" s="223"/>
      <c r="E558" s="573">
        <f>BJ558</f>
        <v>0</v>
      </c>
      <c r="F558" s="574"/>
      <c r="AA558" s="112"/>
      <c r="AB558" s="112">
        <f>IF(B558=$B$1871,$AB$463,0)</f>
        <v>0</v>
      </c>
      <c r="AC558" s="112">
        <f>IF(B558=$B$1872,$AC$463,0)</f>
        <v>0</v>
      </c>
      <c r="AD558" s="112">
        <f>IF(B558=$B$1873,$AD$463,0)</f>
        <v>0</v>
      </c>
      <c r="AE558" s="112">
        <f>IF(B558=$B$1874,$AE$463,0)</f>
        <v>0</v>
      </c>
      <c r="AF558" s="224">
        <f>SUM(AB558:AE558)</f>
        <v>0</v>
      </c>
      <c r="AG558" s="112">
        <f>IF(C558=$B$1877,$E$1877,0)</f>
        <v>0</v>
      </c>
      <c r="AH558" s="112">
        <f>IF(C558=$B$1878,$E$1878,0)</f>
        <v>0</v>
      </c>
      <c r="AI558" s="112">
        <f>IF(C558=$B$1879,$E$1879,0)</f>
        <v>0</v>
      </c>
      <c r="AJ558" s="112">
        <f>IF(C558=$B$1880,$E$1880,0)</f>
        <v>0</v>
      </c>
      <c r="AK558" s="112">
        <f>IF(C558=$B$1881,$E$1881,0)</f>
        <v>0</v>
      </c>
      <c r="AL558" s="112">
        <f>IF(C558=$B$1882,$E$1882,0)</f>
        <v>0</v>
      </c>
      <c r="AM558" s="225">
        <f>SUM(AG558:AL558)</f>
        <v>0</v>
      </c>
      <c r="AN558" s="112">
        <f>IF($D558=$B$1885,AN$463,0)</f>
        <v>0</v>
      </c>
      <c r="AO558" s="112">
        <f>IF($D558=$B$1886,AO$463,0)</f>
        <v>0</v>
      </c>
      <c r="AP558" s="112">
        <f>IF($D558=$B$1887,AP$463,0)</f>
        <v>0</v>
      </c>
      <c r="AQ558" s="112">
        <f>IF($D558=$B$1888,AQ$463,0)</f>
        <v>0</v>
      </c>
      <c r="AR558" s="112">
        <f>IF($D558=$B$1889,AR$463,0)</f>
        <v>0</v>
      </c>
      <c r="AS558" s="112">
        <f>IF($D558=$B$1890,AS$463,0)</f>
        <v>0</v>
      </c>
      <c r="AT558" s="112">
        <f>IF($D558=$B$1891,AT$463,0)</f>
        <v>0</v>
      </c>
      <c r="AU558" s="112">
        <f>IF($D558=$B$1892,AU$463,0)</f>
        <v>0</v>
      </c>
      <c r="AV558" s="226">
        <f>SUM(AN558:AU558)</f>
        <v>0</v>
      </c>
      <c r="AX558" s="216">
        <f>AF558*AM558</f>
        <v>0</v>
      </c>
      <c r="AZ558" s="158">
        <f>AX558+(AV558*AM558)</f>
        <v>0</v>
      </c>
      <c r="BB558" s="217">
        <f>(AF558*AM558)*0.01</f>
        <v>0</v>
      </c>
      <c r="BD558" s="218">
        <f>AZ558*0.01</f>
        <v>0</v>
      </c>
      <c r="BE558" s="402"/>
      <c r="BG558" s="217">
        <f>IF(AF558&gt;0,BG553+BB558,BG553)</f>
        <v>0</v>
      </c>
      <c r="BH558" s="218">
        <f>IF(AV558&gt;0,BH553+BD558,BH553)</f>
        <v>0</v>
      </c>
      <c r="BI558" s="217">
        <f>IF(BG558&gt;0.99,0.99,BG558)</f>
        <v>0</v>
      </c>
      <c r="BJ558" s="218">
        <f>IF(BH558&gt;0.99,0.99,BH558)</f>
        <v>0</v>
      </c>
    </row>
    <row r="559" spans="1:62" ht="16.2" thickTop="1" x14ac:dyDescent="0.25">
      <c r="A559" s="200">
        <f>A554+1</f>
        <v>32</v>
      </c>
      <c r="B559" s="200" t="s">
        <v>380</v>
      </c>
      <c r="C559" s="200"/>
      <c r="D559" s="231" t="str">
        <f>IF(B561="","If claimed, explain in white box below.","")</f>
        <v>If claimed, explain in white box below.</v>
      </c>
      <c r="E559" s="203"/>
      <c r="F559" s="1"/>
    </row>
    <row r="560" spans="1:62" x14ac:dyDescent="0.25">
      <c r="A560" s="202"/>
      <c r="B560" s="567" t="s">
        <v>381</v>
      </c>
      <c r="C560" s="568"/>
      <c r="D560" s="569"/>
      <c r="E560" s="203"/>
      <c r="F560" s="1"/>
    </row>
    <row r="561" spans="1:62" ht="150" customHeight="1" thickBot="1" x14ac:dyDescent="0.3">
      <c r="A561" s="202"/>
      <c r="B561" s="570"/>
      <c r="C561" s="571"/>
      <c r="D561" s="572"/>
      <c r="E561" s="203"/>
      <c r="F561" s="1"/>
    </row>
    <row r="562" spans="1:62" ht="15" thickTop="1" thickBot="1" x14ac:dyDescent="0.3">
      <c r="A562" s="202"/>
      <c r="B562" s="204" t="str">
        <f>IF(B561="","","Claimed?")</f>
        <v/>
      </c>
      <c r="C562" s="204" t="str">
        <f>IF(B562="","","Verifiable?")</f>
        <v/>
      </c>
      <c r="D562" s="205" t="str">
        <f>IF(C563="","","Independent verification")</f>
        <v/>
      </c>
      <c r="E562" s="573">
        <f>BI563</f>
        <v>0</v>
      </c>
      <c r="F562" s="574"/>
      <c r="AA562" s="60"/>
      <c r="AB562" s="60" t="s">
        <v>314</v>
      </c>
      <c r="AF562" s="220"/>
      <c r="AG562" s="60" t="s">
        <v>315</v>
      </c>
      <c r="AM562" s="221"/>
      <c r="AN562" s="60" t="s">
        <v>316</v>
      </c>
      <c r="AV562" s="222"/>
      <c r="AX562" s="207" t="s">
        <v>317</v>
      </c>
      <c r="AZ562" s="208" t="s">
        <v>318</v>
      </c>
      <c r="BB562" s="209" t="s">
        <v>319</v>
      </c>
      <c r="BD562" s="208" t="s">
        <v>320</v>
      </c>
      <c r="BG562" s="210" t="s">
        <v>326</v>
      </c>
      <c r="BH562" s="211" t="s">
        <v>327</v>
      </c>
      <c r="BI562" s="210" t="s">
        <v>321</v>
      </c>
      <c r="BJ562" s="211" t="s">
        <v>322</v>
      </c>
    </row>
    <row r="563" spans="1:62" ht="15" thickTop="1" thickBot="1" x14ac:dyDescent="0.3">
      <c r="A563" s="202"/>
      <c r="B563" s="212"/>
      <c r="C563" s="213"/>
      <c r="D563" s="223"/>
      <c r="E563" s="573">
        <f>BJ563</f>
        <v>0</v>
      </c>
      <c r="F563" s="574"/>
      <c r="AA563" s="112"/>
      <c r="AB563" s="112">
        <f>IF(B563=$B$1871,$AB$463,0)</f>
        <v>0</v>
      </c>
      <c r="AC563" s="112">
        <f>IF(B563=$B$1872,$AC$463,0)</f>
        <v>0</v>
      </c>
      <c r="AD563" s="112">
        <f>IF(B563=$B$1873,$AD$463,0)</f>
        <v>0</v>
      </c>
      <c r="AE563" s="112">
        <f>IF(B563=$B$1874,$AE$463,0)</f>
        <v>0</v>
      </c>
      <c r="AF563" s="224">
        <f>SUM(AB563:AE563)</f>
        <v>0</v>
      </c>
      <c r="AG563" s="112">
        <f>IF(C563=$B$1877,$E$1877,0)</f>
        <v>0</v>
      </c>
      <c r="AH563" s="112">
        <f>IF(C563=$B$1878,$E$1878,0)</f>
        <v>0</v>
      </c>
      <c r="AI563" s="112">
        <f>IF(C563=$B$1879,$E$1879,0)</f>
        <v>0</v>
      </c>
      <c r="AJ563" s="112">
        <f>IF(C563=$B$1880,$E$1880,0)</f>
        <v>0</v>
      </c>
      <c r="AK563" s="112">
        <f>IF(C563=$B$1881,$E$1881,0)</f>
        <v>0</v>
      </c>
      <c r="AL563" s="112">
        <f>IF(C563=$B$1882,$E$1882,0)</f>
        <v>0</v>
      </c>
      <c r="AM563" s="225">
        <f>SUM(AG563:AL563)</f>
        <v>0</v>
      </c>
      <c r="AN563" s="112">
        <f>IF($D563=$B$1885,AN$463,0)</f>
        <v>0</v>
      </c>
      <c r="AO563" s="112">
        <f>IF($D563=$B$1886,AO$463,0)</f>
        <v>0</v>
      </c>
      <c r="AP563" s="112">
        <f>IF($D563=$B$1887,AP$463,0)</f>
        <v>0</v>
      </c>
      <c r="AQ563" s="112">
        <f>IF($D563=$B$1888,AQ$463,0)</f>
        <v>0</v>
      </c>
      <c r="AR563" s="112">
        <f>IF($D563=$B$1889,AR$463,0)</f>
        <v>0</v>
      </c>
      <c r="AS563" s="112">
        <f>IF($D563=$B$1890,AS$463,0)</f>
        <v>0</v>
      </c>
      <c r="AT563" s="112">
        <f>IF($D563=$B$1891,AT$463,0)</f>
        <v>0</v>
      </c>
      <c r="AU563" s="112">
        <f>IF($D563=$B$1892,AU$463,0)</f>
        <v>0</v>
      </c>
      <c r="AV563" s="226">
        <f>SUM(AN563:AU563)</f>
        <v>0</v>
      </c>
      <c r="AX563" s="216">
        <f>AF563*AM563</f>
        <v>0</v>
      </c>
      <c r="AZ563" s="158">
        <f>AX563+(AV563*AM563)</f>
        <v>0</v>
      </c>
      <c r="BB563" s="217">
        <f>(AF563*AM563)*0.01</f>
        <v>0</v>
      </c>
      <c r="BD563" s="218">
        <f>AZ563*0.01</f>
        <v>0</v>
      </c>
      <c r="BE563" s="402"/>
      <c r="BG563" s="217">
        <f>IF(AF563&gt;0,BG558+BB563,BG558)</f>
        <v>0</v>
      </c>
      <c r="BH563" s="218">
        <f>IF(AV563&gt;0,BH558+BD563,BH558)</f>
        <v>0</v>
      </c>
      <c r="BI563" s="217">
        <f>IF(BG563&gt;0.99,0.99,BG563)</f>
        <v>0</v>
      </c>
      <c r="BJ563" s="218">
        <f>IF(BH563&gt;0.99,0.99,BH563)</f>
        <v>0</v>
      </c>
    </row>
    <row r="564" spans="1:62" ht="14.4" thickTop="1" x14ac:dyDescent="0.25">
      <c r="A564" s="202"/>
      <c r="B564" s="203"/>
      <c r="C564" s="203"/>
      <c r="D564" s="203"/>
      <c r="E564" s="203"/>
      <c r="F564" s="1"/>
    </row>
    <row r="565" spans="1:62" ht="30" customHeight="1" x14ac:dyDescent="0.25">
      <c r="A565" s="188" t="s">
        <v>79</v>
      </c>
      <c r="B565" s="46" t="s">
        <v>383</v>
      </c>
      <c r="C565" s="46"/>
      <c r="D565" s="46"/>
      <c r="E565" s="475"/>
      <c r="F565" s="475" t="s">
        <v>949</v>
      </c>
      <c r="AE565" s="16"/>
    </row>
    <row r="566" spans="1:62" ht="19.95" customHeight="1" x14ac:dyDescent="0.25">
      <c r="A566" s="108" t="s">
        <v>384</v>
      </c>
      <c r="B566" s="109"/>
      <c r="C566" s="109"/>
      <c r="D566" s="109"/>
      <c r="E566" s="110"/>
      <c r="F566" s="108"/>
      <c r="AA566" s="190"/>
      <c r="AB566" s="190">
        <v>0</v>
      </c>
      <c r="AC566" s="191">
        <f>AD566/2</f>
        <v>0.5</v>
      </c>
      <c r="AD566" s="192">
        <f>AE566/2</f>
        <v>1</v>
      </c>
      <c r="AE566" s="193">
        <v>2</v>
      </c>
      <c r="AF566" s="120"/>
      <c r="AG566" s="120"/>
      <c r="AH566" s="120"/>
      <c r="AI566" s="120"/>
      <c r="AJ566" s="120"/>
      <c r="AK566" s="120"/>
      <c r="AL566" s="120"/>
      <c r="AM566" s="120"/>
      <c r="AN566" s="194">
        <f>AE566*-2</f>
        <v>-4</v>
      </c>
      <c r="AO566" s="190">
        <f>AE566*-1</f>
        <v>-2</v>
      </c>
      <c r="AP566" s="190">
        <f>AD566*-1</f>
        <v>-1</v>
      </c>
      <c r="AQ566" s="195">
        <f>AE566*-0.1</f>
        <v>-0.2</v>
      </c>
      <c r="AR566" s="195">
        <v>0</v>
      </c>
      <c r="AS566" s="195">
        <f>AE566*0.1</f>
        <v>0.2</v>
      </c>
      <c r="AT566" s="192">
        <f>AD566</f>
        <v>1</v>
      </c>
      <c r="AU566" s="193">
        <f>AE566</f>
        <v>2</v>
      </c>
      <c r="AV566" s="196"/>
      <c r="AW566" s="120"/>
      <c r="AX566" s="120"/>
      <c r="AY566" s="120"/>
      <c r="AZ566" s="120"/>
      <c r="BA566" s="120"/>
      <c r="BB566" s="197"/>
      <c r="BC566" s="120"/>
      <c r="BD566" s="120"/>
      <c r="BE566" s="120"/>
      <c r="BF566" s="120"/>
      <c r="BG566" s="229">
        <f>BG532</f>
        <v>0</v>
      </c>
    </row>
    <row r="567" spans="1:62" ht="15.6" x14ac:dyDescent="0.25">
      <c r="A567" s="200">
        <f>A559+1</f>
        <v>33</v>
      </c>
      <c r="B567" s="200" t="s">
        <v>385</v>
      </c>
      <c r="C567" s="200"/>
      <c r="D567" s="201" t="str">
        <f>IF(B569="","If claimed, explain in white box below.","")</f>
        <v>If claimed, explain in white box below.</v>
      </c>
      <c r="E567" s="203"/>
      <c r="F567" s="1"/>
    </row>
    <row r="568" spans="1:62" ht="28.05" customHeight="1" x14ac:dyDescent="0.25">
      <c r="A568" s="202"/>
      <c r="B568" s="567" t="s">
        <v>386</v>
      </c>
      <c r="C568" s="568"/>
      <c r="D568" s="569"/>
      <c r="E568" s="203"/>
      <c r="F568" s="1"/>
    </row>
    <row r="569" spans="1:62" ht="136.94999999999999" customHeight="1" thickBot="1" x14ac:dyDescent="0.3">
      <c r="A569" s="202"/>
      <c r="B569" s="570"/>
      <c r="C569" s="571"/>
      <c r="D569" s="572"/>
      <c r="E569" s="203"/>
      <c r="F569" s="1"/>
    </row>
    <row r="570" spans="1:62" ht="15" thickTop="1" thickBot="1" x14ac:dyDescent="0.3">
      <c r="A570" s="202"/>
      <c r="B570" s="204" t="str">
        <f>IF(B569="","","Claimed?")</f>
        <v/>
      </c>
      <c r="C570" s="204" t="str">
        <f>IF(B570="","","Verifiable?")</f>
        <v/>
      </c>
      <c r="D570" s="205" t="str">
        <f>IF(C571="","","Independent verification")</f>
        <v/>
      </c>
      <c r="E570" s="573">
        <f>BI571</f>
        <v>0</v>
      </c>
      <c r="F570" s="574"/>
      <c r="AA570" s="60"/>
      <c r="AB570" s="60" t="s">
        <v>314</v>
      </c>
      <c r="AF570" s="220"/>
      <c r="AG570" s="60" t="s">
        <v>315</v>
      </c>
      <c r="AM570" s="221"/>
      <c r="AN570" s="60" t="s">
        <v>316</v>
      </c>
      <c r="AV570" s="222"/>
      <c r="AX570" s="207" t="s">
        <v>317</v>
      </c>
      <c r="AZ570" s="208" t="s">
        <v>318</v>
      </c>
      <c r="BB570" s="209" t="s">
        <v>319</v>
      </c>
      <c r="BD570" s="208" t="s">
        <v>320</v>
      </c>
      <c r="BG570" s="210" t="s">
        <v>326</v>
      </c>
      <c r="BH570" s="211" t="s">
        <v>327</v>
      </c>
      <c r="BI570" s="210" t="s">
        <v>321</v>
      </c>
      <c r="BJ570" s="211" t="s">
        <v>322</v>
      </c>
    </row>
    <row r="571" spans="1:62" ht="15" thickTop="1" thickBot="1" x14ac:dyDescent="0.3">
      <c r="A571" s="202"/>
      <c r="B571" s="212"/>
      <c r="C571" s="213"/>
      <c r="D571" s="223"/>
      <c r="E571" s="573">
        <f>BJ571</f>
        <v>0</v>
      </c>
      <c r="F571" s="574"/>
      <c r="AA571" s="112"/>
      <c r="AB571" s="112">
        <f>IF(B571=$B$1871,$AB$463,0)</f>
        <v>0</v>
      </c>
      <c r="AC571" s="112">
        <f>IF(B571=$B$1872,$AC$463,0)</f>
        <v>0</v>
      </c>
      <c r="AD571" s="112">
        <f>IF(B571=$B$1873,$AD$463,0)</f>
        <v>0</v>
      </c>
      <c r="AE571" s="112">
        <f>IF(B571=$B$1874,$AE$463,0)</f>
        <v>0</v>
      </c>
      <c r="AF571" s="224">
        <f>SUM(AB571:AE571)</f>
        <v>0</v>
      </c>
      <c r="AG571" s="112">
        <f>IF(C571=$B$1877,$E$1877,0)</f>
        <v>0</v>
      </c>
      <c r="AH571" s="112">
        <f>IF(C571=$B$1878,$E$1878,0)</f>
        <v>0</v>
      </c>
      <c r="AI571" s="112">
        <f>IF(C571=$B$1879,$E$1879,0)</f>
        <v>0</v>
      </c>
      <c r="AJ571" s="112">
        <f>IF(C571=$B$1880,$E$1880,0)</f>
        <v>0</v>
      </c>
      <c r="AK571" s="112">
        <f>IF(C571=$B$1881,$E$1881,0)</f>
        <v>0</v>
      </c>
      <c r="AL571" s="112">
        <f>IF(C571=$B$1882,$E$1882,0)</f>
        <v>0</v>
      </c>
      <c r="AM571" s="225">
        <f>SUM(AG571:AL571)</f>
        <v>0</v>
      </c>
      <c r="AN571" s="112">
        <f>IF($D571=$B$1885,AN$463,0)</f>
        <v>0</v>
      </c>
      <c r="AO571" s="112">
        <f>IF($D571=$B$1886,AO$463,0)</f>
        <v>0</v>
      </c>
      <c r="AP571" s="112">
        <f>IF($D571=$B$1887,AP$463,0)</f>
        <v>0</v>
      </c>
      <c r="AQ571" s="112">
        <f>IF($D571=$B$1888,AQ$463,0)</f>
        <v>0</v>
      </c>
      <c r="AR571" s="112">
        <f>IF($D571=$B$1889,AR$463,0)</f>
        <v>0</v>
      </c>
      <c r="AS571" s="112">
        <f>IF($D571=$B$1890,AS$463,0)</f>
        <v>0</v>
      </c>
      <c r="AT571" s="112">
        <f>IF($D571=$B$1891,AT$463,0)</f>
        <v>0</v>
      </c>
      <c r="AU571" s="112">
        <f>IF($D571=$B$1892,AU$463,0)</f>
        <v>0</v>
      </c>
      <c r="AV571" s="226">
        <f>SUM(AN571:AU571)</f>
        <v>0</v>
      </c>
      <c r="AX571" s="216">
        <f>AF571*AM571</f>
        <v>0</v>
      </c>
      <c r="AZ571" s="158">
        <f>AX571+(AV571*AM571)</f>
        <v>0</v>
      </c>
      <c r="BB571" s="217">
        <f>(AF571*AM571)*0.01</f>
        <v>0</v>
      </c>
      <c r="BD571" s="218">
        <f>AZ571*0.01</f>
        <v>0</v>
      </c>
      <c r="BE571" s="402"/>
      <c r="BG571" s="217">
        <f>IF(AF571&gt;0,BG563+BB571,BG563)</f>
        <v>0</v>
      </c>
      <c r="BH571" s="218">
        <f>IF(AV571&gt;0,BH563+BD571,BH563)</f>
        <v>0</v>
      </c>
      <c r="BI571" s="217">
        <f>IF(BG571&gt;0.99,0.99,BG571)</f>
        <v>0</v>
      </c>
      <c r="BJ571" s="218">
        <f>IF(BH571&gt;0.99,0.99,BH571)</f>
        <v>0</v>
      </c>
    </row>
    <row r="572" spans="1:62" ht="16.2" thickTop="1" x14ac:dyDescent="0.25">
      <c r="A572" s="200">
        <f>A567+1</f>
        <v>34</v>
      </c>
      <c r="B572" s="200" t="s">
        <v>389</v>
      </c>
      <c r="C572" s="200"/>
      <c r="D572" s="201" t="str">
        <f>IF(B574="","If claimed, explain in white box below.","")</f>
        <v>If claimed, explain in white box below.</v>
      </c>
      <c r="E572" s="203"/>
      <c r="F572" s="1"/>
    </row>
    <row r="573" spans="1:62" ht="28.05" customHeight="1" x14ac:dyDescent="0.25">
      <c r="A573" s="202"/>
      <c r="B573" s="567" t="s">
        <v>390</v>
      </c>
      <c r="C573" s="568"/>
      <c r="D573" s="569"/>
      <c r="E573" s="203"/>
      <c r="F573" s="1"/>
    </row>
    <row r="574" spans="1:62" ht="136.94999999999999" customHeight="1" thickBot="1" x14ac:dyDescent="0.3">
      <c r="A574" s="202"/>
      <c r="B574" s="570"/>
      <c r="C574" s="571"/>
      <c r="D574" s="572"/>
      <c r="E574" s="203"/>
      <c r="F574" s="1"/>
    </row>
    <row r="575" spans="1:62" ht="15" thickTop="1" thickBot="1" x14ac:dyDescent="0.3">
      <c r="A575" s="202"/>
      <c r="B575" s="204" t="str">
        <f>IF(B574="","","Claimed?")</f>
        <v/>
      </c>
      <c r="C575" s="204" t="str">
        <f>IF(B575="","","Verifiable?")</f>
        <v/>
      </c>
      <c r="D575" s="205" t="str">
        <f>IF(C576="","","Independent verification")</f>
        <v/>
      </c>
      <c r="E575" s="573">
        <f>BI576</f>
        <v>0</v>
      </c>
      <c r="F575" s="574"/>
      <c r="AA575" s="60"/>
      <c r="AB575" s="60" t="s">
        <v>314</v>
      </c>
      <c r="AF575" s="220"/>
      <c r="AG575" s="60" t="s">
        <v>315</v>
      </c>
      <c r="AM575" s="221"/>
      <c r="AN575" s="60" t="s">
        <v>316</v>
      </c>
      <c r="AV575" s="222"/>
      <c r="AX575" s="207" t="s">
        <v>317</v>
      </c>
      <c r="AZ575" s="208" t="s">
        <v>318</v>
      </c>
      <c r="BB575" s="209" t="s">
        <v>319</v>
      </c>
      <c r="BD575" s="208" t="s">
        <v>320</v>
      </c>
      <c r="BG575" s="210" t="s">
        <v>326</v>
      </c>
      <c r="BH575" s="211" t="s">
        <v>327</v>
      </c>
      <c r="BI575" s="210" t="s">
        <v>321</v>
      </c>
      <c r="BJ575" s="211" t="s">
        <v>322</v>
      </c>
    </row>
    <row r="576" spans="1:62" ht="15" thickTop="1" thickBot="1" x14ac:dyDescent="0.3">
      <c r="A576" s="202"/>
      <c r="B576" s="212"/>
      <c r="C576" s="213"/>
      <c r="D576" s="223"/>
      <c r="E576" s="573">
        <f>BJ576</f>
        <v>0</v>
      </c>
      <c r="F576" s="574"/>
      <c r="AA576" s="112"/>
      <c r="AB576" s="112">
        <f>IF(B576=$B$1871,$AB$463,0)</f>
        <v>0</v>
      </c>
      <c r="AC576" s="112">
        <f>IF(B576=$B$1872,$AC$463,0)</f>
        <v>0</v>
      </c>
      <c r="AD576" s="112">
        <f>IF(B576=$B$1873,$AD$463,0)</f>
        <v>0</v>
      </c>
      <c r="AE576" s="112">
        <f>IF(B576=$B$1874,$AE$463,0)</f>
        <v>0</v>
      </c>
      <c r="AF576" s="224">
        <f>SUM(AB576:AE576)</f>
        <v>0</v>
      </c>
      <c r="AG576" s="112">
        <f>IF(C576=$B$1877,$E$1877,0)</f>
        <v>0</v>
      </c>
      <c r="AH576" s="112">
        <f>IF(C576=$B$1878,$E$1878,0)</f>
        <v>0</v>
      </c>
      <c r="AI576" s="112">
        <f>IF(C576=$B$1879,$E$1879,0)</f>
        <v>0</v>
      </c>
      <c r="AJ576" s="112">
        <f>IF(C576=$B$1880,$E$1880,0)</f>
        <v>0</v>
      </c>
      <c r="AK576" s="112">
        <f>IF(C576=$B$1881,$E$1881,0)</f>
        <v>0</v>
      </c>
      <c r="AL576" s="112">
        <f>IF(C576=$B$1882,$E$1882,0)</f>
        <v>0</v>
      </c>
      <c r="AM576" s="225">
        <f>SUM(AG576:AL576)</f>
        <v>0</v>
      </c>
      <c r="AN576" s="112">
        <f>IF($D576=$B$1885,AN$463,0)</f>
        <v>0</v>
      </c>
      <c r="AO576" s="112">
        <f>IF($D576=$B$1886,AO$463,0)</f>
        <v>0</v>
      </c>
      <c r="AP576" s="112">
        <f>IF($D576=$B$1887,AP$463,0)</f>
        <v>0</v>
      </c>
      <c r="AQ576" s="112">
        <f>IF($D576=$B$1888,AQ$463,0)</f>
        <v>0</v>
      </c>
      <c r="AR576" s="112">
        <f>IF($D576=$B$1889,AR$463,0)</f>
        <v>0</v>
      </c>
      <c r="AS576" s="112">
        <f>IF($D576=$B$1890,AS$463,0)</f>
        <v>0</v>
      </c>
      <c r="AT576" s="112">
        <f>IF($D576=$B$1891,AT$463,0)</f>
        <v>0</v>
      </c>
      <c r="AU576" s="112">
        <f>IF($D576=$B$1892,AU$463,0)</f>
        <v>0</v>
      </c>
      <c r="AV576" s="226">
        <f>SUM(AN576:AU576)</f>
        <v>0</v>
      </c>
      <c r="AX576" s="216">
        <f>AF576*AM576</f>
        <v>0</v>
      </c>
      <c r="AZ576" s="158">
        <f>AX576+(AV576*AM576)</f>
        <v>0</v>
      </c>
      <c r="BB576" s="217">
        <f>(AF576*AM576)*0.01</f>
        <v>0</v>
      </c>
      <c r="BD576" s="218">
        <f>AZ576*0.01</f>
        <v>0</v>
      </c>
      <c r="BE576" s="402"/>
      <c r="BG576" s="217">
        <f>IF(AF576&gt;0,BG571+BB576,BG571)</f>
        <v>0</v>
      </c>
      <c r="BH576" s="218">
        <f>IF(AV576&gt;0,BH571+BD576,BH571)</f>
        <v>0</v>
      </c>
      <c r="BI576" s="217">
        <f>IF(BG576&gt;0.99,0.99,BG576)</f>
        <v>0</v>
      </c>
      <c r="BJ576" s="218">
        <f>IF(BH576&gt;0.99,0.99,BH576)</f>
        <v>0</v>
      </c>
    </row>
    <row r="577" spans="1:62" ht="16.2" thickTop="1" x14ac:dyDescent="0.25">
      <c r="A577" s="200">
        <f>A572+1</f>
        <v>35</v>
      </c>
      <c r="B577" s="200" t="s">
        <v>392</v>
      </c>
      <c r="C577" s="200"/>
      <c r="D577" s="201" t="str">
        <f>IF(B579="","If claimed, explain in white box below.","")</f>
        <v>If claimed, explain in white box below.</v>
      </c>
      <c r="E577" s="203"/>
      <c r="F577" s="1"/>
    </row>
    <row r="578" spans="1:62" x14ac:dyDescent="0.25">
      <c r="A578" s="202"/>
      <c r="B578" s="567" t="s">
        <v>393</v>
      </c>
      <c r="C578" s="568"/>
      <c r="D578" s="569"/>
      <c r="E578" s="203"/>
      <c r="F578" s="1"/>
    </row>
    <row r="579" spans="1:62" ht="136.94999999999999" customHeight="1" thickBot="1" x14ac:dyDescent="0.3">
      <c r="A579" s="202"/>
      <c r="B579" s="570"/>
      <c r="C579" s="571"/>
      <c r="D579" s="572"/>
      <c r="E579" s="203"/>
      <c r="F579" s="1"/>
    </row>
    <row r="580" spans="1:62" ht="15" thickTop="1" thickBot="1" x14ac:dyDescent="0.3">
      <c r="A580" s="202"/>
      <c r="B580" s="204" t="str">
        <f>IF(B579="","","Claimed?")</f>
        <v/>
      </c>
      <c r="C580" s="204" t="str">
        <f>IF(B580="","","Verifiable?")</f>
        <v/>
      </c>
      <c r="D580" s="205" t="str">
        <f>IF(C581="","","Independent verification")</f>
        <v/>
      </c>
      <c r="E580" s="573">
        <f>BI581</f>
        <v>0</v>
      </c>
      <c r="F580" s="574"/>
      <c r="AA580" s="60"/>
      <c r="AB580" s="60" t="s">
        <v>314</v>
      </c>
      <c r="AF580" s="220"/>
      <c r="AG580" s="60" t="s">
        <v>315</v>
      </c>
      <c r="AM580" s="221"/>
      <c r="AN580" s="60" t="s">
        <v>316</v>
      </c>
      <c r="AV580" s="222"/>
      <c r="AX580" s="207" t="s">
        <v>317</v>
      </c>
      <c r="AZ580" s="208" t="s">
        <v>318</v>
      </c>
      <c r="BB580" s="209" t="s">
        <v>319</v>
      </c>
      <c r="BD580" s="208" t="s">
        <v>320</v>
      </c>
      <c r="BG580" s="210" t="s">
        <v>326</v>
      </c>
      <c r="BH580" s="211" t="s">
        <v>327</v>
      </c>
      <c r="BI580" s="210" t="s">
        <v>321</v>
      </c>
      <c r="BJ580" s="211" t="s">
        <v>322</v>
      </c>
    </row>
    <row r="581" spans="1:62" ht="15" thickTop="1" thickBot="1" x14ac:dyDescent="0.3">
      <c r="A581" s="202"/>
      <c r="B581" s="212"/>
      <c r="C581" s="213"/>
      <c r="D581" s="223"/>
      <c r="E581" s="573">
        <f>BJ581</f>
        <v>0</v>
      </c>
      <c r="F581" s="574"/>
      <c r="AA581" s="112"/>
      <c r="AB581" s="112">
        <f>IF(B581=$B$1871,$AB$463,0)</f>
        <v>0</v>
      </c>
      <c r="AC581" s="112">
        <f>IF(B581=$B$1872,$AC$463,0)</f>
        <v>0</v>
      </c>
      <c r="AD581" s="112">
        <f>IF(B581=$B$1873,$AD$463,0)</f>
        <v>0</v>
      </c>
      <c r="AE581" s="112">
        <f>IF(B581=$B$1874,$AE$463,0)</f>
        <v>0</v>
      </c>
      <c r="AF581" s="224">
        <f>SUM(AB581:AE581)</f>
        <v>0</v>
      </c>
      <c r="AG581" s="112">
        <f>IF(C581=$B$1877,$E$1877,0)</f>
        <v>0</v>
      </c>
      <c r="AH581" s="112">
        <f>IF(C581=$B$1878,$E$1878,0)</f>
        <v>0</v>
      </c>
      <c r="AI581" s="112">
        <f>IF(C581=$B$1879,$E$1879,0)</f>
        <v>0</v>
      </c>
      <c r="AJ581" s="112">
        <f>IF(C581=$B$1880,$E$1880,0)</f>
        <v>0</v>
      </c>
      <c r="AK581" s="112">
        <f>IF(C581=$B$1881,$E$1881,0)</f>
        <v>0</v>
      </c>
      <c r="AL581" s="112">
        <f>IF(C581=$B$1882,$E$1882,0)</f>
        <v>0</v>
      </c>
      <c r="AM581" s="225">
        <f>SUM(AG581:AL581)</f>
        <v>0</v>
      </c>
      <c r="AN581" s="112">
        <f>IF($D581=$B$1885,AN$463,0)</f>
        <v>0</v>
      </c>
      <c r="AO581" s="112">
        <f>IF($D581=$B$1886,AO$463,0)</f>
        <v>0</v>
      </c>
      <c r="AP581" s="112">
        <f>IF($D581=$B$1887,AP$463,0)</f>
        <v>0</v>
      </c>
      <c r="AQ581" s="112">
        <f>IF($D581=$B$1888,AQ$463,0)</f>
        <v>0</v>
      </c>
      <c r="AR581" s="112">
        <f>IF($D581=$B$1889,AR$463,0)</f>
        <v>0</v>
      </c>
      <c r="AS581" s="112">
        <f>IF($D581=$B$1890,AS$463,0)</f>
        <v>0</v>
      </c>
      <c r="AT581" s="112">
        <f>IF($D581=$B$1891,AT$463,0)</f>
        <v>0</v>
      </c>
      <c r="AU581" s="112">
        <f>IF($D581=$B$1892,AU$463,0)</f>
        <v>0</v>
      </c>
      <c r="AV581" s="226">
        <f>SUM(AN581:AU581)</f>
        <v>0</v>
      </c>
      <c r="AX581" s="216">
        <f>AF581*AM581</f>
        <v>0</v>
      </c>
      <c r="AZ581" s="158">
        <f>AX581+(AV581*AM581)</f>
        <v>0</v>
      </c>
      <c r="BB581" s="217">
        <f>(AF581*AM581)*0.01</f>
        <v>0</v>
      </c>
      <c r="BD581" s="218">
        <f>AZ581*0.01</f>
        <v>0</v>
      </c>
      <c r="BE581" s="402"/>
      <c r="BG581" s="217">
        <f>IF(AF581&gt;0,BG576+BB581,BG576)</f>
        <v>0</v>
      </c>
      <c r="BH581" s="218">
        <f>IF(AV581&gt;0,BH576+BD581,BH576)</f>
        <v>0</v>
      </c>
      <c r="BI581" s="217">
        <f>IF(BG581&gt;0.99,0.99,BG581)</f>
        <v>0</v>
      </c>
      <c r="BJ581" s="218">
        <f>IF(BH581&gt;0.99,0.99,BH581)</f>
        <v>0</v>
      </c>
    </row>
    <row r="582" spans="1:62" ht="4.95" customHeight="1" thickTop="1" x14ac:dyDescent="0.25">
      <c r="A582" s="203"/>
      <c r="B582" s="203"/>
      <c r="C582" s="203"/>
      <c r="D582" s="203"/>
      <c r="E582" s="203"/>
      <c r="F582" s="1"/>
    </row>
    <row r="583" spans="1:62" ht="15.6" x14ac:dyDescent="0.25">
      <c r="A583" s="200">
        <f>A577+1</f>
        <v>36</v>
      </c>
      <c r="B583" s="200" t="s">
        <v>395</v>
      </c>
      <c r="C583" s="200"/>
      <c r="D583" s="201" t="str">
        <f>IF(B585="","If claimed, explain in white box below.","")</f>
        <v>If claimed, explain in white box below.</v>
      </c>
      <c r="E583" s="203"/>
      <c r="F583" s="1"/>
    </row>
    <row r="584" spans="1:62" ht="28.05" customHeight="1" x14ac:dyDescent="0.25">
      <c r="A584" s="202"/>
      <c r="B584" s="567" t="s">
        <v>396</v>
      </c>
      <c r="C584" s="568"/>
      <c r="D584" s="569"/>
      <c r="E584" s="203"/>
      <c r="F584" s="1"/>
    </row>
    <row r="585" spans="1:62" ht="150" customHeight="1" thickBot="1" x14ac:dyDescent="0.3">
      <c r="A585" s="202"/>
      <c r="B585" s="570"/>
      <c r="C585" s="571"/>
      <c r="D585" s="572"/>
      <c r="E585" s="203"/>
      <c r="F585" s="1"/>
    </row>
    <row r="586" spans="1:62" ht="15" thickTop="1" thickBot="1" x14ac:dyDescent="0.3">
      <c r="A586" s="202"/>
      <c r="B586" s="204" t="str">
        <f>IF(B585="","","Claimed?")</f>
        <v/>
      </c>
      <c r="C586" s="204" t="str">
        <f>IF(B586="","","Verifiable?")</f>
        <v/>
      </c>
      <c r="D586" s="205" t="str">
        <f>IF(C587="","","Independent verification")</f>
        <v/>
      </c>
      <c r="E586" s="573">
        <f>BI587</f>
        <v>0</v>
      </c>
      <c r="F586" s="574"/>
      <c r="AA586" s="60"/>
      <c r="AB586" s="60" t="s">
        <v>314</v>
      </c>
      <c r="AF586" s="220"/>
      <c r="AG586" s="60" t="s">
        <v>315</v>
      </c>
      <c r="AM586" s="221"/>
      <c r="AN586" s="60" t="s">
        <v>316</v>
      </c>
      <c r="AV586" s="222"/>
      <c r="AX586" s="207" t="s">
        <v>317</v>
      </c>
      <c r="AZ586" s="208" t="s">
        <v>318</v>
      </c>
      <c r="BB586" s="209" t="s">
        <v>319</v>
      </c>
      <c r="BD586" s="208" t="s">
        <v>320</v>
      </c>
      <c r="BG586" s="210" t="s">
        <v>326</v>
      </c>
      <c r="BH586" s="211" t="s">
        <v>327</v>
      </c>
      <c r="BI586" s="210" t="s">
        <v>321</v>
      </c>
      <c r="BJ586" s="211" t="s">
        <v>322</v>
      </c>
    </row>
    <row r="587" spans="1:62" ht="15" thickTop="1" thickBot="1" x14ac:dyDescent="0.3">
      <c r="A587" s="202"/>
      <c r="B587" s="212"/>
      <c r="C587" s="213"/>
      <c r="D587" s="223"/>
      <c r="E587" s="573">
        <f>BJ587</f>
        <v>0</v>
      </c>
      <c r="F587" s="574"/>
      <c r="AA587" s="112"/>
      <c r="AB587" s="112">
        <f>IF(B587=$B$1871,$AB$463,0)</f>
        <v>0</v>
      </c>
      <c r="AC587" s="112">
        <f>IF(B587=$B$1872,$AC$463,0)</f>
        <v>0</v>
      </c>
      <c r="AD587" s="112">
        <f>IF(B587=$B$1873,$AD$463,0)</f>
        <v>0</v>
      </c>
      <c r="AE587" s="112">
        <f>IF(B587=$B$1874,$AE$463,0)</f>
        <v>0</v>
      </c>
      <c r="AF587" s="224">
        <f>SUM(AB587:AE587)</f>
        <v>0</v>
      </c>
      <c r="AG587" s="112">
        <f>IF(C587=$B$1877,$E$1877,0)</f>
        <v>0</v>
      </c>
      <c r="AH587" s="112">
        <f>IF(C587=$B$1878,$E$1878,0)</f>
        <v>0</v>
      </c>
      <c r="AI587" s="112">
        <f>IF(C587=$B$1879,$E$1879,0)</f>
        <v>0</v>
      </c>
      <c r="AJ587" s="112">
        <f>IF(C587=$B$1880,$E$1880,0)</f>
        <v>0</v>
      </c>
      <c r="AK587" s="112">
        <f>IF(C587=$B$1881,$E$1881,0)</f>
        <v>0</v>
      </c>
      <c r="AL587" s="112">
        <f>IF(C587=$B$1882,$E$1882,0)</f>
        <v>0</v>
      </c>
      <c r="AM587" s="225">
        <f>SUM(AG587:AL587)</f>
        <v>0</v>
      </c>
      <c r="AN587" s="112">
        <f>IF($D587=$B$1885,AN$463,0)</f>
        <v>0</v>
      </c>
      <c r="AO587" s="112">
        <f>IF($D587=$B$1886,AO$463,0)</f>
        <v>0</v>
      </c>
      <c r="AP587" s="112">
        <f>IF($D587=$B$1887,AP$463,0)</f>
        <v>0</v>
      </c>
      <c r="AQ587" s="112">
        <f>IF($D587=$B$1888,AQ$463,0)</f>
        <v>0</v>
      </c>
      <c r="AR587" s="112">
        <f>IF($D587=$B$1889,AR$463,0)</f>
        <v>0</v>
      </c>
      <c r="AS587" s="112">
        <f>IF($D587=$B$1890,AS$463,0)</f>
        <v>0</v>
      </c>
      <c r="AT587" s="112">
        <f>IF($D587=$B$1891,AT$463,0)</f>
        <v>0</v>
      </c>
      <c r="AU587" s="112">
        <f>IF($D587=$B$1892,AU$463,0)</f>
        <v>0</v>
      </c>
      <c r="AV587" s="226">
        <f>SUM(AN587:AU587)</f>
        <v>0</v>
      </c>
      <c r="AX587" s="216">
        <f>AF587*AM587</f>
        <v>0</v>
      </c>
      <c r="AZ587" s="158">
        <f>AX587+(AV587*AM587)</f>
        <v>0</v>
      </c>
      <c r="BB587" s="217">
        <f>(AF587*AM587)*0.01</f>
        <v>0</v>
      </c>
      <c r="BD587" s="218">
        <f>AZ587*0.01</f>
        <v>0</v>
      </c>
      <c r="BE587" s="402"/>
      <c r="BG587" s="217">
        <f>IF(AF587&gt;0,BG581+BB587,BG581)</f>
        <v>0</v>
      </c>
      <c r="BH587" s="218">
        <f>IF(AV587&gt;0,BH581+BD587,BH581)</f>
        <v>0</v>
      </c>
      <c r="BI587" s="217">
        <f>IF(BG587&gt;0.99,0.99,BG587)</f>
        <v>0</v>
      </c>
      <c r="BJ587" s="218">
        <f>IF(BH587&gt;0.99,0.99,BH587)</f>
        <v>0</v>
      </c>
    </row>
    <row r="588" spans="1:62" ht="16.2" thickTop="1" x14ac:dyDescent="0.25">
      <c r="A588" s="200">
        <f>A583+1</f>
        <v>37</v>
      </c>
      <c r="B588" s="200" t="s">
        <v>398</v>
      </c>
      <c r="C588" s="200"/>
      <c r="D588" s="201" t="str">
        <f>IF(B590="","If claimed, explain in white box below.","")</f>
        <v>If claimed, explain in white box below.</v>
      </c>
      <c r="E588" s="203"/>
      <c r="F588" s="1"/>
    </row>
    <row r="589" spans="1:62" ht="28.05" customHeight="1" x14ac:dyDescent="0.25">
      <c r="A589" s="202"/>
      <c r="B589" s="567" t="s">
        <v>399</v>
      </c>
      <c r="C589" s="568"/>
      <c r="D589" s="569"/>
      <c r="E589" s="203"/>
      <c r="F589" s="1"/>
    </row>
    <row r="590" spans="1:62" ht="150" customHeight="1" thickBot="1" x14ac:dyDescent="0.3">
      <c r="A590" s="202"/>
      <c r="B590" s="570"/>
      <c r="C590" s="571"/>
      <c r="D590" s="572"/>
      <c r="E590" s="203"/>
      <c r="F590" s="1"/>
    </row>
    <row r="591" spans="1:62" ht="15" thickTop="1" thickBot="1" x14ac:dyDescent="0.3">
      <c r="A591" s="202"/>
      <c r="B591" s="204" t="str">
        <f>IF(B590="","","Claimed?")</f>
        <v/>
      </c>
      <c r="C591" s="204" t="str">
        <f>IF(B591="","","Verifiable?")</f>
        <v/>
      </c>
      <c r="D591" s="205" t="str">
        <f>IF(C592="","","Independent verification")</f>
        <v/>
      </c>
      <c r="E591" s="573">
        <f>BI592</f>
        <v>0</v>
      </c>
      <c r="F591" s="574"/>
      <c r="AA591" s="60"/>
      <c r="AB591" s="60" t="s">
        <v>314</v>
      </c>
      <c r="AF591" s="220"/>
      <c r="AG591" s="60" t="s">
        <v>315</v>
      </c>
      <c r="AM591" s="221"/>
      <c r="AN591" s="60" t="s">
        <v>316</v>
      </c>
      <c r="AV591" s="222"/>
      <c r="AX591" s="207" t="s">
        <v>317</v>
      </c>
      <c r="AZ591" s="208" t="s">
        <v>318</v>
      </c>
      <c r="BB591" s="209" t="s">
        <v>319</v>
      </c>
      <c r="BD591" s="208" t="s">
        <v>320</v>
      </c>
      <c r="BG591" s="210" t="s">
        <v>326</v>
      </c>
      <c r="BH591" s="211" t="s">
        <v>327</v>
      </c>
      <c r="BI591" s="210" t="s">
        <v>321</v>
      </c>
      <c r="BJ591" s="211" t="s">
        <v>322</v>
      </c>
    </row>
    <row r="592" spans="1:62" ht="15" thickTop="1" thickBot="1" x14ac:dyDescent="0.3">
      <c r="A592" s="202"/>
      <c r="B592" s="212"/>
      <c r="C592" s="213"/>
      <c r="D592" s="223"/>
      <c r="E592" s="573">
        <f>BJ592</f>
        <v>0</v>
      </c>
      <c r="F592" s="574"/>
      <c r="AA592" s="112"/>
      <c r="AB592" s="112">
        <f>IF(B592=$B$1871,$AB$463,0)</f>
        <v>0</v>
      </c>
      <c r="AC592" s="112">
        <f>IF(B592=$B$1872,$AC$463,0)</f>
        <v>0</v>
      </c>
      <c r="AD592" s="112">
        <f>IF(B592=$B$1873,$AD$463,0)</f>
        <v>0</v>
      </c>
      <c r="AE592" s="112">
        <f>IF(B592=$B$1874,$AE$463,0)</f>
        <v>0</v>
      </c>
      <c r="AF592" s="224">
        <f>SUM(AB592:AE592)</f>
        <v>0</v>
      </c>
      <c r="AG592" s="112">
        <f>IF(C592=$B$1877,$E$1877,0)</f>
        <v>0</v>
      </c>
      <c r="AH592" s="112">
        <f>IF(C592=$B$1878,$E$1878,0)</f>
        <v>0</v>
      </c>
      <c r="AI592" s="112">
        <f>IF(C592=$B$1879,$E$1879,0)</f>
        <v>0</v>
      </c>
      <c r="AJ592" s="112">
        <f>IF(C592=$B$1880,$E$1880,0)</f>
        <v>0</v>
      </c>
      <c r="AK592" s="112">
        <f>IF(C592=$B$1881,$E$1881,0)</f>
        <v>0</v>
      </c>
      <c r="AL592" s="112">
        <f>IF(C592=$B$1882,$E$1882,0)</f>
        <v>0</v>
      </c>
      <c r="AM592" s="225">
        <f>SUM(AG592:AL592)</f>
        <v>0</v>
      </c>
      <c r="AN592" s="112">
        <f>IF($D592=$B$1885,AN$463,0)</f>
        <v>0</v>
      </c>
      <c r="AO592" s="112">
        <f>IF($D592=$B$1886,AO$463,0)</f>
        <v>0</v>
      </c>
      <c r="AP592" s="112">
        <f>IF($D592=$B$1887,AP$463,0)</f>
        <v>0</v>
      </c>
      <c r="AQ592" s="112">
        <f>IF($D592=$B$1888,AQ$463,0)</f>
        <v>0</v>
      </c>
      <c r="AR592" s="112">
        <f>IF($D592=$B$1889,AR$463,0)</f>
        <v>0</v>
      </c>
      <c r="AS592" s="112">
        <f>IF($D592=$B$1890,AS$463,0)</f>
        <v>0</v>
      </c>
      <c r="AT592" s="112">
        <f>IF($D592=$B$1891,AT$463,0)</f>
        <v>0</v>
      </c>
      <c r="AU592" s="112">
        <f>IF($D592=$B$1892,AU$463,0)</f>
        <v>0</v>
      </c>
      <c r="AV592" s="226">
        <f>SUM(AN592:AU592)</f>
        <v>0</v>
      </c>
      <c r="AX592" s="216">
        <f>AF592*AM592</f>
        <v>0</v>
      </c>
      <c r="AZ592" s="158">
        <f>AX592+(AV592*AM592)</f>
        <v>0</v>
      </c>
      <c r="BB592" s="217">
        <f>(AF592*AM592)*0.01</f>
        <v>0</v>
      </c>
      <c r="BD592" s="218">
        <f>AZ592*0.01</f>
        <v>0</v>
      </c>
      <c r="BE592" s="402"/>
      <c r="BG592" s="217">
        <f>IF(AF592&gt;0,BG587+BB592,BG587)</f>
        <v>0</v>
      </c>
      <c r="BH592" s="218">
        <f>IF(AV592&gt;0,BH587+BD592,BH587)</f>
        <v>0</v>
      </c>
      <c r="BI592" s="217">
        <f>IF(BG592&gt;0.99,0.99,BG592)</f>
        <v>0</v>
      </c>
      <c r="BJ592" s="218">
        <f>IF(BH592&gt;0.99,0.99,BH592)</f>
        <v>0</v>
      </c>
    </row>
    <row r="593" spans="1:62" ht="16.2" thickTop="1" x14ac:dyDescent="0.25">
      <c r="A593" s="200">
        <f>A588+1</f>
        <v>38</v>
      </c>
      <c r="B593" s="200" t="s">
        <v>401</v>
      </c>
      <c r="C593" s="200"/>
      <c r="D593" s="201" t="str">
        <f>IF(B595="","If claimed, explain in white box below.","")</f>
        <v>If claimed, explain in white box below.</v>
      </c>
      <c r="E593" s="203"/>
      <c r="F593" s="1"/>
    </row>
    <row r="594" spans="1:62" x14ac:dyDescent="0.25">
      <c r="A594" s="202"/>
      <c r="B594" s="567" t="s">
        <v>402</v>
      </c>
      <c r="C594" s="568"/>
      <c r="D594" s="569"/>
      <c r="E594" s="203"/>
      <c r="F594" s="1"/>
    </row>
    <row r="595" spans="1:62" ht="150" customHeight="1" thickBot="1" x14ac:dyDescent="0.3">
      <c r="A595" s="202"/>
      <c r="B595" s="570"/>
      <c r="C595" s="571"/>
      <c r="D595" s="572"/>
      <c r="E595" s="203"/>
      <c r="F595" s="1"/>
    </row>
    <row r="596" spans="1:62" ht="15" thickTop="1" thickBot="1" x14ac:dyDescent="0.3">
      <c r="A596" s="202"/>
      <c r="B596" s="204" t="str">
        <f>IF(B595="","","Claimed?")</f>
        <v/>
      </c>
      <c r="C596" s="204" t="str">
        <f>IF(B596="","","Verifiable?")</f>
        <v/>
      </c>
      <c r="D596" s="205" t="str">
        <f>IF(C597="","","Independent verification")</f>
        <v/>
      </c>
      <c r="E596" s="573">
        <f>BI597</f>
        <v>0</v>
      </c>
      <c r="F596" s="574"/>
      <c r="AA596" s="60"/>
      <c r="AB596" s="60" t="s">
        <v>314</v>
      </c>
      <c r="AF596" s="220"/>
      <c r="AG596" s="60" t="s">
        <v>315</v>
      </c>
      <c r="AM596" s="221"/>
      <c r="AN596" s="60" t="s">
        <v>316</v>
      </c>
      <c r="AV596" s="222"/>
      <c r="AX596" s="207" t="s">
        <v>317</v>
      </c>
      <c r="AZ596" s="208" t="s">
        <v>318</v>
      </c>
      <c r="BB596" s="209" t="s">
        <v>319</v>
      </c>
      <c r="BD596" s="208" t="s">
        <v>320</v>
      </c>
      <c r="BG596" s="210" t="s">
        <v>326</v>
      </c>
      <c r="BH596" s="211" t="s">
        <v>327</v>
      </c>
      <c r="BI596" s="210" t="s">
        <v>321</v>
      </c>
      <c r="BJ596" s="211" t="s">
        <v>322</v>
      </c>
    </row>
    <row r="597" spans="1:62" ht="15" thickTop="1" thickBot="1" x14ac:dyDescent="0.3">
      <c r="A597" s="202"/>
      <c r="B597" s="212"/>
      <c r="C597" s="213"/>
      <c r="D597" s="223"/>
      <c r="E597" s="573">
        <f>BJ597</f>
        <v>0</v>
      </c>
      <c r="F597" s="574"/>
      <c r="AA597" s="112"/>
      <c r="AB597" s="112">
        <f>IF(B597=$B$1871,$AB$463,0)</f>
        <v>0</v>
      </c>
      <c r="AC597" s="112">
        <f>IF(B597=$B$1872,$AC$463,0)</f>
        <v>0</v>
      </c>
      <c r="AD597" s="112">
        <f>IF(B597=$B$1873,$AD$463,0)</f>
        <v>0</v>
      </c>
      <c r="AE597" s="112">
        <f>IF(B597=$B$1874,$AE$463,0)</f>
        <v>0</v>
      </c>
      <c r="AF597" s="224">
        <f>SUM(AB597:AE597)</f>
        <v>0</v>
      </c>
      <c r="AG597" s="112">
        <f>IF(C597=$B$1877,$E$1877,0)</f>
        <v>0</v>
      </c>
      <c r="AH597" s="112">
        <f>IF(C597=$B$1878,$E$1878,0)</f>
        <v>0</v>
      </c>
      <c r="AI597" s="112">
        <f>IF(C597=$B$1879,$E$1879,0)</f>
        <v>0</v>
      </c>
      <c r="AJ597" s="112">
        <f>IF(C597=$B$1880,$E$1880,0)</f>
        <v>0</v>
      </c>
      <c r="AK597" s="112">
        <f>IF(C597=$B$1881,$E$1881,0)</f>
        <v>0</v>
      </c>
      <c r="AL597" s="112">
        <f>IF(C597=$B$1882,$E$1882,0)</f>
        <v>0</v>
      </c>
      <c r="AM597" s="225">
        <f>SUM(AG597:AL597)</f>
        <v>0</v>
      </c>
      <c r="AN597" s="112">
        <f>IF($D597=$B$1885,AN$463,0)</f>
        <v>0</v>
      </c>
      <c r="AO597" s="112">
        <f>IF($D597=$B$1886,AO$463,0)</f>
        <v>0</v>
      </c>
      <c r="AP597" s="112">
        <f>IF($D597=$B$1887,AP$463,0)</f>
        <v>0</v>
      </c>
      <c r="AQ597" s="112">
        <f>IF($D597=$B$1888,AQ$463,0)</f>
        <v>0</v>
      </c>
      <c r="AR597" s="112">
        <f>IF($D597=$B$1889,AR$463,0)</f>
        <v>0</v>
      </c>
      <c r="AS597" s="112">
        <f>IF($D597=$B$1890,AS$463,0)</f>
        <v>0</v>
      </c>
      <c r="AT597" s="112">
        <f>IF($D597=$B$1891,AT$463,0)</f>
        <v>0</v>
      </c>
      <c r="AU597" s="112">
        <f>IF($D597=$B$1892,AU$463,0)</f>
        <v>0</v>
      </c>
      <c r="AV597" s="226">
        <f>SUM(AN597:AU597)</f>
        <v>0</v>
      </c>
      <c r="AX597" s="216">
        <f>AF597*AM597</f>
        <v>0</v>
      </c>
      <c r="AZ597" s="158">
        <f>AX597+(AV597*AM597)</f>
        <v>0</v>
      </c>
      <c r="BB597" s="217">
        <f>(AF597*AM597)*0.01</f>
        <v>0</v>
      </c>
      <c r="BD597" s="218">
        <f>AZ597*0.01</f>
        <v>0</v>
      </c>
      <c r="BE597" s="402"/>
      <c r="BG597" s="217">
        <f>IF(AF597&gt;0,BG592+BB597,BG592)</f>
        <v>0</v>
      </c>
      <c r="BH597" s="218">
        <f>IF(AV597&gt;0,BH592+BD597,BH592)</f>
        <v>0</v>
      </c>
      <c r="BI597" s="217">
        <f>IF(BG597&gt;0.99,0.99,BG597)</f>
        <v>0</v>
      </c>
      <c r="BJ597" s="218">
        <f>IF(BH597&gt;0.99,0.99,BH597)</f>
        <v>0</v>
      </c>
    </row>
    <row r="598" spans="1:62" ht="14.4" thickTop="1" x14ac:dyDescent="0.25">
      <c r="A598" s="202"/>
      <c r="B598" s="203"/>
      <c r="C598" s="203"/>
      <c r="D598" s="203"/>
      <c r="E598" s="203"/>
      <c r="F598" s="1"/>
    </row>
    <row r="599" spans="1:62" ht="30" customHeight="1" x14ac:dyDescent="0.25">
      <c r="A599" s="188" t="s">
        <v>81</v>
      </c>
      <c r="B599" s="46" t="s">
        <v>404</v>
      </c>
      <c r="C599" s="46"/>
      <c r="D599" s="46"/>
      <c r="E599" s="475"/>
      <c r="F599" s="475" t="s">
        <v>949</v>
      </c>
    </row>
    <row r="600" spans="1:62" ht="19.95" customHeight="1" x14ac:dyDescent="0.25">
      <c r="A600" s="108" t="s">
        <v>405</v>
      </c>
      <c r="B600" s="109"/>
      <c r="C600" s="109"/>
      <c r="D600" s="109"/>
      <c r="E600" s="110"/>
      <c r="F600" s="108"/>
      <c r="AA600" s="190"/>
      <c r="AB600" s="190">
        <v>0</v>
      </c>
      <c r="AC600" s="191">
        <f>AD600/2</f>
        <v>0.25</v>
      </c>
      <c r="AD600" s="192">
        <f>AE600/2</f>
        <v>0.5</v>
      </c>
      <c r="AE600" s="193">
        <v>1</v>
      </c>
      <c r="AF600" s="120"/>
      <c r="AG600" s="120"/>
      <c r="AH600" s="120"/>
      <c r="AI600" s="120"/>
      <c r="AJ600" s="120"/>
      <c r="AK600" s="120"/>
      <c r="AL600" s="120"/>
      <c r="AM600" s="120"/>
      <c r="AN600" s="194">
        <f>AE600*-2</f>
        <v>-2</v>
      </c>
      <c r="AO600" s="190">
        <f>AE600*-1</f>
        <v>-1</v>
      </c>
      <c r="AP600" s="190">
        <f>AD600*-1</f>
        <v>-0.5</v>
      </c>
      <c r="AQ600" s="195">
        <f>AE600*-0.1</f>
        <v>-0.1</v>
      </c>
      <c r="AR600" s="195">
        <v>0</v>
      </c>
      <c r="AS600" s="195">
        <f>AE600*0.1</f>
        <v>0.1</v>
      </c>
      <c r="AT600" s="192">
        <f>AD600</f>
        <v>0.5</v>
      </c>
      <c r="AU600" s="193">
        <f>AE600</f>
        <v>1</v>
      </c>
      <c r="AV600" s="196"/>
      <c r="AW600" s="120"/>
      <c r="AX600" s="120"/>
      <c r="AY600" s="120"/>
      <c r="AZ600" s="120"/>
      <c r="BA600" s="120"/>
      <c r="BB600" s="197"/>
      <c r="BC600" s="120"/>
      <c r="BD600" s="120"/>
      <c r="BE600" s="120"/>
      <c r="BF600" s="120"/>
      <c r="BG600" s="229">
        <f>BG566</f>
        <v>0</v>
      </c>
    </row>
    <row r="601" spans="1:62" ht="15.6" x14ac:dyDescent="0.25">
      <c r="A601" s="200">
        <f>A593+1</f>
        <v>39</v>
      </c>
      <c r="B601" s="200" t="s">
        <v>406</v>
      </c>
      <c r="C601" s="200"/>
      <c r="D601" s="201" t="str">
        <f>IF(B603="","If claimed, explain in white box below.","")</f>
        <v>If claimed, explain in white box below.</v>
      </c>
      <c r="E601" s="203"/>
      <c r="F601" s="1"/>
    </row>
    <row r="602" spans="1:62" ht="28.05" customHeight="1" x14ac:dyDescent="0.25">
      <c r="A602" s="202"/>
      <c r="B602" s="567" t="s">
        <v>407</v>
      </c>
      <c r="C602" s="568"/>
      <c r="D602" s="569"/>
      <c r="E602" s="203"/>
      <c r="F602" s="1"/>
    </row>
    <row r="603" spans="1:62" ht="138" customHeight="1" thickBot="1" x14ac:dyDescent="0.3">
      <c r="A603" s="202"/>
      <c r="B603" s="570"/>
      <c r="C603" s="571"/>
      <c r="D603" s="572"/>
      <c r="E603" s="203"/>
      <c r="F603" s="1"/>
    </row>
    <row r="604" spans="1:62" ht="15" thickTop="1" thickBot="1" x14ac:dyDescent="0.3">
      <c r="A604" s="202"/>
      <c r="B604" s="204" t="str">
        <f>IF(B603="","","Claimed?")</f>
        <v/>
      </c>
      <c r="C604" s="204" t="str">
        <f>IF(B604="","","Verifiable?")</f>
        <v/>
      </c>
      <c r="D604" s="205" t="str">
        <f>IF(C605="","","Independent verification")</f>
        <v/>
      </c>
      <c r="E604" s="573">
        <f>BI605</f>
        <v>0</v>
      </c>
      <c r="F604" s="574"/>
      <c r="AA604" s="60"/>
      <c r="AB604" s="60" t="s">
        <v>314</v>
      </c>
      <c r="AF604" s="220"/>
      <c r="AG604" s="60" t="s">
        <v>315</v>
      </c>
      <c r="AM604" s="221"/>
      <c r="AN604" s="60" t="s">
        <v>316</v>
      </c>
      <c r="AV604" s="222"/>
      <c r="AX604" s="207" t="s">
        <v>317</v>
      </c>
      <c r="AZ604" s="208" t="s">
        <v>318</v>
      </c>
      <c r="BB604" s="209" t="s">
        <v>319</v>
      </c>
      <c r="BD604" s="208" t="s">
        <v>320</v>
      </c>
      <c r="BG604" s="210" t="s">
        <v>326</v>
      </c>
      <c r="BH604" s="211" t="s">
        <v>327</v>
      </c>
      <c r="BI604" s="210" t="s">
        <v>321</v>
      </c>
      <c r="BJ604" s="211" t="s">
        <v>322</v>
      </c>
    </row>
    <row r="605" spans="1:62" ht="15" thickTop="1" thickBot="1" x14ac:dyDescent="0.3">
      <c r="A605" s="202"/>
      <c r="B605" s="212"/>
      <c r="C605" s="213"/>
      <c r="D605" s="223"/>
      <c r="E605" s="573">
        <f>BJ605</f>
        <v>0</v>
      </c>
      <c r="F605" s="574"/>
      <c r="AA605" s="112"/>
      <c r="AB605" s="112">
        <f>IF(B605=$B$1871,$AB$463,0)</f>
        <v>0</v>
      </c>
      <c r="AC605" s="112">
        <f>IF(B605=$B$1872,$AC$463,0)</f>
        <v>0</v>
      </c>
      <c r="AD605" s="112">
        <f>IF(B605=$B$1873,$AD$463,0)</f>
        <v>0</v>
      </c>
      <c r="AE605" s="112">
        <f>IF(B605=$B$1874,$AE$463,0)</f>
        <v>0</v>
      </c>
      <c r="AF605" s="224">
        <f>SUM(AB605:AE605)</f>
        <v>0</v>
      </c>
      <c r="AG605" s="112">
        <f>IF(C605=$B$1877,$E$1877,0)</f>
        <v>0</v>
      </c>
      <c r="AH605" s="112">
        <f>IF(C605=$B$1878,$E$1878,0)</f>
        <v>0</v>
      </c>
      <c r="AI605" s="112">
        <f>IF(C605=$B$1879,$E$1879,0)</f>
        <v>0</v>
      </c>
      <c r="AJ605" s="112">
        <f>IF(C605=$B$1880,$E$1880,0)</f>
        <v>0</v>
      </c>
      <c r="AK605" s="112">
        <f>IF(C605=$B$1881,$E$1881,0)</f>
        <v>0</v>
      </c>
      <c r="AL605" s="112">
        <f>IF(C605=$B$1882,$E$1882,0)</f>
        <v>0</v>
      </c>
      <c r="AM605" s="225">
        <f>SUM(AG605:AL605)</f>
        <v>0</v>
      </c>
      <c r="AN605" s="112">
        <f>IF($D605=$B$1885,AN$463,0)</f>
        <v>0</v>
      </c>
      <c r="AO605" s="112">
        <f>IF($D605=$B$1886,AO$463,0)</f>
        <v>0</v>
      </c>
      <c r="AP605" s="112">
        <f>IF($D605=$B$1887,AP$463,0)</f>
        <v>0</v>
      </c>
      <c r="AQ605" s="112">
        <f>IF($D605=$B$1888,AQ$463,0)</f>
        <v>0</v>
      </c>
      <c r="AR605" s="112">
        <f>IF($D605=$B$1889,AR$463,0)</f>
        <v>0</v>
      </c>
      <c r="AS605" s="112">
        <f>IF($D605=$B$1890,AS$463,0)</f>
        <v>0</v>
      </c>
      <c r="AT605" s="112">
        <f>IF($D605=$B$1891,AT$463,0)</f>
        <v>0</v>
      </c>
      <c r="AU605" s="112">
        <f>IF($D605=$B$1892,AU$463,0)</f>
        <v>0</v>
      </c>
      <c r="AV605" s="226">
        <f>SUM(AN605:AU605)</f>
        <v>0</v>
      </c>
      <c r="AX605" s="216">
        <f>AF605*AM605</f>
        <v>0</v>
      </c>
      <c r="AZ605" s="158">
        <f>AX605+(AV605*AM605)</f>
        <v>0</v>
      </c>
      <c r="BB605" s="217">
        <f>(AF605*AM605)*0.01</f>
        <v>0</v>
      </c>
      <c r="BD605" s="218">
        <f>AZ605*0.01</f>
        <v>0</v>
      </c>
      <c r="BE605" s="402"/>
      <c r="BG605" s="217">
        <f>IF(AF605&gt;0,BG597+BB605,BG597)</f>
        <v>0</v>
      </c>
      <c r="BH605" s="218">
        <f>IF(AV605&gt;0,BH597+BD605,BH597)</f>
        <v>0</v>
      </c>
      <c r="BI605" s="217">
        <f>IF(BG605&gt;0.99,0.99,BG605)</f>
        <v>0</v>
      </c>
      <c r="BJ605" s="218">
        <f>IF(BH605&gt;0.99,0.99,BH605)</f>
        <v>0</v>
      </c>
    </row>
    <row r="606" spans="1:62" ht="16.2" thickTop="1" x14ac:dyDescent="0.25">
      <c r="A606" s="200">
        <f>A601+1</f>
        <v>40</v>
      </c>
      <c r="B606" s="200" t="s">
        <v>171</v>
      </c>
      <c r="C606" s="200"/>
      <c r="D606" s="201" t="str">
        <f>IF(B608="","If claimed, explain in white box below.","")</f>
        <v>If claimed, explain in white box below.</v>
      </c>
      <c r="E606" s="203"/>
      <c r="F606" s="1"/>
    </row>
    <row r="607" spans="1:62" x14ac:dyDescent="0.25">
      <c r="A607" s="202"/>
      <c r="B607" s="567" t="s">
        <v>409</v>
      </c>
      <c r="C607" s="568"/>
      <c r="D607" s="569"/>
      <c r="E607" s="203"/>
      <c r="F607" s="1"/>
    </row>
    <row r="608" spans="1:62" ht="138" customHeight="1" thickBot="1" x14ac:dyDescent="0.3">
      <c r="A608" s="202"/>
      <c r="B608" s="570"/>
      <c r="C608" s="571"/>
      <c r="D608" s="572"/>
      <c r="E608" s="203"/>
      <c r="F608" s="1"/>
    </row>
    <row r="609" spans="1:62" ht="15" thickTop="1" thickBot="1" x14ac:dyDescent="0.3">
      <c r="A609" s="202"/>
      <c r="B609" s="204" t="str">
        <f>IF(B608="","","Claimed?")</f>
        <v/>
      </c>
      <c r="C609" s="204" t="str">
        <f>IF(B609="","","Verifiable?")</f>
        <v/>
      </c>
      <c r="D609" s="205" t="str">
        <f>IF(C610="","","Independent verification")</f>
        <v/>
      </c>
      <c r="E609" s="573">
        <f>BI610</f>
        <v>0</v>
      </c>
      <c r="F609" s="574"/>
      <c r="AA609" s="60"/>
      <c r="AB609" s="60" t="s">
        <v>314</v>
      </c>
      <c r="AF609" s="220"/>
      <c r="AG609" s="60" t="s">
        <v>315</v>
      </c>
      <c r="AM609" s="221"/>
      <c r="AN609" s="60" t="s">
        <v>316</v>
      </c>
      <c r="AV609" s="222"/>
      <c r="AX609" s="207" t="s">
        <v>317</v>
      </c>
      <c r="AZ609" s="208" t="s">
        <v>318</v>
      </c>
      <c r="BB609" s="209" t="s">
        <v>319</v>
      </c>
      <c r="BD609" s="208" t="s">
        <v>320</v>
      </c>
      <c r="BG609" s="210" t="s">
        <v>326</v>
      </c>
      <c r="BH609" s="211" t="s">
        <v>327</v>
      </c>
      <c r="BI609" s="210" t="s">
        <v>321</v>
      </c>
      <c r="BJ609" s="211" t="s">
        <v>322</v>
      </c>
    </row>
    <row r="610" spans="1:62" ht="15" thickTop="1" thickBot="1" x14ac:dyDescent="0.3">
      <c r="A610" s="202"/>
      <c r="B610" s="212"/>
      <c r="C610" s="213"/>
      <c r="D610" s="223"/>
      <c r="E610" s="573">
        <f>BJ610</f>
        <v>0</v>
      </c>
      <c r="F610" s="574"/>
      <c r="AA610" s="112"/>
      <c r="AB610" s="112">
        <f>IF(B610=$B$1871,$AB$463,0)</f>
        <v>0</v>
      </c>
      <c r="AC610" s="112">
        <f>IF(B610=$B$1872,$AC$463,0)</f>
        <v>0</v>
      </c>
      <c r="AD610" s="112">
        <f>IF(B610=$B$1873,$AD$463,0)</f>
        <v>0</v>
      </c>
      <c r="AE610" s="112">
        <f>IF(B610=$B$1874,$AE$463,0)</f>
        <v>0</v>
      </c>
      <c r="AF610" s="224">
        <f>SUM(AB610:AE610)</f>
        <v>0</v>
      </c>
      <c r="AG610" s="112">
        <f>IF(C610=$B$1877,$E$1877,0)</f>
        <v>0</v>
      </c>
      <c r="AH610" s="112">
        <f>IF(C610=$B$1878,$E$1878,0)</f>
        <v>0</v>
      </c>
      <c r="AI610" s="112">
        <f>IF(C610=$B$1879,$E$1879,0)</f>
        <v>0</v>
      </c>
      <c r="AJ610" s="112">
        <f>IF(C610=$B$1880,$E$1880,0)</f>
        <v>0</v>
      </c>
      <c r="AK610" s="112">
        <f>IF(C610=$B$1881,$E$1881,0)</f>
        <v>0</v>
      </c>
      <c r="AL610" s="112">
        <f>IF(C610=$B$1882,$E$1882,0)</f>
        <v>0</v>
      </c>
      <c r="AM610" s="225">
        <f>SUM(AG610:AL610)</f>
        <v>0</v>
      </c>
      <c r="AN610" s="112">
        <f>IF($D610=$B$1885,AN$463,0)</f>
        <v>0</v>
      </c>
      <c r="AO610" s="112">
        <f>IF($D610=$B$1886,AO$463,0)</f>
        <v>0</v>
      </c>
      <c r="AP610" s="112">
        <f>IF($D610=$B$1887,AP$463,0)</f>
        <v>0</v>
      </c>
      <c r="AQ610" s="112">
        <f>IF($D610=$B$1888,AQ$463,0)</f>
        <v>0</v>
      </c>
      <c r="AR610" s="112">
        <f>IF($D610=$B$1889,AR$463,0)</f>
        <v>0</v>
      </c>
      <c r="AS610" s="112">
        <f>IF($D610=$B$1890,AS$463,0)</f>
        <v>0</v>
      </c>
      <c r="AT610" s="112">
        <f>IF($D610=$B$1891,AT$463,0)</f>
        <v>0</v>
      </c>
      <c r="AU610" s="112">
        <f>IF($D610=$B$1892,AU$463,0)</f>
        <v>0</v>
      </c>
      <c r="AV610" s="226">
        <f>SUM(AN610:AU610)</f>
        <v>0</v>
      </c>
      <c r="AX610" s="216">
        <f>AF610*AM610</f>
        <v>0</v>
      </c>
      <c r="AZ610" s="158">
        <f>AX610+(AV610*AM610)</f>
        <v>0</v>
      </c>
      <c r="BB610" s="217">
        <f>(AF610*AM610)*0.01</f>
        <v>0</v>
      </c>
      <c r="BD610" s="218">
        <f>AZ610*0.01</f>
        <v>0</v>
      </c>
      <c r="BE610" s="402"/>
      <c r="BG610" s="217">
        <f>IF(AF610&gt;0,BG605+BB610,BG605)</f>
        <v>0</v>
      </c>
      <c r="BH610" s="218">
        <f>IF(AV610&gt;0,BH605+BD610,BH605)</f>
        <v>0</v>
      </c>
      <c r="BI610" s="217">
        <f>IF(BG610&gt;0.99,0.99,BG610)</f>
        <v>0</v>
      </c>
      <c r="BJ610" s="218">
        <f>IF(BH610&gt;0.99,0.99,BH610)</f>
        <v>0</v>
      </c>
    </row>
    <row r="611" spans="1:62" ht="16.2" thickTop="1" x14ac:dyDescent="0.25">
      <c r="A611" s="200">
        <f>A606+1</f>
        <v>41</v>
      </c>
      <c r="B611" s="200" t="s">
        <v>411</v>
      </c>
      <c r="C611" s="200"/>
      <c r="D611" s="201" t="str">
        <f>IF(B613="","If claimed, explain in white box below.","")</f>
        <v>If claimed, explain in white box below.</v>
      </c>
      <c r="E611" s="203"/>
      <c r="F611" s="1"/>
    </row>
    <row r="612" spans="1:62" ht="28.05" customHeight="1" x14ac:dyDescent="0.25">
      <c r="A612" s="202"/>
      <c r="B612" s="567" t="s">
        <v>412</v>
      </c>
      <c r="C612" s="568"/>
      <c r="D612" s="569"/>
      <c r="E612" s="203"/>
      <c r="F612" s="1"/>
    </row>
    <row r="613" spans="1:62" ht="138" customHeight="1" thickBot="1" x14ac:dyDescent="0.3">
      <c r="A613" s="202"/>
      <c r="B613" s="570"/>
      <c r="C613" s="571"/>
      <c r="D613" s="572"/>
      <c r="E613" s="203"/>
      <c r="F613" s="1"/>
    </row>
    <row r="614" spans="1:62" ht="15" thickTop="1" thickBot="1" x14ac:dyDescent="0.3">
      <c r="A614" s="202"/>
      <c r="B614" s="204" t="str">
        <f>IF(B613="","","Claimed?")</f>
        <v/>
      </c>
      <c r="C614" s="204" t="str">
        <f>IF(B614="","","Verifiable?")</f>
        <v/>
      </c>
      <c r="D614" s="205" t="str">
        <f>IF(C615="","","Independent verification")</f>
        <v/>
      </c>
      <c r="E614" s="573">
        <f>BI615</f>
        <v>0</v>
      </c>
      <c r="F614" s="574"/>
      <c r="AA614" s="60"/>
      <c r="AB614" s="60" t="s">
        <v>314</v>
      </c>
      <c r="AF614" s="220"/>
      <c r="AG614" s="60" t="s">
        <v>315</v>
      </c>
      <c r="AM614" s="221"/>
      <c r="AN614" s="60" t="s">
        <v>316</v>
      </c>
      <c r="AV614" s="222"/>
      <c r="AX614" s="207" t="s">
        <v>317</v>
      </c>
      <c r="AZ614" s="208" t="s">
        <v>318</v>
      </c>
      <c r="BB614" s="209" t="s">
        <v>319</v>
      </c>
      <c r="BD614" s="208" t="s">
        <v>320</v>
      </c>
      <c r="BG614" s="210" t="s">
        <v>326</v>
      </c>
      <c r="BH614" s="211" t="s">
        <v>327</v>
      </c>
      <c r="BI614" s="210" t="s">
        <v>321</v>
      </c>
      <c r="BJ614" s="211" t="s">
        <v>322</v>
      </c>
    </row>
    <row r="615" spans="1:62" ht="15" thickTop="1" thickBot="1" x14ac:dyDescent="0.3">
      <c r="A615" s="202"/>
      <c r="B615" s="212"/>
      <c r="C615" s="213"/>
      <c r="D615" s="223"/>
      <c r="E615" s="573">
        <f>BJ615</f>
        <v>0</v>
      </c>
      <c r="F615" s="574"/>
      <c r="AA615" s="112"/>
      <c r="AB615" s="112">
        <f>IF(B615=$B$1871,$AB$463,0)</f>
        <v>0</v>
      </c>
      <c r="AC615" s="112">
        <f>IF(B615=$B$1872,$AC$463,0)</f>
        <v>0</v>
      </c>
      <c r="AD615" s="112">
        <f>IF(B615=$B$1873,$AD$463,0)</f>
        <v>0</v>
      </c>
      <c r="AE615" s="112">
        <f>IF(B615=$B$1874,$AE$463,0)</f>
        <v>0</v>
      </c>
      <c r="AF615" s="224">
        <f>SUM(AB615:AE615)</f>
        <v>0</v>
      </c>
      <c r="AG615" s="112">
        <f>IF(C615=$B$1877,$E$1877,0)</f>
        <v>0</v>
      </c>
      <c r="AH615" s="112">
        <f>IF(C615=$B$1878,$E$1878,0)</f>
        <v>0</v>
      </c>
      <c r="AI615" s="112">
        <f>IF(C615=$B$1879,$E$1879,0)</f>
        <v>0</v>
      </c>
      <c r="AJ615" s="112">
        <f>IF(C615=$B$1880,$E$1880,0)</f>
        <v>0</v>
      </c>
      <c r="AK615" s="112">
        <f>IF(C615=$B$1881,$E$1881,0)</f>
        <v>0</v>
      </c>
      <c r="AL615" s="112">
        <f>IF(C615=$B$1882,$E$1882,0)</f>
        <v>0</v>
      </c>
      <c r="AM615" s="225">
        <f>SUM(AG615:AL615)</f>
        <v>0</v>
      </c>
      <c r="AN615" s="112">
        <f>IF($D615=$B$1885,AN$463,0)</f>
        <v>0</v>
      </c>
      <c r="AO615" s="112">
        <f>IF($D615=$B$1886,AO$463,0)</f>
        <v>0</v>
      </c>
      <c r="AP615" s="112">
        <f>IF($D615=$B$1887,AP$463,0)</f>
        <v>0</v>
      </c>
      <c r="AQ615" s="112">
        <f>IF($D615=$B$1888,AQ$463,0)</f>
        <v>0</v>
      </c>
      <c r="AR615" s="112">
        <f>IF($D615=$B$1889,AR$463,0)</f>
        <v>0</v>
      </c>
      <c r="AS615" s="112">
        <f>IF($D615=$B$1890,AS$463,0)</f>
        <v>0</v>
      </c>
      <c r="AT615" s="112">
        <f>IF($D615=$B$1891,AT$463,0)</f>
        <v>0</v>
      </c>
      <c r="AU615" s="112">
        <f>IF($D615=$B$1892,AU$463,0)</f>
        <v>0</v>
      </c>
      <c r="AV615" s="226">
        <f>SUM(AN615:AU615)</f>
        <v>0</v>
      </c>
      <c r="AX615" s="216">
        <f>AF615*AM615</f>
        <v>0</v>
      </c>
      <c r="AZ615" s="158">
        <f>AX615+(AV615*AM615)</f>
        <v>0</v>
      </c>
      <c r="BB615" s="217">
        <f>(AF615*AM615)*0.01</f>
        <v>0</v>
      </c>
      <c r="BD615" s="218">
        <f>AZ615*0.01</f>
        <v>0</v>
      </c>
      <c r="BE615" s="402"/>
      <c r="BG615" s="217">
        <f>IF(AF615&gt;0,BG610+BB615,BG610)</f>
        <v>0</v>
      </c>
      <c r="BH615" s="218">
        <f>IF(AV615&gt;0,BH610+BD615,BH610)</f>
        <v>0</v>
      </c>
      <c r="BI615" s="217">
        <f>IF(BG615&gt;0.99,0.99,BG615)</f>
        <v>0</v>
      </c>
      <c r="BJ615" s="218">
        <f>IF(BH615&gt;0.99,0.99,BH615)</f>
        <v>0</v>
      </c>
    </row>
    <row r="616" spans="1:62" ht="4.95" customHeight="1" thickTop="1" x14ac:dyDescent="0.25">
      <c r="A616" s="203"/>
      <c r="B616" s="203"/>
      <c r="C616" s="203"/>
      <c r="D616" s="203"/>
      <c r="E616" s="203"/>
      <c r="F616" s="1"/>
    </row>
    <row r="617" spans="1:62" ht="15.6" x14ac:dyDescent="0.25">
      <c r="A617" s="200">
        <f>A611+1</f>
        <v>42</v>
      </c>
      <c r="B617" s="200" t="s">
        <v>414</v>
      </c>
      <c r="C617" s="200"/>
      <c r="D617" s="201" t="str">
        <f>IF(B619="","If claimed, explain in white box below.","")</f>
        <v>If claimed, explain in white box below.</v>
      </c>
      <c r="E617" s="203"/>
      <c r="F617" s="1"/>
    </row>
    <row r="618" spans="1:62" ht="28.05" customHeight="1" x14ac:dyDescent="0.25">
      <c r="A618" s="202"/>
      <c r="B618" s="567" t="s">
        <v>415</v>
      </c>
      <c r="C618" s="568"/>
      <c r="D618" s="569"/>
      <c r="E618" s="203"/>
      <c r="F618" s="1"/>
    </row>
    <row r="619" spans="1:62" ht="157.94999999999999" customHeight="1" thickBot="1" x14ac:dyDescent="0.3">
      <c r="A619" s="202"/>
      <c r="B619" s="570"/>
      <c r="C619" s="571"/>
      <c r="D619" s="572"/>
      <c r="E619" s="203"/>
      <c r="F619" s="1"/>
    </row>
    <row r="620" spans="1:62" ht="15" thickTop="1" thickBot="1" x14ac:dyDescent="0.3">
      <c r="A620" s="202"/>
      <c r="B620" s="204" t="str">
        <f>IF(B619="","","Claimed?")</f>
        <v/>
      </c>
      <c r="C620" s="204" t="str">
        <f>IF(B620="","","Verifiable?")</f>
        <v/>
      </c>
      <c r="D620" s="205" t="str">
        <f>IF(C621="","","Independent verification")</f>
        <v/>
      </c>
      <c r="E620" s="573">
        <f>BI621</f>
        <v>0</v>
      </c>
      <c r="F620" s="574"/>
      <c r="AA620" s="60"/>
      <c r="AB620" s="60" t="s">
        <v>314</v>
      </c>
      <c r="AF620" s="220"/>
      <c r="AG620" s="60" t="s">
        <v>315</v>
      </c>
      <c r="AM620" s="221"/>
      <c r="AN620" s="60" t="s">
        <v>316</v>
      </c>
      <c r="AV620" s="222"/>
      <c r="AX620" s="207" t="s">
        <v>317</v>
      </c>
      <c r="AZ620" s="208" t="s">
        <v>318</v>
      </c>
      <c r="BB620" s="209" t="s">
        <v>319</v>
      </c>
      <c r="BD620" s="208" t="s">
        <v>320</v>
      </c>
      <c r="BG620" s="210" t="s">
        <v>326</v>
      </c>
      <c r="BH620" s="211" t="s">
        <v>327</v>
      </c>
      <c r="BI620" s="210" t="s">
        <v>321</v>
      </c>
      <c r="BJ620" s="211" t="s">
        <v>322</v>
      </c>
    </row>
    <row r="621" spans="1:62" ht="15" thickTop="1" thickBot="1" x14ac:dyDescent="0.3">
      <c r="A621" s="202"/>
      <c r="B621" s="212"/>
      <c r="C621" s="213"/>
      <c r="D621" s="223"/>
      <c r="E621" s="573">
        <f>BJ621</f>
        <v>0</v>
      </c>
      <c r="F621" s="574"/>
      <c r="AA621" s="112"/>
      <c r="AB621" s="112">
        <f>IF(B621=$B$1871,$AB$463,0)</f>
        <v>0</v>
      </c>
      <c r="AC621" s="112">
        <f>IF(B621=$B$1872,$AC$463,0)</f>
        <v>0</v>
      </c>
      <c r="AD621" s="112">
        <f>IF(B621=$B$1873,$AD$463,0)</f>
        <v>0</v>
      </c>
      <c r="AE621" s="112">
        <f>IF(B621=$B$1874,$AE$463,0)</f>
        <v>0</v>
      </c>
      <c r="AF621" s="232">
        <f>SUM(AB621:AE621)</f>
        <v>0</v>
      </c>
      <c r="AG621" s="112">
        <f>IF(C621=$B$1877,$E$1877,0)</f>
        <v>0</v>
      </c>
      <c r="AH621" s="112">
        <f>IF(C621=$B$1878,$E$1878,0)</f>
        <v>0</v>
      </c>
      <c r="AI621" s="112">
        <f>IF(C621=$B$1879,$E$1879,0)</f>
        <v>0</v>
      </c>
      <c r="AJ621" s="112">
        <f>IF(C621=$B$1880,$E$1880,0)</f>
        <v>0</v>
      </c>
      <c r="AK621" s="112">
        <f>IF(C621=$B$1881,$E$1881,0)</f>
        <v>0</v>
      </c>
      <c r="AL621" s="112">
        <f>IF(C621=$B$1882,$E$1882,0)</f>
        <v>0</v>
      </c>
      <c r="AM621" s="225">
        <f>SUM(AG621:AL621)</f>
        <v>0</v>
      </c>
      <c r="AN621" s="112">
        <f>IF($D621=$B$1885,AN$463,0)</f>
        <v>0</v>
      </c>
      <c r="AO621" s="112">
        <f>IF($D621=$B$1886,AO$463,0)</f>
        <v>0</v>
      </c>
      <c r="AP621" s="112">
        <f>IF($D621=$B$1887,AP$463,0)</f>
        <v>0</v>
      </c>
      <c r="AQ621" s="112">
        <f>IF($D621=$B$1888,AQ$463,0)</f>
        <v>0</v>
      </c>
      <c r="AR621" s="112">
        <f>IF($D621=$B$1889,AR$463,0)</f>
        <v>0</v>
      </c>
      <c r="AS621" s="112">
        <f>IF($D621=$B$1890,AS$463,0)</f>
        <v>0</v>
      </c>
      <c r="AT621" s="112">
        <f>IF($D621=$B$1891,AT$463,0)</f>
        <v>0</v>
      </c>
      <c r="AU621" s="112">
        <f>IF($D621=$B$1892,AU$463,0)</f>
        <v>0</v>
      </c>
      <c r="AV621" s="226">
        <f>SUM(AN621:AU621)</f>
        <v>0</v>
      </c>
      <c r="AX621" s="216">
        <f>AF621*AM621</f>
        <v>0</v>
      </c>
      <c r="AZ621" s="158">
        <f>AX621+(AV621*AM621)</f>
        <v>0</v>
      </c>
      <c r="BB621" s="217">
        <f>(AF621*AM621)*0.01</f>
        <v>0</v>
      </c>
      <c r="BD621" s="218">
        <f>AZ621*0.01</f>
        <v>0</v>
      </c>
      <c r="BE621" s="402"/>
      <c r="BG621" s="217">
        <f>IF(AF621&gt;0,BG615+BB621,BG615)</f>
        <v>0</v>
      </c>
      <c r="BH621" s="218">
        <f>IF(AV621&gt;0,BH615+BD621,BH615)</f>
        <v>0</v>
      </c>
      <c r="BI621" s="217">
        <f>IF(BG621&gt;0.99,0.99,BG621)</f>
        <v>0</v>
      </c>
      <c r="BJ621" s="218">
        <f>IF(BH621&gt;0.99,0.99,BH621)</f>
        <v>0</v>
      </c>
    </row>
    <row r="622" spans="1:62" ht="16.2" thickTop="1" x14ac:dyDescent="0.25">
      <c r="A622" s="200">
        <f>A617+1</f>
        <v>43</v>
      </c>
      <c r="B622" s="200" t="s">
        <v>417</v>
      </c>
      <c r="C622" s="200"/>
      <c r="D622" s="201" t="str">
        <f>IF(B624="","If claimed, explain in white box below.","")</f>
        <v>If claimed, explain in white box below.</v>
      </c>
      <c r="E622" s="203"/>
      <c r="F622" s="1"/>
    </row>
    <row r="623" spans="1:62" x14ac:dyDescent="0.25">
      <c r="A623" s="202"/>
      <c r="B623" s="567" t="s">
        <v>418</v>
      </c>
      <c r="C623" s="568"/>
      <c r="D623" s="569"/>
      <c r="E623" s="203"/>
      <c r="F623" s="1"/>
    </row>
    <row r="624" spans="1:62" ht="157.94999999999999" customHeight="1" thickBot="1" x14ac:dyDescent="0.3">
      <c r="A624" s="202"/>
      <c r="B624" s="570"/>
      <c r="C624" s="571"/>
      <c r="D624" s="572"/>
      <c r="E624" s="203"/>
      <c r="F624" s="1"/>
    </row>
    <row r="625" spans="1:62" ht="15" thickTop="1" thickBot="1" x14ac:dyDescent="0.3">
      <c r="A625" s="202"/>
      <c r="B625" s="204" t="str">
        <f>IF(B624="","","Claimed?")</f>
        <v/>
      </c>
      <c r="C625" s="204" t="str">
        <f>IF(B625="","","Verifiable?")</f>
        <v/>
      </c>
      <c r="D625" s="205" t="str">
        <f>IF(C626="","","Independent verification")</f>
        <v/>
      </c>
      <c r="E625" s="573">
        <f>BI626</f>
        <v>0</v>
      </c>
      <c r="F625" s="574"/>
      <c r="AA625" s="60"/>
      <c r="AB625" s="60" t="s">
        <v>314</v>
      </c>
      <c r="AF625" s="220"/>
      <c r="AG625" s="60" t="s">
        <v>315</v>
      </c>
      <c r="AM625" s="221"/>
      <c r="AN625" s="60" t="s">
        <v>316</v>
      </c>
      <c r="AV625" s="222"/>
      <c r="AX625" s="207" t="s">
        <v>317</v>
      </c>
      <c r="AZ625" s="208" t="s">
        <v>318</v>
      </c>
      <c r="BB625" s="209" t="s">
        <v>319</v>
      </c>
      <c r="BD625" s="208" t="s">
        <v>320</v>
      </c>
      <c r="BG625" s="210" t="s">
        <v>326</v>
      </c>
      <c r="BH625" s="211" t="s">
        <v>327</v>
      </c>
      <c r="BI625" s="210" t="s">
        <v>321</v>
      </c>
      <c r="BJ625" s="211" t="s">
        <v>322</v>
      </c>
    </row>
    <row r="626" spans="1:62" ht="15" thickTop="1" thickBot="1" x14ac:dyDescent="0.3">
      <c r="A626" s="202"/>
      <c r="B626" s="212"/>
      <c r="C626" s="213"/>
      <c r="D626" s="223"/>
      <c r="E626" s="573">
        <f>BJ626</f>
        <v>0</v>
      </c>
      <c r="F626" s="574"/>
      <c r="AA626" s="112"/>
      <c r="AB626" s="112">
        <f>IF(B626=$B$1871,$AB$463,0)</f>
        <v>0</v>
      </c>
      <c r="AC626" s="112">
        <f>IF(B626=$B$1872,$AC$463,0)</f>
        <v>0</v>
      </c>
      <c r="AD626" s="112">
        <f>IF(B626=$B$1873,$AD$463,0)</f>
        <v>0</v>
      </c>
      <c r="AE626" s="112">
        <f>IF(B626=$B$1874,$AE$463,0)</f>
        <v>0</v>
      </c>
      <c r="AF626" s="224">
        <f>SUM(AB626:AE626)</f>
        <v>0</v>
      </c>
      <c r="AG626" s="112">
        <f>IF(C626=$B$1877,$E$1877,0)</f>
        <v>0</v>
      </c>
      <c r="AH626" s="112">
        <f>IF(C626=$B$1878,$E$1878,0)</f>
        <v>0</v>
      </c>
      <c r="AI626" s="112">
        <f>IF(C626=$B$1879,$E$1879,0)</f>
        <v>0</v>
      </c>
      <c r="AJ626" s="112">
        <f>IF(C626=$B$1880,$E$1880,0)</f>
        <v>0</v>
      </c>
      <c r="AK626" s="112">
        <f>IF(C626=$B$1881,$E$1881,0)</f>
        <v>0</v>
      </c>
      <c r="AL626" s="112">
        <f>IF(C626=$B$1882,$E$1882,0)</f>
        <v>0</v>
      </c>
      <c r="AM626" s="225">
        <f>SUM(AG626:AL626)</f>
        <v>0</v>
      </c>
      <c r="AN626" s="112">
        <f>IF($D626=$B$1885,AN$463,0)</f>
        <v>0</v>
      </c>
      <c r="AO626" s="112">
        <f>IF($D626=$B$1886,AO$463,0)</f>
        <v>0</v>
      </c>
      <c r="AP626" s="112">
        <f>IF($D626=$B$1887,AP$463,0)</f>
        <v>0</v>
      </c>
      <c r="AQ626" s="112">
        <f>IF($D626=$B$1888,AQ$463,0)</f>
        <v>0</v>
      </c>
      <c r="AR626" s="112">
        <f>IF($D626=$B$1889,AR$463,0)</f>
        <v>0</v>
      </c>
      <c r="AS626" s="112">
        <f>IF($D626=$B$1890,AS$463,0)</f>
        <v>0</v>
      </c>
      <c r="AT626" s="112">
        <f>IF($D626=$B$1891,AT$463,0)</f>
        <v>0</v>
      </c>
      <c r="AU626" s="112">
        <f>IF($D626=$B$1892,AU$463,0)</f>
        <v>0</v>
      </c>
      <c r="AV626" s="226">
        <f>SUM(AN626:AU626)</f>
        <v>0</v>
      </c>
      <c r="AX626" s="216">
        <f>AF626*AM626</f>
        <v>0</v>
      </c>
      <c r="AZ626" s="158">
        <f>AX626+(AV626*AM626)</f>
        <v>0</v>
      </c>
      <c r="BB626" s="217">
        <f>(AF626*AM626)*0.01</f>
        <v>0</v>
      </c>
      <c r="BD626" s="218">
        <f>AZ626*0.01</f>
        <v>0</v>
      </c>
      <c r="BE626" s="402"/>
      <c r="BG626" s="217">
        <f>IF(AF626&gt;0,BG621+BB626,BG621)</f>
        <v>0</v>
      </c>
      <c r="BH626" s="218">
        <f>IF(AV626&gt;0,BH621+BD626,BH621)</f>
        <v>0</v>
      </c>
      <c r="BI626" s="217">
        <f>IF(BG626&gt;0.99,0.99,BG626)</f>
        <v>0</v>
      </c>
      <c r="BJ626" s="218">
        <f>IF(BH626&gt;0.99,0.99,BH626)</f>
        <v>0</v>
      </c>
    </row>
    <row r="627" spans="1:62" ht="16.2" thickTop="1" x14ac:dyDescent="0.25">
      <c r="A627" s="200">
        <f>A622+1</f>
        <v>44</v>
      </c>
      <c r="B627" s="200" t="s">
        <v>420</v>
      </c>
      <c r="C627" s="200"/>
      <c r="D627" s="201" t="str">
        <f>IF(B629="","If claimed, explain in white box below.","")</f>
        <v>If claimed, explain in white box below.</v>
      </c>
      <c r="E627" s="203"/>
      <c r="F627" s="1"/>
    </row>
    <row r="628" spans="1:62" x14ac:dyDescent="0.25">
      <c r="A628" s="202"/>
      <c r="B628" s="567" t="s">
        <v>421</v>
      </c>
      <c r="C628" s="568"/>
      <c r="D628" s="569"/>
      <c r="E628" s="203"/>
      <c r="F628" s="1"/>
    </row>
    <row r="629" spans="1:62" ht="157.94999999999999" customHeight="1" thickBot="1" x14ac:dyDescent="0.3">
      <c r="A629" s="202"/>
      <c r="B629" s="570"/>
      <c r="C629" s="571"/>
      <c r="D629" s="572"/>
      <c r="E629" s="203"/>
      <c r="F629" s="1"/>
    </row>
    <row r="630" spans="1:62" ht="15" thickTop="1" thickBot="1" x14ac:dyDescent="0.3">
      <c r="A630" s="202"/>
      <c r="B630" s="204" t="str">
        <f>IF(B629="","","Claimed?")</f>
        <v/>
      </c>
      <c r="C630" s="204" t="str">
        <f>IF(B630="","","Verifiable?")</f>
        <v/>
      </c>
      <c r="D630" s="205" t="str">
        <f>IF(C631="","","Independent verification")</f>
        <v/>
      </c>
      <c r="E630" s="573">
        <f>BI631</f>
        <v>0</v>
      </c>
      <c r="F630" s="574"/>
      <c r="AA630" s="60"/>
      <c r="AB630" s="60" t="s">
        <v>314</v>
      </c>
      <c r="AF630" s="220"/>
      <c r="AG630" s="60" t="s">
        <v>315</v>
      </c>
      <c r="AM630" s="221"/>
      <c r="AN630" s="60" t="s">
        <v>316</v>
      </c>
      <c r="AV630" s="222"/>
      <c r="AX630" s="207" t="s">
        <v>317</v>
      </c>
      <c r="AZ630" s="208" t="s">
        <v>318</v>
      </c>
      <c r="BB630" s="209" t="s">
        <v>319</v>
      </c>
      <c r="BD630" s="208" t="s">
        <v>320</v>
      </c>
      <c r="BG630" s="210" t="s">
        <v>326</v>
      </c>
      <c r="BH630" s="211" t="s">
        <v>327</v>
      </c>
      <c r="BI630" s="210" t="s">
        <v>321</v>
      </c>
      <c r="BJ630" s="211" t="s">
        <v>322</v>
      </c>
    </row>
    <row r="631" spans="1:62" ht="15" thickTop="1" thickBot="1" x14ac:dyDescent="0.3">
      <c r="A631" s="202"/>
      <c r="B631" s="212"/>
      <c r="C631" s="213"/>
      <c r="D631" s="223"/>
      <c r="E631" s="573">
        <f>BJ631</f>
        <v>0</v>
      </c>
      <c r="F631" s="574"/>
      <c r="AA631" s="112"/>
      <c r="AB631" s="112">
        <f>IF(B631=$B$1871,$AB$463,0)</f>
        <v>0</v>
      </c>
      <c r="AC631" s="112">
        <f>IF(B631=$B$1872,$AC$463,0)</f>
        <v>0</v>
      </c>
      <c r="AD631" s="112">
        <f>IF(B631=$B$1873,$AD$463,0)</f>
        <v>0</v>
      </c>
      <c r="AE631" s="112">
        <f>IF(B631=$B$1874,$AE$463,0)</f>
        <v>0</v>
      </c>
      <c r="AF631" s="224">
        <f>SUM(AB631:AE631)</f>
        <v>0</v>
      </c>
      <c r="AG631" s="112">
        <f>IF(C631=$B$1877,$E$1877,0)</f>
        <v>0</v>
      </c>
      <c r="AH631" s="112">
        <f>IF(C631=$B$1878,$E$1878,0)</f>
        <v>0</v>
      </c>
      <c r="AI631" s="112">
        <f>IF(C631=$B$1879,$E$1879,0)</f>
        <v>0</v>
      </c>
      <c r="AJ631" s="112">
        <f>IF(C631=$B$1880,$E$1880,0)</f>
        <v>0</v>
      </c>
      <c r="AK631" s="112">
        <f>IF(C631=$B$1881,$E$1881,0)</f>
        <v>0</v>
      </c>
      <c r="AL631" s="112">
        <f>IF(C631=$B$1882,$E$1882,0)</f>
        <v>0</v>
      </c>
      <c r="AM631" s="225">
        <f>SUM(AG631:AL631)</f>
        <v>0</v>
      </c>
      <c r="AN631" s="112">
        <f>IF($D631=$B$1885,AN$463,0)</f>
        <v>0</v>
      </c>
      <c r="AO631" s="112">
        <f>IF($D631=$B$1886,AO$463,0)</f>
        <v>0</v>
      </c>
      <c r="AP631" s="112">
        <f>IF($D631=$B$1887,AP$463,0)</f>
        <v>0</v>
      </c>
      <c r="AQ631" s="112">
        <f>IF($D631=$B$1888,AQ$463,0)</f>
        <v>0</v>
      </c>
      <c r="AR631" s="112">
        <f>IF($D631=$B$1889,AR$463,0)</f>
        <v>0</v>
      </c>
      <c r="AS631" s="112">
        <f>IF($D631=$B$1890,AS$463,0)</f>
        <v>0</v>
      </c>
      <c r="AT631" s="112">
        <f>IF($D631=$B$1891,AT$463,0)</f>
        <v>0</v>
      </c>
      <c r="AU631" s="112">
        <f>IF($D631=$B$1892,AU$463,0)</f>
        <v>0</v>
      </c>
      <c r="AV631" s="226">
        <f>SUM(AN631:AU631)</f>
        <v>0</v>
      </c>
      <c r="AX631" s="216">
        <f>AF631*AM631</f>
        <v>0</v>
      </c>
      <c r="AZ631" s="158">
        <f>AX631+(AV631*AM631)</f>
        <v>0</v>
      </c>
      <c r="BB631" s="217">
        <f>(AF631*AM631)*0.01</f>
        <v>0</v>
      </c>
      <c r="BD631" s="218">
        <f>AZ631*0.01</f>
        <v>0</v>
      </c>
      <c r="BE631" s="402"/>
      <c r="BG631" s="217">
        <f>IF(AF631&gt;0,BG626+BB631,BG626)</f>
        <v>0</v>
      </c>
      <c r="BH631" s="218">
        <f>IF(AV631&gt;0,BH626+BD631,BH626)</f>
        <v>0</v>
      </c>
      <c r="BI631" s="217">
        <f>IF(BG631&gt;0.99,0.99,BG631)</f>
        <v>0</v>
      </c>
      <c r="BJ631" s="218">
        <f>IF(BH631&gt;0.99,0.99,BH631)</f>
        <v>0</v>
      </c>
    </row>
    <row r="632" spans="1:62" ht="4.95" customHeight="1" thickTop="1" x14ac:dyDescent="0.25">
      <c r="A632" s="203"/>
      <c r="B632" s="203"/>
      <c r="C632" s="203"/>
      <c r="D632" s="203"/>
      <c r="E632" s="203"/>
      <c r="F632" s="1"/>
      <c r="AA632" s="112"/>
      <c r="AB632" s="112"/>
      <c r="AC632" s="112"/>
      <c r="AD632" s="112"/>
      <c r="AE632" s="112"/>
      <c r="AF632" s="224"/>
      <c r="AG632" s="112"/>
      <c r="AH632" s="112"/>
      <c r="AI632" s="112"/>
      <c r="AJ632" s="112"/>
      <c r="AK632" s="112"/>
      <c r="AL632" s="112"/>
      <c r="AM632" s="225"/>
      <c r="AN632" s="112"/>
      <c r="AO632" s="112"/>
      <c r="AP632" s="112"/>
      <c r="AQ632" s="112"/>
      <c r="AR632" s="112"/>
      <c r="AS632" s="112"/>
      <c r="AT632" s="112"/>
      <c r="AU632" s="112"/>
      <c r="AV632" s="226"/>
      <c r="AX632" s="216"/>
      <c r="AZ632" s="158"/>
      <c r="BB632" s="217"/>
      <c r="BD632" s="218"/>
      <c r="BE632" s="402"/>
      <c r="BG632" s="217"/>
      <c r="BH632" s="218"/>
      <c r="BI632" s="217"/>
      <c r="BJ632" s="218"/>
    </row>
    <row r="633" spans="1:62" ht="15.6" x14ac:dyDescent="0.25">
      <c r="A633" s="200">
        <f>A627+1</f>
        <v>45</v>
      </c>
      <c r="B633" s="200" t="s">
        <v>424</v>
      </c>
      <c r="C633" s="200"/>
      <c r="D633" s="201" t="str">
        <f>IF(B635="","If claimed, explain in white box below.","")</f>
        <v>If claimed, explain in white box below.</v>
      </c>
      <c r="E633" s="203"/>
      <c r="F633" s="1"/>
    </row>
    <row r="634" spans="1:62" x14ac:dyDescent="0.25">
      <c r="A634" s="202"/>
      <c r="B634" s="567" t="s">
        <v>425</v>
      </c>
      <c r="C634" s="568"/>
      <c r="D634" s="569"/>
      <c r="E634" s="203"/>
      <c r="F634" s="1"/>
    </row>
    <row r="635" spans="1:62" ht="180" customHeight="1" thickBot="1" x14ac:dyDescent="0.3">
      <c r="A635" s="202"/>
      <c r="B635" s="570"/>
      <c r="C635" s="571"/>
      <c r="D635" s="572"/>
      <c r="E635" s="203"/>
      <c r="F635" s="1"/>
    </row>
    <row r="636" spans="1:62" ht="15" thickTop="1" thickBot="1" x14ac:dyDescent="0.3">
      <c r="A636" s="202"/>
      <c r="B636" s="204" t="str">
        <f>IF(B635="","","Claimed?")</f>
        <v/>
      </c>
      <c r="C636" s="204" t="str">
        <f>IF(B636="","","Verifiable?")</f>
        <v/>
      </c>
      <c r="D636" s="205" t="str">
        <f>IF(C637="","","Independent verification")</f>
        <v/>
      </c>
      <c r="E636" s="573">
        <f>BI637</f>
        <v>0</v>
      </c>
      <c r="F636" s="574"/>
      <c r="AA636" s="60"/>
      <c r="AB636" s="60" t="s">
        <v>314</v>
      </c>
      <c r="AF636" s="220"/>
      <c r="AG636" s="60" t="s">
        <v>315</v>
      </c>
      <c r="AM636" s="221"/>
      <c r="AN636" s="60" t="s">
        <v>316</v>
      </c>
      <c r="AV636" s="222"/>
      <c r="AX636" s="207" t="s">
        <v>317</v>
      </c>
      <c r="AZ636" s="208" t="s">
        <v>318</v>
      </c>
      <c r="BB636" s="209" t="s">
        <v>319</v>
      </c>
      <c r="BD636" s="208" t="s">
        <v>320</v>
      </c>
      <c r="BG636" s="210" t="s">
        <v>326</v>
      </c>
      <c r="BH636" s="211" t="s">
        <v>327</v>
      </c>
      <c r="BI636" s="210" t="s">
        <v>321</v>
      </c>
      <c r="BJ636" s="211" t="s">
        <v>322</v>
      </c>
    </row>
    <row r="637" spans="1:62" ht="15" thickTop="1" thickBot="1" x14ac:dyDescent="0.3">
      <c r="A637" s="202"/>
      <c r="B637" s="212"/>
      <c r="C637" s="213"/>
      <c r="D637" s="223"/>
      <c r="E637" s="573">
        <f>BJ637</f>
        <v>0</v>
      </c>
      <c r="F637" s="574"/>
      <c r="AA637" s="112"/>
      <c r="AB637" s="112">
        <f>IF(B637=$B$1871,$AB$463,0)</f>
        <v>0</v>
      </c>
      <c r="AC637" s="112">
        <f>IF(B637=$B$1872,$AC$463,0)</f>
        <v>0</v>
      </c>
      <c r="AD637" s="112">
        <f>IF(B637=$B$1873,$AD$463,0)</f>
        <v>0</v>
      </c>
      <c r="AE637" s="112">
        <f>IF(B637=$B$1874,$AE$463,0)</f>
        <v>0</v>
      </c>
      <c r="AF637" s="224">
        <f>SUM(AB637:AE637)</f>
        <v>0</v>
      </c>
      <c r="AG637" s="112">
        <f>IF(C637=$B$1877,$E$1877,0)</f>
        <v>0</v>
      </c>
      <c r="AH637" s="112">
        <f>IF(C637=$B$1878,$E$1878,0)</f>
        <v>0</v>
      </c>
      <c r="AI637" s="112">
        <f>IF(C637=$B$1879,$E$1879,0)</f>
        <v>0</v>
      </c>
      <c r="AJ637" s="112">
        <f>IF(C637=$B$1880,$E$1880,0)</f>
        <v>0</v>
      </c>
      <c r="AK637" s="112">
        <f>IF(C637=$B$1881,$E$1881,0)</f>
        <v>0</v>
      </c>
      <c r="AL637" s="112">
        <f>IF(C637=$B$1882,$E$1882,0)</f>
        <v>0</v>
      </c>
      <c r="AM637" s="225">
        <f>SUM(AG637:AL637)</f>
        <v>0</v>
      </c>
      <c r="AN637" s="112">
        <f>IF($D637=$B$1885,AN$463,0)</f>
        <v>0</v>
      </c>
      <c r="AO637" s="112">
        <f>IF($D637=$B$1886,AO$463,0)</f>
        <v>0</v>
      </c>
      <c r="AP637" s="112">
        <f>IF($D637=$B$1887,AP$463,0)</f>
        <v>0</v>
      </c>
      <c r="AQ637" s="112">
        <f>IF($D637=$B$1888,AQ$463,0)</f>
        <v>0</v>
      </c>
      <c r="AR637" s="112">
        <f>IF($D637=$B$1889,AR$463,0)</f>
        <v>0</v>
      </c>
      <c r="AS637" s="112">
        <f>IF($D637=$B$1890,AS$463,0)</f>
        <v>0</v>
      </c>
      <c r="AT637" s="112">
        <f>IF($D637=$B$1891,AT$463,0)</f>
        <v>0</v>
      </c>
      <c r="AU637" s="112">
        <f>IF($D637=$B$1892,AU$463,0)</f>
        <v>0</v>
      </c>
      <c r="AV637" s="226">
        <f>SUM(AN637:AU637)</f>
        <v>0</v>
      </c>
      <c r="AX637" s="216">
        <f>AF637*AM637</f>
        <v>0</v>
      </c>
      <c r="AZ637" s="158">
        <f>AX637+(AV637*AM637)</f>
        <v>0</v>
      </c>
      <c r="BB637" s="217">
        <f>(AF637*AM637)*0.01</f>
        <v>0</v>
      </c>
      <c r="BD637" s="218">
        <f>AZ637*0.01</f>
        <v>0</v>
      </c>
      <c r="BE637" s="402"/>
      <c r="BG637" s="217">
        <f>IF(AF637&gt;0,BG631+BB637,BG631)</f>
        <v>0</v>
      </c>
      <c r="BH637" s="218">
        <f>IF(AV637&gt;0,BH631+BD637,BH631)</f>
        <v>0</v>
      </c>
      <c r="BI637" s="217">
        <f>IF(BG637&gt;0.99,0.99,BG637)</f>
        <v>0</v>
      </c>
      <c r="BJ637" s="218">
        <f>IF(BH637&gt;0.99,0.99,BH637)</f>
        <v>0</v>
      </c>
    </row>
    <row r="638" spans="1:62" ht="15" thickTop="1" thickBot="1" x14ac:dyDescent="0.3">
      <c r="A638" s="202"/>
      <c r="B638" s="233"/>
      <c r="C638" s="233"/>
      <c r="D638" s="233"/>
      <c r="E638" s="203"/>
      <c r="F638" s="1"/>
    </row>
    <row r="639" spans="1:62" ht="14.4" thickBot="1" x14ac:dyDescent="0.3">
      <c r="A639" s="202"/>
      <c r="B639" s="203"/>
      <c r="C639" s="203"/>
      <c r="D639" s="203"/>
      <c r="E639" s="203"/>
      <c r="F639" s="1"/>
    </row>
    <row r="640" spans="1:62" ht="390" customHeight="1" thickTop="1" thickBot="1" x14ac:dyDescent="0.3">
      <c r="A640" s="202"/>
      <c r="B640" s="575"/>
      <c r="C640" s="576"/>
      <c r="D640" s="577"/>
      <c r="E640" s="203"/>
      <c r="F640" s="1"/>
    </row>
    <row r="641" spans="1:62" ht="14.4" thickTop="1" x14ac:dyDescent="0.25">
      <c r="A641" s="202"/>
      <c r="B641" s="203"/>
      <c r="C641" s="203"/>
      <c r="D641" s="203"/>
      <c r="E641" s="203"/>
      <c r="F641" s="1"/>
    </row>
    <row r="642" spans="1:62" ht="30" customHeight="1" x14ac:dyDescent="0.25">
      <c r="A642" s="188" t="s">
        <v>83</v>
      </c>
      <c r="B642" s="46" t="s">
        <v>427</v>
      </c>
      <c r="C642" s="46"/>
      <c r="D642" s="46"/>
      <c r="E642" s="475"/>
      <c r="F642" s="475" t="s">
        <v>949</v>
      </c>
    </row>
    <row r="643" spans="1:62" ht="19.95" customHeight="1" x14ac:dyDescent="0.25">
      <c r="A643" s="108" t="s">
        <v>428</v>
      </c>
      <c r="B643" s="109"/>
      <c r="C643" s="109"/>
      <c r="D643" s="109"/>
      <c r="E643" s="110"/>
      <c r="F643" s="108"/>
      <c r="AA643" s="190"/>
      <c r="AB643" s="190">
        <v>0</v>
      </c>
      <c r="AC643" s="191">
        <f>AD643/2</f>
        <v>0.25</v>
      </c>
      <c r="AD643" s="192">
        <f>AE643/2</f>
        <v>0.5</v>
      </c>
      <c r="AE643" s="193">
        <v>1</v>
      </c>
      <c r="AF643" s="120"/>
      <c r="AG643" s="120"/>
      <c r="AH643" s="120"/>
      <c r="AI643" s="120"/>
      <c r="AJ643" s="120"/>
      <c r="AK643" s="120"/>
      <c r="AL643" s="120"/>
      <c r="AM643" s="120"/>
      <c r="AN643" s="194">
        <f>AE643*-2</f>
        <v>-2</v>
      </c>
      <c r="AO643" s="190">
        <f>AE643*-1</f>
        <v>-1</v>
      </c>
      <c r="AP643" s="190">
        <f>AD643*-1</f>
        <v>-0.5</v>
      </c>
      <c r="AQ643" s="195">
        <f>AE643*-0.1</f>
        <v>-0.1</v>
      </c>
      <c r="AR643" s="195">
        <v>0</v>
      </c>
      <c r="AS643" s="195">
        <f>AE643*0.1</f>
        <v>0.1</v>
      </c>
      <c r="AT643" s="192">
        <f>AD643</f>
        <v>0.5</v>
      </c>
      <c r="AU643" s="193">
        <f>AE643</f>
        <v>1</v>
      </c>
      <c r="AV643" s="196"/>
      <c r="AW643" s="120"/>
      <c r="AX643" s="120"/>
      <c r="AY643" s="120"/>
      <c r="AZ643" s="120"/>
      <c r="BA643" s="120"/>
      <c r="BB643" s="197"/>
      <c r="BC643" s="120"/>
      <c r="BD643" s="120"/>
      <c r="BE643" s="120"/>
      <c r="BF643" s="120"/>
      <c r="BG643" s="229">
        <f>BG600</f>
        <v>0</v>
      </c>
    </row>
    <row r="644" spans="1:62" ht="15.6" x14ac:dyDescent="0.25">
      <c r="A644" s="200">
        <f>A633+1</f>
        <v>46</v>
      </c>
      <c r="B644" s="200" t="s">
        <v>429</v>
      </c>
      <c r="C644" s="200"/>
      <c r="D644" s="201" t="str">
        <f>IF(B646="","If claimed, explain in white box below.","")</f>
        <v>If claimed, explain in white box below.</v>
      </c>
      <c r="E644" s="203"/>
      <c r="F644" s="1"/>
    </row>
    <row r="645" spans="1:62" x14ac:dyDescent="0.25">
      <c r="A645" s="202"/>
      <c r="B645" s="567" t="s">
        <v>430</v>
      </c>
      <c r="C645" s="568"/>
      <c r="D645" s="569"/>
      <c r="E645" s="203"/>
      <c r="F645" s="1"/>
    </row>
    <row r="646" spans="1:62" ht="145.05000000000001" customHeight="1" thickBot="1" x14ac:dyDescent="0.3">
      <c r="A646" s="202"/>
      <c r="B646" s="570"/>
      <c r="C646" s="571"/>
      <c r="D646" s="572"/>
      <c r="E646" s="203"/>
      <c r="F646" s="1"/>
    </row>
    <row r="647" spans="1:62" ht="15" thickTop="1" thickBot="1" x14ac:dyDescent="0.3">
      <c r="A647" s="202"/>
      <c r="B647" s="204" t="str">
        <f>IF(B646="","","Claimed?")</f>
        <v/>
      </c>
      <c r="C647" s="204" t="str">
        <f>IF(B647="","","Verifiable?")</f>
        <v/>
      </c>
      <c r="D647" s="205" t="str">
        <f>IF(C648="","","Independent verification")</f>
        <v/>
      </c>
      <c r="E647" s="573">
        <f>BI648</f>
        <v>0</v>
      </c>
      <c r="F647" s="574"/>
      <c r="AA647" s="60"/>
      <c r="AB647" s="60" t="s">
        <v>314</v>
      </c>
      <c r="AF647" s="220"/>
      <c r="AG647" s="60" t="s">
        <v>315</v>
      </c>
      <c r="AM647" s="221"/>
      <c r="AN647" s="60" t="s">
        <v>316</v>
      </c>
      <c r="AV647" s="222"/>
      <c r="AX647" s="207" t="s">
        <v>317</v>
      </c>
      <c r="AZ647" s="208" t="s">
        <v>318</v>
      </c>
      <c r="BB647" s="209" t="s">
        <v>319</v>
      </c>
      <c r="BD647" s="208" t="s">
        <v>320</v>
      </c>
      <c r="BG647" s="210" t="s">
        <v>326</v>
      </c>
      <c r="BH647" s="211" t="s">
        <v>327</v>
      </c>
      <c r="BI647" s="210" t="s">
        <v>321</v>
      </c>
      <c r="BJ647" s="211" t="s">
        <v>322</v>
      </c>
    </row>
    <row r="648" spans="1:62" ht="15" thickTop="1" thickBot="1" x14ac:dyDescent="0.3">
      <c r="A648" s="202"/>
      <c r="B648" s="212"/>
      <c r="C648" s="213"/>
      <c r="D648" s="223"/>
      <c r="E648" s="573">
        <f>BJ648</f>
        <v>0</v>
      </c>
      <c r="F648" s="574"/>
      <c r="AA648" s="112"/>
      <c r="AB648" s="112">
        <f>IF(B648=$B$1871,$AB$463,0)</f>
        <v>0</v>
      </c>
      <c r="AC648" s="112">
        <f>IF(B648=$B$1872,$AC$463,0)</f>
        <v>0</v>
      </c>
      <c r="AD648" s="112">
        <f>IF(B648=$B$1873,$AD$463,0)</f>
        <v>0</v>
      </c>
      <c r="AE648" s="112">
        <f>IF(B648=$B$1874,$AE$463,0)</f>
        <v>0</v>
      </c>
      <c r="AF648" s="224">
        <f>SUM(AB648:AE648)</f>
        <v>0</v>
      </c>
      <c r="AG648" s="112">
        <f>IF(C648=$B$1877,$E$1877,0)</f>
        <v>0</v>
      </c>
      <c r="AH648" s="112">
        <f>IF(C648=$B$1878,$E$1878,0)</f>
        <v>0</v>
      </c>
      <c r="AI648" s="112">
        <f>IF(C648=$B$1879,$E$1879,0)</f>
        <v>0</v>
      </c>
      <c r="AJ648" s="112">
        <f>IF(C648=$B$1880,$E$1880,0)</f>
        <v>0</v>
      </c>
      <c r="AK648" s="112">
        <f>IF(C648=$B$1881,$E$1881,0)</f>
        <v>0</v>
      </c>
      <c r="AL648" s="112">
        <f>IF(C648=$B$1882,$E$1882,0)</f>
        <v>0</v>
      </c>
      <c r="AM648" s="225">
        <f>SUM(AG648:AL648)</f>
        <v>0</v>
      </c>
      <c r="AN648" s="112">
        <f>IF($D648=$B$1885,AN$463,0)</f>
        <v>0</v>
      </c>
      <c r="AO648" s="112">
        <f>IF($D648=$B$1886,AO$463,0)</f>
        <v>0</v>
      </c>
      <c r="AP648" s="112">
        <f>IF($D648=$B$1887,AP$463,0)</f>
        <v>0</v>
      </c>
      <c r="AQ648" s="112">
        <f>IF($D648=$B$1888,AQ$463,0)</f>
        <v>0</v>
      </c>
      <c r="AR648" s="112">
        <f>IF($D648=$B$1889,AR$463,0)</f>
        <v>0</v>
      </c>
      <c r="AS648" s="112">
        <f>IF($D648=$B$1890,AS$463,0)</f>
        <v>0</v>
      </c>
      <c r="AT648" s="112">
        <f>IF($D648=$B$1891,AT$463,0)</f>
        <v>0</v>
      </c>
      <c r="AU648" s="112">
        <f>IF($D648=$B$1892,AU$463,0)</f>
        <v>0</v>
      </c>
      <c r="AV648" s="226">
        <f>SUM(AN648:AU648)</f>
        <v>0</v>
      </c>
      <c r="AX648" s="216">
        <f>AF648*AM648</f>
        <v>0</v>
      </c>
      <c r="AZ648" s="158">
        <f>AX648+(AV648*AM648)</f>
        <v>0</v>
      </c>
      <c r="BB648" s="217">
        <f>(AF648*AM648)*0.01</f>
        <v>0</v>
      </c>
      <c r="BD648" s="218">
        <f>AZ648*0.01</f>
        <v>0</v>
      </c>
      <c r="BE648" s="402"/>
      <c r="BG648" s="217">
        <f>IF(AF648&gt;0,BG637+BB648,BG637)</f>
        <v>0</v>
      </c>
      <c r="BH648" s="218">
        <f>IF(AV648&gt;0,BH637+BD648,BH637)</f>
        <v>0</v>
      </c>
      <c r="BI648" s="217">
        <f>IF(BG648&gt;0.99,0.99,BG648)</f>
        <v>0</v>
      </c>
      <c r="BJ648" s="218">
        <f>IF(BH648&gt;0.99,0.99,BH648)</f>
        <v>0</v>
      </c>
    </row>
    <row r="649" spans="1:62" ht="16.2" thickTop="1" x14ac:dyDescent="0.25">
      <c r="A649" s="200">
        <f>A644+1</f>
        <v>47</v>
      </c>
      <c r="B649" s="200" t="s">
        <v>432</v>
      </c>
      <c r="C649" s="200"/>
      <c r="D649" s="201" t="str">
        <f>IF(B651="","If claimed, explain in white box below.","")</f>
        <v>If claimed, explain in white box below.</v>
      </c>
      <c r="E649" s="203"/>
      <c r="F649" s="1"/>
    </row>
    <row r="650" spans="1:62" x14ac:dyDescent="0.25">
      <c r="A650" s="202"/>
      <c r="B650" s="567" t="s">
        <v>433</v>
      </c>
      <c r="C650" s="568"/>
      <c r="D650" s="569"/>
      <c r="E650" s="203"/>
      <c r="F650" s="1"/>
    </row>
    <row r="651" spans="1:62" ht="145.05000000000001" customHeight="1" thickBot="1" x14ac:dyDescent="0.3">
      <c r="A651" s="202"/>
      <c r="B651" s="570"/>
      <c r="C651" s="571"/>
      <c r="D651" s="572"/>
      <c r="E651" s="203"/>
      <c r="F651" s="1"/>
    </row>
    <row r="652" spans="1:62" ht="15" thickTop="1" thickBot="1" x14ac:dyDescent="0.3">
      <c r="A652" s="202"/>
      <c r="B652" s="204" t="str">
        <f>IF(B651="","","Claimed?")</f>
        <v/>
      </c>
      <c r="C652" s="204" t="str">
        <f>IF(B652="","","Verifiable?")</f>
        <v/>
      </c>
      <c r="D652" s="205" t="str">
        <f>IF(C653="","","Independent verification")</f>
        <v/>
      </c>
      <c r="E652" s="573">
        <f>BI653</f>
        <v>0</v>
      </c>
      <c r="F652" s="574"/>
      <c r="AA652" s="60"/>
      <c r="AB652" s="60" t="s">
        <v>314</v>
      </c>
      <c r="AF652" s="220"/>
      <c r="AG652" s="60" t="s">
        <v>315</v>
      </c>
      <c r="AM652" s="221"/>
      <c r="AN652" s="60" t="s">
        <v>316</v>
      </c>
      <c r="AV652" s="222"/>
      <c r="AX652" s="207" t="s">
        <v>317</v>
      </c>
      <c r="AZ652" s="208" t="s">
        <v>318</v>
      </c>
      <c r="BB652" s="209" t="s">
        <v>319</v>
      </c>
      <c r="BD652" s="208" t="s">
        <v>320</v>
      </c>
      <c r="BG652" s="210" t="s">
        <v>326</v>
      </c>
      <c r="BH652" s="211" t="s">
        <v>327</v>
      </c>
      <c r="BI652" s="210" t="s">
        <v>321</v>
      </c>
      <c r="BJ652" s="211" t="s">
        <v>322</v>
      </c>
    </row>
    <row r="653" spans="1:62" ht="15" thickTop="1" thickBot="1" x14ac:dyDescent="0.3">
      <c r="A653" s="202"/>
      <c r="B653" s="212"/>
      <c r="C653" s="213"/>
      <c r="D653" s="223"/>
      <c r="E653" s="573">
        <f>BJ653</f>
        <v>0</v>
      </c>
      <c r="F653" s="574"/>
      <c r="AA653" s="112"/>
      <c r="AB653" s="112">
        <f>IF(B653=$B$1871,$AB$463,0)</f>
        <v>0</v>
      </c>
      <c r="AC653" s="112">
        <f>IF(B653=$B$1872,$AC$463,0)</f>
        <v>0</v>
      </c>
      <c r="AD653" s="112">
        <f>IF(B653=$B$1873,$AD$463,0)</f>
        <v>0</v>
      </c>
      <c r="AE653" s="112">
        <f>IF(B653=$B$1874,$AE$463,0)</f>
        <v>0</v>
      </c>
      <c r="AF653" s="224">
        <f>SUM(AB653:AE653)</f>
        <v>0</v>
      </c>
      <c r="AG653" s="112">
        <f>IF(C653=$B$1877,$E$1877,0)</f>
        <v>0</v>
      </c>
      <c r="AH653" s="112">
        <f>IF(C653=$B$1878,$E$1878,0)</f>
        <v>0</v>
      </c>
      <c r="AI653" s="112">
        <f>IF(C653=$B$1879,$E$1879,0)</f>
        <v>0</v>
      </c>
      <c r="AJ653" s="112">
        <f>IF(C653=$B$1880,$E$1880,0)</f>
        <v>0</v>
      </c>
      <c r="AK653" s="112">
        <f>IF(C653=$B$1881,$E$1881,0)</f>
        <v>0</v>
      </c>
      <c r="AL653" s="112">
        <f>IF(C653=$B$1882,$E$1882,0)</f>
        <v>0</v>
      </c>
      <c r="AM653" s="225">
        <f>SUM(AG653:AL653)</f>
        <v>0</v>
      </c>
      <c r="AN653" s="112">
        <f>IF($D653=$B$1885,AN$463,0)</f>
        <v>0</v>
      </c>
      <c r="AO653" s="112">
        <f>IF($D653=$B$1886,AO$463,0)</f>
        <v>0</v>
      </c>
      <c r="AP653" s="112">
        <f>IF($D653=$B$1887,AP$463,0)</f>
        <v>0</v>
      </c>
      <c r="AQ653" s="112">
        <f>IF($D653=$B$1888,AQ$463,0)</f>
        <v>0</v>
      </c>
      <c r="AR653" s="112">
        <f>IF($D653=$B$1889,AR$463,0)</f>
        <v>0</v>
      </c>
      <c r="AS653" s="112">
        <f>IF($D653=$B$1890,AS$463,0)</f>
        <v>0</v>
      </c>
      <c r="AT653" s="112">
        <f>IF($D653=$B$1891,AT$463,0)</f>
        <v>0</v>
      </c>
      <c r="AU653" s="112">
        <f>IF($D653=$B$1892,AU$463,0)</f>
        <v>0</v>
      </c>
      <c r="AV653" s="226">
        <f>SUM(AN653:AU653)</f>
        <v>0</v>
      </c>
      <c r="AX653" s="216">
        <f>AF653*AM653</f>
        <v>0</v>
      </c>
      <c r="AZ653" s="158">
        <f>AX653+(AV653*AM653)</f>
        <v>0</v>
      </c>
      <c r="BB653" s="217">
        <f>(AF653*AM653)*0.01</f>
        <v>0</v>
      </c>
      <c r="BD653" s="218">
        <f>AZ653*0.01</f>
        <v>0</v>
      </c>
      <c r="BE653" s="402"/>
      <c r="BG653" s="217">
        <f>IF(AF653&gt;0,BG648+BB653,BG648)</f>
        <v>0</v>
      </c>
      <c r="BH653" s="218">
        <f>IF(AV653&gt;0,BH648+BD653,BH648)</f>
        <v>0</v>
      </c>
      <c r="BI653" s="217">
        <f>IF(BG653&gt;0.99,0.99,BG653)</f>
        <v>0</v>
      </c>
      <c r="BJ653" s="218">
        <f>IF(BH653&gt;0.99,0.99,BH653)</f>
        <v>0</v>
      </c>
    </row>
    <row r="654" spans="1:62" ht="16.2" thickTop="1" x14ac:dyDescent="0.25">
      <c r="A654" s="200">
        <f>A649+1</f>
        <v>48</v>
      </c>
      <c r="B654" s="200" t="s">
        <v>435</v>
      </c>
      <c r="C654" s="200"/>
      <c r="D654" s="201" t="str">
        <f>IF(B656="","If claimed, explain in white box below.","")</f>
        <v>If claimed, explain in white box below.</v>
      </c>
      <c r="E654" s="203"/>
      <c r="F654" s="1"/>
    </row>
    <row r="655" spans="1:62" x14ac:dyDescent="0.25">
      <c r="A655" s="202"/>
      <c r="B655" s="567" t="s">
        <v>436</v>
      </c>
      <c r="C655" s="568"/>
      <c r="D655" s="569"/>
      <c r="E655" s="203"/>
      <c r="F655" s="1"/>
    </row>
    <row r="656" spans="1:62" ht="145.05000000000001" customHeight="1" thickBot="1" x14ac:dyDescent="0.3">
      <c r="A656" s="202"/>
      <c r="B656" s="570"/>
      <c r="C656" s="571"/>
      <c r="D656" s="572"/>
      <c r="E656" s="203"/>
      <c r="F656" s="1"/>
    </row>
    <row r="657" spans="1:62" ht="15" thickTop="1" thickBot="1" x14ac:dyDescent="0.3">
      <c r="A657" s="202"/>
      <c r="B657" s="204" t="str">
        <f>IF(B656="","","Claimed?")</f>
        <v/>
      </c>
      <c r="C657" s="204" t="str">
        <f>IF(B657="","","Verifiable?")</f>
        <v/>
      </c>
      <c r="D657" s="205" t="str">
        <f>IF(C658="","","Independent verification")</f>
        <v/>
      </c>
      <c r="E657" s="573">
        <f>BI658</f>
        <v>0</v>
      </c>
      <c r="F657" s="574"/>
      <c r="AA657" s="60"/>
      <c r="AB657" s="60" t="s">
        <v>314</v>
      </c>
      <c r="AF657" s="220"/>
      <c r="AG657" s="60" t="s">
        <v>315</v>
      </c>
      <c r="AM657" s="221"/>
      <c r="AN657" s="60" t="s">
        <v>316</v>
      </c>
      <c r="AV657" s="222"/>
      <c r="AX657" s="207" t="s">
        <v>317</v>
      </c>
      <c r="AZ657" s="208" t="s">
        <v>318</v>
      </c>
      <c r="BB657" s="209" t="s">
        <v>319</v>
      </c>
      <c r="BD657" s="208" t="s">
        <v>320</v>
      </c>
      <c r="BG657" s="210" t="s">
        <v>326</v>
      </c>
      <c r="BH657" s="211" t="s">
        <v>327</v>
      </c>
      <c r="BI657" s="210" t="s">
        <v>321</v>
      </c>
      <c r="BJ657" s="211" t="s">
        <v>322</v>
      </c>
    </row>
    <row r="658" spans="1:62" ht="15" thickTop="1" thickBot="1" x14ac:dyDescent="0.3">
      <c r="A658" s="202"/>
      <c r="B658" s="212"/>
      <c r="C658" s="213"/>
      <c r="D658" s="223"/>
      <c r="E658" s="573">
        <f>BJ658</f>
        <v>0</v>
      </c>
      <c r="F658" s="574"/>
      <c r="AA658" s="112"/>
      <c r="AB658" s="112">
        <f>IF(B658=$B$1871,$AB$463,0)</f>
        <v>0</v>
      </c>
      <c r="AC658" s="112">
        <f>IF(B658=$B$1872,$AC$463,0)</f>
        <v>0</v>
      </c>
      <c r="AD658" s="112">
        <f>IF(B658=$B$1873,$AD$463,0)</f>
        <v>0</v>
      </c>
      <c r="AE658" s="112">
        <f>IF(B658=$B$1874,$AE$463,0)</f>
        <v>0</v>
      </c>
      <c r="AF658" s="224">
        <f>SUM(AB658:AE658)</f>
        <v>0</v>
      </c>
      <c r="AG658" s="112">
        <f>IF(C658=$B$1877,$E$1877,0)</f>
        <v>0</v>
      </c>
      <c r="AH658" s="112">
        <f>IF(C658=$B$1878,$E$1878,0)</f>
        <v>0</v>
      </c>
      <c r="AI658" s="112">
        <f>IF(C658=$B$1879,$E$1879,0)</f>
        <v>0</v>
      </c>
      <c r="AJ658" s="112">
        <f>IF(C658=$B$1880,$E$1880,0)</f>
        <v>0</v>
      </c>
      <c r="AK658" s="112">
        <f>IF(C658=$B$1881,$E$1881,0)</f>
        <v>0</v>
      </c>
      <c r="AL658" s="112">
        <f>IF(C658=$B$1882,$E$1882,0)</f>
        <v>0</v>
      </c>
      <c r="AM658" s="225">
        <f>SUM(AG658:AL658)</f>
        <v>0</v>
      </c>
      <c r="AN658" s="112">
        <f>IF($D658=$B$1885,AN$463,0)</f>
        <v>0</v>
      </c>
      <c r="AO658" s="112">
        <f>IF($D658=$B$1886,AO$463,0)</f>
        <v>0</v>
      </c>
      <c r="AP658" s="112">
        <f>IF($D658=$B$1887,AP$463,0)</f>
        <v>0</v>
      </c>
      <c r="AQ658" s="112">
        <f>IF($D658=$B$1888,AQ$463,0)</f>
        <v>0</v>
      </c>
      <c r="AR658" s="112">
        <f>IF($D658=$B$1889,AR$463,0)</f>
        <v>0</v>
      </c>
      <c r="AS658" s="112">
        <f>IF($D658=$B$1890,AS$463,0)</f>
        <v>0</v>
      </c>
      <c r="AT658" s="112">
        <f>IF($D658=$B$1891,AT$463,0)</f>
        <v>0</v>
      </c>
      <c r="AU658" s="112">
        <f>IF($D658=$B$1892,AU$463,0)</f>
        <v>0</v>
      </c>
      <c r="AV658" s="226">
        <f>SUM(AN658:AU658)</f>
        <v>0</v>
      </c>
      <c r="AX658" s="216">
        <f>AF658*AM658</f>
        <v>0</v>
      </c>
      <c r="AZ658" s="158">
        <f>AX658+(AV658*AM658)</f>
        <v>0</v>
      </c>
      <c r="BB658" s="217">
        <f>(AF658*AM658)*0.01</f>
        <v>0</v>
      </c>
      <c r="BD658" s="218">
        <f>AZ658*0.01</f>
        <v>0</v>
      </c>
      <c r="BE658" s="402"/>
      <c r="BG658" s="217">
        <f>IF(AF658&gt;0,BG653+BB658,BG653)</f>
        <v>0</v>
      </c>
      <c r="BH658" s="218">
        <f>IF(AV658&gt;0,BH653+BD658,BH653)</f>
        <v>0</v>
      </c>
      <c r="BI658" s="217">
        <f>IF(BG658&gt;0.99,0.99,BG658)</f>
        <v>0</v>
      </c>
      <c r="BJ658" s="218">
        <f>IF(BH658&gt;0.99,0.99,BH658)</f>
        <v>0</v>
      </c>
    </row>
    <row r="659" spans="1:62" ht="4.95" customHeight="1" thickTop="1" x14ac:dyDescent="0.25">
      <c r="A659" s="202"/>
      <c r="B659" s="202"/>
      <c r="C659" s="202"/>
      <c r="D659" s="202"/>
      <c r="E659" s="202"/>
      <c r="F659" s="1"/>
      <c r="AA659" s="112"/>
      <c r="AB659" s="112"/>
      <c r="AC659" s="112"/>
      <c r="AD659" s="112"/>
      <c r="AE659" s="112"/>
      <c r="AF659" s="224"/>
      <c r="AG659" s="112"/>
      <c r="AH659" s="112"/>
      <c r="AI659" s="112"/>
      <c r="AJ659" s="112"/>
      <c r="AK659" s="112"/>
      <c r="AL659" s="112"/>
      <c r="AM659" s="225"/>
      <c r="AN659" s="112"/>
      <c r="AO659" s="112"/>
      <c r="AP659" s="112"/>
      <c r="AQ659" s="112"/>
      <c r="AR659" s="112"/>
      <c r="AS659" s="112"/>
      <c r="AT659" s="112"/>
      <c r="AU659" s="112"/>
      <c r="AV659" s="226"/>
      <c r="AX659" s="216"/>
      <c r="AZ659" s="158"/>
      <c r="BB659" s="217"/>
      <c r="BD659" s="218"/>
      <c r="BE659" s="402"/>
      <c r="BG659" s="217"/>
      <c r="BH659" s="218"/>
      <c r="BI659" s="217"/>
      <c r="BJ659" s="218"/>
    </row>
    <row r="660" spans="1:62" ht="15.6" x14ac:dyDescent="0.25">
      <c r="A660" s="200">
        <f>A654+1</f>
        <v>49</v>
      </c>
      <c r="B660" s="200" t="s">
        <v>437</v>
      </c>
      <c r="C660" s="200"/>
      <c r="D660" s="201" t="str">
        <f>IF(B662="","If claimed, explain in white box below.","")</f>
        <v>If claimed, explain in white box below.</v>
      </c>
      <c r="E660" s="203"/>
      <c r="F660" s="1"/>
    </row>
    <row r="661" spans="1:62" x14ac:dyDescent="0.25">
      <c r="A661" s="202"/>
      <c r="B661" s="567" t="s">
        <v>438</v>
      </c>
      <c r="C661" s="568"/>
      <c r="D661" s="569"/>
      <c r="E661" s="203"/>
      <c r="F661" s="1"/>
    </row>
    <row r="662" spans="1:62" ht="100.05" customHeight="1" thickBot="1" x14ac:dyDescent="0.3">
      <c r="A662" s="202"/>
      <c r="B662" s="570"/>
      <c r="C662" s="571"/>
      <c r="D662" s="572"/>
      <c r="E662" s="203"/>
      <c r="F662" s="1"/>
    </row>
    <row r="663" spans="1:62" ht="15" thickTop="1" thickBot="1" x14ac:dyDescent="0.3">
      <c r="A663" s="202"/>
      <c r="B663" s="204" t="str">
        <f>IF(B662="","","Claimed?")</f>
        <v/>
      </c>
      <c r="C663" s="204" t="str">
        <f>IF(B663="","","Verifiable?")</f>
        <v/>
      </c>
      <c r="D663" s="205" t="str">
        <f>IF(C664="","","Independent verification")</f>
        <v/>
      </c>
      <c r="E663" s="573">
        <f>BI664</f>
        <v>0</v>
      </c>
      <c r="F663" s="574"/>
      <c r="AA663" s="60"/>
      <c r="AB663" s="60" t="s">
        <v>314</v>
      </c>
      <c r="AF663" s="220"/>
      <c r="AG663" s="60" t="s">
        <v>315</v>
      </c>
      <c r="AM663" s="221"/>
      <c r="AN663" s="60" t="s">
        <v>316</v>
      </c>
      <c r="AV663" s="222"/>
      <c r="AX663" s="207" t="s">
        <v>317</v>
      </c>
      <c r="AZ663" s="208" t="s">
        <v>318</v>
      </c>
      <c r="BB663" s="209" t="s">
        <v>319</v>
      </c>
      <c r="BD663" s="208" t="s">
        <v>320</v>
      </c>
      <c r="BG663" s="210" t="s">
        <v>326</v>
      </c>
      <c r="BH663" s="211" t="s">
        <v>327</v>
      </c>
      <c r="BI663" s="210" t="s">
        <v>321</v>
      </c>
      <c r="BJ663" s="211" t="s">
        <v>322</v>
      </c>
    </row>
    <row r="664" spans="1:62" ht="15" thickTop="1" thickBot="1" x14ac:dyDescent="0.3">
      <c r="A664" s="202"/>
      <c r="B664" s="212"/>
      <c r="C664" s="213"/>
      <c r="D664" s="223"/>
      <c r="E664" s="573">
        <f>BJ664</f>
        <v>0</v>
      </c>
      <c r="F664" s="574"/>
      <c r="AA664" s="112"/>
      <c r="AB664" s="112">
        <f>IF(B664=$B$1871,$AB$463,0)</f>
        <v>0</v>
      </c>
      <c r="AC664" s="112">
        <f>IF(B664=$B$1872,$AC$463,0)</f>
        <v>0</v>
      </c>
      <c r="AD664" s="112">
        <f>IF(B664=$B$1873,$AD$463,0)</f>
        <v>0</v>
      </c>
      <c r="AE664" s="112">
        <f>IF(B664=$B$1874,$AE$463,0)</f>
        <v>0</v>
      </c>
      <c r="AF664" s="224">
        <f>SUM(AB664:AE664)</f>
        <v>0</v>
      </c>
      <c r="AG664" s="112">
        <f>IF(C664=$B$1877,$E$1877,0)</f>
        <v>0</v>
      </c>
      <c r="AH664" s="112">
        <f>IF(C664=$B$1878,$E$1878,0)</f>
        <v>0</v>
      </c>
      <c r="AI664" s="112">
        <f>IF(C664=$B$1879,$E$1879,0)</f>
        <v>0</v>
      </c>
      <c r="AJ664" s="112">
        <f>IF(C664=$B$1880,$E$1880,0)</f>
        <v>0</v>
      </c>
      <c r="AK664" s="112">
        <f>IF(C664=$B$1881,$E$1881,0)</f>
        <v>0</v>
      </c>
      <c r="AL664" s="112">
        <f>IF(C664=$B$1882,$E$1882,0)</f>
        <v>0</v>
      </c>
      <c r="AM664" s="225">
        <f>SUM(AG664:AL664)</f>
        <v>0</v>
      </c>
      <c r="AN664" s="112">
        <f>IF($D664=$B$1885,AN$463,0)</f>
        <v>0</v>
      </c>
      <c r="AO664" s="112">
        <f>IF($D664=$B$1886,AO$463,0)</f>
        <v>0</v>
      </c>
      <c r="AP664" s="112">
        <f>IF($D664=$B$1887,AP$463,0)</f>
        <v>0</v>
      </c>
      <c r="AQ664" s="112">
        <f>IF($D664=$B$1888,AQ$463,0)</f>
        <v>0</v>
      </c>
      <c r="AR664" s="112">
        <f>IF($D664=$B$1889,AR$463,0)</f>
        <v>0</v>
      </c>
      <c r="AS664" s="112">
        <f>IF($D664=$B$1890,AS$463,0)</f>
        <v>0</v>
      </c>
      <c r="AT664" s="112">
        <f>IF($D664=$B$1891,AT$463,0)</f>
        <v>0</v>
      </c>
      <c r="AU664" s="112">
        <f>IF($D664=$B$1892,AU$463,0)</f>
        <v>0</v>
      </c>
      <c r="AV664" s="226">
        <f>SUM(AN664:AU664)</f>
        <v>0</v>
      </c>
      <c r="AX664" s="216">
        <f>AF664*AM664</f>
        <v>0</v>
      </c>
      <c r="AZ664" s="158">
        <f>AX664+(AV664*AM664)</f>
        <v>0</v>
      </c>
      <c r="BB664" s="217">
        <f>(AF664*AM664)*0.01</f>
        <v>0</v>
      </c>
      <c r="BD664" s="218">
        <f>AZ664*0.01</f>
        <v>0</v>
      </c>
      <c r="BE664" s="402"/>
      <c r="BG664" s="217">
        <f>IF(AF664&gt;0,BG658+BB664,BG658)</f>
        <v>0</v>
      </c>
      <c r="BH664" s="218">
        <f>IF(AV664&gt;0,BH658+BD664,BH658)</f>
        <v>0</v>
      </c>
      <c r="BI664" s="217">
        <f>IF(BG664&gt;0.99,0.99,BG664)</f>
        <v>0</v>
      </c>
      <c r="BJ664" s="218">
        <f>IF(BH664&gt;0.99,0.99,BH664)</f>
        <v>0</v>
      </c>
    </row>
    <row r="665" spans="1:62" ht="16.2" thickTop="1" x14ac:dyDescent="0.25">
      <c r="A665" s="200">
        <f>A660+1</f>
        <v>50</v>
      </c>
      <c r="B665" s="200" t="s">
        <v>439</v>
      </c>
      <c r="C665" s="200"/>
      <c r="D665" s="201" t="str">
        <f>IF(B667="","If claimed, explain in white box below.","")</f>
        <v>If claimed, explain in white box below.</v>
      </c>
      <c r="E665" s="203"/>
      <c r="F665" s="1"/>
    </row>
    <row r="666" spans="1:62" x14ac:dyDescent="0.25">
      <c r="A666" s="202"/>
      <c r="B666" s="567" t="s">
        <v>440</v>
      </c>
      <c r="C666" s="568"/>
      <c r="D666" s="569"/>
      <c r="E666" s="203"/>
      <c r="F666" s="1"/>
    </row>
    <row r="667" spans="1:62" ht="100.05" customHeight="1" thickBot="1" x14ac:dyDescent="0.3">
      <c r="A667" s="202"/>
      <c r="B667" s="570"/>
      <c r="C667" s="571"/>
      <c r="D667" s="572"/>
      <c r="E667" s="203"/>
      <c r="F667" s="1"/>
    </row>
    <row r="668" spans="1:62" ht="15" thickTop="1" thickBot="1" x14ac:dyDescent="0.3">
      <c r="A668" s="202"/>
      <c r="B668" s="204" t="str">
        <f>IF(B667="","","Claimed?")</f>
        <v/>
      </c>
      <c r="C668" s="204" t="str">
        <f>IF(B668="","","Verifiable?")</f>
        <v/>
      </c>
      <c r="D668" s="205" t="str">
        <f>IF(C669="","","Independent verification")</f>
        <v/>
      </c>
      <c r="E668" s="573">
        <f>BI669</f>
        <v>0</v>
      </c>
      <c r="F668" s="574"/>
      <c r="AA668" s="60"/>
      <c r="AB668" s="60" t="s">
        <v>314</v>
      </c>
      <c r="AF668" s="220"/>
      <c r="AG668" s="60" t="s">
        <v>315</v>
      </c>
      <c r="AM668" s="221"/>
      <c r="AN668" s="60" t="s">
        <v>316</v>
      </c>
      <c r="AV668" s="222"/>
      <c r="AX668" s="207" t="s">
        <v>317</v>
      </c>
      <c r="AZ668" s="208" t="s">
        <v>318</v>
      </c>
      <c r="BB668" s="209" t="s">
        <v>319</v>
      </c>
      <c r="BD668" s="208" t="s">
        <v>320</v>
      </c>
      <c r="BG668" s="210" t="s">
        <v>326</v>
      </c>
      <c r="BH668" s="211" t="s">
        <v>327</v>
      </c>
      <c r="BI668" s="210" t="s">
        <v>321</v>
      </c>
      <c r="BJ668" s="211" t="s">
        <v>322</v>
      </c>
    </row>
    <row r="669" spans="1:62" ht="15" thickTop="1" thickBot="1" x14ac:dyDescent="0.3">
      <c r="A669" s="202"/>
      <c r="B669" s="212"/>
      <c r="C669" s="213"/>
      <c r="D669" s="223"/>
      <c r="E669" s="573">
        <f>BJ669</f>
        <v>0</v>
      </c>
      <c r="F669" s="574"/>
      <c r="AA669" s="112"/>
      <c r="AB669" s="112">
        <f>IF(B669=$B$1871,$AB$463,0)</f>
        <v>0</v>
      </c>
      <c r="AC669" s="112">
        <f>IF(B669=$B$1872,$AC$463,0)</f>
        <v>0</v>
      </c>
      <c r="AD669" s="112">
        <f>IF(B669=$B$1873,$AD$463,0)</f>
        <v>0</v>
      </c>
      <c r="AE669" s="112">
        <f>IF(B669=$B$1874,$AE$463,0)</f>
        <v>0</v>
      </c>
      <c r="AF669" s="224">
        <f>SUM(AB669:AE669)</f>
        <v>0</v>
      </c>
      <c r="AG669" s="112">
        <f>IF(C669=$B$1877,$E$1877,0)</f>
        <v>0</v>
      </c>
      <c r="AH669" s="112">
        <f>IF(C669=$B$1878,$E$1878,0)</f>
        <v>0</v>
      </c>
      <c r="AI669" s="112">
        <f>IF(C669=$B$1879,$E$1879,0)</f>
        <v>0</v>
      </c>
      <c r="AJ669" s="112">
        <f>IF(C669=$B$1880,$E$1880,0)</f>
        <v>0</v>
      </c>
      <c r="AK669" s="112">
        <f>IF(C669=$B$1881,$E$1881,0)</f>
        <v>0</v>
      </c>
      <c r="AL669" s="112">
        <f>IF(C669=$B$1882,$E$1882,0)</f>
        <v>0</v>
      </c>
      <c r="AM669" s="225">
        <f>SUM(AG669:AL669)</f>
        <v>0</v>
      </c>
      <c r="AN669" s="112">
        <f>IF($D669=$B$1885,AN$463,0)</f>
        <v>0</v>
      </c>
      <c r="AO669" s="112">
        <f>IF($D669=$B$1886,AO$463,0)</f>
        <v>0</v>
      </c>
      <c r="AP669" s="112">
        <f>IF($D669=$B$1887,AP$463,0)</f>
        <v>0</v>
      </c>
      <c r="AQ669" s="112">
        <f>IF($D669=$B$1888,AQ$463,0)</f>
        <v>0</v>
      </c>
      <c r="AR669" s="112">
        <f>IF($D669=$B$1889,AR$463,0)</f>
        <v>0</v>
      </c>
      <c r="AS669" s="112">
        <f>IF($D669=$B$1890,AS$463,0)</f>
        <v>0</v>
      </c>
      <c r="AT669" s="112">
        <f>IF($D669=$B$1891,AT$463,0)</f>
        <v>0</v>
      </c>
      <c r="AU669" s="112">
        <f>IF($D669=$B$1892,AU$463,0)</f>
        <v>0</v>
      </c>
      <c r="AV669" s="226">
        <f>SUM(AN669:AU669)</f>
        <v>0</v>
      </c>
      <c r="AX669" s="216">
        <f>AF669*AM669</f>
        <v>0</v>
      </c>
      <c r="AZ669" s="158">
        <f>AX669+(AV669*AM669)</f>
        <v>0</v>
      </c>
      <c r="BB669" s="217">
        <f>(AF669*AM669)*0.01</f>
        <v>0</v>
      </c>
      <c r="BD669" s="218">
        <f>AZ669*0.01</f>
        <v>0</v>
      </c>
      <c r="BE669" s="402"/>
      <c r="BG669" s="217">
        <f>IF(AF669&gt;0,BG664+BB669,BG664)</f>
        <v>0</v>
      </c>
      <c r="BH669" s="218">
        <f>IF(AV669&gt;0,BH664+BD669,BH664)</f>
        <v>0</v>
      </c>
      <c r="BI669" s="217">
        <f>IF(BG669&gt;0.99,0.99,BG669)</f>
        <v>0</v>
      </c>
      <c r="BJ669" s="218">
        <f>IF(BH669&gt;0.99,0.99,BH669)</f>
        <v>0</v>
      </c>
    </row>
    <row r="670" spans="1:62" ht="16.2" thickTop="1" x14ac:dyDescent="0.25">
      <c r="A670" s="200">
        <f>A665+1</f>
        <v>51</v>
      </c>
      <c r="B670" s="200" t="s">
        <v>441</v>
      </c>
      <c r="C670" s="200"/>
      <c r="D670" s="201" t="str">
        <f>IF(B672="","If claimed, explain in white box below.","")</f>
        <v>If claimed, explain in white box below.</v>
      </c>
      <c r="E670" s="203"/>
      <c r="F670" s="1"/>
    </row>
    <row r="671" spans="1:62" x14ac:dyDescent="0.25">
      <c r="A671" s="202"/>
      <c r="B671" s="567" t="s">
        <v>442</v>
      </c>
      <c r="C671" s="568"/>
      <c r="D671" s="569"/>
      <c r="E671" s="203"/>
      <c r="F671" s="1"/>
    </row>
    <row r="672" spans="1:62" ht="100.05" customHeight="1" thickBot="1" x14ac:dyDescent="0.3">
      <c r="A672" s="202"/>
      <c r="B672" s="570"/>
      <c r="C672" s="571"/>
      <c r="D672" s="572"/>
      <c r="E672" s="203"/>
      <c r="F672" s="1"/>
    </row>
    <row r="673" spans="1:62" ht="15" thickTop="1" thickBot="1" x14ac:dyDescent="0.3">
      <c r="A673" s="202"/>
      <c r="B673" s="204" t="str">
        <f>IF(B672="","","Claimed?")</f>
        <v/>
      </c>
      <c r="C673" s="204" t="str">
        <f>IF(B673="","","Verifiable?")</f>
        <v/>
      </c>
      <c r="D673" s="205" t="str">
        <f>IF(C674="","","Independent verification")</f>
        <v/>
      </c>
      <c r="E673" s="573">
        <f>BI674</f>
        <v>0</v>
      </c>
      <c r="F673" s="574"/>
      <c r="AA673" s="60"/>
      <c r="AB673" s="60" t="s">
        <v>314</v>
      </c>
      <c r="AF673" s="220"/>
      <c r="AG673" s="60" t="s">
        <v>315</v>
      </c>
      <c r="AM673" s="221"/>
      <c r="AN673" s="60" t="s">
        <v>316</v>
      </c>
      <c r="AV673" s="222"/>
      <c r="AX673" s="207" t="s">
        <v>317</v>
      </c>
      <c r="AZ673" s="208" t="s">
        <v>318</v>
      </c>
      <c r="BB673" s="209" t="s">
        <v>319</v>
      </c>
      <c r="BD673" s="208" t="s">
        <v>320</v>
      </c>
      <c r="BG673" s="210" t="s">
        <v>326</v>
      </c>
      <c r="BH673" s="211" t="s">
        <v>327</v>
      </c>
      <c r="BI673" s="210" t="s">
        <v>321</v>
      </c>
      <c r="BJ673" s="211" t="s">
        <v>322</v>
      </c>
    </row>
    <row r="674" spans="1:62" ht="15" thickTop="1" thickBot="1" x14ac:dyDescent="0.3">
      <c r="A674" s="202"/>
      <c r="B674" s="212"/>
      <c r="C674" s="213"/>
      <c r="D674" s="223"/>
      <c r="E674" s="573">
        <f>BJ674</f>
        <v>0</v>
      </c>
      <c r="F674" s="574"/>
      <c r="AA674" s="112"/>
      <c r="AB674" s="112">
        <f>IF(B674=$B$1871,$AB$463,0)</f>
        <v>0</v>
      </c>
      <c r="AC674" s="112">
        <f>IF(B674=$B$1872,$AC$463,0)</f>
        <v>0</v>
      </c>
      <c r="AD674" s="112">
        <f>IF(B674=$B$1873,$AD$463,0)</f>
        <v>0</v>
      </c>
      <c r="AE674" s="112">
        <f>IF(B674=$B$1874,$AE$463,0)</f>
        <v>0</v>
      </c>
      <c r="AF674" s="224">
        <f>SUM(AB674:AE674)</f>
        <v>0</v>
      </c>
      <c r="AG674" s="112">
        <f>IF(C674=$B$1877,$E$1877,0)</f>
        <v>0</v>
      </c>
      <c r="AH674" s="112">
        <f>IF(C674=$B$1878,$E$1878,0)</f>
        <v>0</v>
      </c>
      <c r="AI674" s="112">
        <f>IF(C674=$B$1879,$E$1879,0)</f>
        <v>0</v>
      </c>
      <c r="AJ674" s="112">
        <f>IF(C674=$B$1880,$E$1880,0)</f>
        <v>0</v>
      </c>
      <c r="AK674" s="112">
        <f>IF(C674=$B$1881,$E$1881,0)</f>
        <v>0</v>
      </c>
      <c r="AL674" s="112">
        <f>IF(C674=$B$1882,$E$1882,0)</f>
        <v>0</v>
      </c>
      <c r="AM674" s="225">
        <f>SUM(AG674:AL674)</f>
        <v>0</v>
      </c>
      <c r="AN674" s="112">
        <f>IF($D674=$B$1885,AN$463,0)</f>
        <v>0</v>
      </c>
      <c r="AO674" s="112">
        <f>IF($D674=$B$1886,AO$463,0)</f>
        <v>0</v>
      </c>
      <c r="AP674" s="112">
        <f>IF($D674=$B$1887,AP$463,0)</f>
        <v>0</v>
      </c>
      <c r="AQ674" s="112">
        <f>IF($D674=$B$1888,AQ$463,0)</f>
        <v>0</v>
      </c>
      <c r="AR674" s="112">
        <f>IF($D674=$B$1889,AR$463,0)</f>
        <v>0</v>
      </c>
      <c r="AS674" s="112">
        <f>IF($D674=$B$1890,AS$463,0)</f>
        <v>0</v>
      </c>
      <c r="AT674" s="112">
        <f>IF($D674=$B$1891,AT$463,0)</f>
        <v>0</v>
      </c>
      <c r="AU674" s="112">
        <f>IF($D674=$B$1892,AU$463,0)</f>
        <v>0</v>
      </c>
      <c r="AV674" s="226">
        <f>SUM(AN674:AU674)</f>
        <v>0</v>
      </c>
      <c r="AX674" s="216">
        <f>AF674*AM674</f>
        <v>0</v>
      </c>
      <c r="AZ674" s="158">
        <f>AX674+(AV674*AM674)</f>
        <v>0</v>
      </c>
      <c r="BB674" s="217">
        <f>(AF674*AM674)*0.01</f>
        <v>0</v>
      </c>
      <c r="BD674" s="218">
        <f>AZ674*0.01</f>
        <v>0</v>
      </c>
      <c r="BE674" s="402"/>
      <c r="BG674" s="217">
        <f>IF(AF674&gt;0,BG669+BB674,BG669)</f>
        <v>0</v>
      </c>
      <c r="BH674" s="218">
        <f>IF(AV674&gt;0,BH669+BD674,BH669)</f>
        <v>0</v>
      </c>
      <c r="BI674" s="217">
        <f>IF(BG674&gt;0.99,0.99,BG674)</f>
        <v>0</v>
      </c>
      <c r="BJ674" s="218">
        <f>IF(BH674&gt;0.99,0.99,BH674)</f>
        <v>0</v>
      </c>
    </row>
    <row r="675" spans="1:62" ht="16.2" thickTop="1" x14ac:dyDescent="0.25">
      <c r="A675" s="200">
        <f>A670+1</f>
        <v>52</v>
      </c>
      <c r="B675" s="200" t="s">
        <v>444</v>
      </c>
      <c r="C675" s="200"/>
      <c r="D675" s="201" t="str">
        <f>IF(B677="","If claimed, explain in white box below.","")</f>
        <v>If claimed, explain in white box below.</v>
      </c>
      <c r="E675" s="203"/>
      <c r="F675" s="1"/>
    </row>
    <row r="676" spans="1:62" x14ac:dyDescent="0.25">
      <c r="A676" s="202"/>
      <c r="B676" s="567" t="s">
        <v>445</v>
      </c>
      <c r="C676" s="568"/>
      <c r="D676" s="569"/>
      <c r="E676" s="203"/>
      <c r="F676" s="1"/>
    </row>
    <row r="677" spans="1:62" ht="100.05" customHeight="1" thickBot="1" x14ac:dyDescent="0.3">
      <c r="A677" s="202"/>
      <c r="B677" s="570"/>
      <c r="C677" s="571"/>
      <c r="D677" s="572"/>
      <c r="E677" s="203"/>
      <c r="F677" s="1"/>
    </row>
    <row r="678" spans="1:62" ht="15" thickTop="1" thickBot="1" x14ac:dyDescent="0.3">
      <c r="A678" s="202"/>
      <c r="B678" s="204" t="str">
        <f>IF(B677="","","Claimed?")</f>
        <v/>
      </c>
      <c r="C678" s="204" t="str">
        <f>IF(B678="","","Verifiable?")</f>
        <v/>
      </c>
      <c r="D678" s="205" t="str">
        <f>IF(C679="","","Independent verification")</f>
        <v/>
      </c>
      <c r="E678" s="573">
        <f>BI679</f>
        <v>0</v>
      </c>
      <c r="F678" s="574"/>
      <c r="AA678" s="60"/>
      <c r="AB678" s="60" t="s">
        <v>314</v>
      </c>
      <c r="AF678" s="220"/>
      <c r="AG678" s="60" t="s">
        <v>315</v>
      </c>
      <c r="AM678" s="221"/>
      <c r="AN678" s="60" t="s">
        <v>316</v>
      </c>
      <c r="AV678" s="222"/>
      <c r="AX678" s="207" t="s">
        <v>317</v>
      </c>
      <c r="AZ678" s="208" t="s">
        <v>318</v>
      </c>
      <c r="BB678" s="209" t="s">
        <v>319</v>
      </c>
      <c r="BD678" s="208" t="s">
        <v>320</v>
      </c>
      <c r="BG678" s="210" t="s">
        <v>326</v>
      </c>
      <c r="BH678" s="211" t="s">
        <v>327</v>
      </c>
      <c r="BI678" s="210" t="s">
        <v>321</v>
      </c>
      <c r="BJ678" s="211" t="s">
        <v>322</v>
      </c>
    </row>
    <row r="679" spans="1:62" ht="15" thickTop="1" thickBot="1" x14ac:dyDescent="0.3">
      <c r="A679" s="202"/>
      <c r="B679" s="212"/>
      <c r="C679" s="213"/>
      <c r="D679" s="223"/>
      <c r="E679" s="573">
        <f>BJ679</f>
        <v>0</v>
      </c>
      <c r="F679" s="574"/>
      <c r="AA679" s="112"/>
      <c r="AB679" s="112">
        <f>IF(B679=$B$1871,$AB$463,0)</f>
        <v>0</v>
      </c>
      <c r="AC679" s="112">
        <f>IF(B679=$B$1872,$AC$463,0)</f>
        <v>0</v>
      </c>
      <c r="AD679" s="112">
        <f>IF(B679=$B$1873,$AD$463,0)</f>
        <v>0</v>
      </c>
      <c r="AE679" s="112">
        <f>IF(B679=$B$1874,$AE$463,0)</f>
        <v>0</v>
      </c>
      <c r="AF679" s="224">
        <f>SUM(AB679:AE679)</f>
        <v>0</v>
      </c>
      <c r="AG679" s="112">
        <f>IF(C679=$B$1877,$E$1877,0)</f>
        <v>0</v>
      </c>
      <c r="AH679" s="112">
        <f>IF(C679=$B$1878,$E$1878,0)</f>
        <v>0</v>
      </c>
      <c r="AI679" s="112">
        <f>IF(C679=$B$1879,$E$1879,0)</f>
        <v>0</v>
      </c>
      <c r="AJ679" s="112">
        <f>IF(C679=$B$1880,$E$1880,0)</f>
        <v>0</v>
      </c>
      <c r="AK679" s="112">
        <f>IF(C679=$B$1881,$E$1881,0)</f>
        <v>0</v>
      </c>
      <c r="AL679" s="112">
        <f>IF(C679=$B$1882,$E$1882,0)</f>
        <v>0</v>
      </c>
      <c r="AM679" s="225">
        <f>SUM(AG679:AL679)</f>
        <v>0</v>
      </c>
      <c r="AN679" s="112">
        <f>IF($D679=$B$1885,AN$463,0)</f>
        <v>0</v>
      </c>
      <c r="AO679" s="112">
        <f>IF($D679=$B$1886,AO$463,0)</f>
        <v>0</v>
      </c>
      <c r="AP679" s="112">
        <f>IF($D679=$B$1887,AP$463,0)</f>
        <v>0</v>
      </c>
      <c r="AQ679" s="112">
        <f>IF($D679=$B$1888,AQ$463,0)</f>
        <v>0</v>
      </c>
      <c r="AR679" s="112">
        <f>IF($D679=$B$1889,AR$463,0)</f>
        <v>0</v>
      </c>
      <c r="AS679" s="112">
        <f>IF($D679=$B$1890,AS$463,0)</f>
        <v>0</v>
      </c>
      <c r="AT679" s="112">
        <f>IF($D679=$B$1891,AT$463,0)</f>
        <v>0</v>
      </c>
      <c r="AU679" s="112">
        <f>IF($D679=$B$1892,AU$463,0)</f>
        <v>0</v>
      </c>
      <c r="AV679" s="226">
        <f>SUM(AN679:AU679)</f>
        <v>0</v>
      </c>
      <c r="AX679" s="216">
        <f>AF679*AM679</f>
        <v>0</v>
      </c>
      <c r="AZ679" s="158">
        <f>AX679+(AV679*AM679)</f>
        <v>0</v>
      </c>
      <c r="BB679" s="217">
        <f>(AF679*AM679)*0.01</f>
        <v>0</v>
      </c>
      <c r="BD679" s="218">
        <f>AZ679*0.01</f>
        <v>0</v>
      </c>
      <c r="BE679" s="402"/>
      <c r="BG679" s="217">
        <f>IF(AF679&gt;0,BG674+BB679,BG674)</f>
        <v>0</v>
      </c>
      <c r="BH679" s="218">
        <f>IF(AV679&gt;0,BH674+BD679,BH674)</f>
        <v>0</v>
      </c>
      <c r="BI679" s="217">
        <f>IF(BG679&gt;0.99,0.99,BG679)</f>
        <v>0</v>
      </c>
      <c r="BJ679" s="218">
        <f>IF(BH679&gt;0.99,0.99,BH679)</f>
        <v>0</v>
      </c>
    </row>
    <row r="680" spans="1:62" ht="14.4" thickTop="1" x14ac:dyDescent="0.25">
      <c r="A680" s="202"/>
      <c r="B680" s="203"/>
      <c r="C680" s="203"/>
      <c r="D680" s="203"/>
      <c r="E680" s="203"/>
      <c r="F680" s="1"/>
    </row>
    <row r="681" spans="1:62" ht="30" customHeight="1" x14ac:dyDescent="0.25">
      <c r="A681" s="188" t="s">
        <v>85</v>
      </c>
      <c r="B681" s="46" t="s">
        <v>446</v>
      </c>
      <c r="C681" s="46"/>
      <c r="D681" s="46"/>
      <c r="E681" s="475"/>
      <c r="F681" s="475" t="s">
        <v>949</v>
      </c>
    </row>
    <row r="682" spans="1:62" ht="19.95" customHeight="1" x14ac:dyDescent="0.25">
      <c r="A682" s="108"/>
      <c r="B682" s="109" t="s">
        <v>447</v>
      </c>
      <c r="C682" s="109"/>
      <c r="D682" s="109"/>
      <c r="E682" s="110"/>
      <c r="F682" s="108"/>
      <c r="AA682" s="190"/>
      <c r="AB682" s="190">
        <v>0</v>
      </c>
      <c r="AC682" s="191">
        <f>AD682/2</f>
        <v>0.25</v>
      </c>
      <c r="AD682" s="192">
        <f>AE682/2</f>
        <v>0.5</v>
      </c>
      <c r="AE682" s="193">
        <v>1</v>
      </c>
      <c r="AF682" s="120"/>
      <c r="AG682" s="120"/>
      <c r="AH682" s="120"/>
      <c r="AI682" s="120"/>
      <c r="AJ682" s="120"/>
      <c r="AK682" s="120"/>
      <c r="AL682" s="120"/>
      <c r="AM682" s="120"/>
      <c r="AN682" s="194">
        <f>AE682*-2</f>
        <v>-2</v>
      </c>
      <c r="AO682" s="190">
        <f>AE682*-1</f>
        <v>-1</v>
      </c>
      <c r="AP682" s="190">
        <f>AD682*-1</f>
        <v>-0.5</v>
      </c>
      <c r="AQ682" s="195">
        <f>AE682*-0.1</f>
        <v>-0.1</v>
      </c>
      <c r="AR682" s="195">
        <v>0</v>
      </c>
      <c r="AS682" s="195">
        <f>AE682*0.1</f>
        <v>0.1</v>
      </c>
      <c r="AT682" s="192">
        <f>AD682</f>
        <v>0.5</v>
      </c>
      <c r="AU682" s="193">
        <f>AE682</f>
        <v>1</v>
      </c>
      <c r="AV682" s="196"/>
      <c r="AW682" s="120"/>
      <c r="AX682" s="120"/>
      <c r="AY682" s="120"/>
      <c r="AZ682" s="120"/>
      <c r="BA682" s="120"/>
      <c r="BB682" s="197"/>
      <c r="BC682" s="120"/>
      <c r="BD682" s="120"/>
      <c r="BE682" s="120"/>
      <c r="BF682" s="120"/>
      <c r="BG682" s="229">
        <f>BG643</f>
        <v>0</v>
      </c>
    </row>
    <row r="683" spans="1:62" ht="15.6" x14ac:dyDescent="0.25">
      <c r="A683" s="200">
        <f>A675+1</f>
        <v>53</v>
      </c>
      <c r="B683" s="200" t="s">
        <v>448</v>
      </c>
      <c r="C683" s="200"/>
      <c r="D683" s="201" t="str">
        <f>IF(B685="","If claimed, explain in white box below.","")</f>
        <v>If claimed, explain in white box below.</v>
      </c>
      <c r="E683" s="203"/>
      <c r="F683" s="1"/>
    </row>
    <row r="684" spans="1:62" ht="28.05" customHeight="1" x14ac:dyDescent="0.25">
      <c r="A684" s="202"/>
      <c r="B684" s="567" t="s">
        <v>449</v>
      </c>
      <c r="C684" s="568"/>
      <c r="D684" s="569"/>
      <c r="E684" s="203"/>
      <c r="F684" s="1"/>
    </row>
    <row r="685" spans="1:62" ht="150" customHeight="1" thickBot="1" x14ac:dyDescent="0.3">
      <c r="A685" s="202"/>
      <c r="B685" s="570"/>
      <c r="C685" s="571"/>
      <c r="D685" s="572"/>
      <c r="E685" s="203"/>
      <c r="F685" s="1"/>
    </row>
    <row r="686" spans="1:62" ht="15" thickTop="1" thickBot="1" x14ac:dyDescent="0.3">
      <c r="A686" s="202"/>
      <c r="B686" s="204" t="str">
        <f>IF(B685="","","Claimed?")</f>
        <v/>
      </c>
      <c r="C686" s="204" t="str">
        <f>IF(B686="","","Verifiable?")</f>
        <v/>
      </c>
      <c r="D686" s="205" t="str">
        <f>IF(C687="","","Independent verification")</f>
        <v/>
      </c>
      <c r="E686" s="573">
        <f>BI687</f>
        <v>0</v>
      </c>
      <c r="F686" s="574"/>
      <c r="AA686" s="60"/>
      <c r="AB686" s="60" t="s">
        <v>314</v>
      </c>
      <c r="AF686" s="220"/>
      <c r="AG686" s="60" t="s">
        <v>315</v>
      </c>
      <c r="AM686" s="221"/>
      <c r="AN686" s="60" t="s">
        <v>316</v>
      </c>
      <c r="AV686" s="222"/>
      <c r="AX686" s="207" t="s">
        <v>317</v>
      </c>
      <c r="AZ686" s="208" t="s">
        <v>318</v>
      </c>
      <c r="BB686" s="209" t="s">
        <v>319</v>
      </c>
      <c r="BD686" s="208" t="s">
        <v>320</v>
      </c>
      <c r="BG686" s="210" t="s">
        <v>326</v>
      </c>
      <c r="BH686" s="211" t="s">
        <v>327</v>
      </c>
      <c r="BI686" s="210" t="s">
        <v>321</v>
      </c>
      <c r="BJ686" s="211" t="s">
        <v>322</v>
      </c>
    </row>
    <row r="687" spans="1:62" ht="15" thickTop="1" thickBot="1" x14ac:dyDescent="0.3">
      <c r="A687" s="202"/>
      <c r="B687" s="212"/>
      <c r="C687" s="213"/>
      <c r="D687" s="223"/>
      <c r="E687" s="573">
        <f>BJ687</f>
        <v>0</v>
      </c>
      <c r="F687" s="574"/>
      <c r="AA687" s="112"/>
      <c r="AB687" s="112">
        <f>IF(B687=$B$1871,$AB$463,0)</f>
        <v>0</v>
      </c>
      <c r="AC687" s="112">
        <f>IF(B687=$B$1872,$AC$463,0)</f>
        <v>0</v>
      </c>
      <c r="AD687" s="112">
        <f>IF(B687=$B$1873,$AD$463,0)</f>
        <v>0</v>
      </c>
      <c r="AE687" s="112">
        <f>IF(B687=$B$1874,$AE$463,0)</f>
        <v>0</v>
      </c>
      <c r="AF687" s="224">
        <f>SUM(AB687:AE687)</f>
        <v>0</v>
      </c>
      <c r="AG687" s="112">
        <f>IF(C687=$B$1877,$E$1877,0)</f>
        <v>0</v>
      </c>
      <c r="AH687" s="112">
        <f>IF(C687=$B$1878,$E$1878,0)</f>
        <v>0</v>
      </c>
      <c r="AI687" s="112">
        <f>IF(C687=$B$1879,$E$1879,0)</f>
        <v>0</v>
      </c>
      <c r="AJ687" s="112">
        <f>IF(C687=$B$1880,$E$1880,0)</f>
        <v>0</v>
      </c>
      <c r="AK687" s="112">
        <f>IF(C687=$B$1881,$E$1881,0)</f>
        <v>0</v>
      </c>
      <c r="AL687" s="112">
        <f>IF(C687=$B$1882,$E$1882,0)</f>
        <v>0</v>
      </c>
      <c r="AM687" s="225">
        <f>SUM(AG687:AL687)</f>
        <v>0</v>
      </c>
      <c r="AN687" s="112">
        <f>IF($D687=$B$1885,AN$463,0)</f>
        <v>0</v>
      </c>
      <c r="AO687" s="112">
        <f>IF($D687=$B$1886,AO$463,0)</f>
        <v>0</v>
      </c>
      <c r="AP687" s="112">
        <f>IF($D687=$B$1887,AP$463,0)</f>
        <v>0</v>
      </c>
      <c r="AQ687" s="112">
        <f>IF($D687=$B$1888,AQ$463,0)</f>
        <v>0</v>
      </c>
      <c r="AR687" s="112">
        <f>IF($D687=$B$1889,AR$463,0)</f>
        <v>0</v>
      </c>
      <c r="AS687" s="112">
        <f>IF($D687=$B$1890,AS$463,0)</f>
        <v>0</v>
      </c>
      <c r="AT687" s="112">
        <f>IF($D687=$B$1891,AT$463,0)</f>
        <v>0</v>
      </c>
      <c r="AU687" s="112">
        <f>IF($D687=$B$1892,AU$463,0)</f>
        <v>0</v>
      </c>
      <c r="AV687" s="226">
        <f>SUM(AN687:AU687)</f>
        <v>0</v>
      </c>
      <c r="AX687" s="216">
        <f>AF687*AM687</f>
        <v>0</v>
      </c>
      <c r="AZ687" s="158">
        <f>AX687+(AV687*AM687)</f>
        <v>0</v>
      </c>
      <c r="BB687" s="217">
        <f>(AF687*AM687)*0.01</f>
        <v>0</v>
      </c>
      <c r="BD687" s="218">
        <f>AZ687*0.01</f>
        <v>0</v>
      </c>
      <c r="BE687" s="402"/>
      <c r="BG687" s="217">
        <f>IF(AF687&gt;0,BG679+BB687,BG679)</f>
        <v>0</v>
      </c>
      <c r="BH687" s="218">
        <f>IF(AV687&gt;0,BH679+BD687,BH679)</f>
        <v>0</v>
      </c>
      <c r="BI687" s="217">
        <f>IF(BG687&gt;0.99,0.99,BG687)</f>
        <v>0</v>
      </c>
      <c r="BJ687" s="218">
        <f>IF(BH687&gt;0.99,0.99,BH687)</f>
        <v>0</v>
      </c>
    </row>
    <row r="688" spans="1:62" ht="15" thickTop="1" thickBot="1" x14ac:dyDescent="0.3">
      <c r="A688" s="202"/>
      <c r="B688" s="203"/>
      <c r="C688" s="203"/>
      <c r="D688" s="203"/>
      <c r="E688" s="203"/>
      <c r="F688" s="1"/>
    </row>
    <row r="689" spans="1:62" ht="360" customHeight="1" thickTop="1" thickBot="1" x14ac:dyDescent="0.3">
      <c r="A689" s="202"/>
      <c r="B689" s="575"/>
      <c r="C689" s="576"/>
      <c r="D689" s="577"/>
      <c r="E689" s="203"/>
      <c r="F689" s="1"/>
    </row>
    <row r="690" spans="1:62" ht="14.4" thickTop="1" x14ac:dyDescent="0.25">
      <c r="A690" s="202"/>
      <c r="B690" s="203"/>
      <c r="C690" s="203"/>
      <c r="D690" s="203"/>
      <c r="E690" s="203"/>
      <c r="F690" s="1"/>
    </row>
    <row r="691" spans="1:62" ht="30" customHeight="1" x14ac:dyDescent="0.25">
      <c r="A691" s="188" t="s">
        <v>87</v>
      </c>
      <c r="B691" s="46" t="s">
        <v>451</v>
      </c>
      <c r="C691" s="46"/>
      <c r="D691" s="46"/>
      <c r="E691" s="475"/>
      <c r="F691" s="475" t="s">
        <v>949</v>
      </c>
    </row>
    <row r="692" spans="1:62" ht="19.95" customHeight="1" x14ac:dyDescent="0.25">
      <c r="A692" s="108" t="s">
        <v>452</v>
      </c>
      <c r="B692" s="109"/>
      <c r="C692" s="109"/>
      <c r="D692" s="109"/>
      <c r="E692" s="110"/>
      <c r="F692" s="108"/>
      <c r="AA692" s="190"/>
      <c r="AB692" s="190">
        <v>0</v>
      </c>
      <c r="AC692" s="191">
        <f>AD692/2</f>
        <v>0.25</v>
      </c>
      <c r="AD692" s="192">
        <f>AE692/2</f>
        <v>0.5</v>
      </c>
      <c r="AE692" s="193">
        <v>1</v>
      </c>
      <c r="AF692" s="120"/>
      <c r="AG692" s="120"/>
      <c r="AH692" s="120"/>
      <c r="AI692" s="120"/>
      <c r="AJ692" s="120"/>
      <c r="AK692" s="120"/>
      <c r="AL692" s="120"/>
      <c r="AM692" s="120"/>
      <c r="AN692" s="194">
        <f>AE692*-2</f>
        <v>-2</v>
      </c>
      <c r="AO692" s="190">
        <f>AE692*-1</f>
        <v>-1</v>
      </c>
      <c r="AP692" s="190">
        <f>AD692*-1</f>
        <v>-0.5</v>
      </c>
      <c r="AQ692" s="195">
        <f>AE692*-0.1</f>
        <v>-0.1</v>
      </c>
      <c r="AR692" s="195">
        <v>0</v>
      </c>
      <c r="AS692" s="195">
        <f>AE692*0.1</f>
        <v>0.1</v>
      </c>
      <c r="AT692" s="192">
        <f>AD692</f>
        <v>0.5</v>
      </c>
      <c r="AU692" s="193">
        <f>AE692</f>
        <v>1</v>
      </c>
      <c r="AV692" s="196"/>
      <c r="AW692" s="120"/>
      <c r="AX692" s="120"/>
      <c r="AY692" s="120"/>
      <c r="AZ692" s="120"/>
      <c r="BA692" s="120"/>
      <c r="BB692" s="197"/>
      <c r="BC692" s="120"/>
      <c r="BD692" s="120"/>
      <c r="BE692" s="120"/>
      <c r="BF692" s="120"/>
      <c r="BG692" s="229">
        <f>BG682</f>
        <v>0</v>
      </c>
    </row>
    <row r="693" spans="1:62" ht="15.6" x14ac:dyDescent="0.25">
      <c r="A693" s="200">
        <f>A683+1</f>
        <v>54</v>
      </c>
      <c r="B693" s="200" t="s">
        <v>453</v>
      </c>
      <c r="C693" s="200"/>
      <c r="D693" s="201" t="str">
        <f>IF(B695="","If claimed, explain in white box below.","")</f>
        <v>If claimed, explain in white box below.</v>
      </c>
      <c r="E693" s="203"/>
      <c r="F693" s="1"/>
    </row>
    <row r="694" spans="1:62" x14ac:dyDescent="0.25">
      <c r="A694" s="202"/>
      <c r="B694" s="567" t="s">
        <v>454</v>
      </c>
      <c r="C694" s="568"/>
      <c r="D694" s="569"/>
      <c r="E694" s="203"/>
      <c r="F694" s="1"/>
    </row>
    <row r="695" spans="1:62" ht="60" customHeight="1" thickBot="1" x14ac:dyDescent="0.3">
      <c r="A695" s="202"/>
      <c r="B695" s="570"/>
      <c r="C695" s="571"/>
      <c r="D695" s="572"/>
      <c r="E695" s="203"/>
      <c r="F695" s="1"/>
    </row>
    <row r="696" spans="1:62" ht="15" thickTop="1" thickBot="1" x14ac:dyDescent="0.3">
      <c r="A696" s="202"/>
      <c r="B696" s="204" t="str">
        <f>IF(B695="","","Claimed?")</f>
        <v/>
      </c>
      <c r="C696" s="204" t="str">
        <f>IF(B696="","","Verifiable?")</f>
        <v/>
      </c>
      <c r="D696" s="205" t="str">
        <f>IF(C697="","","Independent verification")</f>
        <v/>
      </c>
      <c r="E696" s="573">
        <f>BI697</f>
        <v>0</v>
      </c>
      <c r="F696" s="574"/>
      <c r="AA696" s="60"/>
      <c r="AB696" s="60" t="s">
        <v>314</v>
      </c>
      <c r="AF696" s="220"/>
      <c r="AG696" s="60" t="s">
        <v>315</v>
      </c>
      <c r="AM696" s="221"/>
      <c r="AN696" s="60" t="s">
        <v>316</v>
      </c>
      <c r="AV696" s="222"/>
      <c r="AX696" s="207" t="s">
        <v>317</v>
      </c>
      <c r="AZ696" s="208" t="s">
        <v>318</v>
      </c>
      <c r="BB696" s="209" t="s">
        <v>319</v>
      </c>
      <c r="BD696" s="208" t="s">
        <v>320</v>
      </c>
      <c r="BG696" s="210" t="s">
        <v>326</v>
      </c>
      <c r="BH696" s="211" t="s">
        <v>327</v>
      </c>
      <c r="BI696" s="210" t="s">
        <v>321</v>
      </c>
      <c r="BJ696" s="211" t="s">
        <v>322</v>
      </c>
    </row>
    <row r="697" spans="1:62" ht="15" thickTop="1" thickBot="1" x14ac:dyDescent="0.3">
      <c r="A697" s="202"/>
      <c r="B697" s="212"/>
      <c r="C697" s="213"/>
      <c r="D697" s="223"/>
      <c r="E697" s="573">
        <f>BJ697</f>
        <v>0</v>
      </c>
      <c r="F697" s="574"/>
      <c r="AA697" s="112"/>
      <c r="AB697" s="112">
        <f>IF(B697=$B$1871,$AB$463,0)</f>
        <v>0</v>
      </c>
      <c r="AC697" s="112">
        <f>IF(B697=$B$1872,$AC$463,0)</f>
        <v>0</v>
      </c>
      <c r="AD697" s="112">
        <f>IF(B697=$B$1873,$AD$463,0)</f>
        <v>0</v>
      </c>
      <c r="AE697" s="112">
        <f>IF(B697=$B$1874,$AE$463,0)</f>
        <v>0</v>
      </c>
      <c r="AF697" s="224">
        <f>SUM(AB697:AE697)</f>
        <v>0</v>
      </c>
      <c r="AG697" s="112">
        <f>IF(C697=$B$1877,$E$1877,0)</f>
        <v>0</v>
      </c>
      <c r="AH697" s="112">
        <f>IF(C697=$B$1878,$E$1878,0)</f>
        <v>0</v>
      </c>
      <c r="AI697" s="112">
        <f>IF(C697=$B$1879,$E$1879,0)</f>
        <v>0</v>
      </c>
      <c r="AJ697" s="112">
        <f>IF(C697=$B$1880,$E$1880,0)</f>
        <v>0</v>
      </c>
      <c r="AK697" s="112">
        <f>IF(C697=$B$1881,$E$1881,0)</f>
        <v>0</v>
      </c>
      <c r="AL697" s="112">
        <f>IF(C697=$B$1882,$E$1882,0)</f>
        <v>0</v>
      </c>
      <c r="AM697" s="225">
        <f>SUM(AG697:AL697)</f>
        <v>0</v>
      </c>
      <c r="AN697" s="112">
        <f>IF($D697=$B$1885,AN$463,0)</f>
        <v>0</v>
      </c>
      <c r="AO697" s="112">
        <f>IF($D697=$B$1886,AO$463,0)</f>
        <v>0</v>
      </c>
      <c r="AP697" s="112">
        <f>IF($D697=$B$1887,AP$463,0)</f>
        <v>0</v>
      </c>
      <c r="AQ697" s="112">
        <f>IF($D697=$B$1888,AQ$463,0)</f>
        <v>0</v>
      </c>
      <c r="AR697" s="112">
        <f>IF($D697=$B$1889,AR$463,0)</f>
        <v>0</v>
      </c>
      <c r="AS697" s="112">
        <f>IF($D697=$B$1890,AS$463,0)</f>
        <v>0</v>
      </c>
      <c r="AT697" s="112">
        <f>IF($D697=$B$1891,AT$463,0)</f>
        <v>0</v>
      </c>
      <c r="AU697" s="112">
        <f>IF($D697=$B$1892,AU$463,0)</f>
        <v>0</v>
      </c>
      <c r="AV697" s="226">
        <f>SUM(AN697:AU697)</f>
        <v>0</v>
      </c>
      <c r="AX697" s="216">
        <f>AF697*AM697</f>
        <v>0</v>
      </c>
      <c r="AZ697" s="158">
        <f>AX697+(AV697*AM697)</f>
        <v>0</v>
      </c>
      <c r="BB697" s="217">
        <f>(AF697*AM697)*0.01</f>
        <v>0</v>
      </c>
      <c r="BD697" s="218">
        <f>AZ697*0.01</f>
        <v>0</v>
      </c>
      <c r="BE697" s="402"/>
      <c r="BG697" s="217">
        <f>IF(AF697&gt;0,BG687+BB697,BG687)</f>
        <v>0</v>
      </c>
      <c r="BH697" s="218">
        <f>IF(AV697&gt;0,BH687+BD697,BH687)</f>
        <v>0</v>
      </c>
      <c r="BI697" s="217">
        <f>IF(BG697&gt;0.99,0.99,BG697)</f>
        <v>0</v>
      </c>
      <c r="BJ697" s="218">
        <f>IF(BH697&gt;0.99,0.99,BH697)</f>
        <v>0</v>
      </c>
    </row>
    <row r="698" spans="1:62" ht="16.2" thickTop="1" x14ac:dyDescent="0.25">
      <c r="A698" s="200">
        <f>A693+1</f>
        <v>55</v>
      </c>
      <c r="B698" s="200" t="s">
        <v>455</v>
      </c>
      <c r="C698" s="200"/>
      <c r="D698" s="201" t="str">
        <f>IF(B700="","If claimed, explain in white box below.","")</f>
        <v>If claimed, explain in white box below.</v>
      </c>
      <c r="E698" s="203"/>
      <c r="F698" s="1"/>
    </row>
    <row r="699" spans="1:62" x14ac:dyDescent="0.25">
      <c r="A699" s="202"/>
      <c r="B699" s="567" t="s">
        <v>454</v>
      </c>
      <c r="C699" s="568"/>
      <c r="D699" s="569"/>
      <c r="E699" s="203"/>
      <c r="F699" s="1"/>
    </row>
    <row r="700" spans="1:62" ht="60" customHeight="1" thickBot="1" x14ac:dyDescent="0.3">
      <c r="A700" s="202"/>
      <c r="B700" s="570"/>
      <c r="C700" s="571"/>
      <c r="D700" s="572"/>
      <c r="E700" s="203"/>
      <c r="F700" s="1"/>
    </row>
    <row r="701" spans="1:62" ht="15" thickTop="1" thickBot="1" x14ac:dyDescent="0.3">
      <c r="A701" s="202"/>
      <c r="B701" s="204" t="str">
        <f>IF(B700="","","Claimed?")</f>
        <v/>
      </c>
      <c r="C701" s="204" t="str">
        <f>IF(B701="","","Verifiable?")</f>
        <v/>
      </c>
      <c r="D701" s="205" t="str">
        <f>IF(C702="","","Independent verification")</f>
        <v/>
      </c>
      <c r="E701" s="573">
        <f>BI702</f>
        <v>0</v>
      </c>
      <c r="F701" s="574"/>
      <c r="AA701" s="60"/>
      <c r="AB701" s="60" t="s">
        <v>314</v>
      </c>
      <c r="AF701" s="220"/>
      <c r="AG701" s="60" t="s">
        <v>315</v>
      </c>
      <c r="AM701" s="221"/>
      <c r="AN701" s="60" t="s">
        <v>316</v>
      </c>
      <c r="AV701" s="222"/>
      <c r="AX701" s="207" t="s">
        <v>317</v>
      </c>
      <c r="AZ701" s="208" t="s">
        <v>318</v>
      </c>
      <c r="BB701" s="209" t="s">
        <v>319</v>
      </c>
      <c r="BD701" s="208" t="s">
        <v>320</v>
      </c>
      <c r="BG701" s="210" t="s">
        <v>326</v>
      </c>
      <c r="BH701" s="211" t="s">
        <v>327</v>
      </c>
      <c r="BI701" s="210" t="s">
        <v>321</v>
      </c>
      <c r="BJ701" s="211" t="s">
        <v>322</v>
      </c>
    </row>
    <row r="702" spans="1:62" ht="15" thickTop="1" thickBot="1" x14ac:dyDescent="0.3">
      <c r="A702" s="202"/>
      <c r="B702" s="212"/>
      <c r="C702" s="213"/>
      <c r="D702" s="223"/>
      <c r="E702" s="573">
        <f>BJ702</f>
        <v>0</v>
      </c>
      <c r="F702" s="574"/>
      <c r="AA702" s="112"/>
      <c r="AB702" s="112">
        <f>IF(B702=$B$1871,$AB$463,0)</f>
        <v>0</v>
      </c>
      <c r="AC702" s="112">
        <f>IF(B702=$B$1872,$AC$463,0)</f>
        <v>0</v>
      </c>
      <c r="AD702" s="112">
        <f>IF(B702=$B$1873,$AD$463,0)</f>
        <v>0</v>
      </c>
      <c r="AE702" s="112">
        <f>IF(B702=$B$1874,$AE$463,0)</f>
        <v>0</v>
      </c>
      <c r="AF702" s="224">
        <f>SUM(AB702:AE702)</f>
        <v>0</v>
      </c>
      <c r="AG702" s="112">
        <f>IF(C702=$B$1877,$E$1877,0)</f>
        <v>0</v>
      </c>
      <c r="AH702" s="112">
        <f>IF(C702=$B$1878,$E$1878,0)</f>
        <v>0</v>
      </c>
      <c r="AI702" s="112">
        <f>IF(C702=$B$1879,$E$1879,0)</f>
        <v>0</v>
      </c>
      <c r="AJ702" s="112">
        <f>IF(C702=$B$1880,$E$1880,0)</f>
        <v>0</v>
      </c>
      <c r="AK702" s="112">
        <f>IF(C702=$B$1881,$E$1881,0)</f>
        <v>0</v>
      </c>
      <c r="AL702" s="112">
        <f>IF(C702=$B$1882,$E$1882,0)</f>
        <v>0</v>
      </c>
      <c r="AM702" s="225">
        <f>SUM(AG702:AL702)</f>
        <v>0</v>
      </c>
      <c r="AN702" s="112">
        <f>IF($D702=$B$1885,AN$463,0)</f>
        <v>0</v>
      </c>
      <c r="AO702" s="112">
        <f>IF($D702=$B$1886,AO$463,0)</f>
        <v>0</v>
      </c>
      <c r="AP702" s="112">
        <f>IF($D702=$B$1887,AP$463,0)</f>
        <v>0</v>
      </c>
      <c r="AQ702" s="112">
        <f>IF($D702=$B$1888,AQ$463,0)</f>
        <v>0</v>
      </c>
      <c r="AR702" s="112">
        <f>IF($D702=$B$1889,AR$463,0)</f>
        <v>0</v>
      </c>
      <c r="AS702" s="112">
        <f>IF($D702=$B$1890,AS$463,0)</f>
        <v>0</v>
      </c>
      <c r="AT702" s="112">
        <f>IF($D702=$B$1891,AT$463,0)</f>
        <v>0</v>
      </c>
      <c r="AU702" s="112">
        <f>IF($D702=$B$1892,AU$463,0)</f>
        <v>0</v>
      </c>
      <c r="AV702" s="226">
        <f>SUM(AN702:AU702)</f>
        <v>0</v>
      </c>
      <c r="AX702" s="216">
        <f>AF702*AM702</f>
        <v>0</v>
      </c>
      <c r="AZ702" s="158">
        <f>AX702+(AV702*AM702)</f>
        <v>0</v>
      </c>
      <c r="BB702" s="217">
        <f>(AF702*AM702)*0.01</f>
        <v>0</v>
      </c>
      <c r="BD702" s="218">
        <f>AZ702*0.01</f>
        <v>0</v>
      </c>
      <c r="BE702" s="402"/>
      <c r="BG702" s="217">
        <f>IF(AF702&gt;0,BG697+BB702,BG697)</f>
        <v>0</v>
      </c>
      <c r="BH702" s="218">
        <f>IF(AV702&gt;0,BH697+BD702,BH697)</f>
        <v>0</v>
      </c>
      <c r="BI702" s="217">
        <f>IF(BG702&gt;0.99,0.99,BG702)</f>
        <v>0</v>
      </c>
      <c r="BJ702" s="218">
        <f>IF(BH702&gt;0.99,0.99,BH702)</f>
        <v>0</v>
      </c>
    </row>
    <row r="703" spans="1:62" ht="16.2" thickTop="1" x14ac:dyDescent="0.25">
      <c r="A703" s="200">
        <f>A698+1</f>
        <v>56</v>
      </c>
      <c r="B703" s="200" t="s">
        <v>456</v>
      </c>
      <c r="C703" s="200"/>
      <c r="D703" s="201" t="str">
        <f>IF(B705="","If claimed, explain in white box below.","")</f>
        <v>If claimed, explain in white box below.</v>
      </c>
      <c r="E703" s="203"/>
      <c r="F703" s="1"/>
    </row>
    <row r="704" spans="1:62" x14ac:dyDescent="0.25">
      <c r="A704" s="202"/>
      <c r="B704" s="567" t="s">
        <v>457</v>
      </c>
      <c r="C704" s="568"/>
      <c r="D704" s="569"/>
      <c r="E704" s="203"/>
      <c r="F704" s="1"/>
    </row>
    <row r="705" spans="1:62" ht="60" customHeight="1" thickBot="1" x14ac:dyDescent="0.3">
      <c r="A705" s="202"/>
      <c r="B705" s="570"/>
      <c r="C705" s="571"/>
      <c r="D705" s="572"/>
      <c r="E705" s="203"/>
      <c r="F705" s="1"/>
    </row>
    <row r="706" spans="1:62" ht="15" thickTop="1" thickBot="1" x14ac:dyDescent="0.3">
      <c r="A706" s="202"/>
      <c r="B706" s="204" t="str">
        <f>IF(B705="","","Claimed?")</f>
        <v/>
      </c>
      <c r="C706" s="204" t="str">
        <f>IF(B706="","","Verifiable?")</f>
        <v/>
      </c>
      <c r="D706" s="205" t="str">
        <f>IF(C707="","","Independent verification")</f>
        <v/>
      </c>
      <c r="E706" s="573">
        <f>BI707</f>
        <v>0</v>
      </c>
      <c r="F706" s="574"/>
      <c r="AA706" s="60"/>
      <c r="AB706" s="60" t="s">
        <v>314</v>
      </c>
      <c r="AF706" s="220"/>
      <c r="AG706" s="60" t="s">
        <v>315</v>
      </c>
      <c r="AM706" s="221"/>
      <c r="AN706" s="60" t="s">
        <v>316</v>
      </c>
      <c r="AV706" s="222"/>
      <c r="AX706" s="207" t="s">
        <v>317</v>
      </c>
      <c r="AZ706" s="208" t="s">
        <v>318</v>
      </c>
      <c r="BB706" s="209" t="s">
        <v>319</v>
      </c>
      <c r="BD706" s="208" t="s">
        <v>320</v>
      </c>
      <c r="BG706" s="210" t="s">
        <v>326</v>
      </c>
      <c r="BH706" s="211" t="s">
        <v>327</v>
      </c>
      <c r="BI706" s="210" t="s">
        <v>321</v>
      </c>
      <c r="BJ706" s="211" t="s">
        <v>322</v>
      </c>
    </row>
    <row r="707" spans="1:62" ht="15" thickTop="1" thickBot="1" x14ac:dyDescent="0.3">
      <c r="A707" s="202"/>
      <c r="B707" s="212"/>
      <c r="C707" s="213"/>
      <c r="D707" s="223"/>
      <c r="E707" s="573">
        <f>BJ707</f>
        <v>0</v>
      </c>
      <c r="F707" s="574"/>
      <c r="AA707" s="112"/>
      <c r="AB707" s="112">
        <f>IF(B707=$B$1871,$AB$463,0)</f>
        <v>0</v>
      </c>
      <c r="AC707" s="112">
        <f>IF(B707=$B$1872,$AC$463,0)</f>
        <v>0</v>
      </c>
      <c r="AD707" s="112">
        <f>IF(B707=$B$1873,$AD$463,0)</f>
        <v>0</v>
      </c>
      <c r="AE707" s="112">
        <f>IF(B707=$B$1874,$AE$463,0)</f>
        <v>0</v>
      </c>
      <c r="AF707" s="224">
        <f>SUM(AB707:AE707)</f>
        <v>0</v>
      </c>
      <c r="AG707" s="112">
        <f>IF(C707=$B$1877,$E$1877,0)</f>
        <v>0</v>
      </c>
      <c r="AH707" s="112">
        <f>IF(C707=$B$1878,$E$1878,0)</f>
        <v>0</v>
      </c>
      <c r="AI707" s="112">
        <f>IF(C707=$B$1879,$E$1879,0)</f>
        <v>0</v>
      </c>
      <c r="AJ707" s="112">
        <f>IF(C707=$B$1880,$E$1880,0)</f>
        <v>0</v>
      </c>
      <c r="AK707" s="112">
        <f>IF(C707=$B$1881,$E$1881,0)</f>
        <v>0</v>
      </c>
      <c r="AL707" s="112">
        <f>IF(C707=$B$1882,$E$1882,0)</f>
        <v>0</v>
      </c>
      <c r="AM707" s="225">
        <f>SUM(AG707:AL707)</f>
        <v>0</v>
      </c>
      <c r="AN707" s="112">
        <f>IF($D707=$B$1885,AN$463,0)</f>
        <v>0</v>
      </c>
      <c r="AO707" s="112">
        <f>IF($D707=$B$1886,AO$463,0)</f>
        <v>0</v>
      </c>
      <c r="AP707" s="112">
        <f>IF($D707=$B$1887,AP$463,0)</f>
        <v>0</v>
      </c>
      <c r="AQ707" s="112">
        <f>IF($D707=$B$1888,AQ$463,0)</f>
        <v>0</v>
      </c>
      <c r="AR707" s="112">
        <f>IF($D707=$B$1889,AR$463,0)</f>
        <v>0</v>
      </c>
      <c r="AS707" s="112">
        <f>IF($D707=$B$1890,AS$463,0)</f>
        <v>0</v>
      </c>
      <c r="AT707" s="112">
        <f>IF($D707=$B$1891,AT$463,0)</f>
        <v>0</v>
      </c>
      <c r="AU707" s="112">
        <f>IF($D707=$B$1892,AU$463,0)</f>
        <v>0</v>
      </c>
      <c r="AV707" s="226">
        <f>SUM(AN707:AU707)</f>
        <v>0</v>
      </c>
      <c r="AX707" s="216">
        <f>AF707*AM707</f>
        <v>0</v>
      </c>
      <c r="AZ707" s="158">
        <f>AX707+(AV707*AM707)</f>
        <v>0</v>
      </c>
      <c r="BB707" s="217">
        <f>(AF707*AM707)*0.01</f>
        <v>0</v>
      </c>
      <c r="BD707" s="218">
        <f>AZ707*0.01</f>
        <v>0</v>
      </c>
      <c r="BE707" s="402"/>
      <c r="BG707" s="217">
        <f>IF(AF707&gt;0,BG702+BB707,BG702)</f>
        <v>0</v>
      </c>
      <c r="BH707" s="218">
        <f>IF(AV707&gt;0,BH702+BD707,BH702)</f>
        <v>0</v>
      </c>
      <c r="BI707" s="217">
        <f>IF(BG707&gt;0.99,0.99,BG707)</f>
        <v>0</v>
      </c>
      <c r="BJ707" s="218">
        <f>IF(BH707&gt;0.99,0.99,BH707)</f>
        <v>0</v>
      </c>
    </row>
    <row r="708" spans="1:62" ht="16.2" thickTop="1" x14ac:dyDescent="0.25">
      <c r="A708" s="200">
        <f>A703+1</f>
        <v>57</v>
      </c>
      <c r="B708" s="200" t="s">
        <v>458</v>
      </c>
      <c r="C708" s="200"/>
      <c r="D708" s="201" t="str">
        <f>IF(B710="","If claimed, explain in white box below.","")</f>
        <v>If claimed, explain in white box below.</v>
      </c>
      <c r="E708" s="203"/>
      <c r="F708" s="1"/>
    </row>
    <row r="709" spans="1:62" x14ac:dyDescent="0.25">
      <c r="A709" s="202"/>
      <c r="B709" s="567" t="s">
        <v>459</v>
      </c>
      <c r="C709" s="568"/>
      <c r="D709" s="569"/>
      <c r="E709" s="203"/>
      <c r="F709" s="1"/>
    </row>
    <row r="710" spans="1:62" ht="60" customHeight="1" thickBot="1" x14ac:dyDescent="0.3">
      <c r="A710" s="202"/>
      <c r="B710" s="570"/>
      <c r="C710" s="571"/>
      <c r="D710" s="572"/>
      <c r="E710" s="203"/>
      <c r="F710" s="1"/>
    </row>
    <row r="711" spans="1:62" ht="15" thickTop="1" thickBot="1" x14ac:dyDescent="0.3">
      <c r="A711" s="202"/>
      <c r="B711" s="204" t="str">
        <f>IF(B710="","","Claimed?")</f>
        <v/>
      </c>
      <c r="C711" s="204" t="str">
        <f>IF(B711="","","Verifiable?")</f>
        <v/>
      </c>
      <c r="D711" s="205" t="str">
        <f>IF(C712="","","Independent verification")</f>
        <v/>
      </c>
      <c r="E711" s="573">
        <f>BI712</f>
        <v>0</v>
      </c>
      <c r="F711" s="574"/>
      <c r="AA711" s="60"/>
      <c r="AB711" s="60" t="s">
        <v>314</v>
      </c>
      <c r="AF711" s="220"/>
      <c r="AG711" s="60" t="s">
        <v>315</v>
      </c>
      <c r="AM711" s="221"/>
      <c r="AN711" s="60" t="s">
        <v>316</v>
      </c>
      <c r="AV711" s="222"/>
      <c r="AX711" s="207" t="s">
        <v>317</v>
      </c>
      <c r="AZ711" s="208" t="s">
        <v>318</v>
      </c>
      <c r="BB711" s="209" t="s">
        <v>319</v>
      </c>
      <c r="BD711" s="208" t="s">
        <v>320</v>
      </c>
      <c r="BG711" s="210" t="s">
        <v>326</v>
      </c>
      <c r="BH711" s="211" t="s">
        <v>327</v>
      </c>
      <c r="BI711" s="210" t="s">
        <v>321</v>
      </c>
      <c r="BJ711" s="211" t="s">
        <v>322</v>
      </c>
    </row>
    <row r="712" spans="1:62" ht="15" thickTop="1" thickBot="1" x14ac:dyDescent="0.3">
      <c r="A712" s="202"/>
      <c r="B712" s="212"/>
      <c r="C712" s="213"/>
      <c r="D712" s="223"/>
      <c r="E712" s="573">
        <f>BJ712</f>
        <v>0</v>
      </c>
      <c r="F712" s="574"/>
      <c r="AA712" s="112"/>
      <c r="AB712" s="112">
        <f>IF(B712=$B$1871,$AB$463,0)</f>
        <v>0</v>
      </c>
      <c r="AC712" s="112">
        <f>IF(B712=$B$1872,$AC$463,0)</f>
        <v>0</v>
      </c>
      <c r="AD712" s="112">
        <f>IF(B712=$B$1873,$AD$463,0)</f>
        <v>0</v>
      </c>
      <c r="AE712" s="112">
        <f>IF(B712=$B$1874,$AE$463,0)</f>
        <v>0</v>
      </c>
      <c r="AF712" s="224">
        <f>SUM(AB712:AE712)</f>
        <v>0</v>
      </c>
      <c r="AG712" s="112">
        <f>IF(C712=$B$1877,$E$1877,0)</f>
        <v>0</v>
      </c>
      <c r="AH712" s="112">
        <f>IF(C712=$B$1878,$E$1878,0)</f>
        <v>0</v>
      </c>
      <c r="AI712" s="112">
        <f>IF(C712=$B$1879,$E$1879,0)</f>
        <v>0</v>
      </c>
      <c r="AJ712" s="112">
        <f>IF(C712=$B$1880,$E$1880,0)</f>
        <v>0</v>
      </c>
      <c r="AK712" s="112">
        <f>IF(C712=$B$1881,$E$1881,0)</f>
        <v>0</v>
      </c>
      <c r="AL712" s="112">
        <f>IF(C712=$B$1882,$E$1882,0)</f>
        <v>0</v>
      </c>
      <c r="AM712" s="225">
        <f>SUM(AG712:AL712)</f>
        <v>0</v>
      </c>
      <c r="AN712" s="112">
        <f>IF($D712=$B$1885,AN$463,0)</f>
        <v>0</v>
      </c>
      <c r="AO712" s="112">
        <f>IF($D712=$B$1886,AO$463,0)</f>
        <v>0</v>
      </c>
      <c r="AP712" s="112">
        <f>IF($D712=$B$1887,AP$463,0)</f>
        <v>0</v>
      </c>
      <c r="AQ712" s="112">
        <f>IF($D712=$B$1888,AQ$463,0)</f>
        <v>0</v>
      </c>
      <c r="AR712" s="112">
        <f>IF($D712=$B$1889,AR$463,0)</f>
        <v>0</v>
      </c>
      <c r="AS712" s="112">
        <f>IF($D712=$B$1890,AS$463,0)</f>
        <v>0</v>
      </c>
      <c r="AT712" s="112">
        <f>IF($D712=$B$1891,AT$463,0)</f>
        <v>0</v>
      </c>
      <c r="AU712" s="112">
        <f>IF($D712=$B$1892,AU$463,0)</f>
        <v>0</v>
      </c>
      <c r="AV712" s="226">
        <f>SUM(AN712:AU712)</f>
        <v>0</v>
      </c>
      <c r="AX712" s="216">
        <f>AF712*AM712</f>
        <v>0</v>
      </c>
      <c r="AZ712" s="158">
        <f>AX712+(AV712*AM712)</f>
        <v>0</v>
      </c>
      <c r="BB712" s="217">
        <f>(AF712*AM712)*0.01</f>
        <v>0</v>
      </c>
      <c r="BD712" s="218">
        <f>AZ712*0.01</f>
        <v>0</v>
      </c>
      <c r="BE712" s="402"/>
      <c r="BG712" s="217">
        <f>IF(AF712&gt;0,BG707+BB712,BG707)</f>
        <v>0</v>
      </c>
      <c r="BH712" s="218">
        <f>IF(AV712&gt;0,BH707+BD712,BH707)</f>
        <v>0</v>
      </c>
      <c r="BI712" s="217">
        <f>IF(BG712&gt;0.99,0.99,BG712)</f>
        <v>0</v>
      </c>
      <c r="BJ712" s="218">
        <f>IF(BH712&gt;0.99,0.99,BH712)</f>
        <v>0</v>
      </c>
    </row>
    <row r="713" spans="1:62" ht="16.2" thickTop="1" x14ac:dyDescent="0.25">
      <c r="A713" s="200">
        <f>A708+1</f>
        <v>58</v>
      </c>
      <c r="B713" s="200" t="s">
        <v>460</v>
      </c>
      <c r="C713" s="200"/>
      <c r="D713" s="231" t="str">
        <f>IF(B715="","If claimed, explain in white box below.","")</f>
        <v>If claimed, explain in white box below.</v>
      </c>
      <c r="E713" s="203"/>
      <c r="F713" s="1"/>
    </row>
    <row r="714" spans="1:62" x14ac:dyDescent="0.25">
      <c r="A714" s="202"/>
      <c r="B714" s="567" t="s">
        <v>461</v>
      </c>
      <c r="C714" s="568"/>
      <c r="D714" s="569"/>
      <c r="E714" s="203"/>
      <c r="F714" s="1"/>
    </row>
    <row r="715" spans="1:62" ht="60" customHeight="1" thickBot="1" x14ac:dyDescent="0.3">
      <c r="A715" s="202"/>
      <c r="B715" s="570"/>
      <c r="C715" s="571"/>
      <c r="D715" s="572"/>
      <c r="E715" s="203"/>
      <c r="F715" s="1"/>
    </row>
    <row r="716" spans="1:62" ht="15" thickTop="1" thickBot="1" x14ac:dyDescent="0.3">
      <c r="A716" s="202"/>
      <c r="B716" s="204" t="str">
        <f>IF(B715="","","Claimed?")</f>
        <v/>
      </c>
      <c r="C716" s="204" t="str">
        <f>IF(B716="","","Verifiable?")</f>
        <v/>
      </c>
      <c r="D716" s="205" t="str">
        <f>IF(C717="","","Independent verification")</f>
        <v/>
      </c>
      <c r="E716" s="573">
        <f>BI717</f>
        <v>0</v>
      </c>
      <c r="F716" s="574"/>
      <c r="AA716" s="60"/>
      <c r="AB716" s="60" t="s">
        <v>314</v>
      </c>
      <c r="AF716" s="220"/>
      <c r="AG716" s="60" t="s">
        <v>315</v>
      </c>
      <c r="AM716" s="221"/>
      <c r="AN716" s="60" t="s">
        <v>316</v>
      </c>
      <c r="AV716" s="222"/>
      <c r="AX716" s="207" t="s">
        <v>317</v>
      </c>
      <c r="AZ716" s="208" t="s">
        <v>318</v>
      </c>
      <c r="BB716" s="209" t="s">
        <v>319</v>
      </c>
      <c r="BD716" s="208" t="s">
        <v>320</v>
      </c>
      <c r="BG716" s="210" t="s">
        <v>326</v>
      </c>
      <c r="BH716" s="211" t="s">
        <v>327</v>
      </c>
      <c r="BI716" s="210" t="s">
        <v>321</v>
      </c>
      <c r="BJ716" s="211" t="s">
        <v>322</v>
      </c>
    </row>
    <row r="717" spans="1:62" ht="15" thickTop="1" thickBot="1" x14ac:dyDescent="0.3">
      <c r="A717" s="202"/>
      <c r="B717" s="212"/>
      <c r="C717" s="213"/>
      <c r="D717" s="223"/>
      <c r="E717" s="573">
        <f>BJ717</f>
        <v>0</v>
      </c>
      <c r="F717" s="574"/>
      <c r="AA717" s="112"/>
      <c r="AB717" s="112">
        <f>IF(B717=$B$1871,$AB$463,0)</f>
        <v>0</v>
      </c>
      <c r="AC717" s="112">
        <f>IF(B717=$B$1872,$AC$463,0)</f>
        <v>0</v>
      </c>
      <c r="AD717" s="112">
        <f>IF(B717=$B$1873,$AD$463,0)</f>
        <v>0</v>
      </c>
      <c r="AE717" s="112">
        <f>IF(B717=$B$1874,$AE$463,0)</f>
        <v>0</v>
      </c>
      <c r="AF717" s="224">
        <f>SUM(AB717:AE717)</f>
        <v>0</v>
      </c>
      <c r="AG717" s="112">
        <f>IF(C717=$B$1877,$E$1877,0)</f>
        <v>0</v>
      </c>
      <c r="AH717" s="112">
        <f>IF(C717=$B$1878,$E$1878,0)</f>
        <v>0</v>
      </c>
      <c r="AI717" s="112">
        <f>IF(C717=$B$1879,$E$1879,0)</f>
        <v>0</v>
      </c>
      <c r="AJ717" s="112">
        <f>IF(C717=$B$1880,$E$1880,0)</f>
        <v>0</v>
      </c>
      <c r="AK717" s="112">
        <f>IF(C717=$B$1881,$E$1881,0)</f>
        <v>0</v>
      </c>
      <c r="AL717" s="112">
        <f>IF(C717=$B$1882,$E$1882,0)</f>
        <v>0</v>
      </c>
      <c r="AM717" s="225">
        <f>SUM(AG717:AL717)</f>
        <v>0</v>
      </c>
      <c r="AN717" s="112">
        <f>IF($D717=$B$1885,AN$463,0)</f>
        <v>0</v>
      </c>
      <c r="AO717" s="112">
        <f>IF($D717=$B$1886,AO$463,0)</f>
        <v>0</v>
      </c>
      <c r="AP717" s="112">
        <f>IF($D717=$B$1887,AP$463,0)</f>
        <v>0</v>
      </c>
      <c r="AQ717" s="112">
        <f>IF($D717=$B$1888,AQ$463,0)</f>
        <v>0</v>
      </c>
      <c r="AR717" s="112">
        <f>IF($D717=$B$1889,AR$463,0)</f>
        <v>0</v>
      </c>
      <c r="AS717" s="112">
        <f>IF($D717=$B$1890,AS$463,0)</f>
        <v>0</v>
      </c>
      <c r="AT717" s="112">
        <f>IF($D717=$B$1891,AT$463,0)</f>
        <v>0</v>
      </c>
      <c r="AU717" s="112">
        <f>IF($D717=$B$1892,AU$463,0)</f>
        <v>0</v>
      </c>
      <c r="AV717" s="226">
        <f>SUM(AN717:AU717)</f>
        <v>0</v>
      </c>
      <c r="AX717" s="216">
        <f>AF717*AM717</f>
        <v>0</v>
      </c>
      <c r="AZ717" s="158">
        <f>AX717+(AV717*AM717)</f>
        <v>0</v>
      </c>
      <c r="BB717" s="217">
        <f>(AF717*AM717)*0.01</f>
        <v>0</v>
      </c>
      <c r="BD717" s="218">
        <f>AZ717*0.01</f>
        <v>0</v>
      </c>
      <c r="BE717" s="402"/>
      <c r="BG717" s="217">
        <f>IF(AF717&gt;0,BG712+BB717,BG712)</f>
        <v>0</v>
      </c>
      <c r="BH717" s="218">
        <f>IF(AV717&gt;0,BH712+BD717,BH712)</f>
        <v>0</v>
      </c>
      <c r="BI717" s="217">
        <f>IF(BG717&gt;0.99,0.99,BG717)</f>
        <v>0</v>
      </c>
      <c r="BJ717" s="218">
        <f>IF(BH717&gt;0.99,0.99,BH717)</f>
        <v>0</v>
      </c>
    </row>
    <row r="718" spans="1:62" ht="14.4" thickTop="1" x14ac:dyDescent="0.25">
      <c r="A718" s="202"/>
      <c r="B718" s="203"/>
      <c r="C718" s="203"/>
      <c r="D718" s="203"/>
      <c r="E718" s="203"/>
      <c r="F718" s="1"/>
    </row>
    <row r="719" spans="1:62" ht="30" customHeight="1" x14ac:dyDescent="0.25">
      <c r="A719" s="46" t="s">
        <v>89</v>
      </c>
      <c r="B719" s="46" t="s">
        <v>462</v>
      </c>
      <c r="C719" s="46"/>
      <c r="D719" s="45"/>
      <c r="E719" s="475"/>
      <c r="F719" s="475" t="s">
        <v>949</v>
      </c>
    </row>
    <row r="720" spans="1:62" ht="17.399999999999999" x14ac:dyDescent="0.25">
      <c r="A720" s="234" t="s">
        <v>463</v>
      </c>
      <c r="B720" s="109"/>
      <c r="C720" s="109"/>
      <c r="D720" s="109"/>
      <c r="E720" s="110"/>
      <c r="F720" s="108"/>
    </row>
    <row r="721" spans="1:54" ht="15.6" x14ac:dyDescent="0.25">
      <c r="A721" s="235">
        <f>A713+1</f>
        <v>59</v>
      </c>
      <c r="B721" s="235" t="s">
        <v>464</v>
      </c>
      <c r="C721" s="235"/>
      <c r="D721" s="235"/>
      <c r="E721" s="236"/>
      <c r="F721" s="1"/>
    </row>
    <row r="722" spans="1:54" ht="13.8" customHeight="1" x14ac:dyDescent="0.25">
      <c r="A722" s="237"/>
      <c r="B722" s="236"/>
      <c r="C722" s="236"/>
      <c r="D722" s="236"/>
      <c r="E722" s="236"/>
      <c r="F722" s="1"/>
    </row>
    <row r="723" spans="1:54" x14ac:dyDescent="0.25">
      <c r="A723" s="237"/>
      <c r="B723" s="578"/>
      <c r="C723" s="578"/>
      <c r="D723" s="578"/>
      <c r="E723" s="236"/>
      <c r="F723" s="1"/>
    </row>
    <row r="724" spans="1:54" ht="14.4" thickBot="1" x14ac:dyDescent="0.3">
      <c r="A724" s="237"/>
      <c r="B724" s="570"/>
      <c r="C724" s="571"/>
      <c r="D724" s="572"/>
      <c r="E724" s="236"/>
      <c r="F724" s="1"/>
    </row>
    <row r="725" spans="1:54" ht="15.6" x14ac:dyDescent="0.25">
      <c r="A725" s="235">
        <f>A721+1</f>
        <v>60</v>
      </c>
      <c r="B725" s="235" t="s">
        <v>466</v>
      </c>
      <c r="C725" s="235"/>
      <c r="D725" s="235"/>
      <c r="E725" s="236"/>
      <c r="F725" s="1"/>
    </row>
    <row r="726" spans="1:54" ht="13.8" customHeight="1" x14ac:dyDescent="0.25">
      <c r="A726" s="237"/>
      <c r="B726" s="236"/>
      <c r="C726" s="236"/>
      <c r="D726" s="236"/>
      <c r="E726" s="236"/>
      <c r="F726" s="1"/>
    </row>
    <row r="727" spans="1:54" ht="14.4" customHeight="1" x14ac:dyDescent="0.25">
      <c r="A727" s="237"/>
      <c r="B727" s="578"/>
      <c r="C727" s="578"/>
      <c r="D727" s="578"/>
      <c r="E727" s="236"/>
      <c r="F727" s="1"/>
    </row>
    <row r="728" spans="1:54" ht="14.4" customHeight="1" thickBot="1" x14ac:dyDescent="0.3">
      <c r="A728" s="237"/>
      <c r="B728" s="570"/>
      <c r="C728" s="571"/>
      <c r="D728" s="572"/>
      <c r="E728" s="236"/>
      <c r="F728" s="1"/>
    </row>
    <row r="729" spans="1:54" ht="15.6" x14ac:dyDescent="0.25">
      <c r="A729" s="235">
        <f>A725+1</f>
        <v>61</v>
      </c>
      <c r="B729" s="235" t="s">
        <v>468</v>
      </c>
      <c r="C729" s="235"/>
      <c r="D729" s="235"/>
      <c r="E729" s="236"/>
      <c r="F729" s="1"/>
    </row>
    <row r="730" spans="1:54" x14ac:dyDescent="0.25">
      <c r="A730" s="237"/>
      <c r="B730" s="236"/>
      <c r="C730" s="236"/>
      <c r="D730" s="236"/>
      <c r="E730" s="236"/>
      <c r="F730" s="1"/>
    </row>
    <row r="731" spans="1:54" x14ac:dyDescent="0.25">
      <c r="A731" s="237"/>
      <c r="B731" s="578"/>
      <c r="C731" s="578"/>
      <c r="D731" s="578"/>
      <c r="E731" s="236"/>
      <c r="F731" s="1"/>
      <c r="BB731" s="56"/>
    </row>
    <row r="732" spans="1:54" ht="14.4" x14ac:dyDescent="0.25">
      <c r="A732" s="237"/>
      <c r="B732" s="565"/>
      <c r="C732" s="565"/>
      <c r="D732" s="565"/>
      <c r="E732" s="236"/>
      <c r="F732" s="1"/>
      <c r="BB732" s="56"/>
    </row>
    <row r="733" spans="1:54" ht="15.6" x14ac:dyDescent="0.25">
      <c r="A733" s="235">
        <f>A729+1</f>
        <v>62</v>
      </c>
      <c r="B733" s="235" t="s">
        <v>24</v>
      </c>
      <c r="C733" s="235"/>
      <c r="D733" s="235"/>
      <c r="E733" s="236"/>
      <c r="F733" s="1"/>
      <c r="BB733" s="56"/>
    </row>
    <row r="734" spans="1:54" x14ac:dyDescent="0.25">
      <c r="A734" s="237"/>
      <c r="B734" s="236"/>
      <c r="C734" s="236"/>
      <c r="D734" s="236"/>
      <c r="E734" s="236"/>
      <c r="F734" s="1"/>
      <c r="BB734" s="56"/>
    </row>
    <row r="735" spans="1:54" x14ac:dyDescent="0.25">
      <c r="A735" s="237"/>
      <c r="B735" s="578"/>
      <c r="C735" s="578"/>
      <c r="D735" s="578"/>
      <c r="E735" s="236"/>
      <c r="F735" s="1"/>
      <c r="BB735" s="56"/>
    </row>
    <row r="736" spans="1:54" ht="14.4" x14ac:dyDescent="0.25">
      <c r="A736" s="237"/>
      <c r="B736" s="565"/>
      <c r="C736" s="565"/>
      <c r="D736" s="565"/>
      <c r="E736" s="236"/>
      <c r="F736" s="1"/>
      <c r="BB736" s="56"/>
    </row>
    <row r="737" spans="1:60" s="28" customFormat="1" ht="34.950000000000003" customHeight="1" thickBot="1" x14ac:dyDescent="0.3">
      <c r="A737" s="237"/>
      <c r="B737" s="582" t="s">
        <v>469</v>
      </c>
      <c r="C737" s="582"/>
      <c r="D737" s="582"/>
      <c r="E737" s="236"/>
      <c r="F737" s="1"/>
      <c r="G737" s="238"/>
      <c r="H737" s="238"/>
      <c r="I737" s="238"/>
      <c r="J737" s="238"/>
      <c r="K737" s="238"/>
      <c r="L737" s="238"/>
      <c r="M737" s="238"/>
      <c r="N737" s="238"/>
      <c r="O737" s="238"/>
      <c r="P737" s="238"/>
      <c r="Q737" s="238"/>
      <c r="R737" s="238"/>
      <c r="S737" s="238"/>
      <c r="T737" s="238"/>
      <c r="U737" s="238"/>
      <c r="V737" s="238"/>
      <c r="W737" s="238"/>
      <c r="X737" s="238"/>
      <c r="Y737" s="238"/>
      <c r="Z737" s="238"/>
    </row>
    <row r="738" spans="1:60" ht="15" thickTop="1" thickBot="1" x14ac:dyDescent="0.3">
      <c r="A738" s="237"/>
      <c r="B738" s="239" t="s">
        <v>470</v>
      </c>
      <c r="C738" s="240"/>
      <c r="D738" s="241"/>
      <c r="E738" s="236"/>
      <c r="F738" s="1"/>
      <c r="BB738" s="56"/>
    </row>
    <row r="739" spans="1:60" ht="15" thickTop="1" thickBot="1" x14ac:dyDescent="0.3">
      <c r="A739" s="237"/>
      <c r="B739" s="239" t="s">
        <v>472</v>
      </c>
      <c r="C739" s="240"/>
      <c r="D739" s="241"/>
      <c r="E739" s="236"/>
      <c r="F739" s="1"/>
      <c r="BB739" s="56"/>
    </row>
    <row r="740" spans="1:60" ht="15" thickTop="1" thickBot="1" x14ac:dyDescent="0.3">
      <c r="A740" s="237"/>
      <c r="B740" s="239" t="s">
        <v>474</v>
      </c>
      <c r="C740" s="240"/>
      <c r="D740" s="241"/>
      <c r="E740" s="236"/>
      <c r="F740" s="1"/>
      <c r="BB740" s="56"/>
    </row>
    <row r="741" spans="1:60" ht="15" thickTop="1" thickBot="1" x14ac:dyDescent="0.3">
      <c r="A741" s="237"/>
      <c r="B741" s="239" t="s">
        <v>475</v>
      </c>
      <c r="C741" s="240"/>
      <c r="D741" s="241"/>
      <c r="E741" s="236"/>
      <c r="F741" s="1"/>
      <c r="BB741" s="56"/>
    </row>
    <row r="742" spans="1:60" ht="15" customHeight="1" thickTop="1" thickBot="1" x14ac:dyDescent="0.3">
      <c r="A742" s="237"/>
      <c r="B742" s="239" t="s">
        <v>477</v>
      </c>
      <c r="C742" s="240"/>
      <c r="D742" s="241"/>
      <c r="E742" s="236"/>
      <c r="F742" s="1"/>
      <c r="BB742" s="56"/>
    </row>
    <row r="743" spans="1:60" ht="15" customHeight="1" thickTop="1" thickBot="1" x14ac:dyDescent="0.3">
      <c r="A743" s="237"/>
      <c r="B743" s="239" t="s">
        <v>478</v>
      </c>
      <c r="C743" s="240"/>
      <c r="D743" s="241"/>
      <c r="E743" s="236"/>
      <c r="F743" s="1"/>
    </row>
    <row r="744" spans="1:60" ht="15" customHeight="1" thickTop="1" thickBot="1" x14ac:dyDescent="0.3">
      <c r="A744" s="237"/>
      <c r="B744" s="239" t="s">
        <v>479</v>
      </c>
      <c r="C744" s="241"/>
      <c r="D744" s="241"/>
      <c r="E744" s="236"/>
      <c r="F744" s="1"/>
    </row>
    <row r="745" spans="1:60" ht="15" customHeight="1" thickTop="1" x14ac:dyDescent="0.25">
      <c r="A745" s="237"/>
      <c r="B745" s="236"/>
      <c r="C745" s="236"/>
      <c r="D745" s="236"/>
      <c r="E745" s="236"/>
      <c r="F745" s="1"/>
      <c r="BB745" s="56" t="s">
        <v>1522</v>
      </c>
    </row>
    <row r="746" spans="1:60" ht="15" customHeight="1" x14ac:dyDescent="0.25">
      <c r="A746" s="235">
        <f>A733+1</f>
        <v>63</v>
      </c>
      <c r="B746" s="235" t="s">
        <v>1521</v>
      </c>
      <c r="C746" s="236"/>
      <c r="D746" s="236"/>
      <c r="E746" s="236"/>
      <c r="F746" s="1"/>
      <c r="BB746" s="56"/>
    </row>
    <row r="747" spans="1:60" ht="15" customHeight="1" thickBot="1" x14ac:dyDescent="0.3">
      <c r="A747" s="237"/>
      <c r="B747" s="236" t="s">
        <v>1465</v>
      </c>
      <c r="C747" s="236"/>
      <c r="D747" s="236"/>
      <c r="E747" s="236"/>
      <c r="F747" s="1"/>
    </row>
    <row r="748" spans="1:60" ht="15" customHeight="1" thickTop="1" thickBot="1" x14ac:dyDescent="0.3">
      <c r="A748" s="237">
        <v>1</v>
      </c>
      <c r="B748" s="239" t="s">
        <v>1466</v>
      </c>
      <c r="C748" s="236"/>
      <c r="D748" s="241"/>
      <c r="E748" s="236"/>
      <c r="F748" s="1"/>
      <c r="AD748" s="481" t="s">
        <v>1477</v>
      </c>
      <c r="AF748" s="481" t="s">
        <v>1478</v>
      </c>
      <c r="AH748" s="481" t="s">
        <v>1485</v>
      </c>
      <c r="AJ748" s="481" t="s">
        <v>1491</v>
      </c>
      <c r="AL748" s="481" t="s">
        <v>1497</v>
      </c>
      <c r="AN748" s="481" t="s">
        <v>1503</v>
      </c>
      <c r="AP748" s="481" t="s">
        <v>1509</v>
      </c>
      <c r="AR748" s="481" t="s">
        <v>1515</v>
      </c>
      <c r="AT748" s="262" t="s">
        <v>966</v>
      </c>
      <c r="AV748" s="56">
        <f t="shared" ref="AV748:AV753" si="18">IF(D748="",0,1)</f>
        <v>0</v>
      </c>
      <c r="BB748" s="56" t="s">
        <v>1528</v>
      </c>
      <c r="BD748" s="56" t="str">
        <f>IF(AND($AV$755&gt;$AX749,$AV$755&lt;=$AZ749),BD749,IF(AND($AV$755&gt;$AX750,$AV$755&lt;=$AZ750),BD750,IF(AND($AV$755&gt;$AX$751,$AV$755&lt;=$AZ751),BD751,IF(AND($AV$755&gt;$AX752,$AV$755&lt;=$AZ752),BD752,IF(AND($AV$755&gt;$AX753,$AV$755&lt;=$AZ753),BD753,"")))))</f>
        <v/>
      </c>
      <c r="BF748" s="56" t="s">
        <v>1527</v>
      </c>
      <c r="BG748" s="56" t="str">
        <f>IF(AND($AV$755&gt;$AX749,$AV$755&lt;=$AZ749),BG749,IF(AND($AV$755&gt;$AX750,$AV$755&lt;=$AZ750),BG750,IF(AND($AV$755&gt;$AX$751,$AV$755&lt;=$AZ751),BG751,IF(AND($AV$755&gt;$AX752,$AV$755&lt;=$AZ752),BG752,IF(AND($AV$755&gt;$AX753,$AV$755&lt;=$AZ753),BG753,"")))))</f>
        <v/>
      </c>
      <c r="BH748" s="56" t="s">
        <v>1536</v>
      </c>
    </row>
    <row r="749" spans="1:60" ht="15" customHeight="1" thickTop="1" thickBot="1" x14ac:dyDescent="0.3">
      <c r="A749" s="237">
        <f>A748+1</f>
        <v>2</v>
      </c>
      <c r="B749" s="239" t="s">
        <v>1467</v>
      </c>
      <c r="C749" s="236"/>
      <c r="D749" s="241"/>
      <c r="E749" s="236"/>
      <c r="F749" s="1"/>
      <c r="AC749" s="56">
        <v>0</v>
      </c>
      <c r="AD749" s="480" t="s">
        <v>1473</v>
      </c>
      <c r="AE749" s="262" t="s">
        <v>966</v>
      </c>
      <c r="AF749" s="480" t="s">
        <v>1479</v>
      </c>
      <c r="AG749" s="56" t="str">
        <f>IF($D$749=AF749,$AC749,"")</f>
        <v/>
      </c>
      <c r="AH749" s="480" t="s">
        <v>1486</v>
      </c>
      <c r="AI749" s="56" t="str">
        <f>IF($D$750=AH749,$AC749,"")</f>
        <v/>
      </c>
      <c r="AJ749" s="480" t="s">
        <v>1492</v>
      </c>
      <c r="AK749" s="56" t="str">
        <f>IF($D$751=AJ749,$AC749,"")</f>
        <v/>
      </c>
      <c r="AL749" s="480" t="s">
        <v>1498</v>
      </c>
      <c r="AM749" s="56" t="str">
        <f>IF($D$752=AL749,$AC749,"")</f>
        <v/>
      </c>
      <c r="AN749" s="480" t="s">
        <v>1504</v>
      </c>
      <c r="AO749" s="56" t="str">
        <f>IF($D$753=AN749,$AC749,"")</f>
        <v/>
      </c>
      <c r="AP749" s="480" t="s">
        <v>1510</v>
      </c>
      <c r="AQ749" s="56" t="str">
        <f>IF($D$754=AP749,$AC749,"")</f>
        <v/>
      </c>
      <c r="AR749" s="480" t="s">
        <v>1516</v>
      </c>
      <c r="AS749" s="56" t="str">
        <f>IF($D$755=AR749,$AC749,"")</f>
        <v/>
      </c>
      <c r="AT749" s="262" t="s">
        <v>966</v>
      </c>
      <c r="AU749" s="482">
        <f>B1</f>
        <v>0</v>
      </c>
      <c r="AV749" s="56">
        <f t="shared" si="18"/>
        <v>0</v>
      </c>
      <c r="AX749" s="56">
        <v>0</v>
      </c>
      <c r="AZ749" s="56">
        <v>0.2</v>
      </c>
      <c r="BD749" s="56" t="s">
        <v>1524</v>
      </c>
      <c r="BG749" s="56" t="s">
        <v>1531</v>
      </c>
    </row>
    <row r="750" spans="1:60" ht="15" customHeight="1" thickTop="1" thickBot="1" x14ac:dyDescent="0.3">
      <c r="A750" s="237">
        <f t="shared" ref="A750:A755" si="19">A749+1</f>
        <v>3</v>
      </c>
      <c r="B750" s="239" t="s">
        <v>1472</v>
      </c>
      <c r="C750" s="236"/>
      <c r="D750" s="241"/>
      <c r="E750" s="236"/>
      <c r="F750" s="1"/>
      <c r="AC750" s="56">
        <v>1</v>
      </c>
      <c r="AD750" s="480" t="s">
        <v>1474</v>
      </c>
      <c r="AE750" s="262" t="s">
        <v>966</v>
      </c>
      <c r="AF750" s="480" t="s">
        <v>1480</v>
      </c>
      <c r="AG750" s="56" t="str">
        <f>IF($D$749=AF750,$AC750,"")</f>
        <v/>
      </c>
      <c r="AH750" s="480" t="s">
        <v>1487</v>
      </c>
      <c r="AI750" s="56" t="str">
        <f>IF($D$750=AH750,$AC750,"")</f>
        <v/>
      </c>
      <c r="AJ750" s="480" t="s">
        <v>1493</v>
      </c>
      <c r="AK750" s="56" t="str">
        <f>IF($D$751=AJ750,$AC750,"")</f>
        <v/>
      </c>
      <c r="AL750" s="480" t="s">
        <v>1499</v>
      </c>
      <c r="AM750" s="56" t="str">
        <f>IF($D$752=AL750,$AC750,"")</f>
        <v/>
      </c>
      <c r="AN750" s="480" t="s">
        <v>1505</v>
      </c>
      <c r="AO750" s="56" t="str">
        <f>IF($D$753=AN750,$AC750,"")</f>
        <v/>
      </c>
      <c r="AP750" s="480" t="s">
        <v>1511</v>
      </c>
      <c r="AQ750" s="56" t="str">
        <f>IF($D$754=AP750,$AC750,"")</f>
        <v/>
      </c>
      <c r="AR750" s="480" t="s">
        <v>1517</v>
      </c>
      <c r="AS750" s="56" t="str">
        <f>IF($D$755=AR750,$AC750,"")</f>
        <v/>
      </c>
      <c r="AT750" s="262" t="s">
        <v>966</v>
      </c>
      <c r="AU750" s="482">
        <f>B2</f>
        <v>0</v>
      </c>
      <c r="AV750" s="56">
        <f t="shared" si="18"/>
        <v>0</v>
      </c>
      <c r="AX750" s="56">
        <f>AZ749</f>
        <v>0.2</v>
      </c>
      <c r="AZ750" s="56">
        <f>AZ749+0.2</f>
        <v>0.4</v>
      </c>
      <c r="BD750" s="56" t="s">
        <v>1525</v>
      </c>
      <c r="BG750" s="56" t="s">
        <v>1532</v>
      </c>
    </row>
    <row r="751" spans="1:60" ht="15" customHeight="1" thickTop="1" thickBot="1" x14ac:dyDescent="0.3">
      <c r="A751" s="237">
        <f t="shared" si="19"/>
        <v>4</v>
      </c>
      <c r="B751" s="239" t="s">
        <v>1468</v>
      </c>
      <c r="C751" s="236"/>
      <c r="D751" s="241"/>
      <c r="E751" s="236"/>
      <c r="F751" s="1"/>
      <c r="AC751" s="56">
        <v>2</v>
      </c>
      <c r="AD751" s="480" t="s">
        <v>1475</v>
      </c>
      <c r="AE751" s="262" t="s">
        <v>966</v>
      </c>
      <c r="AF751" s="480" t="s">
        <v>1481</v>
      </c>
      <c r="AG751" s="56" t="str">
        <f>IF($D$749=AF751,$AC751,"")</f>
        <v/>
      </c>
      <c r="AH751" s="480" t="s">
        <v>1488</v>
      </c>
      <c r="AI751" s="56" t="str">
        <f>IF($D$750=AH751,$AC751,"")</f>
        <v/>
      </c>
      <c r="AJ751" s="480" t="s">
        <v>1494</v>
      </c>
      <c r="AK751" s="56" t="str">
        <f>IF($D$751=AJ751,$AC751,"")</f>
        <v/>
      </c>
      <c r="AL751" s="480" t="s">
        <v>1500</v>
      </c>
      <c r="AM751" s="56" t="str">
        <f>IF($D$752=AL751,$AC751,"")</f>
        <v/>
      </c>
      <c r="AN751" s="480" t="s">
        <v>1506</v>
      </c>
      <c r="AO751" s="56" t="str">
        <f>IF($D$753=AN751,$AC751,"")</f>
        <v/>
      </c>
      <c r="AP751" s="480" t="s">
        <v>1512</v>
      </c>
      <c r="AQ751" s="56" t="str">
        <f>IF($D$754=AP751,$AC751,"")</f>
        <v/>
      </c>
      <c r="AR751" s="480" t="s">
        <v>1538</v>
      </c>
      <c r="AS751" s="56" t="str">
        <f>IF($D$755=AR751,$AC751,"")</f>
        <v/>
      </c>
      <c r="AT751" s="262" t="s">
        <v>966</v>
      </c>
      <c r="AV751" s="56">
        <f t="shared" si="18"/>
        <v>0</v>
      </c>
      <c r="AX751" s="56">
        <f>AZ750</f>
        <v>0.4</v>
      </c>
      <c r="AZ751" s="56">
        <f>AZ750+0.2</f>
        <v>0.60000000000000009</v>
      </c>
      <c r="BD751" s="56" t="s">
        <v>1530</v>
      </c>
      <c r="BG751" s="56" t="s">
        <v>1533</v>
      </c>
    </row>
    <row r="752" spans="1:60" ht="15" customHeight="1" thickTop="1" thickBot="1" x14ac:dyDescent="0.3">
      <c r="A752" s="237">
        <f t="shared" si="19"/>
        <v>5</v>
      </c>
      <c r="B752" s="239" t="s">
        <v>1469</v>
      </c>
      <c r="C752" s="236"/>
      <c r="D752" s="241"/>
      <c r="E752" s="236"/>
      <c r="F752" s="1"/>
      <c r="AC752" s="56">
        <v>3</v>
      </c>
      <c r="AD752" s="480" t="s">
        <v>1523</v>
      </c>
      <c r="AE752" s="262" t="s">
        <v>966</v>
      </c>
      <c r="AF752" s="480" t="s">
        <v>1482</v>
      </c>
      <c r="AG752" s="56" t="str">
        <f>IF($D$749=AF752,$AC752,"")</f>
        <v/>
      </c>
      <c r="AH752" s="480" t="s">
        <v>1489</v>
      </c>
      <c r="AI752" s="56" t="str">
        <f>IF($D$750=AH752,$AC752,"")</f>
        <v/>
      </c>
      <c r="AJ752" s="480" t="s">
        <v>1495</v>
      </c>
      <c r="AK752" s="56" t="str">
        <f>IF($D$751=AJ752,$AC752,"")</f>
        <v/>
      </c>
      <c r="AL752" s="480" t="s">
        <v>1501</v>
      </c>
      <c r="AM752" s="56" t="str">
        <f>IF($D$752=AL752,$AC752,"")</f>
        <v/>
      </c>
      <c r="AN752" s="480" t="s">
        <v>1507</v>
      </c>
      <c r="AO752" s="56" t="str">
        <f>IF($D$753=AN752,$AC752,"")</f>
        <v/>
      </c>
      <c r="AP752" s="480" t="s">
        <v>1513</v>
      </c>
      <c r="AQ752" s="56" t="str">
        <f>IF($D$754=AP752,$AC752,"")</f>
        <v/>
      </c>
      <c r="AR752" s="480" t="s">
        <v>1518</v>
      </c>
      <c r="AS752" s="56" t="str">
        <f>IF($D$755=AR752,$AC752,"")</f>
        <v/>
      </c>
      <c r="AT752" s="262" t="s">
        <v>966</v>
      </c>
      <c r="AV752" s="56">
        <f t="shared" si="18"/>
        <v>0</v>
      </c>
      <c r="AX752" s="56">
        <f>AZ751</f>
        <v>0.60000000000000009</v>
      </c>
      <c r="AZ752" s="56">
        <f>AZ751+0.2</f>
        <v>0.8</v>
      </c>
      <c r="BD752" s="56" t="s">
        <v>1526</v>
      </c>
      <c r="BG752" s="56" t="s">
        <v>1534</v>
      </c>
    </row>
    <row r="753" spans="1:59" ht="15" customHeight="1" thickTop="1" thickBot="1" x14ac:dyDescent="0.3">
      <c r="A753" s="237">
        <f t="shared" si="19"/>
        <v>6</v>
      </c>
      <c r="B753" s="239" t="s">
        <v>1470</v>
      </c>
      <c r="C753" s="236"/>
      <c r="D753" s="241"/>
      <c r="E753" s="236"/>
      <c r="F753" s="1"/>
      <c r="AC753" s="56">
        <v>4</v>
      </c>
      <c r="AD753" s="480" t="s">
        <v>1476</v>
      </c>
      <c r="AE753" s="262" t="s">
        <v>966</v>
      </c>
      <c r="AF753" s="480" t="s">
        <v>1483</v>
      </c>
      <c r="AG753" s="56" t="str">
        <f>IF($D$749=AF753,$AC753,"")</f>
        <v/>
      </c>
      <c r="AH753" s="480" t="s">
        <v>1490</v>
      </c>
      <c r="AI753" s="56" t="str">
        <f>IF($D$750=AH753,$AC753,"")</f>
        <v/>
      </c>
      <c r="AJ753" s="480" t="s">
        <v>1496</v>
      </c>
      <c r="AK753" s="56" t="str">
        <f>IF($D$751=AJ753,$AC753,"")</f>
        <v/>
      </c>
      <c r="AL753" s="480" t="s">
        <v>1502</v>
      </c>
      <c r="AM753" s="56" t="str">
        <f>IF($D$752=AL753,$AC753,"")</f>
        <v/>
      </c>
      <c r="AN753" s="480" t="s">
        <v>1508</v>
      </c>
      <c r="AO753" s="56" t="str">
        <f>IF($D$753=AN753,$AC753,"")</f>
        <v/>
      </c>
      <c r="AP753" s="480" t="s">
        <v>1514</v>
      </c>
      <c r="AQ753" s="56" t="str">
        <f>IF($D$754=AP753,$AC753,"")</f>
        <v/>
      </c>
      <c r="AR753" s="480" t="s">
        <v>1519</v>
      </c>
      <c r="AS753" s="56" t="str">
        <f>IF($D$755=AR753,$AC753,"")</f>
        <v/>
      </c>
      <c r="AT753" s="262" t="s">
        <v>966</v>
      </c>
      <c r="AV753" s="56">
        <f t="shared" si="18"/>
        <v>0</v>
      </c>
      <c r="AX753" s="56">
        <f>AZ752</f>
        <v>0.8</v>
      </c>
      <c r="AZ753" s="56">
        <f>AZ752+0.2</f>
        <v>1</v>
      </c>
      <c r="BD753" s="56" t="s">
        <v>1529</v>
      </c>
      <c r="BG753" s="56" t="s">
        <v>1535</v>
      </c>
    </row>
    <row r="754" spans="1:59" ht="15" customHeight="1" thickTop="1" thickBot="1" x14ac:dyDescent="0.3">
      <c r="A754" s="237">
        <f t="shared" si="19"/>
        <v>7</v>
      </c>
      <c r="B754" s="239" t="s">
        <v>1471</v>
      </c>
      <c r="C754" s="236"/>
      <c r="D754" s="241"/>
      <c r="E754" s="236"/>
      <c r="F754" s="1"/>
      <c r="AD754" s="480" t="s">
        <v>993</v>
      </c>
      <c r="AE754" s="262" t="s">
        <v>966</v>
      </c>
      <c r="AF754" s="480" t="s">
        <v>1484</v>
      </c>
      <c r="AG754" s="56">
        <f>SUM(AG749:AG753)</f>
        <v>0</v>
      </c>
      <c r="AI754" s="56">
        <f>SUM(AI749:AI753)</f>
        <v>0</v>
      </c>
      <c r="AK754" s="56">
        <f>SUM(AK749:AK753)</f>
        <v>0</v>
      </c>
      <c r="AM754" s="56">
        <f>SUM(AM749:AM753)</f>
        <v>0</v>
      </c>
      <c r="AO754" s="56">
        <f>SUM(AO749:AO753)</f>
        <v>0</v>
      </c>
      <c r="AQ754" s="56">
        <f>SUM(AQ749:AQ753)</f>
        <v>0</v>
      </c>
      <c r="AS754" s="56">
        <f>SUM(AS749:AS753)</f>
        <v>0</v>
      </c>
      <c r="AT754" s="262" t="s">
        <v>966</v>
      </c>
      <c r="AU754" s="60">
        <f>SUM(AG754:AS754)</f>
        <v>0</v>
      </c>
      <c r="AV754" s="56">
        <f>SUM(AV749:AV753)</f>
        <v>0</v>
      </c>
      <c r="BB754" s="56" t="str">
        <f>CONCATENATE(BB748,BD748,BF748,BG748,BH748)</f>
        <v>This claimant  the legal-judicial process. Its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v>
      </c>
    </row>
    <row r="755" spans="1:59" ht="15" customHeight="1" thickTop="1" thickBot="1" x14ac:dyDescent="0.3">
      <c r="A755" s="237">
        <f t="shared" si="19"/>
        <v>8</v>
      </c>
      <c r="B755" s="239" t="s">
        <v>1520</v>
      </c>
      <c r="C755" s="236"/>
      <c r="D755" s="241"/>
      <c r="E755" s="236"/>
      <c r="F755" s="1"/>
      <c r="AU755" s="56">
        <v>24</v>
      </c>
      <c r="AV755" s="56">
        <f>AU754/AU755</f>
        <v>0</v>
      </c>
      <c r="BB755" s="56" t="s">
        <v>1537</v>
      </c>
    </row>
    <row r="756" spans="1:59" ht="15" customHeight="1" thickTop="1" x14ac:dyDescent="0.25">
      <c r="A756" s="237"/>
      <c r="B756" s="236"/>
      <c r="C756" s="236"/>
      <c r="D756" s="236"/>
      <c r="E756" s="236"/>
      <c r="F756" s="1"/>
      <c r="BB756" s="56" t="str">
        <f>IF(AND(AV748&gt;0,AV754&gt;0),BB754,BB755)</f>
        <v>Unsatisfactory outcomes and impacts from the adversarial legal-judicial system helps account for the estimated high volume of unexonerated innocent. This tool exists independent of the judiciary and can either complement it or compete with it. Legitimacy of the adversarial legal-judicial process hangs in the balance.</v>
      </c>
    </row>
    <row r="757" spans="1:59" ht="15" customHeight="1" x14ac:dyDescent="0.25">
      <c r="A757" s="237"/>
      <c r="B757" s="583" t="str">
        <f>BB756</f>
        <v>Unsatisfactory outcomes and impacts from the adversarial legal-judicial system helps account for the estimated high volume of unexonerated innocent. This tool exists independent of the judiciary and can either complement it or compete with it. Legitimacy of the adversarial legal-judicial process hangs in the balance.</v>
      </c>
      <c r="C757" s="583"/>
      <c r="D757" s="583"/>
      <c r="E757" s="236"/>
      <c r="F757" s="1"/>
      <c r="BB757" s="56"/>
    </row>
    <row r="758" spans="1:59" ht="15" customHeight="1" x14ac:dyDescent="0.25">
      <c r="A758" s="237"/>
      <c r="B758" s="583"/>
      <c r="C758" s="583"/>
      <c r="D758" s="583"/>
      <c r="E758" s="236"/>
      <c r="F758" s="1"/>
      <c r="BB758" s="56"/>
    </row>
    <row r="759" spans="1:59" ht="15" customHeight="1" x14ac:dyDescent="0.25">
      <c r="A759" s="237"/>
      <c r="B759" s="583"/>
      <c r="C759" s="583"/>
      <c r="D759" s="583"/>
      <c r="E759" s="236"/>
      <c r="F759" s="1"/>
      <c r="BB759" s="56"/>
    </row>
    <row r="760" spans="1:59" ht="15" customHeight="1" x14ac:dyDescent="0.25">
      <c r="A760" s="237"/>
      <c r="B760" s="583"/>
      <c r="C760" s="583"/>
      <c r="D760" s="583"/>
      <c r="E760" s="236"/>
      <c r="F760" s="1"/>
      <c r="BB760" s="56"/>
    </row>
    <row r="761" spans="1:59" ht="10.050000000000001" customHeight="1" x14ac:dyDescent="0.25">
      <c r="A761" s="237"/>
      <c r="B761" s="236"/>
      <c r="C761" s="236"/>
      <c r="D761" s="236"/>
      <c r="E761" s="236"/>
      <c r="F761" s="1"/>
      <c r="BB761" s="56"/>
    </row>
    <row r="762" spans="1:59" ht="30" customHeight="1" x14ac:dyDescent="0.25">
      <c r="A762" s="46" t="s">
        <v>91</v>
      </c>
      <c r="B762" s="46" t="s">
        <v>1540</v>
      </c>
      <c r="C762" s="46"/>
      <c r="D762" s="45"/>
      <c r="E762" s="475"/>
      <c r="F762" s="475" t="s">
        <v>949</v>
      </c>
      <c r="BB762" s="56"/>
    </row>
    <row r="763" spans="1:59" ht="17.399999999999999" x14ac:dyDescent="0.25">
      <c r="A763" s="108"/>
      <c r="B763" s="109" t="s">
        <v>480</v>
      </c>
      <c r="C763" s="109"/>
      <c r="D763" s="109"/>
      <c r="E763" s="110"/>
      <c r="F763" s="108"/>
      <c r="BB763" s="56"/>
    </row>
    <row r="764" spans="1:59" x14ac:dyDescent="0.25">
      <c r="A764" s="242"/>
      <c r="B764" s="92"/>
      <c r="C764" s="92"/>
      <c r="D764" s="92"/>
      <c r="E764" s="92"/>
      <c r="F764" s="1"/>
      <c r="BB764" s="56"/>
    </row>
    <row r="765" spans="1:59" ht="160.05000000000001" customHeight="1" x14ac:dyDescent="0.25">
      <c r="A765" s="242"/>
      <c r="B765" s="243" t="s">
        <v>481</v>
      </c>
      <c r="C765" s="92"/>
      <c r="D765" s="92"/>
      <c r="E765" s="92"/>
      <c r="F765" s="1"/>
      <c r="BB765" s="56"/>
    </row>
    <row r="766" spans="1:59" x14ac:dyDescent="0.25">
      <c r="A766" s="242"/>
      <c r="B766" s="92"/>
      <c r="C766" s="92"/>
      <c r="D766" s="92"/>
      <c r="E766" s="92"/>
      <c r="F766" s="1"/>
      <c r="BB766" s="56"/>
    </row>
    <row r="767" spans="1:59" ht="15.6" x14ac:dyDescent="0.25">
      <c r="A767" s="244">
        <f>A746+1</f>
        <v>64</v>
      </c>
      <c r="B767" s="244" t="s">
        <v>482</v>
      </c>
      <c r="C767" s="244"/>
      <c r="D767" s="244"/>
      <c r="E767" s="92"/>
      <c r="F767" s="1"/>
      <c r="BB767" s="56"/>
    </row>
    <row r="768" spans="1:59" ht="15.6" x14ac:dyDescent="0.3">
      <c r="A768" s="242"/>
      <c r="B768" s="245" t="s">
        <v>483</v>
      </c>
      <c r="C768" s="246"/>
      <c r="D768" s="246"/>
      <c r="E768" s="92"/>
      <c r="F768" s="1"/>
      <c r="AC768" s="56">
        <v>0</v>
      </c>
      <c r="AD768" s="56">
        <v>1</v>
      </c>
      <c r="AE768" s="56">
        <v>2</v>
      </c>
      <c r="AG768" s="56">
        <v>1</v>
      </c>
      <c r="AH768" s="56">
        <v>2</v>
      </c>
      <c r="AI768" s="56">
        <v>3</v>
      </c>
      <c r="AK768" s="56" t="s">
        <v>484</v>
      </c>
      <c r="BB768" s="56"/>
    </row>
    <row r="769" spans="1:54" ht="4.95" customHeight="1" x14ac:dyDescent="0.25">
      <c r="A769" s="242"/>
      <c r="B769" s="92"/>
      <c r="C769" s="92"/>
      <c r="D769" s="92"/>
      <c r="E769" s="92"/>
      <c r="F769" s="1"/>
      <c r="BB769" s="56"/>
    </row>
    <row r="770" spans="1:54" x14ac:dyDescent="0.25">
      <c r="A770" s="242"/>
      <c r="B770" s="247"/>
      <c r="C770" s="248" t="s">
        <v>486</v>
      </c>
      <c r="D770" s="247"/>
      <c r="E770" s="92"/>
      <c r="F770" s="1"/>
      <c r="AC770" s="9" t="str">
        <f t="shared" ref="AC770:AC789" si="20">IF($B770=$B$1908,AC$768,"")</f>
        <v/>
      </c>
      <c r="AD770" s="11" t="str">
        <f t="shared" ref="AD770:AD789" si="21">IF($B770=$B$1909,AD$768,"")</f>
        <v/>
      </c>
      <c r="AE770" s="249" t="str">
        <f t="shared" ref="AE770:AE789" si="22">IF($B770=$B$1910,AE$768,"")</f>
        <v/>
      </c>
      <c r="AF770" s="56">
        <f t="shared" ref="AF770:AF789" si="23">SUM(AC770:AE770)</f>
        <v>0</v>
      </c>
      <c r="AG770" s="250" t="str">
        <f t="shared" ref="AG770:AG789" si="24">IF($D770=$B$1912,AG$768,"")</f>
        <v/>
      </c>
      <c r="AH770" s="250" t="str">
        <f t="shared" ref="AH770:AH789" si="25">IF($D770=$B$1913,AH$768,"")</f>
        <v/>
      </c>
      <c r="AI770" s="250" t="str">
        <f t="shared" ref="AI770:AI789" si="26">IF($D770=$B$1914,AI$768,"")</f>
        <v/>
      </c>
      <c r="AJ770" s="56">
        <f>SUM(AG770:AI770)</f>
        <v>0</v>
      </c>
      <c r="AL770" s="56">
        <f>IF(AF770=0,(AJ770-AJ770),AJ770)</f>
        <v>0</v>
      </c>
      <c r="AO770" s="56">
        <f>AF770+AL770</f>
        <v>0</v>
      </c>
      <c r="AS770" s="56">
        <v>0</v>
      </c>
      <c r="AT770" s="56">
        <v>20</v>
      </c>
      <c r="AV770" s="56" t="s">
        <v>488</v>
      </c>
      <c r="BB770" s="56"/>
    </row>
    <row r="771" spans="1:54" x14ac:dyDescent="0.25">
      <c r="A771" s="242"/>
      <c r="B771" s="247"/>
      <c r="C771" s="248" t="s">
        <v>489</v>
      </c>
      <c r="D771" s="247"/>
      <c r="E771" s="92"/>
      <c r="F771" s="1"/>
      <c r="AC771" s="9" t="str">
        <f t="shared" si="20"/>
        <v/>
      </c>
      <c r="AD771" s="11" t="str">
        <f t="shared" si="21"/>
        <v/>
      </c>
      <c r="AE771" s="249" t="str">
        <f t="shared" si="22"/>
        <v/>
      </c>
      <c r="AF771" s="56">
        <f t="shared" si="23"/>
        <v>0</v>
      </c>
      <c r="AG771" s="250" t="str">
        <f t="shared" si="24"/>
        <v/>
      </c>
      <c r="AH771" s="250" t="str">
        <f t="shared" si="25"/>
        <v/>
      </c>
      <c r="AI771" s="250" t="str">
        <f t="shared" si="26"/>
        <v/>
      </c>
      <c r="AJ771" s="56">
        <f>SUM(AG771:AI771)</f>
        <v>0</v>
      </c>
      <c r="AL771" s="56">
        <f>IF(AF771=0,(AJ771-AJ771),AJ771)</f>
        <v>0</v>
      </c>
      <c r="AO771" s="56">
        <f>AF771+AL771</f>
        <v>0</v>
      </c>
      <c r="AS771" s="56">
        <f>AT770+1</f>
        <v>21</v>
      </c>
      <c r="AT771" s="56">
        <f>AT770+AT$770</f>
        <v>40</v>
      </c>
      <c r="AV771" s="56" t="s">
        <v>490</v>
      </c>
      <c r="BB771" s="56"/>
    </row>
    <row r="772" spans="1:54" x14ac:dyDescent="0.25">
      <c r="A772" s="242"/>
      <c r="B772" s="247"/>
      <c r="C772" s="248" t="s">
        <v>491</v>
      </c>
      <c r="D772" s="247"/>
      <c r="E772" s="92"/>
      <c r="F772" s="1"/>
      <c r="AC772" s="9" t="str">
        <f t="shared" si="20"/>
        <v/>
      </c>
      <c r="AD772" s="11" t="str">
        <f t="shared" si="21"/>
        <v/>
      </c>
      <c r="AE772" s="249" t="str">
        <f t="shared" si="22"/>
        <v/>
      </c>
      <c r="AF772" s="56">
        <f t="shared" si="23"/>
        <v>0</v>
      </c>
      <c r="AG772" s="250" t="str">
        <f t="shared" si="24"/>
        <v/>
      </c>
      <c r="AH772" s="250" t="str">
        <f t="shared" si="25"/>
        <v/>
      </c>
      <c r="AI772" s="250" t="str">
        <f t="shared" si="26"/>
        <v/>
      </c>
      <c r="AJ772" s="56">
        <f>SUM(AG772:AI772)</f>
        <v>0</v>
      </c>
      <c r="AL772" s="56">
        <f>IF(AF772=0,(AJ772-AJ772),AJ772)</f>
        <v>0</v>
      </c>
      <c r="AO772" s="56">
        <f>AF772+AL772</f>
        <v>0</v>
      </c>
      <c r="AS772" s="56">
        <f t="shared" ref="AS772:AS779" si="27">AT771+1</f>
        <v>41</v>
      </c>
      <c r="AT772" s="56">
        <f>AT771+AT$770</f>
        <v>60</v>
      </c>
      <c r="AV772" s="56" t="s">
        <v>492</v>
      </c>
      <c r="BB772" s="56"/>
    </row>
    <row r="773" spans="1:54" x14ac:dyDescent="0.25">
      <c r="A773" s="242"/>
      <c r="B773" s="247"/>
      <c r="C773" s="248" t="s">
        <v>493</v>
      </c>
      <c r="D773" s="247"/>
      <c r="E773" s="92"/>
      <c r="F773" s="1"/>
      <c r="AC773" s="9" t="str">
        <f t="shared" si="20"/>
        <v/>
      </c>
      <c r="AD773" s="11" t="str">
        <f t="shared" si="21"/>
        <v/>
      </c>
      <c r="AE773" s="249" t="str">
        <f t="shared" si="22"/>
        <v/>
      </c>
      <c r="AF773" s="56">
        <f t="shared" si="23"/>
        <v>0</v>
      </c>
      <c r="AG773" s="250" t="str">
        <f t="shared" si="24"/>
        <v/>
      </c>
      <c r="AH773" s="250" t="str">
        <f t="shared" si="25"/>
        <v/>
      </c>
      <c r="AI773" s="250" t="str">
        <f t="shared" si="26"/>
        <v/>
      </c>
      <c r="AJ773" s="56">
        <f>SUM(AG773:AI773)</f>
        <v>0</v>
      </c>
      <c r="AL773" s="56">
        <f>IF(AF773=0,(AJ773-AJ773),AJ773)</f>
        <v>0</v>
      </c>
      <c r="AO773" s="56">
        <f>AF773+AL773</f>
        <v>0</v>
      </c>
      <c r="AS773" s="56">
        <f t="shared" si="27"/>
        <v>61</v>
      </c>
      <c r="AT773" s="56">
        <f>AT772+AT$770</f>
        <v>80</v>
      </c>
      <c r="AV773" s="56" t="s">
        <v>495</v>
      </c>
      <c r="BB773" s="56"/>
    </row>
    <row r="774" spans="1:54" x14ac:dyDescent="0.25">
      <c r="A774" s="242"/>
      <c r="B774" s="247"/>
      <c r="C774" s="248" t="s">
        <v>496</v>
      </c>
      <c r="D774" s="247"/>
      <c r="E774" s="92"/>
      <c r="F774" s="1"/>
      <c r="AC774" s="9" t="str">
        <f t="shared" si="20"/>
        <v/>
      </c>
      <c r="AD774" s="11" t="str">
        <f t="shared" si="21"/>
        <v/>
      </c>
      <c r="AE774" s="249" t="str">
        <f t="shared" si="22"/>
        <v/>
      </c>
      <c r="AF774" s="56">
        <f>SUM(AC774:AE774)</f>
        <v>0</v>
      </c>
      <c r="AG774" s="250" t="str">
        <f t="shared" si="24"/>
        <v/>
      </c>
      <c r="AH774" s="250" t="str">
        <f t="shared" si="25"/>
        <v/>
      </c>
      <c r="AI774" s="250" t="str">
        <f t="shared" si="26"/>
        <v/>
      </c>
      <c r="AJ774" s="56">
        <f>SUM(AG774:AI774)</f>
        <v>0</v>
      </c>
      <c r="AL774" s="56">
        <f>IF(AF774=0,(AJ774-AJ774),AJ774)</f>
        <v>0</v>
      </c>
      <c r="AO774" s="56">
        <f>AF774+AL774</f>
        <v>0</v>
      </c>
      <c r="AS774" s="56">
        <f t="shared" si="27"/>
        <v>81</v>
      </c>
      <c r="AT774" s="56">
        <f>AT773+AT$770+1</f>
        <v>101</v>
      </c>
      <c r="AV774" s="56" t="s">
        <v>497</v>
      </c>
      <c r="BB774" s="56"/>
    </row>
    <row r="775" spans="1:54" x14ac:dyDescent="0.25">
      <c r="A775" s="242"/>
      <c r="B775" s="247"/>
      <c r="C775" s="248" t="s">
        <v>498</v>
      </c>
      <c r="D775" s="247"/>
      <c r="E775" s="92"/>
      <c r="F775" s="1"/>
      <c r="AC775" s="9" t="str">
        <f t="shared" si="20"/>
        <v/>
      </c>
      <c r="AD775" s="11" t="str">
        <f t="shared" si="21"/>
        <v/>
      </c>
      <c r="AE775" s="249" t="str">
        <f t="shared" si="22"/>
        <v/>
      </c>
      <c r="AF775" s="56">
        <f t="shared" si="23"/>
        <v>0</v>
      </c>
      <c r="AG775" s="250" t="str">
        <f t="shared" si="24"/>
        <v/>
      </c>
      <c r="AH775" s="250" t="str">
        <f t="shared" si="25"/>
        <v/>
      </c>
      <c r="AI775" s="250" t="str">
        <f t="shared" si="26"/>
        <v/>
      </c>
      <c r="AJ775" s="56">
        <f t="shared" ref="AJ775:AJ789" si="28">SUM(AG775:AI775)</f>
        <v>0</v>
      </c>
      <c r="AL775" s="56">
        <f t="shared" ref="AL775:AL789" si="29">IF(AF775=0,(AJ775-AJ775),AJ775)</f>
        <v>0</v>
      </c>
      <c r="AO775" s="56">
        <f t="shared" ref="AO775:AO789" si="30">AF775+AL775</f>
        <v>0</v>
      </c>
      <c r="AS775" s="56">
        <f t="shared" si="27"/>
        <v>102</v>
      </c>
      <c r="AT775" s="56">
        <f>AT774+AT$770</f>
        <v>121</v>
      </c>
      <c r="BB775" s="56"/>
    </row>
    <row r="776" spans="1:54" x14ac:dyDescent="0.25">
      <c r="A776" s="242"/>
      <c r="B776" s="247"/>
      <c r="C776" s="248" t="s">
        <v>499</v>
      </c>
      <c r="D776" s="247"/>
      <c r="E776" s="92"/>
      <c r="F776" s="1"/>
      <c r="AC776" s="9" t="str">
        <f t="shared" si="20"/>
        <v/>
      </c>
      <c r="AD776" s="11" t="str">
        <f t="shared" si="21"/>
        <v/>
      </c>
      <c r="AE776" s="249" t="str">
        <f t="shared" si="22"/>
        <v/>
      </c>
      <c r="AF776" s="56">
        <f t="shared" si="23"/>
        <v>0</v>
      </c>
      <c r="AG776" s="250" t="str">
        <f t="shared" si="24"/>
        <v/>
      </c>
      <c r="AH776" s="250" t="str">
        <f t="shared" si="25"/>
        <v/>
      </c>
      <c r="AI776" s="250" t="str">
        <f t="shared" si="26"/>
        <v/>
      </c>
      <c r="AJ776" s="56">
        <f t="shared" si="28"/>
        <v>0</v>
      </c>
      <c r="AL776" s="56">
        <f t="shared" si="29"/>
        <v>0</v>
      </c>
      <c r="AO776" s="56">
        <f t="shared" si="30"/>
        <v>0</v>
      </c>
      <c r="AS776" s="56">
        <f t="shared" si="27"/>
        <v>122</v>
      </c>
      <c r="AT776" s="56">
        <f>AT775+AT$770</f>
        <v>141</v>
      </c>
      <c r="BB776" s="56"/>
    </row>
    <row r="777" spans="1:54" x14ac:dyDescent="0.25">
      <c r="A777" s="242"/>
      <c r="B777" s="247"/>
      <c r="C777" s="248" t="s">
        <v>500</v>
      </c>
      <c r="D777" s="247"/>
      <c r="E777" s="92"/>
      <c r="F777" s="1"/>
      <c r="AC777" s="9" t="str">
        <f t="shared" si="20"/>
        <v/>
      </c>
      <c r="AD777" s="11" t="str">
        <f t="shared" si="21"/>
        <v/>
      </c>
      <c r="AE777" s="249" t="str">
        <f t="shared" si="22"/>
        <v/>
      </c>
      <c r="AF777" s="56">
        <f t="shared" si="23"/>
        <v>0</v>
      </c>
      <c r="AG777" s="250" t="str">
        <f t="shared" si="24"/>
        <v/>
      </c>
      <c r="AH777" s="250" t="str">
        <f t="shared" si="25"/>
        <v/>
      </c>
      <c r="AI777" s="250" t="str">
        <f t="shared" si="26"/>
        <v/>
      </c>
      <c r="AJ777" s="56">
        <f t="shared" si="28"/>
        <v>0</v>
      </c>
      <c r="AL777" s="56">
        <f t="shared" si="29"/>
        <v>0</v>
      </c>
      <c r="AO777" s="56">
        <f t="shared" si="30"/>
        <v>0</v>
      </c>
      <c r="AS777" s="56">
        <f t="shared" si="27"/>
        <v>142</v>
      </c>
      <c r="AT777" s="56">
        <f>AT776+AT$770</f>
        <v>161</v>
      </c>
      <c r="BB777" s="56"/>
    </row>
    <row r="778" spans="1:54" x14ac:dyDescent="0.25">
      <c r="A778" s="242"/>
      <c r="B778" s="247"/>
      <c r="C778" s="248" t="s">
        <v>501</v>
      </c>
      <c r="D778" s="247"/>
      <c r="E778" s="92"/>
      <c r="F778" s="1"/>
      <c r="AC778" s="9" t="str">
        <f t="shared" si="20"/>
        <v/>
      </c>
      <c r="AD778" s="11" t="str">
        <f t="shared" si="21"/>
        <v/>
      </c>
      <c r="AE778" s="249" t="str">
        <f t="shared" si="22"/>
        <v/>
      </c>
      <c r="AF778" s="56">
        <f t="shared" si="23"/>
        <v>0</v>
      </c>
      <c r="AG778" s="250" t="str">
        <f t="shared" si="24"/>
        <v/>
      </c>
      <c r="AH778" s="250" t="str">
        <f t="shared" si="25"/>
        <v/>
      </c>
      <c r="AI778" s="250" t="str">
        <f t="shared" si="26"/>
        <v/>
      </c>
      <c r="AJ778" s="56">
        <f t="shared" si="28"/>
        <v>0</v>
      </c>
      <c r="AL778" s="56">
        <f t="shared" si="29"/>
        <v>0</v>
      </c>
      <c r="AO778" s="56">
        <f t="shared" si="30"/>
        <v>0</v>
      </c>
      <c r="AS778" s="56">
        <f t="shared" si="27"/>
        <v>162</v>
      </c>
      <c r="AT778" s="56">
        <f>AT777+AT$770</f>
        <v>181</v>
      </c>
      <c r="BB778" s="56"/>
    </row>
    <row r="779" spans="1:54" x14ac:dyDescent="0.25">
      <c r="A779" s="242"/>
      <c r="B779" s="247"/>
      <c r="C779" s="248" t="s">
        <v>502</v>
      </c>
      <c r="D779" s="247"/>
      <c r="E779" s="92"/>
      <c r="F779" s="1"/>
      <c r="AC779" s="9" t="str">
        <f t="shared" si="20"/>
        <v/>
      </c>
      <c r="AD779" s="11" t="str">
        <f t="shared" si="21"/>
        <v/>
      </c>
      <c r="AE779" s="249" t="str">
        <f t="shared" si="22"/>
        <v/>
      </c>
      <c r="AF779" s="56">
        <f t="shared" si="23"/>
        <v>0</v>
      </c>
      <c r="AG779" s="250" t="str">
        <f t="shared" si="24"/>
        <v/>
      </c>
      <c r="AH779" s="250" t="str">
        <f t="shared" si="25"/>
        <v/>
      </c>
      <c r="AI779" s="250" t="str">
        <f t="shared" si="26"/>
        <v/>
      </c>
      <c r="AJ779" s="56">
        <f t="shared" si="28"/>
        <v>0</v>
      </c>
      <c r="AL779" s="56">
        <f t="shared" si="29"/>
        <v>0</v>
      </c>
      <c r="AO779" s="56">
        <f t="shared" si="30"/>
        <v>0</v>
      </c>
      <c r="AS779" s="56">
        <f t="shared" si="27"/>
        <v>182</v>
      </c>
      <c r="AT779" s="56">
        <f>AT778+AT$770</f>
        <v>201</v>
      </c>
      <c r="BB779" s="56"/>
    </row>
    <row r="780" spans="1:54" x14ac:dyDescent="0.25">
      <c r="A780" s="242"/>
      <c r="B780" s="247"/>
      <c r="C780" s="248" t="s">
        <v>504</v>
      </c>
      <c r="D780" s="247"/>
      <c r="E780" s="92"/>
      <c r="F780" s="1"/>
      <c r="AC780" s="9" t="str">
        <f t="shared" si="20"/>
        <v/>
      </c>
      <c r="AD780" s="11" t="str">
        <f t="shared" si="21"/>
        <v/>
      </c>
      <c r="AE780" s="249" t="str">
        <f t="shared" si="22"/>
        <v/>
      </c>
      <c r="AF780" s="56">
        <f t="shared" si="23"/>
        <v>0</v>
      </c>
      <c r="AG780" s="250" t="str">
        <f t="shared" si="24"/>
        <v/>
      </c>
      <c r="AH780" s="250" t="str">
        <f t="shared" si="25"/>
        <v/>
      </c>
      <c r="AI780" s="250" t="str">
        <f t="shared" si="26"/>
        <v/>
      </c>
      <c r="AJ780" s="56">
        <f t="shared" si="28"/>
        <v>0</v>
      </c>
      <c r="AL780" s="56">
        <f t="shared" si="29"/>
        <v>0</v>
      </c>
      <c r="AO780" s="56">
        <f t="shared" si="30"/>
        <v>0</v>
      </c>
      <c r="BB780" s="56"/>
    </row>
    <row r="781" spans="1:54" ht="14.4" x14ac:dyDescent="0.3">
      <c r="A781" s="242"/>
      <c r="B781" s="247"/>
      <c r="C781" s="248" t="s">
        <v>505</v>
      </c>
      <c r="D781" s="247"/>
      <c r="E781" s="92"/>
      <c r="F781" s="1"/>
      <c r="AC781" s="9" t="str">
        <f t="shared" si="20"/>
        <v/>
      </c>
      <c r="AD781" s="11" t="str">
        <f t="shared" si="21"/>
        <v/>
      </c>
      <c r="AE781" s="249" t="str">
        <f t="shared" si="22"/>
        <v/>
      </c>
      <c r="AF781" s="56">
        <f t="shared" si="23"/>
        <v>0</v>
      </c>
      <c r="AG781" s="250" t="str">
        <f t="shared" si="24"/>
        <v/>
      </c>
      <c r="AH781" s="250" t="str">
        <f t="shared" si="25"/>
        <v/>
      </c>
      <c r="AI781" s="250" t="str">
        <f t="shared" si="26"/>
        <v/>
      </c>
      <c r="AJ781" s="56">
        <f t="shared" si="28"/>
        <v>0</v>
      </c>
      <c r="AL781" s="56">
        <f t="shared" si="29"/>
        <v>0</v>
      </c>
      <c r="AO781" s="56">
        <f t="shared" si="30"/>
        <v>0</v>
      </c>
      <c r="AR781" s="251" t="s">
        <v>507</v>
      </c>
      <c r="AS781" s="56" t="str">
        <f>IF(AQ257=0,AS783,"")</f>
        <v xml:space="preserve">The fact of not being rearrested should say something loud and clear. </v>
      </c>
      <c r="BB781" s="56"/>
    </row>
    <row r="782" spans="1:54" x14ac:dyDescent="0.25">
      <c r="A782" s="242"/>
      <c r="B782" s="247"/>
      <c r="C782" s="248" t="s">
        <v>508</v>
      </c>
      <c r="D782" s="247"/>
      <c r="E782" s="92"/>
      <c r="F782" s="1"/>
      <c r="AC782" s="9" t="str">
        <f t="shared" si="20"/>
        <v/>
      </c>
      <c r="AD782" s="11" t="str">
        <f t="shared" si="21"/>
        <v/>
      </c>
      <c r="AE782" s="249" t="str">
        <f t="shared" si="22"/>
        <v/>
      </c>
      <c r="AF782" s="56">
        <f t="shared" si="23"/>
        <v>0</v>
      </c>
      <c r="AG782" s="250" t="str">
        <f t="shared" si="24"/>
        <v/>
      </c>
      <c r="AH782" s="250" t="str">
        <f t="shared" si="25"/>
        <v/>
      </c>
      <c r="AI782" s="250" t="str">
        <f t="shared" si="26"/>
        <v/>
      </c>
      <c r="AJ782" s="56">
        <f t="shared" si="28"/>
        <v>0</v>
      </c>
      <c r="AL782" s="56">
        <f t="shared" si="29"/>
        <v>0</v>
      </c>
      <c r="AO782" s="56">
        <f t="shared" si="30"/>
        <v>0</v>
      </c>
      <c r="BB782" s="56"/>
    </row>
    <row r="783" spans="1:54" x14ac:dyDescent="0.25">
      <c r="A783" s="242"/>
      <c r="B783" s="247"/>
      <c r="C783" s="248" t="s">
        <v>509</v>
      </c>
      <c r="D783" s="247"/>
      <c r="E783" s="92"/>
      <c r="F783" s="1"/>
      <c r="AC783" s="9" t="str">
        <f t="shared" si="20"/>
        <v/>
      </c>
      <c r="AD783" s="11" t="str">
        <f t="shared" si="21"/>
        <v/>
      </c>
      <c r="AE783" s="249" t="str">
        <f t="shared" si="22"/>
        <v/>
      </c>
      <c r="AF783" s="56">
        <f t="shared" si="23"/>
        <v>0</v>
      </c>
      <c r="AG783" s="250" t="str">
        <f t="shared" si="24"/>
        <v/>
      </c>
      <c r="AH783" s="250" t="str">
        <f t="shared" si="25"/>
        <v/>
      </c>
      <c r="AI783" s="250" t="str">
        <f t="shared" si="26"/>
        <v/>
      </c>
      <c r="AJ783" s="56">
        <f t="shared" si="28"/>
        <v>0</v>
      </c>
      <c r="AL783" s="56">
        <f t="shared" si="29"/>
        <v>0</v>
      </c>
      <c r="AO783" s="56">
        <f t="shared" si="30"/>
        <v>0</v>
      </c>
      <c r="AS783" s="56" t="s">
        <v>510</v>
      </c>
      <c r="BB783" s="56"/>
    </row>
    <row r="784" spans="1:54" x14ac:dyDescent="0.25">
      <c r="A784" s="242"/>
      <c r="B784" s="247"/>
      <c r="C784" s="248" t="s">
        <v>511</v>
      </c>
      <c r="D784" s="247"/>
      <c r="E784" s="92"/>
      <c r="F784" s="1"/>
      <c r="AC784" s="9" t="str">
        <f t="shared" si="20"/>
        <v/>
      </c>
      <c r="AD784" s="11" t="str">
        <f t="shared" si="21"/>
        <v/>
      </c>
      <c r="AE784" s="249" t="str">
        <f t="shared" si="22"/>
        <v/>
      </c>
      <c r="AF784" s="56">
        <f t="shared" si="23"/>
        <v>0</v>
      </c>
      <c r="AG784" s="250" t="str">
        <f t="shared" si="24"/>
        <v/>
      </c>
      <c r="AH784" s="250" t="str">
        <f t="shared" si="25"/>
        <v/>
      </c>
      <c r="AI784" s="250" t="str">
        <f t="shared" si="26"/>
        <v/>
      </c>
      <c r="AJ784" s="56">
        <f t="shared" si="28"/>
        <v>0</v>
      </c>
      <c r="AL784" s="56">
        <f t="shared" si="29"/>
        <v>0</v>
      </c>
      <c r="AO784" s="56">
        <f t="shared" si="30"/>
        <v>0</v>
      </c>
      <c r="BB784" s="56"/>
    </row>
    <row r="785" spans="1:64" x14ac:dyDescent="0.25">
      <c r="A785" s="242"/>
      <c r="B785" s="247"/>
      <c r="C785" s="248" t="s">
        <v>513</v>
      </c>
      <c r="D785" s="247"/>
      <c r="E785" s="92"/>
      <c r="F785" s="1"/>
      <c r="AC785" s="9" t="str">
        <f t="shared" si="20"/>
        <v/>
      </c>
      <c r="AD785" s="11" t="str">
        <f t="shared" si="21"/>
        <v/>
      </c>
      <c r="AE785" s="249" t="str">
        <f t="shared" si="22"/>
        <v/>
      </c>
      <c r="AF785" s="56">
        <f t="shared" si="23"/>
        <v>0</v>
      </c>
      <c r="AG785" s="250" t="str">
        <f t="shared" si="24"/>
        <v/>
      </c>
      <c r="AH785" s="250" t="str">
        <f t="shared" si="25"/>
        <v/>
      </c>
      <c r="AI785" s="250" t="str">
        <f t="shared" si="26"/>
        <v/>
      </c>
      <c r="AJ785" s="56">
        <f t="shared" si="28"/>
        <v>0</v>
      </c>
      <c r="AL785" s="56">
        <f t="shared" si="29"/>
        <v>0</v>
      </c>
      <c r="AO785" s="56">
        <f t="shared" si="30"/>
        <v>0</v>
      </c>
      <c r="AS785" s="56" t="str">
        <f>IF(AK827=0,"This claimant",AK827)</f>
        <v>this claimant</v>
      </c>
      <c r="AV785" s="56" t="s">
        <v>514</v>
      </c>
      <c r="BB785" s="56"/>
    </row>
    <row r="786" spans="1:64" x14ac:dyDescent="0.25">
      <c r="A786" s="242"/>
      <c r="B786" s="247"/>
      <c r="C786" s="248" t="s">
        <v>515</v>
      </c>
      <c r="D786" s="247"/>
      <c r="E786" s="92"/>
      <c r="F786" s="1"/>
      <c r="AC786" s="9" t="str">
        <f t="shared" si="20"/>
        <v/>
      </c>
      <c r="AD786" s="11" t="str">
        <f t="shared" si="21"/>
        <v/>
      </c>
      <c r="AE786" s="249" t="str">
        <f t="shared" si="22"/>
        <v/>
      </c>
      <c r="AF786" s="56">
        <f t="shared" si="23"/>
        <v>0</v>
      </c>
      <c r="AG786" s="250" t="str">
        <f t="shared" si="24"/>
        <v/>
      </c>
      <c r="AH786" s="250" t="str">
        <f t="shared" si="25"/>
        <v/>
      </c>
      <c r="AI786" s="250" t="str">
        <f t="shared" si="26"/>
        <v/>
      </c>
      <c r="AJ786" s="56">
        <f t="shared" si="28"/>
        <v>0</v>
      </c>
      <c r="AL786" s="56">
        <f t="shared" si="29"/>
        <v>0</v>
      </c>
      <c r="AO786" s="56">
        <f t="shared" si="30"/>
        <v>0</v>
      </c>
      <c r="BB786" s="56"/>
    </row>
    <row r="787" spans="1:64" x14ac:dyDescent="0.25">
      <c r="A787" s="242"/>
      <c r="B787" s="247"/>
      <c r="C787" s="248" t="s">
        <v>516</v>
      </c>
      <c r="D787" s="247"/>
      <c r="E787" s="92"/>
      <c r="F787" s="1"/>
      <c r="AC787" s="9" t="str">
        <f t="shared" si="20"/>
        <v/>
      </c>
      <c r="AD787" s="11" t="str">
        <f t="shared" si="21"/>
        <v/>
      </c>
      <c r="AE787" s="249" t="str">
        <f t="shared" si="22"/>
        <v/>
      </c>
      <c r="AF787" s="56">
        <f t="shared" si="23"/>
        <v>0</v>
      </c>
      <c r="AG787" s="250" t="str">
        <f t="shared" si="24"/>
        <v/>
      </c>
      <c r="AH787" s="250" t="str">
        <f t="shared" si="25"/>
        <v/>
      </c>
      <c r="AI787" s="250" t="str">
        <f t="shared" si="26"/>
        <v/>
      </c>
      <c r="AJ787" s="56">
        <f t="shared" si="28"/>
        <v>0</v>
      </c>
      <c r="AL787" s="56">
        <f t="shared" si="29"/>
        <v>0</v>
      </c>
      <c r="AO787" s="56">
        <f t="shared" si="30"/>
        <v>0</v>
      </c>
      <c r="AS787" s="60" t="str">
        <f>IF(AO790=0,"",CONCATENATE(AS785,AV785,AS790,"."))</f>
        <v/>
      </c>
      <c r="BB787" s="56"/>
    </row>
    <row r="788" spans="1:64" x14ac:dyDescent="0.25">
      <c r="A788" s="242"/>
      <c r="B788" s="247"/>
      <c r="C788" s="248" t="s">
        <v>517</v>
      </c>
      <c r="D788" s="247"/>
      <c r="E788" s="92"/>
      <c r="F788" s="1"/>
      <c r="AC788" s="9" t="str">
        <f t="shared" si="20"/>
        <v/>
      </c>
      <c r="AD788" s="11" t="str">
        <f t="shared" si="21"/>
        <v/>
      </c>
      <c r="AE788" s="249" t="str">
        <f t="shared" si="22"/>
        <v/>
      </c>
      <c r="AF788" s="56">
        <f t="shared" si="23"/>
        <v>0</v>
      </c>
      <c r="AG788" s="250" t="str">
        <f t="shared" si="24"/>
        <v/>
      </c>
      <c r="AH788" s="250" t="str">
        <f t="shared" si="25"/>
        <v/>
      </c>
      <c r="AI788" s="250" t="str">
        <f t="shared" si="26"/>
        <v/>
      </c>
      <c r="AJ788" s="56">
        <f t="shared" si="28"/>
        <v>0</v>
      </c>
      <c r="AL788" s="56">
        <f t="shared" si="29"/>
        <v>0</v>
      </c>
      <c r="AO788" s="56">
        <f t="shared" si="30"/>
        <v>0</v>
      </c>
      <c r="AS788" s="56" t="s">
        <v>518</v>
      </c>
      <c r="BB788" s="56"/>
    </row>
    <row r="789" spans="1:64" x14ac:dyDescent="0.25">
      <c r="A789" s="242"/>
      <c r="B789" s="247"/>
      <c r="C789" s="248" t="s">
        <v>519</v>
      </c>
      <c r="D789" s="247"/>
      <c r="E789" s="92"/>
      <c r="F789" s="1"/>
      <c r="AC789" s="9" t="str">
        <f t="shared" si="20"/>
        <v/>
      </c>
      <c r="AD789" s="11" t="str">
        <f t="shared" si="21"/>
        <v/>
      </c>
      <c r="AE789" s="249" t="str">
        <f t="shared" si="22"/>
        <v/>
      </c>
      <c r="AF789" s="56">
        <f t="shared" si="23"/>
        <v>0</v>
      </c>
      <c r="AG789" s="250" t="str">
        <f t="shared" si="24"/>
        <v/>
      </c>
      <c r="AH789" s="250" t="str">
        <f t="shared" si="25"/>
        <v/>
      </c>
      <c r="AI789" s="250" t="str">
        <f t="shared" si="26"/>
        <v/>
      </c>
      <c r="AJ789" s="56">
        <f t="shared" si="28"/>
        <v>0</v>
      </c>
      <c r="AL789" s="56">
        <f t="shared" si="29"/>
        <v>0</v>
      </c>
      <c r="AO789" s="56">
        <f t="shared" si="30"/>
        <v>0</v>
      </c>
      <c r="BB789" s="56"/>
    </row>
    <row r="790" spans="1:64" ht="15.6" x14ac:dyDescent="0.3">
      <c r="A790" s="242"/>
      <c r="B790" s="92"/>
      <c r="C790" s="92"/>
      <c r="D790" s="92"/>
      <c r="E790" s="92"/>
      <c r="F790" s="1"/>
      <c r="AO790" s="252">
        <f>SUM(AO770:AO789)</f>
        <v>0</v>
      </c>
      <c r="AS790" s="253" t="str">
        <f>(IF(AND(AO790&gt;AS770,AO790&lt;AT770),AV770,IF(AND(AO790&gt;AS771,AO790&lt;AT771),AV771,IF(AND(AO790&gt;AS772,AO790&lt;AT772),AV772,IF(AND(AO790&gt;AS773,AO790&lt;AT773),AV773,IF(AND(AO790&gt;AS774,AO790&lt;AT774),AV774,""))))))</f>
        <v/>
      </c>
      <c r="AT790" s="253"/>
      <c r="AU790" s="253"/>
      <c r="AV790" s="253"/>
      <c r="AW790" s="253"/>
      <c r="AX790" s="253"/>
      <c r="AY790" s="253"/>
      <c r="AZ790" s="253"/>
      <c r="BA790" s="253"/>
      <c r="BB790" s="253"/>
      <c r="BC790" s="253"/>
    </row>
    <row r="791" spans="1:64" ht="19.95" customHeight="1" x14ac:dyDescent="0.25">
      <c r="A791" s="242"/>
      <c r="B791" s="254" t="s">
        <v>520</v>
      </c>
      <c r="C791" s="246"/>
      <c r="D791" s="246"/>
      <c r="E791" s="92"/>
      <c r="F791" s="1"/>
      <c r="BB791" s="56"/>
    </row>
    <row r="792" spans="1:64" ht="75" customHeight="1" x14ac:dyDescent="0.25">
      <c r="A792" s="242"/>
      <c r="B792" s="584"/>
      <c r="C792" s="584"/>
      <c r="D792" s="584"/>
      <c r="E792" s="92"/>
      <c r="F792" s="1"/>
      <c r="AC792" s="585" t="str">
        <f>CONCATENATE(AK768,AS787,AS788)</f>
        <v>Collateral consequences create second-class citizens, often without measurable outcomes to test if meeting their intended purpose. Consequently, they can have the opposite effect, like enabling recidivism--even among the wrongly convicted.  You can help change this.</v>
      </c>
      <c r="AD792" s="586"/>
      <c r="AE792" s="586"/>
      <c r="AF792" s="586"/>
      <c r="AG792" s="586"/>
      <c r="AH792" s="586"/>
      <c r="AI792" s="586"/>
      <c r="AJ792" s="586"/>
      <c r="AK792" s="586"/>
      <c r="AL792" s="586"/>
      <c r="AM792" s="586"/>
      <c r="AN792" s="586"/>
      <c r="AO792" s="586"/>
      <c r="AP792" s="586"/>
      <c r="AQ792" s="586"/>
      <c r="AR792" s="586"/>
      <c r="AS792" s="586"/>
      <c r="AT792" s="586"/>
      <c r="AU792" s="586"/>
      <c r="AV792" s="586"/>
      <c r="AW792" s="586"/>
      <c r="AX792" s="586"/>
      <c r="AY792" s="586"/>
      <c r="AZ792" s="586"/>
      <c r="BA792" s="586"/>
      <c r="BB792" s="586"/>
      <c r="BC792" s="586"/>
      <c r="BD792" s="587"/>
    </row>
    <row r="793" spans="1:64" x14ac:dyDescent="0.25">
      <c r="A793" s="242"/>
      <c r="B793" s="92"/>
      <c r="C793" s="92"/>
      <c r="D793" s="92"/>
      <c r="E793" s="92"/>
      <c r="F793" s="1"/>
      <c r="BB793" s="56"/>
    </row>
    <row r="794" spans="1:64" ht="15.6" x14ac:dyDescent="0.25">
      <c r="A794" s="244">
        <f>A767+1</f>
        <v>65</v>
      </c>
      <c r="B794" s="244" t="s">
        <v>521</v>
      </c>
      <c r="C794" s="244"/>
      <c r="D794" s="244"/>
      <c r="E794" s="92"/>
      <c r="F794" s="1"/>
      <c r="AC794" s="56">
        <v>0</v>
      </c>
      <c r="AD794" s="56">
        <f>AC794+1</f>
        <v>1</v>
      </c>
      <c r="AE794" s="56">
        <f>AD794+1</f>
        <v>2</v>
      </c>
      <c r="AF794" s="56">
        <f>AE794+1</f>
        <v>3</v>
      </c>
      <c r="AI794" s="56">
        <v>10</v>
      </c>
      <c r="AJ794" s="56">
        <f>AI794-1</f>
        <v>9</v>
      </c>
      <c r="AK794" s="56">
        <f t="shared" ref="AK794:AP794" si="31">AJ794-1</f>
        <v>8</v>
      </c>
      <c r="AL794" s="56">
        <f t="shared" si="31"/>
        <v>7</v>
      </c>
      <c r="AM794" s="56">
        <f t="shared" si="31"/>
        <v>6</v>
      </c>
      <c r="AN794" s="56">
        <f t="shared" si="31"/>
        <v>5</v>
      </c>
      <c r="AO794" s="56">
        <f t="shared" si="31"/>
        <v>4</v>
      </c>
      <c r="AP794" s="56">
        <f t="shared" si="31"/>
        <v>3</v>
      </c>
      <c r="BB794" s="56"/>
    </row>
    <row r="795" spans="1:64" ht="15.6" x14ac:dyDescent="0.3">
      <c r="A795" s="242"/>
      <c r="B795" s="245" t="s">
        <v>522</v>
      </c>
      <c r="C795" s="246"/>
      <c r="D795" s="246"/>
      <c r="E795" s="92"/>
      <c r="F795" s="1"/>
      <c r="AC795" s="56" t="str">
        <f>C1995</f>
        <v>not applicable</v>
      </c>
      <c r="AD795" s="56" t="str">
        <f>C1996</f>
        <v>temporary</v>
      </c>
      <c r="AE795" s="56" t="str">
        <f>C1997</f>
        <v>lasting</v>
      </c>
      <c r="AF795" s="56" t="str">
        <f>C1998</f>
        <v>permanent</v>
      </c>
      <c r="AI795" s="56" t="str">
        <f>C2002</f>
        <v>impacting everyone I know</v>
      </c>
      <c r="AJ795" s="56" t="str">
        <f>C2003</f>
        <v>impacting close friend(s)</v>
      </c>
      <c r="AK795" s="56" t="str">
        <f>C2004</f>
        <v>impacting close friends &amp; family</v>
      </c>
      <c r="AL795" s="56" t="str">
        <f>C2005</f>
        <v>impacting only family members</v>
      </c>
      <c r="AM795" s="56" t="str">
        <f>C2006</f>
        <v>impacting only my (then) partner</v>
      </c>
      <c r="AN795" s="56" t="str">
        <f>C2007</f>
        <v>impacting (then) partner &amp; kids</v>
      </c>
      <c r="AO795" s="56" t="str">
        <f>C2008</f>
        <v>impactig only my child(ren)</v>
      </c>
      <c r="AP795" s="56" t="str">
        <f>C2009</f>
        <v>impactig only my grandchild(ren)</v>
      </c>
      <c r="AX795" s="56">
        <v>360</v>
      </c>
      <c r="BI795" s="255">
        <f>SUM(AS797:AS808)</f>
        <v>0</v>
      </c>
      <c r="BJ795" s="256">
        <f>BI795/AX795</f>
        <v>0</v>
      </c>
    </row>
    <row r="796" spans="1:64" ht="4.95" customHeight="1" x14ac:dyDescent="0.25">
      <c r="A796" s="242"/>
      <c r="B796" s="242"/>
      <c r="C796" s="242"/>
      <c r="D796" s="242"/>
      <c r="E796" s="92"/>
      <c r="F796" s="1"/>
    </row>
    <row r="797" spans="1:64" x14ac:dyDescent="0.25">
      <c r="A797" s="242"/>
      <c r="B797" s="247"/>
      <c r="C797" s="248" t="s">
        <v>523</v>
      </c>
      <c r="D797" s="257"/>
      <c r="E797" s="92"/>
      <c r="F797" s="1"/>
      <c r="AC797" s="9">
        <f>IF($B797=AC$795,AC$794,0)</f>
        <v>0</v>
      </c>
      <c r="AD797" s="11">
        <f t="shared" ref="AD797:AF808" si="32">IF($B797=AD$795,AD$794,0)</f>
        <v>0</v>
      </c>
      <c r="AE797" s="249">
        <f t="shared" si="32"/>
        <v>0</v>
      </c>
      <c r="AF797" s="258">
        <f t="shared" si="32"/>
        <v>0</v>
      </c>
      <c r="AG797" s="259">
        <f>MAX(AC797:AF797)</f>
        <v>0</v>
      </c>
      <c r="AH797" s="56">
        <f>AG797</f>
        <v>0</v>
      </c>
      <c r="AI797" s="250">
        <f>IF($D797=AI$795,AI$794,0)</f>
        <v>0</v>
      </c>
      <c r="AJ797" s="250">
        <f t="shared" ref="AJ797:AP808" si="33">IF($D797=AJ$795,AJ$794,0)</f>
        <v>0</v>
      </c>
      <c r="AK797" s="250">
        <f t="shared" si="33"/>
        <v>0</v>
      </c>
      <c r="AL797" s="250">
        <f t="shared" si="33"/>
        <v>0</v>
      </c>
      <c r="AM797" s="250">
        <f t="shared" si="33"/>
        <v>0</v>
      </c>
      <c r="AN797" s="250">
        <f t="shared" si="33"/>
        <v>0</v>
      </c>
      <c r="AO797" s="250">
        <f t="shared" si="33"/>
        <v>0</v>
      </c>
      <c r="AP797" s="250">
        <f t="shared" si="33"/>
        <v>0</v>
      </c>
      <c r="AQ797" s="259">
        <f>IF(AG797&gt;0,MAX(AI797:AP797),0)</f>
        <v>0</v>
      </c>
      <c r="AS797" s="260" t="str">
        <f t="shared" ref="AS797:AS808" si="34">IF(AND(B797="",D797=""),"",AG797*AQ797)</f>
        <v/>
      </c>
      <c r="AV797" s="56" t="str">
        <f>IF(AF797=3,BI804,BI802)</f>
        <v xml:space="preserve">have suffered from </v>
      </c>
      <c r="BD797" s="56" t="str">
        <f>IF(AS797&gt;0,C797,"")</f>
        <v>anxiety</v>
      </c>
      <c r="BF797" s="56" t="str">
        <f>IF(BD797="","",CONCATENATE(BD797,", "))</f>
        <v xml:space="preserve">anxiety, </v>
      </c>
      <c r="BI797" s="411">
        <v>0</v>
      </c>
      <c r="BJ797" s="411">
        <v>89</v>
      </c>
      <c r="BL797" s="56" t="s">
        <v>524</v>
      </c>
    </row>
    <row r="798" spans="1:64" x14ac:dyDescent="0.25">
      <c r="A798" s="242"/>
      <c r="B798" s="247"/>
      <c r="C798" s="248" t="s">
        <v>525</v>
      </c>
      <c r="D798" s="257"/>
      <c r="E798" s="92"/>
      <c r="F798" s="1"/>
      <c r="AC798" s="9">
        <f t="shared" ref="AC798:AC808" si="35">IF($B798=AC$795,AC$794,0)</f>
        <v>0</v>
      </c>
      <c r="AD798" s="11">
        <f t="shared" si="32"/>
        <v>0</v>
      </c>
      <c r="AE798" s="249">
        <f t="shared" si="32"/>
        <v>0</v>
      </c>
      <c r="AF798" s="258">
        <f t="shared" si="32"/>
        <v>0</v>
      </c>
      <c r="AG798" s="259">
        <f t="shared" ref="AG798:AG808" si="36">MAX(AC798:AF798)</f>
        <v>0</v>
      </c>
      <c r="AI798" s="250">
        <f t="shared" ref="AI798:AI808" si="37">IF($D798=AI$795,AI$794,0)</f>
        <v>0</v>
      </c>
      <c r="AJ798" s="250">
        <f t="shared" si="33"/>
        <v>0</v>
      </c>
      <c r="AK798" s="250">
        <f t="shared" si="33"/>
        <v>0</v>
      </c>
      <c r="AL798" s="250">
        <f t="shared" si="33"/>
        <v>0</v>
      </c>
      <c r="AM798" s="250">
        <f t="shared" si="33"/>
        <v>0</v>
      </c>
      <c r="AN798" s="250">
        <f t="shared" si="33"/>
        <v>0</v>
      </c>
      <c r="AO798" s="250">
        <f t="shared" si="33"/>
        <v>0</v>
      </c>
      <c r="AP798" s="250">
        <f t="shared" si="33"/>
        <v>0</v>
      </c>
      <c r="AQ798" s="259">
        <f t="shared" ref="AQ798:AQ808" si="38">IF(AG798&gt;0,MAX(AI798:AP798),0)</f>
        <v>0</v>
      </c>
      <c r="AS798" s="260" t="str">
        <f t="shared" si="34"/>
        <v/>
      </c>
      <c r="BI798" s="411">
        <f>BJ797</f>
        <v>89</v>
      </c>
      <c r="BJ798" s="411">
        <f>BI799</f>
        <v>100</v>
      </c>
    </row>
    <row r="799" spans="1:64" x14ac:dyDescent="0.25">
      <c r="A799" s="242"/>
      <c r="B799" s="247"/>
      <c r="C799" s="248" t="s">
        <v>526</v>
      </c>
      <c r="D799" s="257"/>
      <c r="E799" s="92"/>
      <c r="F799" s="1"/>
      <c r="AC799" s="9">
        <f t="shared" si="35"/>
        <v>0</v>
      </c>
      <c r="AD799" s="11">
        <f t="shared" si="32"/>
        <v>0</v>
      </c>
      <c r="AE799" s="249">
        <f t="shared" si="32"/>
        <v>0</v>
      </c>
      <c r="AF799" s="258">
        <f t="shared" si="32"/>
        <v>0</v>
      </c>
      <c r="AG799" s="259">
        <f t="shared" si="36"/>
        <v>0</v>
      </c>
      <c r="AH799" s="56">
        <f>AG799</f>
        <v>0</v>
      </c>
      <c r="AI799" s="250">
        <f t="shared" si="37"/>
        <v>0</v>
      </c>
      <c r="AJ799" s="250">
        <f t="shared" si="33"/>
        <v>0</v>
      </c>
      <c r="AK799" s="250">
        <f t="shared" si="33"/>
        <v>0</v>
      </c>
      <c r="AL799" s="250">
        <f t="shared" si="33"/>
        <v>0</v>
      </c>
      <c r="AM799" s="250">
        <f t="shared" si="33"/>
        <v>0</v>
      </c>
      <c r="AN799" s="250">
        <f t="shared" si="33"/>
        <v>0</v>
      </c>
      <c r="AO799" s="250">
        <f t="shared" si="33"/>
        <v>0</v>
      </c>
      <c r="AP799" s="250">
        <f t="shared" si="33"/>
        <v>0</v>
      </c>
      <c r="AQ799" s="259">
        <f t="shared" si="38"/>
        <v>0</v>
      </c>
      <c r="AS799" s="260" t="str">
        <f t="shared" si="34"/>
        <v/>
      </c>
      <c r="BD799" s="56" t="str">
        <f>IF(AS799&gt;0,C799,"")</f>
        <v>depression</v>
      </c>
      <c r="BF799" s="56" t="str">
        <f t="shared" ref="BF799:BF807" si="39">IF(BD799="","",CONCATENATE(BD799,", "))</f>
        <v xml:space="preserve">depression, </v>
      </c>
      <c r="BI799" s="411">
        <v>100</v>
      </c>
      <c r="BJ799" s="411">
        <v>121</v>
      </c>
    </row>
    <row r="800" spans="1:64" x14ac:dyDescent="0.25">
      <c r="A800" s="242"/>
      <c r="B800" s="247"/>
      <c r="C800" s="248" t="s">
        <v>528</v>
      </c>
      <c r="D800" s="257"/>
      <c r="E800" s="92"/>
      <c r="F800" s="1"/>
      <c r="AC800" s="9">
        <f t="shared" si="35"/>
        <v>0</v>
      </c>
      <c r="AD800" s="11">
        <f t="shared" si="32"/>
        <v>0</v>
      </c>
      <c r="AE800" s="249">
        <f t="shared" si="32"/>
        <v>0</v>
      </c>
      <c r="AF800" s="258">
        <f t="shared" si="32"/>
        <v>0</v>
      </c>
      <c r="AG800" s="259">
        <f t="shared" si="36"/>
        <v>0</v>
      </c>
      <c r="AH800" s="56">
        <f>AG800</f>
        <v>0</v>
      </c>
      <c r="AI800" s="250">
        <f t="shared" si="37"/>
        <v>0</v>
      </c>
      <c r="AJ800" s="250">
        <f t="shared" si="33"/>
        <v>0</v>
      </c>
      <c r="AK800" s="250">
        <f t="shared" si="33"/>
        <v>0</v>
      </c>
      <c r="AL800" s="250">
        <f t="shared" si="33"/>
        <v>0</v>
      </c>
      <c r="AM800" s="250">
        <f t="shared" si="33"/>
        <v>0</v>
      </c>
      <c r="AN800" s="250">
        <f t="shared" si="33"/>
        <v>0</v>
      </c>
      <c r="AO800" s="250">
        <f t="shared" si="33"/>
        <v>0</v>
      </c>
      <c r="AP800" s="250">
        <f t="shared" si="33"/>
        <v>0</v>
      </c>
      <c r="AQ800" s="259">
        <f t="shared" si="38"/>
        <v>0</v>
      </c>
      <c r="AS800" s="260" t="str">
        <f t="shared" si="34"/>
        <v/>
      </c>
      <c r="BD800" s="56" t="str">
        <f>IF(AS800&gt;0,C800,"")</f>
        <v>divorce</v>
      </c>
      <c r="BF800" s="56" t="str">
        <f t="shared" si="39"/>
        <v xml:space="preserve">divorce, </v>
      </c>
      <c r="BI800" s="16">
        <f>BJ799</f>
        <v>121</v>
      </c>
      <c r="BJ800" s="16">
        <f>BI800+$BJ$797</f>
        <v>210</v>
      </c>
    </row>
    <row r="801" spans="1:71" x14ac:dyDescent="0.25">
      <c r="A801" s="242"/>
      <c r="B801" s="247"/>
      <c r="C801" s="248" t="s">
        <v>530</v>
      </c>
      <c r="D801" s="257"/>
      <c r="E801" s="92"/>
      <c r="F801" s="1"/>
      <c r="AC801" s="9">
        <f t="shared" si="35"/>
        <v>0</v>
      </c>
      <c r="AD801" s="11">
        <f t="shared" si="32"/>
        <v>0</v>
      </c>
      <c r="AE801" s="249">
        <f t="shared" si="32"/>
        <v>0</v>
      </c>
      <c r="AF801" s="258">
        <f t="shared" si="32"/>
        <v>0</v>
      </c>
      <c r="AG801" s="259">
        <f t="shared" si="36"/>
        <v>0</v>
      </c>
      <c r="AH801" s="56">
        <f>AG801</f>
        <v>0</v>
      </c>
      <c r="AI801" s="250">
        <f t="shared" si="37"/>
        <v>0</v>
      </c>
      <c r="AJ801" s="250">
        <f t="shared" si="33"/>
        <v>0</v>
      </c>
      <c r="AK801" s="250">
        <f t="shared" si="33"/>
        <v>0</v>
      </c>
      <c r="AL801" s="250">
        <f t="shared" si="33"/>
        <v>0</v>
      </c>
      <c r="AM801" s="250">
        <f t="shared" si="33"/>
        <v>0</v>
      </c>
      <c r="AN801" s="250">
        <f t="shared" si="33"/>
        <v>0</v>
      </c>
      <c r="AO801" s="250">
        <f t="shared" si="33"/>
        <v>0</v>
      </c>
      <c r="AP801" s="250">
        <f t="shared" si="33"/>
        <v>0</v>
      </c>
      <c r="AQ801" s="259">
        <f t="shared" si="38"/>
        <v>0</v>
      </c>
      <c r="AS801" s="260" t="str">
        <f t="shared" si="34"/>
        <v/>
      </c>
      <c r="BD801" s="56" t="str">
        <f>IF(AS801&gt;0,C801,"")</f>
        <v>housing instability</v>
      </c>
      <c r="BF801" s="56" t="str">
        <f t="shared" si="39"/>
        <v xml:space="preserve">housing instability, </v>
      </c>
      <c r="BI801" s="16">
        <f>BJ800</f>
        <v>210</v>
      </c>
      <c r="BJ801" s="16">
        <f>BI801+$BJ$797</f>
        <v>299</v>
      </c>
      <c r="BL801" s="56" t="s">
        <v>532</v>
      </c>
    </row>
    <row r="802" spans="1:71" x14ac:dyDescent="0.25">
      <c r="A802" s="242"/>
      <c r="B802" s="247"/>
      <c r="C802" s="248" t="s">
        <v>533</v>
      </c>
      <c r="D802" s="257"/>
      <c r="E802" s="92"/>
      <c r="F802" s="1"/>
      <c r="AC802" s="9">
        <f t="shared" si="35"/>
        <v>0</v>
      </c>
      <c r="AD802" s="11">
        <f t="shared" si="32"/>
        <v>0</v>
      </c>
      <c r="AE802" s="249">
        <f t="shared" si="32"/>
        <v>0</v>
      </c>
      <c r="AF802" s="258">
        <f t="shared" si="32"/>
        <v>0</v>
      </c>
      <c r="AG802" s="259">
        <f t="shared" si="36"/>
        <v>0</v>
      </c>
      <c r="AI802" s="250">
        <f t="shared" si="37"/>
        <v>0</v>
      </c>
      <c r="AJ802" s="250">
        <f t="shared" si="33"/>
        <v>0</v>
      </c>
      <c r="AK802" s="250">
        <f t="shared" si="33"/>
        <v>0</v>
      </c>
      <c r="AL802" s="250">
        <f t="shared" si="33"/>
        <v>0</v>
      </c>
      <c r="AM802" s="250">
        <f t="shared" si="33"/>
        <v>0</v>
      </c>
      <c r="AN802" s="250">
        <f t="shared" si="33"/>
        <v>0</v>
      </c>
      <c r="AO802" s="250">
        <f t="shared" si="33"/>
        <v>0</v>
      </c>
      <c r="AP802" s="250">
        <f t="shared" si="33"/>
        <v>0</v>
      </c>
      <c r="AQ802" s="259">
        <f t="shared" si="38"/>
        <v>0</v>
      </c>
      <c r="AS802" s="260" t="str">
        <f t="shared" si="34"/>
        <v/>
      </c>
      <c r="AV802" s="56" t="s">
        <v>535</v>
      </c>
      <c r="BI802" s="56" t="s">
        <v>536</v>
      </c>
    </row>
    <row r="803" spans="1:71" x14ac:dyDescent="0.25">
      <c r="A803" s="242"/>
      <c r="B803" s="247"/>
      <c r="C803" s="248" t="s">
        <v>537</v>
      </c>
      <c r="D803" s="257"/>
      <c r="E803" s="92"/>
      <c r="F803" s="1"/>
      <c r="AC803" s="9">
        <f t="shared" si="35"/>
        <v>0</v>
      </c>
      <c r="AD803" s="11">
        <f t="shared" si="32"/>
        <v>0</v>
      </c>
      <c r="AE803" s="249">
        <f t="shared" si="32"/>
        <v>0</v>
      </c>
      <c r="AF803" s="258">
        <f t="shared" si="32"/>
        <v>0</v>
      </c>
      <c r="AG803" s="259">
        <f t="shared" si="36"/>
        <v>0</v>
      </c>
      <c r="AI803" s="250">
        <f t="shared" si="37"/>
        <v>0</v>
      </c>
      <c r="AJ803" s="250">
        <f t="shared" si="33"/>
        <v>0</v>
      </c>
      <c r="AK803" s="250">
        <f t="shared" si="33"/>
        <v>0</v>
      </c>
      <c r="AL803" s="250">
        <f t="shared" si="33"/>
        <v>0</v>
      </c>
      <c r="AM803" s="250">
        <f t="shared" si="33"/>
        <v>0</v>
      </c>
      <c r="AN803" s="250">
        <f t="shared" si="33"/>
        <v>0</v>
      </c>
      <c r="AO803" s="250">
        <f t="shared" si="33"/>
        <v>0</v>
      </c>
      <c r="AP803" s="250">
        <f t="shared" si="33"/>
        <v>0</v>
      </c>
      <c r="AQ803" s="259">
        <f t="shared" si="38"/>
        <v>0</v>
      </c>
      <c r="AS803" s="260" t="str">
        <f t="shared" si="34"/>
        <v/>
      </c>
      <c r="AV803" s="56" t="s">
        <v>538</v>
      </c>
      <c r="BI803" s="56" t="s">
        <v>539</v>
      </c>
    </row>
    <row r="804" spans="1:71" x14ac:dyDescent="0.25">
      <c r="A804" s="242"/>
      <c r="B804" s="247"/>
      <c r="C804" s="248" t="s">
        <v>540</v>
      </c>
      <c r="D804" s="257"/>
      <c r="E804" s="92"/>
      <c r="F804" s="1"/>
      <c r="AC804" s="9">
        <f t="shared" si="35"/>
        <v>0</v>
      </c>
      <c r="AD804" s="11">
        <f t="shared" si="32"/>
        <v>0</v>
      </c>
      <c r="AE804" s="249">
        <f t="shared" si="32"/>
        <v>0</v>
      </c>
      <c r="AF804" s="258">
        <f t="shared" si="32"/>
        <v>0</v>
      </c>
      <c r="AG804" s="259">
        <f t="shared" si="36"/>
        <v>0</v>
      </c>
      <c r="AI804" s="250">
        <f t="shared" si="37"/>
        <v>0</v>
      </c>
      <c r="AJ804" s="250">
        <f t="shared" si="33"/>
        <v>0</v>
      </c>
      <c r="AK804" s="250">
        <f t="shared" si="33"/>
        <v>0</v>
      </c>
      <c r="AL804" s="250">
        <f t="shared" si="33"/>
        <v>0</v>
      </c>
      <c r="AM804" s="250">
        <f t="shared" si="33"/>
        <v>0</v>
      </c>
      <c r="AN804" s="250">
        <f t="shared" si="33"/>
        <v>0</v>
      </c>
      <c r="AO804" s="250">
        <f t="shared" si="33"/>
        <v>0</v>
      </c>
      <c r="AP804" s="250">
        <f t="shared" si="33"/>
        <v>0</v>
      </c>
      <c r="AQ804" s="259">
        <f t="shared" si="38"/>
        <v>0</v>
      </c>
      <c r="AS804" s="260" t="str">
        <f t="shared" si="34"/>
        <v/>
      </c>
      <c r="AV804" s="56" t="s">
        <v>541</v>
      </c>
      <c r="BI804" s="56" t="s">
        <v>542</v>
      </c>
    </row>
    <row r="805" spans="1:71" x14ac:dyDescent="0.25">
      <c r="A805" s="242"/>
      <c r="B805" s="247"/>
      <c r="C805" s="248" t="s">
        <v>543</v>
      </c>
      <c r="D805" s="257"/>
      <c r="E805" s="92"/>
      <c r="F805" s="1"/>
      <c r="AC805" s="9">
        <f t="shared" si="35"/>
        <v>0</v>
      </c>
      <c r="AD805" s="11">
        <f t="shared" si="32"/>
        <v>0</v>
      </c>
      <c r="AE805" s="249">
        <f t="shared" si="32"/>
        <v>0</v>
      </c>
      <c r="AF805" s="258">
        <f t="shared" si="32"/>
        <v>0</v>
      </c>
      <c r="AG805" s="259">
        <f t="shared" si="36"/>
        <v>0</v>
      </c>
      <c r="AI805" s="250">
        <f t="shared" si="37"/>
        <v>0</v>
      </c>
      <c r="AJ805" s="250">
        <f t="shared" si="33"/>
        <v>0</v>
      </c>
      <c r="AK805" s="250">
        <f t="shared" si="33"/>
        <v>0</v>
      </c>
      <c r="AL805" s="250">
        <f t="shared" si="33"/>
        <v>0</v>
      </c>
      <c r="AM805" s="250">
        <f t="shared" si="33"/>
        <v>0</v>
      </c>
      <c r="AN805" s="250">
        <f t="shared" si="33"/>
        <v>0</v>
      </c>
      <c r="AO805" s="250">
        <f t="shared" si="33"/>
        <v>0</v>
      </c>
      <c r="AP805" s="250">
        <f t="shared" si="33"/>
        <v>0</v>
      </c>
      <c r="AQ805" s="259">
        <f t="shared" si="38"/>
        <v>0</v>
      </c>
      <c r="AS805" s="260" t="str">
        <f t="shared" si="34"/>
        <v/>
      </c>
    </row>
    <row r="806" spans="1:71" x14ac:dyDescent="0.25">
      <c r="A806" s="242"/>
      <c r="B806" s="247"/>
      <c r="C806" s="248" t="s">
        <v>544</v>
      </c>
      <c r="D806" s="257"/>
      <c r="E806" s="92"/>
      <c r="F806" s="1"/>
      <c r="AC806" s="9">
        <f t="shared" si="35"/>
        <v>0</v>
      </c>
      <c r="AD806" s="11">
        <f t="shared" si="32"/>
        <v>0</v>
      </c>
      <c r="AE806" s="249">
        <f t="shared" si="32"/>
        <v>0</v>
      </c>
      <c r="AF806" s="258">
        <f t="shared" si="32"/>
        <v>0</v>
      </c>
      <c r="AG806" s="259">
        <f t="shared" si="36"/>
        <v>0</v>
      </c>
      <c r="AH806" s="56">
        <f>AG806</f>
        <v>0</v>
      </c>
      <c r="AI806" s="250">
        <f t="shared" si="37"/>
        <v>0</v>
      </c>
      <c r="AJ806" s="250">
        <f t="shared" si="33"/>
        <v>0</v>
      </c>
      <c r="AK806" s="250">
        <f t="shared" si="33"/>
        <v>0</v>
      </c>
      <c r="AL806" s="250">
        <f t="shared" si="33"/>
        <v>0</v>
      </c>
      <c r="AM806" s="250">
        <f t="shared" si="33"/>
        <v>0</v>
      </c>
      <c r="AN806" s="250">
        <f t="shared" si="33"/>
        <v>0</v>
      </c>
      <c r="AO806" s="250">
        <f t="shared" si="33"/>
        <v>0</v>
      </c>
      <c r="AP806" s="250">
        <f t="shared" si="33"/>
        <v>0</v>
      </c>
      <c r="AQ806" s="259">
        <f t="shared" si="38"/>
        <v>0</v>
      </c>
      <c r="AS806" s="260" t="str">
        <f t="shared" si="34"/>
        <v/>
      </c>
      <c r="BD806" s="56" t="str">
        <f>IF(AS806&gt;0,C806,"")</f>
        <v>poverty</v>
      </c>
      <c r="BF806" s="56" t="str">
        <f t="shared" si="39"/>
        <v xml:space="preserve">poverty, </v>
      </c>
      <c r="BI806" s="56" t="str">
        <f>IF($AQ$809&gt;0,"family members","")</f>
        <v/>
      </c>
      <c r="BK806" s="56" t="str">
        <f>IF(BI806="","",CONCATENATE(BI806,", "))</f>
        <v/>
      </c>
      <c r="BO806" s="56" t="str">
        <f>IF($AQ$809&gt;0,"family members and friends","")</f>
        <v/>
      </c>
    </row>
    <row r="807" spans="1:71" x14ac:dyDescent="0.25">
      <c r="A807" s="242"/>
      <c r="B807" s="247"/>
      <c r="C807" s="248" t="s">
        <v>546</v>
      </c>
      <c r="D807" s="257"/>
      <c r="E807" s="92"/>
      <c r="F807" s="1"/>
      <c r="AC807" s="9">
        <f t="shared" si="35"/>
        <v>0</v>
      </c>
      <c r="AD807" s="11">
        <f t="shared" si="32"/>
        <v>0</v>
      </c>
      <c r="AE807" s="249">
        <f t="shared" si="32"/>
        <v>0</v>
      </c>
      <c r="AF807" s="258">
        <f t="shared" si="32"/>
        <v>0</v>
      </c>
      <c r="AG807" s="259">
        <f t="shared" si="36"/>
        <v>0</v>
      </c>
      <c r="AH807" s="56">
        <f>AG807</f>
        <v>0</v>
      </c>
      <c r="AI807" s="250">
        <f t="shared" si="37"/>
        <v>0</v>
      </c>
      <c r="AJ807" s="250">
        <f t="shared" si="33"/>
        <v>0</v>
      </c>
      <c r="AK807" s="250">
        <f t="shared" si="33"/>
        <v>0</v>
      </c>
      <c r="AL807" s="250">
        <f t="shared" si="33"/>
        <v>0</v>
      </c>
      <c r="AM807" s="250">
        <f t="shared" si="33"/>
        <v>0</v>
      </c>
      <c r="AN807" s="250">
        <f t="shared" si="33"/>
        <v>0</v>
      </c>
      <c r="AO807" s="250">
        <f t="shared" si="33"/>
        <v>0</v>
      </c>
      <c r="AP807" s="250">
        <f t="shared" si="33"/>
        <v>0</v>
      </c>
      <c r="AQ807" s="259">
        <f t="shared" si="38"/>
        <v>0</v>
      </c>
      <c r="AS807" s="260" t="str">
        <f t="shared" si="34"/>
        <v/>
      </c>
      <c r="BD807" s="56" t="str">
        <f>IF(AS807&gt;0,C807,"")</f>
        <v>stigma</v>
      </c>
      <c r="BF807" s="56" t="str">
        <f t="shared" si="39"/>
        <v xml:space="preserve">stigma, </v>
      </c>
      <c r="BI807" s="56" t="str">
        <f>IF(AND($AQ$809&gt;96,$AQ$809&lt;109),"friends","")</f>
        <v/>
      </c>
      <c r="BK807" s="56" t="str">
        <f>IF(BI807="","",CONCATENATE(BI807,", "))</f>
        <v/>
      </c>
      <c r="BO807" s="56" t="str">
        <f>IF(BI808="",BO806,"")</f>
        <v/>
      </c>
    </row>
    <row r="808" spans="1:71" x14ac:dyDescent="0.25">
      <c r="A808" s="242"/>
      <c r="B808" s="247"/>
      <c r="C808" s="248" t="s">
        <v>547</v>
      </c>
      <c r="D808" s="257"/>
      <c r="E808" s="92"/>
      <c r="F808" s="1"/>
      <c r="AC808" s="9">
        <f t="shared" si="35"/>
        <v>0</v>
      </c>
      <c r="AD808" s="11">
        <f t="shared" si="32"/>
        <v>0</v>
      </c>
      <c r="AE808" s="249">
        <f t="shared" si="32"/>
        <v>0</v>
      </c>
      <c r="AF808" s="258">
        <f t="shared" si="32"/>
        <v>0</v>
      </c>
      <c r="AG808" s="259">
        <f t="shared" si="36"/>
        <v>0</v>
      </c>
      <c r="AI808" s="250">
        <f t="shared" si="37"/>
        <v>0</v>
      </c>
      <c r="AJ808" s="250">
        <f t="shared" si="33"/>
        <v>0</v>
      </c>
      <c r="AK808" s="250">
        <f t="shared" si="33"/>
        <v>0</v>
      </c>
      <c r="AL808" s="250">
        <f t="shared" si="33"/>
        <v>0</v>
      </c>
      <c r="AM808" s="250">
        <f t="shared" si="33"/>
        <v>0</v>
      </c>
      <c r="AN808" s="250">
        <f t="shared" si="33"/>
        <v>0</v>
      </c>
      <c r="AO808" s="250">
        <f t="shared" si="33"/>
        <v>0</v>
      </c>
      <c r="AP808" s="250">
        <f t="shared" si="33"/>
        <v>0</v>
      </c>
      <c r="AQ808" s="259">
        <f t="shared" si="38"/>
        <v>0</v>
      </c>
      <c r="AS808" s="260" t="str">
        <f t="shared" si="34"/>
        <v/>
      </c>
      <c r="BF808" s="16" t="str">
        <f>IF(AH809&gt;0,"among other things. ","")</f>
        <v/>
      </c>
      <c r="BI808" s="56" t="str">
        <f>IF(AND($AI$809&gt;8,$AI$809&lt;101)," many others ","")</f>
        <v/>
      </c>
      <c r="BK808" s="56" t="str">
        <f>IF(BI808="","",CONCATENATE(BI808,", "))</f>
        <v/>
      </c>
    </row>
    <row r="809" spans="1:71" ht="15" customHeight="1" x14ac:dyDescent="0.25">
      <c r="A809" s="244"/>
      <c r="B809" s="244"/>
      <c r="C809" s="244"/>
      <c r="D809" s="244"/>
      <c r="E809" s="92"/>
      <c r="F809" s="1"/>
      <c r="AC809" s="56">
        <f t="shared" ref="AC809:AQ809" si="40">SUM(AC797:AC808)</f>
        <v>0</v>
      </c>
      <c r="AD809" s="56">
        <f t="shared" si="40"/>
        <v>0</v>
      </c>
      <c r="AE809" s="56">
        <f t="shared" si="40"/>
        <v>0</v>
      </c>
      <c r="AF809" s="56">
        <f t="shared" si="40"/>
        <v>0</v>
      </c>
      <c r="AG809" s="260">
        <f t="shared" si="40"/>
        <v>0</v>
      </c>
      <c r="AH809" s="56">
        <f t="shared" si="40"/>
        <v>0</v>
      </c>
      <c r="AI809" s="56">
        <f t="shared" si="40"/>
        <v>0</v>
      </c>
      <c r="AJ809" s="56">
        <f t="shared" si="40"/>
        <v>0</v>
      </c>
      <c r="AK809" s="56">
        <f t="shared" si="40"/>
        <v>0</v>
      </c>
      <c r="AL809" s="56">
        <f t="shared" si="40"/>
        <v>0</v>
      </c>
      <c r="AM809" s="56">
        <f t="shared" si="40"/>
        <v>0</v>
      </c>
      <c r="AN809" s="56">
        <f t="shared" si="40"/>
        <v>0</v>
      </c>
      <c r="AO809" s="56">
        <f t="shared" si="40"/>
        <v>0</v>
      </c>
      <c r="AP809" s="56">
        <f t="shared" si="40"/>
        <v>0</v>
      </c>
      <c r="AQ809" s="260">
        <f t="shared" si="40"/>
        <v>0</v>
      </c>
    </row>
    <row r="810" spans="1:71" ht="15" customHeight="1" x14ac:dyDescent="0.25">
      <c r="A810" s="242"/>
      <c r="B810" s="246" t="s">
        <v>548</v>
      </c>
      <c r="C810" s="246"/>
      <c r="D810" s="246"/>
      <c r="E810" s="92"/>
      <c r="F810" s="1"/>
      <c r="AC810" s="56" t="s">
        <v>549</v>
      </c>
      <c r="AN810" s="56" t="str">
        <f>IF($C$7=AD152,"this claimant",$C$7)</f>
        <v xml:space="preserve"> </v>
      </c>
      <c r="AS810" s="262" t="s">
        <v>550</v>
      </c>
      <c r="AU810" s="56" t="str">
        <f>IF($C$7=AD152," This claimant",$C$7)</f>
        <v xml:space="preserve"> </v>
      </c>
      <c r="AZ810" s="56" t="s">
        <v>551</v>
      </c>
      <c r="BB810" s="56"/>
      <c r="BD810" s="56" t="str">
        <f>IF(AND(AQ809&gt;BI797,AQ809&lt;BJ797),AV802,IF(AND(AQ809&gt;BI798,AQ809&lt;BJ798),AV803,IF(AND(AQ809&gt;BI799,AQ809&lt;BJ799),AV804,"")))</f>
        <v/>
      </c>
      <c r="BK810" s="263" t="str">
        <f>IF(BO806="",BK807,BO806)</f>
        <v/>
      </c>
      <c r="BL810" s="263"/>
      <c r="BM810" s="263"/>
      <c r="BN810" s="263"/>
      <c r="BO810" s="263"/>
      <c r="BP810" s="263"/>
      <c r="BS810" s="263" t="str">
        <f>IF(BK808="",BO806,BK808)</f>
        <v/>
      </c>
    </row>
    <row r="811" spans="1:71" ht="30" customHeight="1" x14ac:dyDescent="0.35">
      <c r="A811" s="242"/>
      <c r="B811" s="584"/>
      <c r="C811" s="584"/>
      <c r="D811" s="584"/>
      <c r="E811" s="92"/>
      <c r="F811" s="1"/>
      <c r="AC811" s="588" t="str">
        <f>CONCATENATE(AC810,AN810,AS810,AU810,AZ810,BD810,AC812,AH812,BD812)</f>
        <v>Collateral consequences also impact others in  's life.   shares how others have suffered. You can help improve their lives too!</v>
      </c>
      <c r="AD811" s="589"/>
      <c r="AE811" s="589"/>
      <c r="AF811" s="589"/>
      <c r="AG811" s="589"/>
      <c r="AH811" s="589"/>
      <c r="AI811" s="589"/>
      <c r="AJ811" s="589"/>
      <c r="AK811" s="589"/>
      <c r="AL811" s="589"/>
      <c r="AM811" s="589"/>
      <c r="AN811" s="589"/>
      <c r="AO811" s="589"/>
      <c r="AP811" s="589"/>
      <c r="AQ811" s="589"/>
      <c r="AR811" s="589"/>
      <c r="AS811" s="589"/>
      <c r="AT811" s="589"/>
      <c r="AU811" s="589"/>
      <c r="AV811" s="589"/>
      <c r="AW811" s="589"/>
      <c r="AX811" s="589"/>
      <c r="AY811" s="589"/>
      <c r="AZ811" s="589"/>
      <c r="BA811" s="589"/>
      <c r="BB811" s="589"/>
      <c r="BC811" s="589"/>
      <c r="BD811" s="590"/>
      <c r="BI811" s="264"/>
    </row>
    <row r="812" spans="1:71" ht="15" customHeight="1" x14ac:dyDescent="0.25">
      <c r="A812" s="242"/>
      <c r="B812" s="92"/>
      <c r="C812" s="92"/>
      <c r="D812" s="92"/>
      <c r="E812" s="92"/>
      <c r="F812" s="1"/>
      <c r="AC812" s="56" t="str">
        <f>IF(BD810="","others have suffered. ","have suffered from ")</f>
        <v xml:space="preserve">others have suffered. </v>
      </c>
      <c r="AH812" s="56" t="str">
        <f>IF(BD810="","",CONCATENATE(BF797,BF799,BF800,BF801,BF806,BF807,BF808))</f>
        <v/>
      </c>
      <c r="BD812" s="56" t="s">
        <v>552</v>
      </c>
    </row>
    <row r="813" spans="1:71" ht="15" customHeight="1" x14ac:dyDescent="0.25">
      <c r="A813" s="244">
        <f>A794+1</f>
        <v>66</v>
      </c>
      <c r="B813" s="244" t="s">
        <v>553</v>
      </c>
      <c r="C813" s="244"/>
      <c r="D813" s="244"/>
      <c r="E813" s="92"/>
      <c r="F813" s="1"/>
      <c r="BB813" s="56"/>
    </row>
    <row r="814" spans="1:71" ht="15" customHeight="1" x14ac:dyDescent="0.3">
      <c r="A814" s="242"/>
      <c r="B814" s="245" t="s">
        <v>554</v>
      </c>
      <c r="C814" s="246"/>
      <c r="D814" s="246"/>
      <c r="E814" s="92"/>
      <c r="F814" s="1"/>
      <c r="BD814" s="56" t="str">
        <f>BK806</f>
        <v/>
      </c>
      <c r="BF814" s="56" t="str">
        <f>BK807</f>
        <v/>
      </c>
      <c r="BG814" s="56" t="str">
        <f>BK808</f>
        <v/>
      </c>
    </row>
    <row r="815" spans="1:71" ht="15" customHeight="1" x14ac:dyDescent="0.25">
      <c r="A815" s="242"/>
      <c r="B815" s="92"/>
      <c r="C815" s="92"/>
      <c r="D815" s="92"/>
      <c r="E815" s="92"/>
      <c r="F815" s="1"/>
    </row>
    <row r="816" spans="1:71" ht="25.05" customHeight="1" x14ac:dyDescent="0.25">
      <c r="A816" s="92"/>
      <c r="B816" s="265" t="s">
        <v>555</v>
      </c>
      <c r="C816" s="265"/>
      <c r="D816" s="265"/>
      <c r="E816" s="92"/>
      <c r="F816" s="1"/>
      <c r="AC816" s="266" t="str">
        <f>B1918</f>
        <v>not challenged at all</v>
      </c>
      <c r="AD816" s="266" t="str">
        <f>B1919</f>
        <v>only slightly challenged</v>
      </c>
      <c r="AE816" s="266" t="str">
        <f>B1920</f>
        <v>moderately challenged</v>
      </c>
      <c r="AF816" s="266" t="str">
        <f>B1921</f>
        <v>significantly challenged</v>
      </c>
      <c r="AG816" s="266" t="str">
        <f>B1922</f>
        <v>severely challenged</v>
      </c>
    </row>
    <row r="817" spans="1:54" ht="14.4" thickBot="1" x14ac:dyDescent="0.3">
      <c r="A817" s="92"/>
      <c r="B817" s="595" t="s">
        <v>556</v>
      </c>
      <c r="C817" s="595"/>
      <c r="D817" s="595"/>
      <c r="E817" s="92"/>
      <c r="F817" s="1"/>
      <c r="AC817" s="56">
        <v>0</v>
      </c>
      <c r="AD817" s="56">
        <f>AC817+1</f>
        <v>1</v>
      </c>
      <c r="AE817" s="56">
        <f>AD817+1</f>
        <v>2</v>
      </c>
      <c r="AF817" s="56">
        <f>AE817+1</f>
        <v>3</v>
      </c>
      <c r="AG817" s="56">
        <f>AF817+1</f>
        <v>4</v>
      </c>
      <c r="AH817" s="267">
        <f>SUM(AH818:AH823)</f>
        <v>0</v>
      </c>
      <c r="AK817" s="56" t="s">
        <v>557</v>
      </c>
      <c r="AR817" s="56" t="str">
        <f>IF(AH817&gt;0,"and other ","")</f>
        <v/>
      </c>
      <c r="AU817" s="56" t="s">
        <v>558</v>
      </c>
      <c r="BB817" s="56"/>
    </row>
    <row r="818" spans="1:54" ht="15" thickTop="1" thickBot="1" x14ac:dyDescent="0.3">
      <c r="A818" s="92"/>
      <c r="B818" s="268" t="s">
        <v>559</v>
      </c>
      <c r="C818" s="92"/>
      <c r="D818" s="269"/>
      <c r="E818" s="92"/>
      <c r="F818" s="1"/>
      <c r="AC818" s="9">
        <f t="shared" ref="AC818:AG823" si="41">IF($D818=AC$816,AC$817,0)</f>
        <v>0</v>
      </c>
      <c r="AD818" s="236">
        <f t="shared" si="41"/>
        <v>0</v>
      </c>
      <c r="AE818" s="246">
        <f t="shared" si="41"/>
        <v>0</v>
      </c>
      <c r="AF818" s="249">
        <f t="shared" si="41"/>
        <v>0</v>
      </c>
      <c r="AG818" s="258">
        <f t="shared" si="41"/>
        <v>0</v>
      </c>
      <c r="AH818" s="60">
        <f t="shared" ref="AH818:AH823" si="42">MAX(AC818:AG818)</f>
        <v>0</v>
      </c>
      <c r="AL818" s="253" t="str">
        <f>IF(AND(AJ828&lt;=AH818,AH818&gt;0),B818,"")</f>
        <v/>
      </c>
      <c r="AM818" s="253"/>
      <c r="AN818" s="253"/>
      <c r="AO818" s="253"/>
      <c r="AP818" s="253" t="s">
        <v>561</v>
      </c>
      <c r="AQ818" s="253"/>
      <c r="AT818" s="56" t="str">
        <f t="shared" ref="AT818:AT823" si="43">IF(AL818="","",CONCATENATE(AL818,AP818))</f>
        <v/>
      </c>
    </row>
    <row r="819" spans="1:54" ht="15" thickTop="1" thickBot="1" x14ac:dyDescent="0.3">
      <c r="A819" s="92"/>
      <c r="B819" s="268" t="s">
        <v>562</v>
      </c>
      <c r="C819" s="92"/>
      <c r="D819" s="269"/>
      <c r="E819" s="92"/>
      <c r="F819" s="1"/>
      <c r="AC819" s="9">
        <f t="shared" si="41"/>
        <v>0</v>
      </c>
      <c r="AD819" s="236">
        <f t="shared" si="41"/>
        <v>0</v>
      </c>
      <c r="AE819" s="246">
        <f t="shared" si="41"/>
        <v>0</v>
      </c>
      <c r="AF819" s="249">
        <f t="shared" si="41"/>
        <v>0</v>
      </c>
      <c r="AG819" s="258">
        <f t="shared" si="41"/>
        <v>0</v>
      </c>
      <c r="AH819" s="60">
        <f t="shared" si="42"/>
        <v>0</v>
      </c>
      <c r="AL819" s="253" t="str">
        <f>IF(AND(AJ829&lt;=AH819,AH819&gt;0),B819,"")</f>
        <v/>
      </c>
      <c r="AM819" s="253"/>
      <c r="AN819" s="253"/>
      <c r="AO819" s="253"/>
      <c r="AP819" s="253" t="s">
        <v>561</v>
      </c>
      <c r="AQ819" s="253"/>
      <c r="AT819" s="56" t="str">
        <f t="shared" si="43"/>
        <v/>
      </c>
    </row>
    <row r="820" spans="1:54" ht="15" thickTop="1" thickBot="1" x14ac:dyDescent="0.3">
      <c r="A820" s="92"/>
      <c r="B820" s="268" t="s">
        <v>564</v>
      </c>
      <c r="C820" s="92"/>
      <c r="D820" s="269"/>
      <c r="E820" s="92"/>
      <c r="F820" s="1"/>
      <c r="AC820" s="9">
        <f t="shared" si="41"/>
        <v>0</v>
      </c>
      <c r="AD820" s="236">
        <f t="shared" si="41"/>
        <v>0</v>
      </c>
      <c r="AE820" s="246">
        <f t="shared" si="41"/>
        <v>0</v>
      </c>
      <c r="AF820" s="249">
        <f t="shared" si="41"/>
        <v>0</v>
      </c>
      <c r="AG820" s="258">
        <f t="shared" si="41"/>
        <v>0</v>
      </c>
      <c r="AH820" s="60">
        <f t="shared" si="42"/>
        <v>0</v>
      </c>
      <c r="AL820" s="253" t="str">
        <f>IF(AND(AJ830&lt;=AH820,AH820&gt;0),B820,"")</f>
        <v/>
      </c>
      <c r="AM820" s="253"/>
      <c r="AN820" s="253"/>
      <c r="AO820" s="253"/>
      <c r="AP820" s="253" t="s">
        <v>561</v>
      </c>
      <c r="AQ820" s="253"/>
      <c r="AT820" s="56" t="str">
        <f t="shared" si="43"/>
        <v/>
      </c>
    </row>
    <row r="821" spans="1:54" ht="15" thickTop="1" thickBot="1" x14ac:dyDescent="0.3">
      <c r="A821" s="92"/>
      <c r="B821" s="268" t="s">
        <v>566</v>
      </c>
      <c r="C821" s="92"/>
      <c r="D821" s="269"/>
      <c r="E821" s="92"/>
      <c r="F821" s="1"/>
      <c r="AC821" s="9">
        <f t="shared" si="41"/>
        <v>0</v>
      </c>
      <c r="AD821" s="236">
        <f t="shared" si="41"/>
        <v>0</v>
      </c>
      <c r="AE821" s="246">
        <f t="shared" si="41"/>
        <v>0</v>
      </c>
      <c r="AF821" s="249">
        <f t="shared" si="41"/>
        <v>0</v>
      </c>
      <c r="AG821" s="258">
        <f t="shared" si="41"/>
        <v>0</v>
      </c>
      <c r="AH821" s="60">
        <f t="shared" si="42"/>
        <v>0</v>
      </c>
      <c r="AL821" s="253" t="str">
        <f>IF(AND(AJ831&lt;=AH821,AH821&gt;0),B821,"")</f>
        <v/>
      </c>
      <c r="AM821" s="253"/>
      <c r="AN821" s="253"/>
      <c r="AO821" s="253"/>
      <c r="AP821" s="253" t="s">
        <v>561</v>
      </c>
      <c r="AQ821" s="253"/>
      <c r="AT821" s="56" t="str">
        <f t="shared" si="43"/>
        <v/>
      </c>
    </row>
    <row r="822" spans="1:54" ht="15" thickTop="1" thickBot="1" x14ac:dyDescent="0.3">
      <c r="A822" s="92"/>
      <c r="B822" s="268" t="s">
        <v>567</v>
      </c>
      <c r="C822" s="92"/>
      <c r="D822" s="269"/>
      <c r="E822" s="92"/>
      <c r="F822" s="1"/>
      <c r="AC822" s="9">
        <f t="shared" si="41"/>
        <v>0</v>
      </c>
      <c r="AD822" s="236">
        <f t="shared" si="41"/>
        <v>0</v>
      </c>
      <c r="AE822" s="246">
        <f t="shared" si="41"/>
        <v>0</v>
      </c>
      <c r="AF822" s="249">
        <f t="shared" si="41"/>
        <v>0</v>
      </c>
      <c r="AG822" s="258">
        <f t="shared" si="41"/>
        <v>0</v>
      </c>
      <c r="AH822" s="60">
        <f t="shared" si="42"/>
        <v>0</v>
      </c>
      <c r="AL822" s="253" t="str">
        <f>IF(AND(AJ832&lt;=AH822,AH822&gt;0),B822,"")</f>
        <v/>
      </c>
      <c r="AM822" s="253"/>
      <c r="AN822" s="253"/>
      <c r="AO822" s="253"/>
      <c r="AP822" s="253" t="s">
        <v>561</v>
      </c>
      <c r="AQ822" s="253"/>
      <c r="AT822" s="56" t="str">
        <f t="shared" si="43"/>
        <v/>
      </c>
    </row>
    <row r="823" spans="1:54" ht="15" thickTop="1" thickBot="1" x14ac:dyDescent="0.3">
      <c r="A823" s="92"/>
      <c r="B823" s="268" t="s">
        <v>569</v>
      </c>
      <c r="C823" s="269"/>
      <c r="D823" s="269"/>
      <c r="E823" s="92"/>
      <c r="F823" s="1"/>
      <c r="AC823" s="9">
        <f t="shared" si="41"/>
        <v>0</v>
      </c>
      <c r="AD823" s="236">
        <f t="shared" si="41"/>
        <v>0</v>
      </c>
      <c r="AE823" s="246">
        <f t="shared" si="41"/>
        <v>0</v>
      </c>
      <c r="AF823" s="249">
        <f t="shared" si="41"/>
        <v>0</v>
      </c>
      <c r="AG823" s="258">
        <f t="shared" si="41"/>
        <v>0</v>
      </c>
      <c r="AH823" s="60">
        <f t="shared" si="42"/>
        <v>0</v>
      </c>
      <c r="AL823" s="253" t="str">
        <f>IF(AND(C823&lt;&gt;"",AJ833&gt;=AH823),C823,"")</f>
        <v/>
      </c>
      <c r="AM823" s="253"/>
      <c r="AN823" s="253"/>
      <c r="AO823" s="253"/>
      <c r="AP823" s="253" t="s">
        <v>561</v>
      </c>
      <c r="AQ823" s="253"/>
      <c r="AT823" s="56" t="str">
        <f t="shared" si="43"/>
        <v/>
      </c>
    </row>
    <row r="824" spans="1:54" ht="4.95" customHeight="1" thickTop="1" x14ac:dyDescent="0.25">
      <c r="A824" s="92"/>
      <c r="B824" s="268"/>
      <c r="C824" s="92"/>
      <c r="D824" s="92"/>
      <c r="E824" s="92"/>
      <c r="F824" s="1"/>
    </row>
    <row r="825" spans="1:54" x14ac:dyDescent="0.25">
      <c r="A825" s="92"/>
      <c r="B825" s="92"/>
      <c r="C825" s="92"/>
      <c r="D825" s="92"/>
      <c r="E825" s="92"/>
      <c r="F825" s="1"/>
    </row>
    <row r="826" spans="1:54" ht="25.05" customHeight="1" x14ac:dyDescent="0.25">
      <c r="A826" s="92"/>
      <c r="B826" s="265" t="s">
        <v>570</v>
      </c>
      <c r="C826" s="265"/>
      <c r="D826" s="265"/>
      <c r="E826" s="92"/>
      <c r="F826" s="1"/>
      <c r="AC826" s="266" t="str">
        <f>B1926</f>
        <v>I don't seek it nor think about it much</v>
      </c>
      <c r="AD826" s="266" t="str">
        <f>B1927</f>
        <v>I desire it but feel it's unlikely to happen</v>
      </c>
      <c r="AE826" s="266" t="str">
        <f>B1928</f>
        <v>I hope it'll happen but I can do little about it now</v>
      </c>
      <c r="AF826" s="266" t="str">
        <f>B1929</f>
        <v>I struggle to make it happen but unsuccessfully</v>
      </c>
      <c r="AG826" s="266" t="str">
        <f>B1930</f>
        <v>I feel I've reached it but not maintained it</v>
      </c>
      <c r="AH826" s="266" t="str">
        <f>B1931</f>
        <v>I sense I can maintain it with help like this</v>
      </c>
      <c r="AI826" s="266" t="str">
        <f>B1932</f>
        <v>I maintain it without help like this</v>
      </c>
    </row>
    <row r="827" spans="1:54" ht="14.4" thickBot="1" x14ac:dyDescent="0.3">
      <c r="A827" s="92"/>
      <c r="B827" s="595" t="s">
        <v>571</v>
      </c>
      <c r="C827" s="595"/>
      <c r="D827" s="595"/>
      <c r="E827" s="92"/>
      <c r="F827" s="1"/>
      <c r="AC827" s="56">
        <v>0</v>
      </c>
      <c r="AD827" s="56">
        <f t="shared" ref="AD827:AI827" si="44">AC827+1</f>
        <v>1</v>
      </c>
      <c r="AE827" s="56">
        <f t="shared" si="44"/>
        <v>2</v>
      </c>
      <c r="AF827" s="56">
        <f t="shared" si="44"/>
        <v>3</v>
      </c>
      <c r="AG827" s="56">
        <f t="shared" si="44"/>
        <v>4</v>
      </c>
      <c r="AH827" s="56">
        <f t="shared" si="44"/>
        <v>5</v>
      </c>
      <c r="AI827" s="56">
        <f t="shared" si="44"/>
        <v>6</v>
      </c>
      <c r="AJ827" s="267">
        <f>SUM(AJ828:AJ833)</f>
        <v>0</v>
      </c>
      <c r="AK827" s="56" t="str">
        <f>IF($AM$7="","this claimant",$C$7)</f>
        <v>this claimant</v>
      </c>
      <c r="AN827" s="56" t="s">
        <v>572</v>
      </c>
      <c r="AV827" s="56" t="str">
        <f>IF(AJ827&gt;0,"and other ","")</f>
        <v/>
      </c>
      <c r="AZ827" s="16" t="s">
        <v>573</v>
      </c>
      <c r="BB827" s="56"/>
    </row>
    <row r="828" spans="1:54" ht="15" thickTop="1" thickBot="1" x14ac:dyDescent="0.3">
      <c r="A828" s="92"/>
      <c r="B828" s="268" t="s">
        <v>574</v>
      </c>
      <c r="C828" s="92"/>
      <c r="D828" s="270"/>
      <c r="E828" s="92"/>
      <c r="F828" s="1"/>
      <c r="AC828" s="9">
        <f t="shared" ref="AC828:AI833" si="45">IF($D828=AC$826,AC$827,0)</f>
        <v>0</v>
      </c>
      <c r="AD828" s="10">
        <f t="shared" si="45"/>
        <v>0</v>
      </c>
      <c r="AE828" s="236">
        <f t="shared" si="45"/>
        <v>0</v>
      </c>
      <c r="AF828" s="246">
        <f t="shared" si="45"/>
        <v>0</v>
      </c>
      <c r="AG828" s="57">
        <f t="shared" si="45"/>
        <v>0</v>
      </c>
      <c r="AH828" s="249">
        <f t="shared" si="45"/>
        <v>0</v>
      </c>
      <c r="AI828" s="258">
        <f t="shared" si="45"/>
        <v>0</v>
      </c>
      <c r="AJ828" s="60">
        <f t="shared" ref="AJ828:AJ833" si="46">MAX(AC828:AG828)</f>
        <v>0</v>
      </c>
      <c r="AL828" s="253" t="str">
        <f>IF(AND(AJ838&lt;=AJ828,AJ828&gt;0),B828,"")</f>
        <v/>
      </c>
      <c r="AM828" s="253"/>
      <c r="AN828" s="253"/>
      <c r="AO828" s="253"/>
      <c r="AP828" s="253"/>
      <c r="AQ828" s="253"/>
      <c r="AR828" s="253"/>
      <c r="AS828" s="253"/>
      <c r="AT828" s="56" t="s">
        <v>576</v>
      </c>
      <c r="AV828" s="56" t="str">
        <f t="shared" ref="AV828:AV833" si="47">IF(AL828="","",CONCATENATE(AL828,AT828))</f>
        <v/>
      </c>
      <c r="BB828" s="56"/>
    </row>
    <row r="829" spans="1:54" ht="15" thickTop="1" thickBot="1" x14ac:dyDescent="0.3">
      <c r="A829" s="92"/>
      <c r="B829" s="268" t="s">
        <v>577</v>
      </c>
      <c r="C829" s="92"/>
      <c r="D829" s="270"/>
      <c r="E829" s="92"/>
      <c r="F829" s="1"/>
      <c r="AC829" s="9">
        <f t="shared" si="45"/>
        <v>0</v>
      </c>
      <c r="AD829" s="10">
        <f t="shared" si="45"/>
        <v>0</v>
      </c>
      <c r="AE829" s="236">
        <f t="shared" si="45"/>
        <v>0</v>
      </c>
      <c r="AF829" s="246">
        <f t="shared" si="45"/>
        <v>0</v>
      </c>
      <c r="AG829" s="57">
        <f t="shared" si="45"/>
        <v>0</v>
      </c>
      <c r="AH829" s="249">
        <f t="shared" si="45"/>
        <v>0</v>
      </c>
      <c r="AI829" s="258">
        <f t="shared" si="45"/>
        <v>0</v>
      </c>
      <c r="AJ829" s="60">
        <f t="shared" si="46"/>
        <v>0</v>
      </c>
      <c r="AL829" s="253" t="str">
        <f>IF(AND(AJ839&lt;=AJ829,AJ829&gt;0),B829,"")</f>
        <v/>
      </c>
      <c r="AM829" s="253"/>
      <c r="AN829" s="253"/>
      <c r="AO829" s="253"/>
      <c r="AP829" s="253"/>
      <c r="AQ829" s="253"/>
      <c r="AR829" s="253"/>
      <c r="AS829" s="253"/>
      <c r="AT829" s="56" t="s">
        <v>576</v>
      </c>
      <c r="AV829" s="56" t="str">
        <f t="shared" si="47"/>
        <v/>
      </c>
      <c r="BB829" s="56"/>
    </row>
    <row r="830" spans="1:54" ht="15" thickTop="1" thickBot="1" x14ac:dyDescent="0.3">
      <c r="A830" s="92"/>
      <c r="B830" s="268" t="s">
        <v>579</v>
      </c>
      <c r="C830" s="92"/>
      <c r="D830" s="270"/>
      <c r="E830" s="92"/>
      <c r="F830" s="1"/>
      <c r="AC830" s="9">
        <f t="shared" si="45"/>
        <v>0</v>
      </c>
      <c r="AD830" s="10">
        <f t="shared" si="45"/>
        <v>0</v>
      </c>
      <c r="AE830" s="236">
        <f t="shared" si="45"/>
        <v>0</v>
      </c>
      <c r="AF830" s="246">
        <f t="shared" si="45"/>
        <v>0</v>
      </c>
      <c r="AG830" s="57">
        <f t="shared" si="45"/>
        <v>0</v>
      </c>
      <c r="AH830" s="249">
        <f t="shared" si="45"/>
        <v>0</v>
      </c>
      <c r="AI830" s="258">
        <f t="shared" si="45"/>
        <v>0</v>
      </c>
      <c r="AJ830" s="60">
        <f t="shared" si="46"/>
        <v>0</v>
      </c>
      <c r="AL830" s="253" t="str">
        <f>IF(AND(AJ840&lt;=AJ830,AJ830&gt;0),B830,"")</f>
        <v/>
      </c>
      <c r="AM830" s="253"/>
      <c r="AN830" s="253"/>
      <c r="AO830" s="253"/>
      <c r="AP830" s="253"/>
      <c r="AQ830" s="253"/>
      <c r="AR830" s="253"/>
      <c r="AS830" s="253"/>
      <c r="AT830" s="56" t="s">
        <v>576</v>
      </c>
      <c r="AV830" s="56" t="str">
        <f t="shared" si="47"/>
        <v/>
      </c>
      <c r="BB830" s="56"/>
    </row>
    <row r="831" spans="1:54" ht="15" thickTop="1" thickBot="1" x14ac:dyDescent="0.3">
      <c r="A831" s="92"/>
      <c r="B831" s="268" t="s">
        <v>581</v>
      </c>
      <c r="C831" s="92"/>
      <c r="D831" s="270"/>
      <c r="E831" s="92"/>
      <c r="F831" s="1"/>
      <c r="AC831" s="9">
        <f t="shared" si="45"/>
        <v>0</v>
      </c>
      <c r="AD831" s="10">
        <f t="shared" si="45"/>
        <v>0</v>
      </c>
      <c r="AE831" s="236">
        <f t="shared" si="45"/>
        <v>0</v>
      </c>
      <c r="AF831" s="246">
        <f t="shared" si="45"/>
        <v>0</v>
      </c>
      <c r="AG831" s="57">
        <f t="shared" si="45"/>
        <v>0</v>
      </c>
      <c r="AH831" s="249">
        <f t="shared" si="45"/>
        <v>0</v>
      </c>
      <c r="AI831" s="258">
        <f t="shared" si="45"/>
        <v>0</v>
      </c>
      <c r="AJ831" s="60">
        <f t="shared" si="46"/>
        <v>0</v>
      </c>
      <c r="AL831" s="253" t="str">
        <f>IF(AND(AJ843&lt;=AJ831,AJ831&gt;0),B831,"")</f>
        <v/>
      </c>
      <c r="AM831" s="253"/>
      <c r="AN831" s="253"/>
      <c r="AO831" s="253"/>
      <c r="AP831" s="253"/>
      <c r="AQ831" s="253"/>
      <c r="AR831" s="253"/>
      <c r="AS831" s="253"/>
      <c r="AT831" s="56" t="s">
        <v>576</v>
      </c>
      <c r="AV831" s="56" t="str">
        <f t="shared" si="47"/>
        <v/>
      </c>
      <c r="BB831" s="56"/>
    </row>
    <row r="832" spans="1:54" ht="15" thickTop="1" thickBot="1" x14ac:dyDescent="0.3">
      <c r="A832" s="92"/>
      <c r="B832" s="268" t="s">
        <v>582</v>
      </c>
      <c r="C832" s="92"/>
      <c r="D832" s="270"/>
      <c r="E832" s="92"/>
      <c r="F832" s="1"/>
      <c r="AC832" s="9">
        <f t="shared" si="45"/>
        <v>0</v>
      </c>
      <c r="AD832" s="10">
        <f t="shared" si="45"/>
        <v>0</v>
      </c>
      <c r="AE832" s="236">
        <f t="shared" si="45"/>
        <v>0</v>
      </c>
      <c r="AF832" s="246">
        <f t="shared" si="45"/>
        <v>0</v>
      </c>
      <c r="AG832" s="57">
        <f t="shared" si="45"/>
        <v>0</v>
      </c>
      <c r="AH832" s="249">
        <f t="shared" si="45"/>
        <v>0</v>
      </c>
      <c r="AI832" s="258">
        <f t="shared" si="45"/>
        <v>0</v>
      </c>
      <c r="AJ832" s="60">
        <f t="shared" si="46"/>
        <v>0</v>
      </c>
      <c r="AL832" s="253" t="str">
        <f>IF(AND(AJ844&lt;=AJ832,AJ832&gt;0),B832,"")</f>
        <v/>
      </c>
      <c r="AM832" s="253"/>
      <c r="AN832" s="253"/>
      <c r="AO832" s="253"/>
      <c r="AP832" s="253"/>
      <c r="AQ832" s="253"/>
      <c r="AR832" s="253"/>
      <c r="AS832" s="253"/>
      <c r="AT832" s="56" t="s">
        <v>576</v>
      </c>
      <c r="AV832" s="56" t="str">
        <f t="shared" si="47"/>
        <v/>
      </c>
      <c r="BB832" s="56"/>
    </row>
    <row r="833" spans="1:60" ht="15" thickTop="1" thickBot="1" x14ac:dyDescent="0.3">
      <c r="A833" s="92"/>
      <c r="B833" s="268" t="s">
        <v>569</v>
      </c>
      <c r="C833" s="269"/>
      <c r="D833" s="270"/>
      <c r="E833" s="92"/>
      <c r="F833" s="1"/>
      <c r="AC833" s="9">
        <f t="shared" si="45"/>
        <v>0</v>
      </c>
      <c r="AD833" s="10">
        <f t="shared" si="45"/>
        <v>0</v>
      </c>
      <c r="AE833" s="236">
        <f t="shared" si="45"/>
        <v>0</v>
      </c>
      <c r="AF833" s="246">
        <f t="shared" si="45"/>
        <v>0</v>
      </c>
      <c r="AG833" s="57">
        <f t="shared" si="45"/>
        <v>0</v>
      </c>
      <c r="AH833" s="249">
        <f t="shared" si="45"/>
        <v>0</v>
      </c>
      <c r="AI833" s="258">
        <f t="shared" si="45"/>
        <v>0</v>
      </c>
      <c r="AJ833" s="60">
        <f t="shared" si="46"/>
        <v>0</v>
      </c>
      <c r="AL833" s="253" t="str">
        <f>IF(AND(AJ845&lt;=AJ833,AJ833&gt;0),C833,"")</f>
        <v/>
      </c>
      <c r="AM833" s="253"/>
      <c r="AN833" s="253"/>
      <c r="AO833" s="253"/>
      <c r="AP833" s="253"/>
      <c r="AQ833" s="253"/>
      <c r="AR833" s="253"/>
      <c r="AS833" s="253"/>
      <c r="AT833" s="56" t="s">
        <v>576</v>
      </c>
      <c r="AV833" s="56" t="str">
        <f t="shared" si="47"/>
        <v/>
      </c>
      <c r="BB833" s="56"/>
    </row>
    <row r="834" spans="1:60" ht="4.95" customHeight="1" thickTop="1" x14ac:dyDescent="0.25">
      <c r="A834" s="92"/>
      <c r="B834" s="268"/>
      <c r="C834" s="92"/>
      <c r="D834" s="92"/>
      <c r="E834" s="92"/>
      <c r="F834" s="1"/>
    </row>
    <row r="835" spans="1:60" ht="15" customHeight="1" thickBot="1" x14ac:dyDescent="0.3">
      <c r="A835" s="92"/>
      <c r="B835" s="246" t="s">
        <v>584</v>
      </c>
      <c r="C835" s="246"/>
      <c r="D835" s="246"/>
      <c r="E835" s="92"/>
      <c r="F835" s="1"/>
      <c r="AK835" s="56" t="s">
        <v>585</v>
      </c>
      <c r="AR835" s="56" t="s">
        <v>586</v>
      </c>
      <c r="BA835" s="56" t="str">
        <f>AK827</f>
        <v>this claimant</v>
      </c>
      <c r="BB835" s="56"/>
      <c r="BD835" s="271" t="s">
        <v>550</v>
      </c>
    </row>
    <row r="836" spans="1:60" ht="28.05" customHeight="1" thickTop="1" thickBot="1" x14ac:dyDescent="0.3">
      <c r="A836" s="92"/>
      <c r="B836" s="596"/>
      <c r="C836" s="597"/>
      <c r="D836" s="598"/>
      <c r="E836" s="92"/>
      <c r="F836" s="1"/>
      <c r="AC836" s="579" t="str">
        <f>CONCATENATE(AK817,AT818,AT819,AT820,AT821,AT822,AT823,AR817,AU817,AK827,AN827,AV828,AV829,AV830,AV831,AV832,AV827,AZ827,AK835,AR835,BA835,BD835)</f>
        <v xml:space="preserve">Despite challenging needs, this claimant aspires toward life improvements. Removing illicit discrimination will go a long way toward improving this claimant's life. </v>
      </c>
      <c r="AD836" s="580"/>
      <c r="AE836" s="580"/>
      <c r="AF836" s="580"/>
      <c r="AG836" s="580"/>
      <c r="AH836" s="580"/>
      <c r="AI836" s="580"/>
      <c r="AJ836" s="580"/>
      <c r="AK836" s="580"/>
      <c r="AL836" s="580"/>
      <c r="AM836" s="580"/>
      <c r="AN836" s="580"/>
      <c r="AO836" s="580"/>
      <c r="AP836" s="580"/>
      <c r="AQ836" s="580"/>
      <c r="AR836" s="580"/>
      <c r="AS836" s="580"/>
      <c r="AT836" s="580"/>
      <c r="AU836" s="580"/>
      <c r="AV836" s="580"/>
      <c r="AW836" s="580"/>
      <c r="AX836" s="580"/>
      <c r="AY836" s="580"/>
      <c r="AZ836" s="580"/>
      <c r="BA836" s="580"/>
      <c r="BB836" s="580"/>
      <c r="BC836" s="580"/>
      <c r="BD836" s="580"/>
      <c r="BE836" s="580"/>
      <c r="BF836" s="580"/>
      <c r="BG836" s="580"/>
      <c r="BH836" s="580"/>
    </row>
    <row r="837" spans="1:60" ht="10.050000000000001" customHeight="1" thickTop="1" x14ac:dyDescent="0.25">
      <c r="A837" s="92"/>
      <c r="B837" s="92"/>
      <c r="C837" s="92"/>
      <c r="D837" s="92"/>
      <c r="E837" s="92"/>
      <c r="F837" s="1"/>
    </row>
    <row r="838" spans="1:60" ht="15" customHeight="1" x14ac:dyDescent="0.25">
      <c r="A838" s="242"/>
      <c r="B838" s="92"/>
      <c r="C838" s="92"/>
      <c r="D838" s="92"/>
      <c r="E838" s="92"/>
      <c r="F838" s="1"/>
    </row>
    <row r="839" spans="1:60" ht="30" customHeight="1" x14ac:dyDescent="0.25">
      <c r="A839" s="46" t="s">
        <v>93</v>
      </c>
      <c r="B839" s="46" t="s">
        <v>587</v>
      </c>
      <c r="C839" s="46"/>
      <c r="D839" s="45"/>
      <c r="E839" s="475"/>
      <c r="F839" s="475" t="s">
        <v>949</v>
      </c>
    </row>
    <row r="840" spans="1:60" s="28" customFormat="1" ht="30" customHeight="1" x14ac:dyDescent="0.3">
      <c r="A840" s="48"/>
      <c r="B840" s="581" t="s">
        <v>588</v>
      </c>
      <c r="C840" s="581"/>
      <c r="D840" s="581"/>
      <c r="E840" s="49"/>
      <c r="F840" s="108"/>
      <c r="G840" s="238"/>
      <c r="H840" s="238"/>
      <c r="I840" s="238"/>
      <c r="J840" s="238"/>
      <c r="K840" s="238"/>
      <c r="L840" s="238"/>
      <c r="M840" s="238"/>
      <c r="N840" s="238"/>
      <c r="O840" s="238"/>
      <c r="P840" s="238"/>
      <c r="Q840" s="238"/>
      <c r="R840" s="238"/>
      <c r="S840" s="238"/>
      <c r="T840" s="238"/>
      <c r="U840" s="238"/>
      <c r="V840" s="238"/>
      <c r="W840" s="238"/>
      <c r="X840" s="238"/>
      <c r="Y840" s="238"/>
      <c r="Z840" s="238"/>
      <c r="BB840" s="272"/>
    </row>
    <row r="841" spans="1:60" s="28" customFormat="1" ht="30" customHeight="1" x14ac:dyDescent="0.3">
      <c r="A841" s="48"/>
      <c r="B841" s="581" t="s">
        <v>589</v>
      </c>
      <c r="C841" s="581"/>
      <c r="D841" s="581"/>
      <c r="E841" s="49"/>
      <c r="F841" s="108"/>
      <c r="G841" s="238"/>
      <c r="H841" s="238"/>
      <c r="I841" s="238"/>
      <c r="J841" s="238"/>
      <c r="K841" s="238"/>
      <c r="L841" s="238"/>
      <c r="M841" s="238"/>
      <c r="N841" s="238"/>
      <c r="O841" s="238"/>
      <c r="P841" s="238"/>
      <c r="Q841" s="238"/>
      <c r="R841" s="238"/>
      <c r="S841" s="238"/>
      <c r="T841" s="238"/>
      <c r="U841" s="238"/>
      <c r="V841" s="238"/>
      <c r="W841" s="238"/>
      <c r="X841" s="238"/>
      <c r="Y841" s="238"/>
      <c r="Z841" s="238"/>
      <c r="BB841" s="272"/>
    </row>
    <row r="842" spans="1:60" s="28" customFormat="1" ht="10.050000000000001" customHeight="1" x14ac:dyDescent="0.25">
      <c r="A842" s="273"/>
      <c r="B842" s="273"/>
      <c r="C842" s="273"/>
      <c r="D842" s="273"/>
      <c r="E842" s="107"/>
      <c r="F842" s="1"/>
      <c r="G842" s="238"/>
      <c r="H842" s="238"/>
      <c r="I842" s="238"/>
      <c r="J842" s="238"/>
      <c r="K842" s="238"/>
      <c r="L842" s="238"/>
      <c r="M842" s="238"/>
      <c r="N842" s="238"/>
      <c r="O842" s="238"/>
      <c r="P842" s="238"/>
      <c r="Q842" s="238"/>
      <c r="R842" s="238"/>
      <c r="S842" s="238"/>
      <c r="T842" s="238"/>
      <c r="U842" s="238"/>
      <c r="V842" s="238"/>
      <c r="W842" s="238"/>
      <c r="X842" s="238"/>
      <c r="Y842" s="238"/>
      <c r="Z842" s="238"/>
      <c r="BB842" s="272"/>
    </row>
    <row r="843" spans="1:60" ht="15.6" x14ac:dyDescent="0.25">
      <c r="A843" s="273">
        <f>A813+1</f>
        <v>67</v>
      </c>
      <c r="B843" s="273" t="s">
        <v>590</v>
      </c>
      <c r="C843" s="273"/>
      <c r="D843" s="273"/>
      <c r="E843" s="107"/>
      <c r="F843" s="1"/>
    </row>
    <row r="844" spans="1:60" ht="34.950000000000003" customHeight="1" x14ac:dyDescent="0.25">
      <c r="A844" s="274"/>
      <c r="B844" s="591" t="s">
        <v>591</v>
      </c>
      <c r="C844" s="591"/>
      <c r="D844" s="591"/>
      <c r="E844" s="107"/>
      <c r="F844" s="1"/>
    </row>
    <row r="845" spans="1:60" ht="75" customHeight="1" x14ac:dyDescent="0.25">
      <c r="A845" s="274"/>
      <c r="B845" s="592"/>
      <c r="C845" s="592"/>
      <c r="D845" s="592"/>
      <c r="E845" s="107"/>
      <c r="F845" s="1"/>
      <c r="AF845" s="56" t="s">
        <v>592</v>
      </c>
    </row>
    <row r="846" spans="1:60" ht="10.050000000000001" customHeight="1" x14ac:dyDescent="0.25">
      <c r="A846" s="274"/>
      <c r="B846" s="107"/>
      <c r="C846" s="107"/>
      <c r="D846" s="107"/>
      <c r="E846" s="107"/>
      <c r="F846" s="1"/>
    </row>
    <row r="847" spans="1:60" ht="15.6" customHeight="1" x14ac:dyDescent="0.25">
      <c r="A847" s="273">
        <f>A843+1</f>
        <v>68</v>
      </c>
      <c r="B847" s="273" t="s">
        <v>593</v>
      </c>
      <c r="C847" s="273"/>
      <c r="D847" s="273"/>
      <c r="E847" s="107"/>
      <c r="F847" s="1"/>
    </row>
    <row r="848" spans="1:60" ht="34.950000000000003" customHeight="1" x14ac:dyDescent="0.25">
      <c r="A848" s="274"/>
      <c r="B848" s="593" t="s">
        <v>594</v>
      </c>
      <c r="C848" s="593"/>
      <c r="D848" s="593"/>
      <c r="E848" s="107"/>
      <c r="F848" s="1"/>
    </row>
    <row r="849" spans="1:52" ht="19.95" customHeight="1" thickBot="1" x14ac:dyDescent="0.3">
      <c r="A849" s="274"/>
      <c r="B849" s="275" t="s">
        <v>595</v>
      </c>
      <c r="C849" s="594"/>
      <c r="D849" s="594"/>
      <c r="E849" s="107"/>
      <c r="F849" s="1"/>
      <c r="AE849" s="56">
        <v>1</v>
      </c>
      <c r="AG849" s="56" t="str">
        <f>AD284</f>
        <v>No other criminal history</v>
      </c>
      <c r="AM849" s="56" t="s">
        <v>596</v>
      </c>
      <c r="AR849" s="56" t="str">
        <f t="shared" ref="AR849:AR858" si="48">CONCATENATE(B849,AM$849)</f>
        <v>Highlight 1 will display here</v>
      </c>
    </row>
    <row r="850" spans="1:52" ht="19.95" customHeight="1" thickBot="1" x14ac:dyDescent="0.3">
      <c r="A850" s="274"/>
      <c r="B850" s="275" t="s">
        <v>597</v>
      </c>
      <c r="C850" s="594"/>
      <c r="D850" s="594"/>
      <c r="E850" s="107"/>
      <c r="F850" s="1"/>
      <c r="AE850" s="56">
        <v>2</v>
      </c>
      <c r="AG850" s="56" t="str">
        <f>IF(AD186&gt;0,AZ850,"")</f>
        <v>Consistently maintained innocence, took no plea deals</v>
      </c>
      <c r="AR850" s="56" t="str">
        <f t="shared" si="48"/>
        <v>Highlight 2 will display here</v>
      </c>
      <c r="AZ850" s="5" t="s">
        <v>598</v>
      </c>
    </row>
    <row r="851" spans="1:52" ht="19.95" customHeight="1" thickBot="1" x14ac:dyDescent="0.3">
      <c r="A851" s="274"/>
      <c r="B851" s="275" t="s">
        <v>599</v>
      </c>
      <c r="C851" s="594"/>
      <c r="D851" s="594"/>
      <c r="E851" s="107"/>
      <c r="F851" s="1"/>
      <c r="AE851" s="56">
        <v>3</v>
      </c>
      <c r="AG851" s="5" t="s">
        <v>600</v>
      </c>
      <c r="AH851" s="5"/>
      <c r="AR851" s="56" t="str">
        <f t="shared" si="48"/>
        <v>Highlight 3 will display here</v>
      </c>
    </row>
    <row r="852" spans="1:52" ht="19.95" customHeight="1" thickBot="1" x14ac:dyDescent="0.3">
      <c r="A852" s="274"/>
      <c r="B852" s="275" t="s">
        <v>601</v>
      </c>
      <c r="C852" s="594"/>
      <c r="D852" s="594"/>
      <c r="E852" s="107"/>
      <c r="F852" s="1"/>
      <c r="AE852" s="56">
        <v>4</v>
      </c>
      <c r="AG852" s="5" t="s">
        <v>602</v>
      </c>
      <c r="AH852" s="5"/>
      <c r="AR852" s="56" t="str">
        <f t="shared" si="48"/>
        <v>Highlight 4 will display here</v>
      </c>
    </row>
    <row r="853" spans="1:52" ht="19.95" customHeight="1" thickBot="1" x14ac:dyDescent="0.3">
      <c r="A853" s="274"/>
      <c r="B853" s="275" t="s">
        <v>603</v>
      </c>
      <c r="C853" s="594"/>
      <c r="D853" s="594"/>
      <c r="E853" s="107"/>
      <c r="F853" s="1"/>
      <c r="AE853" s="56">
        <v>5</v>
      </c>
      <c r="AG853" s="5" t="s">
        <v>604</v>
      </c>
      <c r="AH853" s="5"/>
      <c r="AR853" s="56" t="str">
        <f t="shared" si="48"/>
        <v>Highlight 5 will display here</v>
      </c>
    </row>
    <row r="854" spans="1:52" ht="19.95" customHeight="1" thickBot="1" x14ac:dyDescent="0.3">
      <c r="A854" s="274"/>
      <c r="B854" s="275" t="s">
        <v>605</v>
      </c>
      <c r="C854" s="594"/>
      <c r="D854" s="594"/>
      <c r="E854" s="107"/>
      <c r="F854" s="1"/>
      <c r="AE854" s="56">
        <v>6</v>
      </c>
      <c r="AG854" s="5" t="s">
        <v>606</v>
      </c>
      <c r="AH854" s="5"/>
      <c r="AR854" s="56" t="str">
        <f t="shared" si="48"/>
        <v>Highlight 6 will display here</v>
      </c>
    </row>
    <row r="855" spans="1:52" ht="19.95" customHeight="1" thickBot="1" x14ac:dyDescent="0.3">
      <c r="A855" s="274"/>
      <c r="B855" s="275" t="s">
        <v>607</v>
      </c>
      <c r="C855" s="594"/>
      <c r="D855" s="594"/>
      <c r="E855" s="107"/>
      <c r="F855" s="1"/>
      <c r="AE855" s="56">
        <v>7</v>
      </c>
      <c r="AG855" s="5" t="s">
        <v>608</v>
      </c>
      <c r="AH855" s="5"/>
      <c r="AR855" s="56" t="str">
        <f t="shared" si="48"/>
        <v>Highlight 7 will display here</v>
      </c>
    </row>
    <row r="856" spans="1:52" ht="19.95" customHeight="1" thickBot="1" x14ac:dyDescent="0.3">
      <c r="A856" s="274"/>
      <c r="B856" s="275" t="s">
        <v>609</v>
      </c>
      <c r="C856" s="594"/>
      <c r="D856" s="594"/>
      <c r="E856" s="107"/>
      <c r="F856" s="1"/>
      <c r="AE856" s="56">
        <v>8</v>
      </c>
      <c r="AG856" s="5" t="s">
        <v>610</v>
      </c>
      <c r="AH856" s="5"/>
      <c r="AR856" s="56" t="str">
        <f t="shared" si="48"/>
        <v>Highlight 8 will display here</v>
      </c>
    </row>
    <row r="857" spans="1:52" ht="19.95" customHeight="1" thickBot="1" x14ac:dyDescent="0.3">
      <c r="A857" s="274"/>
      <c r="B857" s="275" t="s">
        <v>611</v>
      </c>
      <c r="C857" s="594"/>
      <c r="D857" s="594"/>
      <c r="E857" s="107"/>
      <c r="F857" s="1"/>
      <c r="AE857" s="56">
        <v>9</v>
      </c>
      <c r="AG857" s="5"/>
      <c r="AH857" s="5"/>
      <c r="AR857" s="56" t="str">
        <f t="shared" si="48"/>
        <v>Highlight 9 will display here</v>
      </c>
    </row>
    <row r="858" spans="1:52" ht="19.95" customHeight="1" thickBot="1" x14ac:dyDescent="0.3">
      <c r="A858" s="274"/>
      <c r="B858" s="275" t="s">
        <v>612</v>
      </c>
      <c r="C858" s="594"/>
      <c r="D858" s="594"/>
      <c r="E858" s="107"/>
      <c r="F858" s="1"/>
      <c r="AE858" s="56">
        <v>10</v>
      </c>
      <c r="AG858" s="5"/>
      <c r="AH858" s="5"/>
      <c r="AR858" s="56" t="str">
        <f t="shared" si="48"/>
        <v>Highlight 10 will display here</v>
      </c>
    </row>
    <row r="859" spans="1:52" ht="15" customHeight="1" x14ac:dyDescent="0.25">
      <c r="A859" s="274"/>
      <c r="B859" s="274"/>
      <c r="C859" s="274"/>
      <c r="D859" s="274"/>
      <c r="E859" s="274"/>
      <c r="F859" s="1"/>
    </row>
    <row r="860" spans="1:52" ht="15" customHeight="1" x14ac:dyDescent="0.25">
      <c r="A860" s="273">
        <f>A847+1</f>
        <v>69</v>
      </c>
      <c r="B860" s="273" t="s">
        <v>613</v>
      </c>
      <c r="C860" s="274"/>
      <c r="D860" s="274"/>
      <c r="E860" s="274"/>
      <c r="F860" s="1"/>
    </row>
    <row r="861" spans="1:52" ht="30" customHeight="1" x14ac:dyDescent="0.25">
      <c r="A861" s="274"/>
      <c r="B861" s="593" t="s">
        <v>614</v>
      </c>
      <c r="C861" s="593"/>
      <c r="D861" s="593"/>
      <c r="E861" s="274"/>
      <c r="F861" s="1"/>
    </row>
    <row r="862" spans="1:52" ht="108" customHeight="1" x14ac:dyDescent="0.25">
      <c r="A862" s="274"/>
      <c r="B862" s="592"/>
      <c r="C862" s="592"/>
      <c r="D862" s="592"/>
      <c r="E862" s="274"/>
      <c r="F862" s="1"/>
      <c r="AG862" s="56" t="s">
        <v>615</v>
      </c>
    </row>
    <row r="863" spans="1:52" ht="10.050000000000001" customHeight="1" x14ac:dyDescent="0.25">
      <c r="A863" s="274"/>
      <c r="B863" s="107"/>
      <c r="C863" s="107"/>
      <c r="D863" s="107"/>
      <c r="E863" s="107"/>
      <c r="F863" s="1"/>
    </row>
    <row r="864" spans="1:52" ht="15.6" customHeight="1" x14ac:dyDescent="0.25">
      <c r="A864" s="273">
        <f>A860+1</f>
        <v>70</v>
      </c>
      <c r="B864" s="273" t="s">
        <v>616</v>
      </c>
      <c r="C864" s="273"/>
      <c r="D864" s="273"/>
      <c r="E864" s="107"/>
      <c r="F864" s="1"/>
    </row>
    <row r="865" spans="1:35" ht="45" customHeight="1" x14ac:dyDescent="0.25">
      <c r="A865" s="274"/>
      <c r="B865" s="591" t="s">
        <v>617</v>
      </c>
      <c r="C865" s="591"/>
      <c r="D865" s="591"/>
      <c r="E865" s="107"/>
      <c r="F865" s="1"/>
    </row>
    <row r="866" spans="1:35" ht="16.95" customHeight="1" x14ac:dyDescent="0.25">
      <c r="A866" s="274"/>
      <c r="B866" s="276" t="s">
        <v>618</v>
      </c>
      <c r="C866" s="277"/>
      <c r="D866" s="277"/>
      <c r="E866" s="107"/>
      <c r="F866" s="1"/>
    </row>
    <row r="867" spans="1:35" ht="16.95" customHeight="1" x14ac:dyDescent="0.25">
      <c r="A867" s="274"/>
      <c r="B867" s="591" t="s">
        <v>619</v>
      </c>
      <c r="C867" s="591"/>
      <c r="D867" s="591"/>
      <c r="E867" s="107"/>
      <c r="F867" s="1"/>
    </row>
    <row r="868" spans="1:35" ht="16.95" customHeight="1" x14ac:dyDescent="0.25">
      <c r="A868" s="274"/>
      <c r="B868" s="591" t="s">
        <v>620</v>
      </c>
      <c r="C868" s="591"/>
      <c r="D868" s="591"/>
      <c r="E868" s="107"/>
      <c r="F868" s="1"/>
    </row>
    <row r="869" spans="1:35" ht="16.95" customHeight="1" x14ac:dyDescent="0.25">
      <c r="A869" s="274"/>
      <c r="B869" s="591" t="s">
        <v>621</v>
      </c>
      <c r="C869" s="591"/>
      <c r="D869" s="591"/>
      <c r="E869" s="107"/>
      <c r="F869" s="1"/>
    </row>
    <row r="870" spans="1:35" ht="16.95" customHeight="1" x14ac:dyDescent="0.25">
      <c r="A870" s="274"/>
      <c r="B870" s="591" t="s">
        <v>622</v>
      </c>
      <c r="C870" s="591"/>
      <c r="D870" s="591"/>
      <c r="E870" s="107"/>
      <c r="F870" s="1"/>
    </row>
    <row r="871" spans="1:35" ht="400.05" customHeight="1" x14ac:dyDescent="0.25">
      <c r="A871" s="274"/>
      <c r="B871" s="605"/>
      <c r="C871" s="605"/>
      <c r="D871" s="605"/>
      <c r="E871" s="107"/>
      <c r="F871" s="1"/>
      <c r="AF871" s="278" t="s">
        <v>623</v>
      </c>
      <c r="AI871" s="278" t="s">
        <v>624</v>
      </c>
    </row>
    <row r="872" spans="1:35" ht="4.95" customHeight="1" x14ac:dyDescent="0.25">
      <c r="A872" s="274"/>
      <c r="B872" s="605"/>
      <c r="C872" s="605"/>
      <c r="D872" s="605"/>
      <c r="E872" s="107"/>
      <c r="F872" s="1"/>
    </row>
    <row r="873" spans="1:35" x14ac:dyDescent="0.25">
      <c r="A873" s="274"/>
      <c r="B873" s="605"/>
      <c r="C873" s="605"/>
      <c r="D873" s="605"/>
      <c r="E873" s="274"/>
      <c r="F873" s="1"/>
    </row>
    <row r="874" spans="1:35" x14ac:dyDescent="0.25">
      <c r="A874" s="274"/>
      <c r="B874" s="605"/>
      <c r="C874" s="605"/>
      <c r="D874" s="605"/>
      <c r="E874" s="107"/>
      <c r="F874" s="1"/>
    </row>
    <row r="875" spans="1:35" x14ac:dyDescent="0.25">
      <c r="A875" s="274"/>
      <c r="B875" s="605"/>
      <c r="C875" s="605"/>
      <c r="D875" s="605"/>
      <c r="E875" s="107"/>
      <c r="F875" s="1"/>
    </row>
    <row r="876" spans="1:35" x14ac:dyDescent="0.25">
      <c r="A876" s="274"/>
      <c r="B876" s="605"/>
      <c r="C876" s="605"/>
      <c r="D876" s="605"/>
      <c r="E876" s="107"/>
      <c r="F876" s="1"/>
    </row>
    <row r="877" spans="1:35" x14ac:dyDescent="0.25">
      <c r="A877" s="274"/>
      <c r="B877" s="605"/>
      <c r="C877" s="605"/>
      <c r="D877" s="605"/>
      <c r="E877" s="274"/>
      <c r="F877" s="1"/>
    </row>
    <row r="878" spans="1:35" ht="15.6" x14ac:dyDescent="0.25">
      <c r="A878" s="273"/>
      <c r="B878" s="605"/>
      <c r="C878" s="605"/>
      <c r="D878" s="605"/>
      <c r="E878" s="107"/>
      <c r="F878" s="1"/>
    </row>
    <row r="879" spans="1:35" ht="16.95" customHeight="1" x14ac:dyDescent="0.25">
      <c r="A879" s="274"/>
      <c r="B879" s="605"/>
      <c r="C879" s="605"/>
      <c r="D879" s="605"/>
      <c r="E879" s="274"/>
      <c r="F879" s="1"/>
    </row>
    <row r="880" spans="1:35" x14ac:dyDescent="0.25">
      <c r="A880" s="274"/>
      <c r="B880" s="107"/>
      <c r="C880" s="107"/>
      <c r="D880" s="107"/>
      <c r="E880" s="107"/>
      <c r="F880" s="1"/>
    </row>
    <row r="881" spans="1:54" ht="10.050000000000001" customHeight="1" x14ac:dyDescent="0.25">
      <c r="A881" s="274"/>
      <c r="B881" s="107"/>
      <c r="C881" s="107"/>
      <c r="D881" s="107"/>
      <c r="E881" s="107"/>
      <c r="F881" s="1"/>
    </row>
    <row r="882" spans="1:54" ht="30" hidden="1" customHeight="1" x14ac:dyDescent="0.25">
      <c r="A882" s="45" t="s">
        <v>95</v>
      </c>
      <c r="B882" s="46" t="s">
        <v>625</v>
      </c>
      <c r="C882" s="45"/>
      <c r="D882" s="45"/>
      <c r="E882" s="45"/>
      <c r="F882" s="45"/>
      <c r="BB882" s="56"/>
    </row>
    <row r="883" spans="1:54" ht="64.95" hidden="1" customHeight="1" x14ac:dyDescent="0.25">
      <c r="A883" s="48"/>
      <c r="B883" s="531" t="s">
        <v>626</v>
      </c>
      <c r="C883" s="531"/>
      <c r="D883" s="531"/>
      <c r="E883" s="49"/>
      <c r="F883" s="108"/>
      <c r="AO883" s="599" t="s">
        <v>627</v>
      </c>
      <c r="AP883" s="599"/>
      <c r="AQ883" s="599"/>
      <c r="BB883" s="56"/>
    </row>
    <row r="884" spans="1:54" ht="4.95" hidden="1" customHeight="1" x14ac:dyDescent="0.25">
      <c r="A884" s="253"/>
      <c r="B884" s="253"/>
      <c r="C884" s="253"/>
      <c r="D884" s="253"/>
      <c r="E884" s="253"/>
      <c r="F884" s="1"/>
      <c r="BB884" s="56"/>
    </row>
    <row r="885" spans="1:54" ht="25.05" hidden="1" customHeight="1" x14ac:dyDescent="0.25">
      <c r="A885" s="253"/>
      <c r="B885" s="265" t="s">
        <v>628</v>
      </c>
      <c r="C885" s="265"/>
      <c r="D885" s="265"/>
      <c r="E885" s="253"/>
      <c r="F885" s="1"/>
    </row>
    <row r="886" spans="1:54" ht="34.950000000000003" hidden="1" customHeight="1" x14ac:dyDescent="0.25">
      <c r="A886" s="253"/>
      <c r="B886" s="600" t="s">
        <v>629</v>
      </c>
      <c r="C886" s="600"/>
      <c r="D886" s="600"/>
      <c r="E886" s="253"/>
      <c r="F886" s="1"/>
      <c r="AC886" s="279" t="str">
        <f>D911</f>
        <v>Not at all</v>
      </c>
      <c r="AD886" s="279" t="str">
        <f>D912</f>
        <v>Mildly, but it didn’t bother me much</v>
      </c>
      <c r="AE886" s="279" t="str">
        <f>D913</f>
        <v>Moderately – it wasn’t pleasant at times</v>
      </c>
      <c r="AF886" s="279" t="str">
        <f>D914</f>
        <v>Severely – it bothered me a lot</v>
      </c>
    </row>
    <row r="887" spans="1:54" ht="4.95" hidden="1" customHeight="1" x14ac:dyDescent="0.3">
      <c r="A887" s="253"/>
      <c r="B887" s="280"/>
      <c r="C887" s="280"/>
      <c r="D887" s="280"/>
      <c r="E887" s="253"/>
      <c r="F887" s="1"/>
      <c r="AC887" s="80">
        <v>0</v>
      </c>
      <c r="AD887" s="80">
        <v>1</v>
      </c>
      <c r="AE887" s="80">
        <v>2</v>
      </c>
      <c r="AF887" s="80">
        <v>3</v>
      </c>
      <c r="AG887" s="80"/>
    </row>
    <row r="888" spans="1:54" ht="15.6" hidden="1" thickBot="1" x14ac:dyDescent="0.35">
      <c r="A888" s="253"/>
      <c r="B888" s="281"/>
      <c r="C888" s="280"/>
      <c r="D888" s="282" t="s">
        <v>630</v>
      </c>
      <c r="E888" s="253"/>
      <c r="F888" s="1"/>
      <c r="AC888" s="80"/>
      <c r="AD888" s="80"/>
      <c r="AE888" s="80"/>
      <c r="AF888" s="80"/>
      <c r="AG888" s="80"/>
    </row>
    <row r="889" spans="1:54" ht="18" hidden="1" customHeight="1" thickTop="1" thickBot="1" x14ac:dyDescent="0.35">
      <c r="A889" s="253"/>
      <c r="B889" s="283" t="s">
        <v>631</v>
      </c>
      <c r="C889" s="280"/>
      <c r="D889" s="284"/>
      <c r="E889" s="253"/>
      <c r="F889" s="1"/>
      <c r="AC889" s="80">
        <f t="shared" ref="AC889:AF909" si="49">IF($D889=AC$886,AC$887,0)</f>
        <v>0</v>
      </c>
      <c r="AD889" s="80">
        <f t="shared" si="49"/>
        <v>0</v>
      </c>
      <c r="AE889" s="80">
        <f t="shared" si="49"/>
        <v>0</v>
      </c>
      <c r="AF889" s="80">
        <f t="shared" si="49"/>
        <v>0</v>
      </c>
      <c r="AG889" s="76">
        <f>SUM(AC889:AF889)</f>
        <v>0</v>
      </c>
    </row>
    <row r="890" spans="1:54" ht="18" hidden="1" customHeight="1" thickTop="1" thickBot="1" x14ac:dyDescent="0.35">
      <c r="A890" s="253"/>
      <c r="B890" s="283" t="s">
        <v>632</v>
      </c>
      <c r="C890" s="280"/>
      <c r="D890" s="284"/>
      <c r="E890" s="253"/>
      <c r="F890" s="1"/>
      <c r="AC890" s="80">
        <f t="shared" si="49"/>
        <v>0</v>
      </c>
      <c r="AD890" s="80">
        <f t="shared" si="49"/>
        <v>0</v>
      </c>
      <c r="AE890" s="80">
        <f t="shared" si="49"/>
        <v>0</v>
      </c>
      <c r="AF890" s="80">
        <f t="shared" si="49"/>
        <v>0</v>
      </c>
      <c r="AG890" s="76">
        <f t="shared" ref="AG890:AG909" si="50">SUM(AC890:AF890)</f>
        <v>0</v>
      </c>
    </row>
    <row r="891" spans="1:54" ht="18" hidden="1" customHeight="1" thickTop="1" thickBot="1" x14ac:dyDescent="0.35">
      <c r="A891" s="253"/>
      <c r="B891" s="283" t="s">
        <v>633</v>
      </c>
      <c r="C891" s="280"/>
      <c r="D891" s="284"/>
      <c r="E891" s="253"/>
      <c r="F891" s="1"/>
      <c r="AC891" s="80">
        <f t="shared" si="49"/>
        <v>0</v>
      </c>
      <c r="AD891" s="80">
        <f t="shared" si="49"/>
        <v>0</v>
      </c>
      <c r="AE891" s="80">
        <f t="shared" si="49"/>
        <v>0</v>
      </c>
      <c r="AF891" s="80">
        <f t="shared" si="49"/>
        <v>0</v>
      </c>
      <c r="AG891" s="76">
        <f t="shared" si="50"/>
        <v>0</v>
      </c>
    </row>
    <row r="892" spans="1:54" ht="18" hidden="1" customHeight="1" thickTop="1" thickBot="1" x14ac:dyDescent="0.35">
      <c r="A892" s="253"/>
      <c r="B892" s="283" t="s">
        <v>634</v>
      </c>
      <c r="C892" s="280"/>
      <c r="D892" s="284"/>
      <c r="E892" s="253"/>
      <c r="F892" s="1"/>
      <c r="AC892" s="80">
        <f t="shared" si="49"/>
        <v>0</v>
      </c>
      <c r="AD892" s="80">
        <f t="shared" si="49"/>
        <v>0</v>
      </c>
      <c r="AE892" s="80">
        <f t="shared" si="49"/>
        <v>0</v>
      </c>
      <c r="AF892" s="80">
        <f t="shared" si="49"/>
        <v>0</v>
      </c>
      <c r="AG892" s="76">
        <f t="shared" si="50"/>
        <v>0</v>
      </c>
    </row>
    <row r="893" spans="1:54" ht="18" hidden="1" customHeight="1" thickTop="1" thickBot="1" x14ac:dyDescent="0.35">
      <c r="A893" s="253"/>
      <c r="B893" s="283" t="s">
        <v>635</v>
      </c>
      <c r="C893" s="280"/>
      <c r="D893" s="284"/>
      <c r="E893" s="253"/>
      <c r="F893" s="1"/>
      <c r="AC893" s="80">
        <f t="shared" si="49"/>
        <v>0</v>
      </c>
      <c r="AD893" s="80">
        <f t="shared" si="49"/>
        <v>0</v>
      </c>
      <c r="AE893" s="80">
        <f t="shared" si="49"/>
        <v>0</v>
      </c>
      <c r="AF893" s="80">
        <f t="shared" si="49"/>
        <v>0</v>
      </c>
      <c r="AG893" s="76">
        <f t="shared" si="50"/>
        <v>0</v>
      </c>
    </row>
    <row r="894" spans="1:54" ht="18" hidden="1" customHeight="1" thickTop="1" thickBot="1" x14ac:dyDescent="0.35">
      <c r="A894" s="253"/>
      <c r="B894" s="283" t="s">
        <v>636</v>
      </c>
      <c r="C894" s="280"/>
      <c r="D894" s="284"/>
      <c r="E894" s="253"/>
      <c r="F894" s="1"/>
      <c r="AC894" s="80">
        <f t="shared" si="49"/>
        <v>0</v>
      </c>
      <c r="AD894" s="80">
        <f t="shared" si="49"/>
        <v>0</v>
      </c>
      <c r="AE894" s="80">
        <f t="shared" si="49"/>
        <v>0</v>
      </c>
      <c r="AF894" s="80">
        <f t="shared" si="49"/>
        <v>0</v>
      </c>
      <c r="AG894" s="76">
        <f t="shared" si="50"/>
        <v>0</v>
      </c>
    </row>
    <row r="895" spans="1:54" ht="18" hidden="1" customHeight="1" thickTop="1" thickBot="1" x14ac:dyDescent="0.35">
      <c r="A895" s="253"/>
      <c r="B895" s="283" t="s">
        <v>637</v>
      </c>
      <c r="C895" s="280"/>
      <c r="D895" s="284"/>
      <c r="E895" s="253"/>
      <c r="F895" s="1"/>
      <c r="AC895" s="80">
        <f t="shared" si="49"/>
        <v>0</v>
      </c>
      <c r="AD895" s="80">
        <f t="shared" si="49"/>
        <v>0</v>
      </c>
      <c r="AE895" s="80">
        <f t="shared" si="49"/>
        <v>0</v>
      </c>
      <c r="AF895" s="80">
        <f t="shared" si="49"/>
        <v>0</v>
      </c>
      <c r="AG895" s="76">
        <f t="shared" si="50"/>
        <v>0</v>
      </c>
    </row>
    <row r="896" spans="1:54" ht="18" hidden="1" customHeight="1" thickTop="1" thickBot="1" x14ac:dyDescent="0.35">
      <c r="A896" s="253"/>
      <c r="B896" s="283" t="s">
        <v>638</v>
      </c>
      <c r="C896" s="280"/>
      <c r="D896" s="284"/>
      <c r="E896" s="253"/>
      <c r="F896" s="1"/>
      <c r="AC896" s="80">
        <f t="shared" si="49"/>
        <v>0</v>
      </c>
      <c r="AD896" s="80">
        <f t="shared" si="49"/>
        <v>0</v>
      </c>
      <c r="AE896" s="80">
        <f t="shared" si="49"/>
        <v>0</v>
      </c>
      <c r="AF896" s="80">
        <f t="shared" si="49"/>
        <v>0</v>
      </c>
      <c r="AG896" s="76">
        <f t="shared" si="50"/>
        <v>0</v>
      </c>
    </row>
    <row r="897" spans="1:68" ht="18" hidden="1" customHeight="1" thickTop="1" thickBot="1" x14ac:dyDescent="0.35">
      <c r="A897" s="253"/>
      <c r="B897" s="283" t="s">
        <v>639</v>
      </c>
      <c r="C897" s="280"/>
      <c r="D897" s="284"/>
      <c r="E897" s="253"/>
      <c r="F897" s="1"/>
      <c r="AC897" s="80">
        <f t="shared" si="49"/>
        <v>0</v>
      </c>
      <c r="AD897" s="80">
        <f t="shared" si="49"/>
        <v>0</v>
      </c>
      <c r="AE897" s="80">
        <f t="shared" si="49"/>
        <v>0</v>
      </c>
      <c r="AF897" s="80">
        <f t="shared" si="49"/>
        <v>0</v>
      </c>
      <c r="AG897" s="76">
        <f t="shared" si="50"/>
        <v>0</v>
      </c>
    </row>
    <row r="898" spans="1:68" ht="18" hidden="1" customHeight="1" thickTop="1" thickBot="1" x14ac:dyDescent="0.35">
      <c r="A898" s="253"/>
      <c r="B898" s="283" t="s">
        <v>640</v>
      </c>
      <c r="C898" s="280"/>
      <c r="D898" s="284"/>
      <c r="E898" s="253"/>
      <c r="F898" s="1"/>
      <c r="AC898" s="80">
        <f t="shared" si="49"/>
        <v>0</v>
      </c>
      <c r="AD898" s="80">
        <f t="shared" si="49"/>
        <v>0</v>
      </c>
      <c r="AE898" s="80">
        <f t="shared" si="49"/>
        <v>0</v>
      </c>
      <c r="AF898" s="80">
        <f t="shared" si="49"/>
        <v>0</v>
      </c>
      <c r="AG898" s="76">
        <f t="shared" si="50"/>
        <v>0</v>
      </c>
    </row>
    <row r="899" spans="1:68" ht="18" hidden="1" customHeight="1" thickTop="1" thickBot="1" x14ac:dyDescent="0.35">
      <c r="A899" s="253"/>
      <c r="B899" s="283" t="s">
        <v>641</v>
      </c>
      <c r="C899" s="280"/>
      <c r="D899" s="284"/>
      <c r="E899" s="253"/>
      <c r="F899" s="1"/>
      <c r="AC899" s="80">
        <f t="shared" si="49"/>
        <v>0</v>
      </c>
      <c r="AD899" s="80">
        <f t="shared" si="49"/>
        <v>0</v>
      </c>
      <c r="AE899" s="80">
        <f t="shared" si="49"/>
        <v>0</v>
      </c>
      <c r="AF899" s="80">
        <f t="shared" si="49"/>
        <v>0</v>
      </c>
      <c r="AG899" s="76">
        <f t="shared" si="50"/>
        <v>0</v>
      </c>
    </row>
    <row r="900" spans="1:68" ht="18" hidden="1" customHeight="1" thickTop="1" thickBot="1" x14ac:dyDescent="0.35">
      <c r="A900" s="253"/>
      <c r="B900" s="283" t="s">
        <v>642</v>
      </c>
      <c r="C900" s="280"/>
      <c r="D900" s="284"/>
      <c r="E900" s="253"/>
      <c r="F900" s="1"/>
      <c r="AC900" s="80">
        <f t="shared" si="49"/>
        <v>0</v>
      </c>
      <c r="AD900" s="80">
        <f t="shared" si="49"/>
        <v>0</v>
      </c>
      <c r="AE900" s="80">
        <f t="shared" si="49"/>
        <v>0</v>
      </c>
      <c r="AF900" s="80">
        <f t="shared" si="49"/>
        <v>0</v>
      </c>
      <c r="AG900" s="76">
        <f t="shared" si="50"/>
        <v>0</v>
      </c>
    </row>
    <row r="901" spans="1:68" ht="18" hidden="1" customHeight="1" thickTop="1" thickBot="1" x14ac:dyDescent="0.35">
      <c r="A901" s="253"/>
      <c r="B901" s="283" t="s">
        <v>643</v>
      </c>
      <c r="C901" s="280"/>
      <c r="D901" s="284"/>
      <c r="E901" s="253"/>
      <c r="F901" s="1"/>
      <c r="AC901" s="80">
        <f t="shared" si="49"/>
        <v>0</v>
      </c>
      <c r="AD901" s="80">
        <f t="shared" si="49"/>
        <v>0</v>
      </c>
      <c r="AE901" s="80">
        <f t="shared" si="49"/>
        <v>0</v>
      </c>
      <c r="AF901" s="80">
        <f t="shared" si="49"/>
        <v>0</v>
      </c>
      <c r="AG901" s="76">
        <f t="shared" si="50"/>
        <v>0</v>
      </c>
    </row>
    <row r="902" spans="1:68" ht="18" hidden="1" customHeight="1" thickTop="1" thickBot="1" x14ac:dyDescent="0.35">
      <c r="A902" s="253"/>
      <c r="B902" s="283" t="s">
        <v>644</v>
      </c>
      <c r="C902" s="280"/>
      <c r="D902" s="284"/>
      <c r="E902" s="253"/>
      <c r="F902" s="1"/>
      <c r="AC902" s="80">
        <f t="shared" si="49"/>
        <v>0</v>
      </c>
      <c r="AD902" s="80">
        <f t="shared" si="49"/>
        <v>0</v>
      </c>
      <c r="AE902" s="80">
        <f t="shared" si="49"/>
        <v>0</v>
      </c>
      <c r="AF902" s="80">
        <f t="shared" si="49"/>
        <v>0</v>
      </c>
      <c r="AG902" s="76">
        <f t="shared" si="50"/>
        <v>0</v>
      </c>
    </row>
    <row r="903" spans="1:68" ht="18" hidden="1" customHeight="1" thickTop="1" thickBot="1" x14ac:dyDescent="0.35">
      <c r="A903" s="253"/>
      <c r="B903" s="283" t="s">
        <v>645</v>
      </c>
      <c r="C903" s="280"/>
      <c r="D903" s="284"/>
      <c r="E903" s="253"/>
      <c r="F903" s="1"/>
      <c r="AC903" s="80">
        <f t="shared" si="49"/>
        <v>0</v>
      </c>
      <c r="AD903" s="80">
        <f t="shared" si="49"/>
        <v>0</v>
      </c>
      <c r="AE903" s="80">
        <f t="shared" si="49"/>
        <v>0</v>
      </c>
      <c r="AF903" s="80">
        <f t="shared" si="49"/>
        <v>0</v>
      </c>
      <c r="AG903" s="76">
        <f t="shared" si="50"/>
        <v>0</v>
      </c>
    </row>
    <row r="904" spans="1:68" ht="18" hidden="1" customHeight="1" thickTop="1" thickBot="1" x14ac:dyDescent="0.35">
      <c r="A904" s="253"/>
      <c r="B904" s="283" t="s">
        <v>646</v>
      </c>
      <c r="C904" s="280"/>
      <c r="D904" s="284"/>
      <c r="E904" s="253"/>
      <c r="F904" s="1"/>
      <c r="AC904" s="80">
        <f t="shared" si="49"/>
        <v>0</v>
      </c>
      <c r="AD904" s="80">
        <f t="shared" si="49"/>
        <v>0</v>
      </c>
      <c r="AE904" s="80">
        <f t="shared" si="49"/>
        <v>0</v>
      </c>
      <c r="AF904" s="80">
        <f t="shared" si="49"/>
        <v>0</v>
      </c>
      <c r="AG904" s="76">
        <f t="shared" si="50"/>
        <v>0</v>
      </c>
    </row>
    <row r="905" spans="1:68" ht="18" hidden="1" customHeight="1" thickTop="1" thickBot="1" x14ac:dyDescent="0.35">
      <c r="A905" s="253"/>
      <c r="B905" s="283" t="s">
        <v>647</v>
      </c>
      <c r="C905" s="280"/>
      <c r="D905" s="284"/>
      <c r="E905" s="253"/>
      <c r="F905" s="1"/>
      <c r="AC905" s="80">
        <f t="shared" si="49"/>
        <v>0</v>
      </c>
      <c r="AD905" s="80">
        <f t="shared" si="49"/>
        <v>0</v>
      </c>
      <c r="AE905" s="80">
        <f t="shared" si="49"/>
        <v>0</v>
      </c>
      <c r="AF905" s="80">
        <f t="shared" si="49"/>
        <v>0</v>
      </c>
      <c r="AG905" s="76">
        <f t="shared" si="50"/>
        <v>0</v>
      </c>
    </row>
    <row r="906" spans="1:68" ht="18" hidden="1" customHeight="1" thickTop="1" thickBot="1" x14ac:dyDescent="0.35">
      <c r="A906" s="253"/>
      <c r="B906" s="283" t="s">
        <v>648</v>
      </c>
      <c r="C906" s="280"/>
      <c r="D906" s="284"/>
      <c r="E906" s="253"/>
      <c r="F906" s="1"/>
      <c r="AC906" s="80">
        <f t="shared" si="49"/>
        <v>0</v>
      </c>
      <c r="AD906" s="80">
        <f t="shared" si="49"/>
        <v>0</v>
      </c>
      <c r="AE906" s="80">
        <f t="shared" si="49"/>
        <v>0</v>
      </c>
      <c r="AF906" s="80">
        <f t="shared" si="49"/>
        <v>0</v>
      </c>
      <c r="AG906" s="76">
        <f t="shared" si="50"/>
        <v>0</v>
      </c>
    </row>
    <row r="907" spans="1:68" ht="18" hidden="1" customHeight="1" thickTop="1" thickBot="1" x14ac:dyDescent="0.35">
      <c r="A907" s="253"/>
      <c r="B907" s="283" t="s">
        <v>649</v>
      </c>
      <c r="C907" s="280"/>
      <c r="D907" s="284"/>
      <c r="E907" s="253"/>
      <c r="F907" s="1"/>
      <c r="AC907" s="80">
        <f t="shared" si="49"/>
        <v>0</v>
      </c>
      <c r="AD907" s="80">
        <f t="shared" si="49"/>
        <v>0</v>
      </c>
      <c r="AE907" s="80">
        <f t="shared" si="49"/>
        <v>0</v>
      </c>
      <c r="AF907" s="80">
        <f t="shared" si="49"/>
        <v>0</v>
      </c>
      <c r="AG907" s="76">
        <f t="shared" si="50"/>
        <v>0</v>
      </c>
    </row>
    <row r="908" spans="1:68" ht="18" hidden="1" customHeight="1" thickTop="1" thickBot="1" x14ac:dyDescent="0.35">
      <c r="A908" s="253"/>
      <c r="B908" s="283" t="s">
        <v>650</v>
      </c>
      <c r="C908" s="280"/>
      <c r="D908" s="284"/>
      <c r="E908" s="253"/>
      <c r="F908" s="1"/>
      <c r="AC908" s="80">
        <f t="shared" si="49"/>
        <v>0</v>
      </c>
      <c r="AD908" s="80">
        <f t="shared" si="49"/>
        <v>0</v>
      </c>
      <c r="AE908" s="80">
        <f t="shared" si="49"/>
        <v>0</v>
      </c>
      <c r="AF908" s="80">
        <f t="shared" si="49"/>
        <v>0</v>
      </c>
      <c r="AG908" s="76">
        <f t="shared" si="50"/>
        <v>0</v>
      </c>
    </row>
    <row r="909" spans="1:68" ht="18" hidden="1" customHeight="1" thickTop="1" thickBot="1" x14ac:dyDescent="0.35">
      <c r="A909" s="253"/>
      <c r="B909" s="283" t="s">
        <v>651</v>
      </c>
      <c r="C909" s="280"/>
      <c r="D909" s="284"/>
      <c r="E909" s="253"/>
      <c r="F909" s="1"/>
      <c r="AC909" s="80">
        <f t="shared" si="49"/>
        <v>0</v>
      </c>
      <c r="AD909" s="80">
        <f t="shared" si="49"/>
        <v>0</v>
      </c>
      <c r="AE909" s="80">
        <f t="shared" si="49"/>
        <v>0</v>
      </c>
      <c r="AF909" s="80">
        <f t="shared" si="49"/>
        <v>0</v>
      </c>
      <c r="AG909" s="76">
        <f t="shared" si="50"/>
        <v>0</v>
      </c>
      <c r="AJ909" s="76">
        <f>SUM(AG889:AG909)</f>
        <v>0</v>
      </c>
    </row>
    <row r="910" spans="1:68" ht="10.050000000000001" hidden="1" customHeight="1" thickTop="1" x14ac:dyDescent="0.3">
      <c r="A910" s="253"/>
      <c r="B910" s="280"/>
      <c r="C910" s="280"/>
      <c r="D910" s="280"/>
      <c r="E910" s="253"/>
      <c r="F910" s="1"/>
      <c r="AC910" s="80"/>
      <c r="AD910" s="80"/>
      <c r="AE910" s="80"/>
      <c r="AF910" s="80"/>
    </row>
    <row r="911" spans="1:68" ht="14.4" hidden="1" x14ac:dyDescent="0.3">
      <c r="A911" s="253"/>
      <c r="B911" s="280"/>
      <c r="C911" s="280"/>
      <c r="D911" s="285" t="s">
        <v>652</v>
      </c>
      <c r="E911" s="253"/>
      <c r="F911" s="1"/>
      <c r="AC911" s="80"/>
      <c r="AD911" s="80"/>
      <c r="AE911" s="80"/>
      <c r="AF911" s="80"/>
      <c r="AG911" s="76">
        <f>SUM(AG889:AG910)</f>
        <v>0</v>
      </c>
    </row>
    <row r="912" spans="1:68" ht="14.4" hidden="1" x14ac:dyDescent="0.3">
      <c r="A912" s="253"/>
      <c r="B912" s="286" t="s">
        <v>653</v>
      </c>
      <c r="C912" s="280"/>
      <c r="D912" s="285" t="s">
        <v>654</v>
      </c>
      <c r="E912" s="253"/>
      <c r="F912" s="1"/>
      <c r="AC912" s="80">
        <v>0</v>
      </c>
      <c r="AD912" s="80">
        <v>21</v>
      </c>
      <c r="AE912" s="80"/>
      <c r="AF912" s="80"/>
      <c r="AG912" s="80"/>
      <c r="AQ912" s="80" t="s">
        <v>655</v>
      </c>
      <c r="AR912" s="80"/>
      <c r="AS912" s="80"/>
      <c r="BB912" s="56"/>
      <c r="BP912" s="16"/>
    </row>
    <row r="913" spans="1:68" ht="15" hidden="1" thickBot="1" x14ac:dyDescent="0.35">
      <c r="A913" s="253"/>
      <c r="B913" s="286" t="s">
        <v>656</v>
      </c>
      <c r="C913" s="280"/>
      <c r="D913" s="285" t="s">
        <v>657</v>
      </c>
      <c r="E913" s="253"/>
      <c r="F913" s="1"/>
      <c r="AC913" s="80">
        <f>AD912</f>
        <v>21</v>
      </c>
      <c r="AD913" s="80">
        <v>36</v>
      </c>
      <c r="AE913" s="80"/>
      <c r="AF913" s="80"/>
      <c r="AG913" s="80"/>
      <c r="AQ913" s="56" t="s">
        <v>658</v>
      </c>
      <c r="AR913" s="80"/>
      <c r="AS913" s="80"/>
      <c r="BB913" s="56" t="str">
        <f>AG914</f>
        <v>low anxiety</v>
      </c>
      <c r="BF913" s="56" t="s">
        <v>659</v>
      </c>
      <c r="BP913" s="16"/>
    </row>
    <row r="914" spans="1:68" ht="15" hidden="1" thickBot="1" x14ac:dyDescent="0.35">
      <c r="A914" s="253"/>
      <c r="B914" s="286" t="s">
        <v>660</v>
      </c>
      <c r="C914" s="287"/>
      <c r="D914" s="285" t="s">
        <v>661</v>
      </c>
      <c r="E914" s="253"/>
      <c r="F914" s="1"/>
      <c r="AC914" s="80">
        <f>AD913</f>
        <v>36</v>
      </c>
      <c r="AD914" s="80">
        <f>(21*3)+1</f>
        <v>64</v>
      </c>
      <c r="AE914" s="80"/>
      <c r="AF914" s="80"/>
      <c r="AG914" s="288" t="str">
        <f>IF(AND(AG911&gt;=AC912,AG911&lt;AD912),B912,IF(AND(AG911&gt;=AC913,AG911&lt;AD913),B913,IF(AND(AG911&gt;=AC914,AE1095&lt;AD914),B914,"")))</f>
        <v>low anxiety</v>
      </c>
      <c r="AH914" s="280"/>
      <c r="AI914" s="280"/>
      <c r="AJ914" s="253"/>
    </row>
    <row r="915" spans="1:68" ht="14.4" hidden="1" x14ac:dyDescent="0.3">
      <c r="A915" s="253"/>
      <c r="B915" s="286"/>
      <c r="C915" s="287"/>
      <c r="D915" s="280"/>
      <c r="E915" s="253"/>
      <c r="F915" s="1"/>
      <c r="G915" s="289"/>
      <c r="H915" s="289"/>
      <c r="I915" s="289"/>
      <c r="J915" s="289"/>
      <c r="K915" s="289"/>
      <c r="L915" s="289"/>
      <c r="M915" s="289"/>
      <c r="N915" s="289"/>
      <c r="O915" s="289"/>
      <c r="P915" s="289"/>
      <c r="Q915" s="289"/>
      <c r="R915" s="289"/>
      <c r="S915" s="289"/>
      <c r="T915" s="289"/>
      <c r="U915" s="289"/>
      <c r="V915" s="289"/>
      <c r="W915" s="289"/>
      <c r="X915" s="289"/>
      <c r="Y915" s="289"/>
      <c r="Z915" s="289"/>
      <c r="AA915" s="80"/>
      <c r="AB915" s="80"/>
      <c r="AC915" s="80"/>
      <c r="AD915" s="80"/>
      <c r="AE915" s="80"/>
    </row>
    <row r="916" spans="1:68" ht="14.4" hidden="1" x14ac:dyDescent="0.3">
      <c r="A916" s="253"/>
      <c r="B916" s="286"/>
      <c r="C916" s="280"/>
      <c r="D916" s="287"/>
      <c r="E916" s="253"/>
      <c r="F916" s="1"/>
      <c r="G916" s="289"/>
      <c r="H916" s="289"/>
      <c r="I916" s="289"/>
      <c r="J916" s="289"/>
      <c r="K916" s="289"/>
      <c r="L916" s="289"/>
      <c r="M916" s="289"/>
      <c r="N916" s="289"/>
      <c r="O916" s="289"/>
      <c r="P916" s="289"/>
      <c r="Q916" s="289"/>
      <c r="R916" s="289"/>
      <c r="S916" s="289"/>
      <c r="T916" s="289"/>
      <c r="U916" s="289"/>
      <c r="V916" s="289"/>
      <c r="W916" s="289"/>
      <c r="X916" s="289"/>
      <c r="Y916" s="289"/>
      <c r="Z916" s="289"/>
      <c r="AA916" s="80"/>
      <c r="AB916" s="80"/>
      <c r="BB916" s="56"/>
    </row>
    <row r="917" spans="1:68" ht="31.95" hidden="1" customHeight="1" x14ac:dyDescent="0.3">
      <c r="A917" s="253"/>
      <c r="B917" s="601" t="str">
        <f>CONCATENATE(AG917,AN917,AO917,AZ917)</f>
        <v>You understandably experience some anxiety, considering the many challenges you face from such a conviction. You can rule out a purely biological source for such anxiety.</v>
      </c>
      <c r="C917" s="602"/>
      <c r="D917" s="602"/>
      <c r="E917" s="253"/>
      <c r="F917" s="1"/>
      <c r="G917" s="289"/>
      <c r="H917" s="289"/>
      <c r="I917" s="289"/>
      <c r="J917" s="289"/>
      <c r="K917" s="289"/>
      <c r="L917" s="289"/>
      <c r="M917" s="289"/>
      <c r="N917" s="289"/>
      <c r="O917" s="289"/>
      <c r="P917" s="289"/>
      <c r="Q917" s="289"/>
      <c r="R917" s="289"/>
      <c r="S917" s="289"/>
      <c r="T917" s="289"/>
      <c r="U917" s="289"/>
      <c r="V917" s="289"/>
      <c r="W917" s="289"/>
      <c r="X917" s="289"/>
      <c r="Y917" s="289"/>
      <c r="Z917" s="289"/>
      <c r="AA917" s="80"/>
      <c r="AB917" s="80"/>
      <c r="AG917" s="28" t="s">
        <v>662</v>
      </c>
      <c r="AN917" s="56" t="str">
        <f>IF(AG911&lt;AC913,"some anxiety",AG914)</f>
        <v>some anxiety</v>
      </c>
      <c r="AO917" s="120" t="s">
        <v>663</v>
      </c>
      <c r="AZ917" s="56" t="s">
        <v>664</v>
      </c>
    </row>
    <row r="918" spans="1:68" ht="10.050000000000001" hidden="1" customHeight="1" x14ac:dyDescent="0.3">
      <c r="A918" s="253"/>
      <c r="B918" s="286"/>
      <c r="C918" s="280"/>
      <c r="D918" s="287"/>
      <c r="E918" s="253"/>
      <c r="F918" s="1"/>
      <c r="G918" s="289"/>
      <c r="H918" s="289"/>
      <c r="I918" s="289"/>
      <c r="J918" s="289"/>
      <c r="K918" s="289"/>
      <c r="L918" s="289"/>
      <c r="M918" s="289"/>
      <c r="N918" s="289"/>
      <c r="O918" s="289"/>
      <c r="P918" s="289"/>
      <c r="Q918" s="289"/>
      <c r="R918" s="289"/>
      <c r="S918" s="289"/>
      <c r="T918" s="289"/>
      <c r="U918" s="289"/>
      <c r="V918" s="289"/>
      <c r="W918" s="289"/>
      <c r="X918" s="289"/>
      <c r="Y918" s="289"/>
      <c r="Z918" s="289"/>
      <c r="AA918" s="80"/>
      <c r="AB918" s="80"/>
      <c r="AC918" s="80"/>
    </row>
    <row r="919" spans="1:68" ht="60" hidden="1" customHeight="1" x14ac:dyDescent="0.3">
      <c r="A919" s="253"/>
      <c r="B919" s="601" t="s">
        <v>665</v>
      </c>
      <c r="C919" s="602"/>
      <c r="D919" s="602"/>
      <c r="E919" s="253"/>
      <c r="F919" s="1"/>
      <c r="G919" s="289"/>
      <c r="H919" s="289"/>
      <c r="I919" s="289"/>
      <c r="J919" s="289"/>
      <c r="K919" s="289"/>
      <c r="L919" s="289"/>
      <c r="M919" s="289"/>
      <c r="N919" s="289"/>
      <c r="O919" s="289"/>
      <c r="P919" s="289"/>
      <c r="Q919" s="289"/>
      <c r="R919" s="289"/>
      <c r="S919" s="289"/>
      <c r="T919" s="289"/>
      <c r="U919" s="289"/>
      <c r="V919" s="289"/>
      <c r="W919" s="289"/>
      <c r="X919" s="289"/>
      <c r="Y919" s="289"/>
      <c r="Z919" s="289"/>
      <c r="AA919" s="80"/>
      <c r="AB919" s="80"/>
      <c r="AC919" s="80"/>
      <c r="AD919" s="56" t="str">
        <f>IF(C152="","Claimant",AN152)</f>
        <v>Claimant</v>
      </c>
      <c r="AF919" s="56" t="s">
        <v>666</v>
      </c>
      <c r="AM919" s="56" t="str">
        <f>AN917</f>
        <v>some anxiety</v>
      </c>
      <c r="AQ919" s="56" t="s">
        <v>667</v>
      </c>
      <c r="AZ919" s="56" t="str">
        <f>IF(AG911=0,"","The wrongful conviction produces plenty to be anxious about. ")</f>
        <v/>
      </c>
      <c r="BB919" s="56"/>
      <c r="BF919" s="56" t="s">
        <v>668</v>
      </c>
    </row>
    <row r="920" spans="1:68" ht="4.95" hidden="1" customHeight="1" x14ac:dyDescent="0.3">
      <c r="A920" s="253"/>
      <c r="B920" s="253"/>
      <c r="C920" s="253"/>
      <c r="D920" s="253"/>
      <c r="E920" s="253"/>
      <c r="F920" s="1"/>
      <c r="G920" s="289"/>
      <c r="H920" s="289"/>
      <c r="I920" s="289"/>
      <c r="J920" s="289"/>
      <c r="K920" s="289"/>
      <c r="L920" s="289"/>
      <c r="M920" s="289"/>
      <c r="N920" s="289"/>
      <c r="O920" s="289"/>
      <c r="P920" s="289"/>
      <c r="Q920" s="289"/>
      <c r="R920" s="289"/>
      <c r="S920" s="289"/>
      <c r="T920" s="289"/>
      <c r="U920" s="289"/>
      <c r="V920" s="289"/>
      <c r="W920" s="289"/>
      <c r="X920" s="289"/>
      <c r="Y920" s="289"/>
      <c r="Z920" s="289"/>
      <c r="AA920" s="80"/>
      <c r="AB920" s="80"/>
      <c r="AC920" s="80"/>
      <c r="AD920" s="56" t="str">
        <f>CONCATENATE(AD919,AF919,AM919,AQ919,AZ919,BF919)</f>
        <v>Claimant understandably experiences some anxiety from the wrongful conviction. Once hired, much of that should clear up. If not, Value Relating can help.</v>
      </c>
      <c r="BB920" s="56"/>
    </row>
    <row r="921" spans="1:68" ht="4.95" hidden="1" customHeight="1" x14ac:dyDescent="0.25">
      <c r="A921" s="253"/>
      <c r="B921" s="290"/>
      <c r="C921" s="253"/>
      <c r="D921" s="253"/>
      <c r="E921" s="253"/>
      <c r="F921" s="1"/>
    </row>
    <row r="922" spans="1:68" ht="25.05" hidden="1" customHeight="1" x14ac:dyDescent="0.25">
      <c r="A922" s="253"/>
      <c r="B922" s="265" t="s">
        <v>669</v>
      </c>
      <c r="C922" s="265"/>
      <c r="D922" s="265"/>
      <c r="E922" s="253"/>
      <c r="F922" s="1"/>
    </row>
    <row r="923" spans="1:68" ht="34.950000000000003" hidden="1" customHeight="1" x14ac:dyDescent="0.25">
      <c r="A923" s="253"/>
      <c r="B923" s="600" t="str">
        <f>B886</f>
        <v>Rate each item to your level of experience. Your responses let us know the level of your current need. If taken later we can compare the scores to help see if we are helping or not.</v>
      </c>
      <c r="C923" s="600"/>
      <c r="D923" s="600"/>
      <c r="E923" s="253"/>
      <c r="F923" s="1"/>
    </row>
    <row r="924" spans="1:68" ht="14.55" hidden="1" customHeight="1" x14ac:dyDescent="0.25">
      <c r="A924" s="253"/>
      <c r="B924" s="290"/>
      <c r="C924" s="253"/>
      <c r="D924" s="253"/>
      <c r="E924" s="253"/>
      <c r="F924" s="1"/>
    </row>
    <row r="925" spans="1:68" ht="14.55" hidden="1" customHeight="1" thickBot="1" x14ac:dyDescent="0.35">
      <c r="A925" s="253"/>
      <c r="B925" s="291"/>
      <c r="C925" s="280"/>
      <c r="D925" s="282" t="str">
        <f>D888</f>
        <v>Pick best answer from pulldown menu.</v>
      </c>
      <c r="E925" s="280"/>
      <c r="F925" s="1"/>
      <c r="G925" s="289"/>
      <c r="H925" s="289"/>
      <c r="I925" s="289"/>
      <c r="J925" s="289"/>
      <c r="K925" s="289"/>
      <c r="L925" s="289"/>
      <c r="M925" s="289"/>
      <c r="N925" s="289"/>
      <c r="O925" s="289"/>
      <c r="P925" s="289"/>
      <c r="Q925" s="289"/>
      <c r="R925" s="289"/>
      <c r="S925" s="289"/>
      <c r="T925" s="289"/>
      <c r="U925" s="289"/>
      <c r="V925" s="289"/>
      <c r="W925" s="289"/>
      <c r="X925" s="289"/>
      <c r="Y925" s="289"/>
      <c r="Z925" s="289"/>
      <c r="AA925" s="80"/>
      <c r="AB925" s="80"/>
      <c r="AC925" s="80"/>
      <c r="AD925" s="80"/>
    </row>
    <row r="926" spans="1:68" ht="19.95" hidden="1" customHeight="1" thickTop="1" thickBot="1" x14ac:dyDescent="0.35">
      <c r="A926" s="253"/>
      <c r="B926" s="292">
        <v>1</v>
      </c>
      <c r="C926" s="603" t="str">
        <f>AD926</f>
        <v>sadness</v>
      </c>
      <c r="D926" s="604"/>
      <c r="E926" s="253"/>
      <c r="F926" s="1"/>
      <c r="AD926" s="293" t="s">
        <v>670</v>
      </c>
      <c r="AE926" s="80"/>
      <c r="AF926" s="80"/>
      <c r="AG926" s="80">
        <f>IF(AND(C926&lt;&gt;"",C926=AD926),0,1)</f>
        <v>0</v>
      </c>
      <c r="AH926" s="80"/>
    </row>
    <row r="927" spans="1:68" ht="12" hidden="1" customHeight="1" thickTop="1" x14ac:dyDescent="0.3">
      <c r="A927" s="253"/>
      <c r="B927" s="294">
        <v>0</v>
      </c>
      <c r="C927" s="295" t="s">
        <v>671</v>
      </c>
      <c r="D927" s="280"/>
      <c r="E927" s="253"/>
      <c r="F927" s="1"/>
      <c r="AD927" s="80"/>
      <c r="AE927" s="80"/>
      <c r="AF927" s="80">
        <f>IF(C$926=C927,B927,0)</f>
        <v>0</v>
      </c>
      <c r="AG927" s="80"/>
      <c r="AH927" s="80"/>
    </row>
    <row r="928" spans="1:68" ht="12" hidden="1" customHeight="1" x14ac:dyDescent="0.3">
      <c r="A928" s="253"/>
      <c r="B928" s="294">
        <v>1</v>
      </c>
      <c r="C928" s="295" t="s">
        <v>672</v>
      </c>
      <c r="D928" s="280"/>
      <c r="E928" s="253"/>
      <c r="F928" s="1"/>
      <c r="AD928" s="80"/>
      <c r="AE928" s="80"/>
      <c r="AF928" s="80">
        <f>IF(C$926=C928,B928,0)</f>
        <v>0</v>
      </c>
      <c r="AG928" s="80"/>
      <c r="AH928" s="80"/>
    </row>
    <row r="929" spans="1:34" ht="12" hidden="1" customHeight="1" x14ac:dyDescent="0.3">
      <c r="A929" s="253"/>
      <c r="B929" s="294">
        <v>2</v>
      </c>
      <c r="C929" s="295" t="s">
        <v>673</v>
      </c>
      <c r="D929" s="280"/>
      <c r="E929" s="253"/>
      <c r="F929" s="1"/>
      <c r="AD929" s="80"/>
      <c r="AE929" s="80"/>
      <c r="AF929" s="80">
        <f>IF(C$926=C929,B929,0)</f>
        <v>0</v>
      </c>
      <c r="AG929" s="80"/>
      <c r="AH929" s="80"/>
    </row>
    <row r="930" spans="1:34" ht="12" hidden="1" customHeight="1" thickBot="1" x14ac:dyDescent="0.35">
      <c r="A930" s="253"/>
      <c r="B930" s="294">
        <v>3</v>
      </c>
      <c r="C930" s="295" t="s">
        <v>674</v>
      </c>
      <c r="D930" s="280"/>
      <c r="E930" s="253"/>
      <c r="F930" s="1"/>
      <c r="AD930" s="80"/>
      <c r="AE930" s="80"/>
      <c r="AF930" s="80">
        <f>IF(C$926=C930,B930,0)</f>
        <v>0</v>
      </c>
      <c r="AG930" s="80"/>
      <c r="AH930" s="80"/>
    </row>
    <row r="931" spans="1:34" ht="19.95" hidden="1" customHeight="1" thickTop="1" thickBot="1" x14ac:dyDescent="0.35">
      <c r="A931" s="253"/>
      <c r="B931" s="292">
        <v>2</v>
      </c>
      <c r="C931" s="603" t="str">
        <f>AD931</f>
        <v>hope</v>
      </c>
      <c r="D931" s="604"/>
      <c r="E931" s="253"/>
      <c r="F931" s="1"/>
      <c r="AD931" s="293" t="s">
        <v>675</v>
      </c>
      <c r="AE931" s="80"/>
      <c r="AF931" s="80"/>
      <c r="AG931" s="80">
        <f>IF(AND(C931&lt;&gt;"",C931=AD931),0,1)</f>
        <v>0</v>
      </c>
      <c r="AH931" s="80"/>
    </row>
    <row r="932" spans="1:34" ht="12" hidden="1" customHeight="1" thickTop="1" x14ac:dyDescent="0.3">
      <c r="A932" s="253"/>
      <c r="B932" s="294">
        <v>0</v>
      </c>
      <c r="C932" s="295" t="s">
        <v>676</v>
      </c>
      <c r="D932" s="280"/>
      <c r="E932" s="253"/>
      <c r="F932" s="1"/>
      <c r="AD932" s="80"/>
      <c r="AE932" s="80"/>
      <c r="AF932" s="80">
        <f>IF(C$931=C932,B932,0)</f>
        <v>0</v>
      </c>
      <c r="AG932" s="80"/>
      <c r="AH932" s="80"/>
    </row>
    <row r="933" spans="1:34" ht="12" hidden="1" customHeight="1" x14ac:dyDescent="0.3">
      <c r="A933" s="253"/>
      <c r="B933" s="294">
        <v>1</v>
      </c>
      <c r="C933" s="295" t="s">
        <v>677</v>
      </c>
      <c r="D933" s="280"/>
      <c r="E933" s="253"/>
      <c r="F933" s="1"/>
      <c r="AD933" s="80"/>
      <c r="AE933" s="80"/>
      <c r="AF933" s="80">
        <f>IF(C$931=C933,B933,0)</f>
        <v>0</v>
      </c>
      <c r="AG933" s="80"/>
      <c r="AH933" s="80"/>
    </row>
    <row r="934" spans="1:34" ht="12" hidden="1" customHeight="1" x14ac:dyDescent="0.3">
      <c r="A934" s="253"/>
      <c r="B934" s="294">
        <v>2</v>
      </c>
      <c r="C934" s="295" t="s">
        <v>678</v>
      </c>
      <c r="D934" s="280"/>
      <c r="E934" s="253"/>
      <c r="F934" s="1"/>
      <c r="AD934" s="80"/>
      <c r="AE934" s="80"/>
      <c r="AF934" s="80">
        <f>IF(C$931=C934,B934,0)</f>
        <v>0</v>
      </c>
      <c r="AG934" s="80"/>
      <c r="AH934" s="80"/>
    </row>
    <row r="935" spans="1:34" ht="12" hidden="1" customHeight="1" thickBot="1" x14ac:dyDescent="0.35">
      <c r="A935" s="253"/>
      <c r="B935" s="294">
        <v>3</v>
      </c>
      <c r="C935" s="295" t="s">
        <v>679</v>
      </c>
      <c r="D935" s="280"/>
      <c r="E935" s="253"/>
      <c r="F935" s="1"/>
      <c r="AD935" s="80"/>
      <c r="AE935" s="80"/>
      <c r="AF935" s="80">
        <f>IF(C$931=C935,B935,0)</f>
        <v>0</v>
      </c>
      <c r="AG935" s="80"/>
      <c r="AH935" s="80"/>
    </row>
    <row r="936" spans="1:34" ht="19.95" hidden="1" customHeight="1" thickTop="1" thickBot="1" x14ac:dyDescent="0.35">
      <c r="A936" s="253"/>
      <c r="B936" s="292">
        <v>3</v>
      </c>
      <c r="C936" s="603" t="str">
        <f>AD936</f>
        <v>failures</v>
      </c>
      <c r="D936" s="604"/>
      <c r="E936" s="253"/>
      <c r="F936" s="1"/>
      <c r="AD936" s="293" t="s">
        <v>680</v>
      </c>
      <c r="AE936" s="80"/>
      <c r="AF936" s="80"/>
      <c r="AG936" s="80">
        <f>IF(AND(C936&lt;&gt;"",C936=AD936),0,1)</f>
        <v>0</v>
      </c>
      <c r="AH936" s="80"/>
    </row>
    <row r="937" spans="1:34" ht="12" hidden="1" customHeight="1" thickTop="1" x14ac:dyDescent="0.3">
      <c r="A937" s="253"/>
      <c r="B937" s="294">
        <v>0</v>
      </c>
      <c r="C937" s="295" t="s">
        <v>681</v>
      </c>
      <c r="D937" s="280"/>
      <c r="E937" s="253"/>
      <c r="F937" s="1"/>
      <c r="AD937" s="80"/>
      <c r="AE937" s="80"/>
      <c r="AF937" s="80">
        <f>IF(C$936=C937,B937,0)</f>
        <v>0</v>
      </c>
      <c r="AG937" s="80"/>
      <c r="AH937" s="80"/>
    </row>
    <row r="938" spans="1:34" ht="12" hidden="1" customHeight="1" x14ac:dyDescent="0.3">
      <c r="A938" s="253"/>
      <c r="B938" s="294">
        <v>1</v>
      </c>
      <c r="C938" s="295" t="s">
        <v>682</v>
      </c>
      <c r="D938" s="280"/>
      <c r="E938" s="253"/>
      <c r="F938" s="1"/>
      <c r="AD938" s="80"/>
      <c r="AE938" s="80"/>
      <c r="AF938" s="80">
        <f>IF(C$936=C938,B938,0)</f>
        <v>0</v>
      </c>
      <c r="AG938" s="80"/>
      <c r="AH938" s="80"/>
    </row>
    <row r="939" spans="1:34" ht="12" hidden="1" customHeight="1" x14ac:dyDescent="0.3">
      <c r="A939" s="253"/>
      <c r="B939" s="294">
        <v>2</v>
      </c>
      <c r="C939" s="295" t="s">
        <v>683</v>
      </c>
      <c r="D939" s="280"/>
      <c r="E939" s="253"/>
      <c r="F939" s="1"/>
      <c r="AD939" s="80"/>
      <c r="AE939" s="80"/>
      <c r="AF939" s="80">
        <f>IF(C$936=C939,B939,0)</f>
        <v>0</v>
      </c>
      <c r="AG939" s="80"/>
      <c r="AH939" s="80"/>
    </row>
    <row r="940" spans="1:34" ht="12" hidden="1" customHeight="1" thickBot="1" x14ac:dyDescent="0.35">
      <c r="A940" s="253"/>
      <c r="B940" s="294">
        <v>3</v>
      </c>
      <c r="C940" s="295" t="s">
        <v>684</v>
      </c>
      <c r="D940" s="280"/>
      <c r="E940" s="253"/>
      <c r="F940" s="1"/>
      <c r="AD940" s="80"/>
      <c r="AE940" s="80"/>
      <c r="AF940" s="80">
        <f>IF(C$936=C940,B940,0)</f>
        <v>0</v>
      </c>
      <c r="AG940" s="80"/>
      <c r="AH940" s="80"/>
    </row>
    <row r="941" spans="1:34" ht="19.95" hidden="1" customHeight="1" thickTop="1" thickBot="1" x14ac:dyDescent="0.35">
      <c r="A941" s="253"/>
      <c r="B941" s="292">
        <v>4</v>
      </c>
      <c r="C941" s="603" t="str">
        <f>AD941</f>
        <v>satisfaction</v>
      </c>
      <c r="D941" s="604"/>
      <c r="E941" s="253"/>
      <c r="F941" s="1"/>
      <c r="AD941" s="293" t="s">
        <v>685</v>
      </c>
      <c r="AE941" s="80"/>
      <c r="AF941" s="80"/>
      <c r="AG941" s="80">
        <f>IF(AND(C941&lt;&gt;"",C941=AD941),0,1)</f>
        <v>0</v>
      </c>
      <c r="AH941" s="80"/>
    </row>
    <row r="942" spans="1:34" ht="12" hidden="1" customHeight="1" thickTop="1" x14ac:dyDescent="0.3">
      <c r="A942" s="253"/>
      <c r="B942" s="294">
        <v>0</v>
      </c>
      <c r="C942" s="295" t="s">
        <v>686</v>
      </c>
      <c r="D942" s="280"/>
      <c r="E942" s="253"/>
      <c r="F942" s="1"/>
      <c r="AD942" s="80"/>
      <c r="AE942" s="80"/>
      <c r="AF942" s="80">
        <f>IF(C$941=C942,B942,0)</f>
        <v>0</v>
      </c>
      <c r="AG942" s="80"/>
      <c r="AH942" s="80"/>
    </row>
    <row r="943" spans="1:34" ht="12" hidden="1" customHeight="1" x14ac:dyDescent="0.3">
      <c r="A943" s="253"/>
      <c r="B943" s="294">
        <v>1</v>
      </c>
      <c r="C943" s="295" t="s">
        <v>687</v>
      </c>
      <c r="D943" s="280"/>
      <c r="E943" s="253"/>
      <c r="F943" s="1"/>
      <c r="AD943" s="80"/>
      <c r="AE943" s="80"/>
      <c r="AF943" s="80">
        <f>IF(C$941=C943,B943,0)</f>
        <v>0</v>
      </c>
      <c r="AG943" s="80"/>
      <c r="AH943" s="80"/>
    </row>
    <row r="944" spans="1:34" ht="12" hidden="1" customHeight="1" x14ac:dyDescent="0.3">
      <c r="A944" s="253"/>
      <c r="B944" s="294">
        <v>2</v>
      </c>
      <c r="C944" s="295" t="s">
        <v>688</v>
      </c>
      <c r="D944" s="280"/>
      <c r="E944" s="253"/>
      <c r="F944" s="1"/>
      <c r="AD944" s="80"/>
      <c r="AE944" s="80"/>
      <c r="AF944" s="80">
        <f>IF(C$941=C944,B944,0)</f>
        <v>0</v>
      </c>
      <c r="AG944" s="80"/>
      <c r="AH944" s="80"/>
    </row>
    <row r="945" spans="1:34" ht="12" hidden="1" customHeight="1" thickBot="1" x14ac:dyDescent="0.35">
      <c r="A945" s="253"/>
      <c r="B945" s="294">
        <v>3</v>
      </c>
      <c r="C945" s="295" t="s">
        <v>689</v>
      </c>
      <c r="D945" s="280"/>
      <c r="E945" s="253"/>
      <c r="F945" s="1"/>
      <c r="AD945" s="80"/>
      <c r="AE945" s="80"/>
      <c r="AF945" s="80">
        <f>IF(C$941=C945,B945,0)</f>
        <v>0</v>
      </c>
      <c r="AG945" s="80"/>
      <c r="AH945" s="80"/>
    </row>
    <row r="946" spans="1:34" ht="19.95" hidden="1" customHeight="1" thickTop="1" thickBot="1" x14ac:dyDescent="0.35">
      <c r="A946" s="253"/>
      <c r="B946" s="292">
        <v>5</v>
      </c>
      <c r="C946" s="603" t="str">
        <f>AD946</f>
        <v>guilt</v>
      </c>
      <c r="D946" s="604"/>
      <c r="E946" s="253"/>
      <c r="F946" s="1"/>
      <c r="AD946" s="293" t="s">
        <v>690</v>
      </c>
      <c r="AE946" s="80"/>
      <c r="AF946" s="80"/>
      <c r="AG946" s="80">
        <f>IF(AND(C946&lt;&gt;"",C946=AD946),0,1)</f>
        <v>0</v>
      </c>
      <c r="AH946" s="80"/>
    </row>
    <row r="947" spans="1:34" ht="12" hidden="1" customHeight="1" thickTop="1" x14ac:dyDescent="0.3">
      <c r="A947" s="253"/>
      <c r="B947" s="294">
        <v>0</v>
      </c>
      <c r="C947" s="295" t="s">
        <v>691</v>
      </c>
      <c r="D947" s="280"/>
      <c r="E947" s="253"/>
      <c r="F947" s="1"/>
      <c r="AD947" s="80"/>
      <c r="AE947" s="80"/>
      <c r="AF947" s="80">
        <f>IF(C$946=C947,B947,0)</f>
        <v>0</v>
      </c>
      <c r="AG947" s="80"/>
      <c r="AH947" s="80"/>
    </row>
    <row r="948" spans="1:34" ht="12" hidden="1" customHeight="1" x14ac:dyDescent="0.3">
      <c r="A948" s="253"/>
      <c r="B948" s="294">
        <v>1</v>
      </c>
      <c r="C948" s="295" t="s">
        <v>692</v>
      </c>
      <c r="D948" s="280"/>
      <c r="E948" s="253"/>
      <c r="F948" s="1"/>
      <c r="AD948" s="80"/>
      <c r="AE948" s="80"/>
      <c r="AF948" s="80">
        <f>IF(C$946=C948,B948,0)</f>
        <v>0</v>
      </c>
      <c r="AG948" s="80"/>
      <c r="AH948" s="80"/>
    </row>
    <row r="949" spans="1:34" ht="12" hidden="1" customHeight="1" x14ac:dyDescent="0.3">
      <c r="A949" s="253"/>
      <c r="B949" s="294">
        <v>2</v>
      </c>
      <c r="C949" s="295" t="s">
        <v>693</v>
      </c>
      <c r="D949" s="280"/>
      <c r="E949" s="253"/>
      <c r="F949" s="1"/>
      <c r="AD949" s="80"/>
      <c r="AE949" s="80"/>
      <c r="AF949" s="80">
        <f>IF(C$946=C949,B949,0)</f>
        <v>0</v>
      </c>
      <c r="AG949" s="80"/>
      <c r="AH949" s="80"/>
    </row>
    <row r="950" spans="1:34" ht="12" hidden="1" customHeight="1" thickBot="1" x14ac:dyDescent="0.35">
      <c r="A950" s="253"/>
      <c r="B950" s="294">
        <v>3</v>
      </c>
      <c r="C950" s="295" t="s">
        <v>694</v>
      </c>
      <c r="D950" s="280"/>
      <c r="E950" s="253"/>
      <c r="F950" s="1"/>
      <c r="AD950" s="80"/>
      <c r="AE950" s="80"/>
      <c r="AF950" s="80">
        <f>IF(C$946=C950,B950,0)</f>
        <v>0</v>
      </c>
      <c r="AG950" s="80"/>
      <c r="AH950" s="80"/>
    </row>
    <row r="951" spans="1:34" ht="19.95" hidden="1" customHeight="1" thickTop="1" thickBot="1" x14ac:dyDescent="0.35">
      <c r="A951" s="253"/>
      <c r="B951" s="292">
        <v>6</v>
      </c>
      <c r="C951" s="603" t="str">
        <f>AD951</f>
        <v>punished</v>
      </c>
      <c r="D951" s="604"/>
      <c r="E951" s="253"/>
      <c r="F951" s="1"/>
      <c r="AD951" s="293" t="s">
        <v>695</v>
      </c>
      <c r="AE951" s="80"/>
      <c r="AF951" s="80"/>
      <c r="AG951" s="80">
        <f>IF(AND(C951&lt;&gt;"",C951=AD951),0,1)</f>
        <v>0</v>
      </c>
      <c r="AH951" s="80"/>
    </row>
    <row r="952" spans="1:34" ht="12" hidden="1" customHeight="1" thickTop="1" x14ac:dyDescent="0.3">
      <c r="A952" s="253"/>
      <c r="B952" s="294">
        <v>0</v>
      </c>
      <c r="C952" s="295" t="s">
        <v>696</v>
      </c>
      <c r="D952" s="280"/>
      <c r="E952" s="253"/>
      <c r="F952" s="1"/>
      <c r="AD952" s="80"/>
      <c r="AE952" s="80"/>
      <c r="AF952" s="80">
        <f>IF(C$951=C952,B952,0)</f>
        <v>0</v>
      </c>
      <c r="AG952" s="80"/>
      <c r="AH952" s="80"/>
    </row>
    <row r="953" spans="1:34" ht="12" hidden="1" customHeight="1" x14ac:dyDescent="0.3">
      <c r="A953" s="253"/>
      <c r="B953" s="294">
        <v>1</v>
      </c>
      <c r="C953" s="295" t="s">
        <v>697</v>
      </c>
      <c r="D953" s="280"/>
      <c r="E953" s="253"/>
      <c r="F953" s="1"/>
      <c r="AD953" s="80"/>
      <c r="AE953" s="80"/>
      <c r="AF953" s="80">
        <f>IF(C$951=C953,B953,0)</f>
        <v>0</v>
      </c>
      <c r="AG953" s="80"/>
      <c r="AH953" s="80"/>
    </row>
    <row r="954" spans="1:34" ht="12" hidden="1" customHeight="1" x14ac:dyDescent="0.3">
      <c r="A954" s="253"/>
      <c r="B954" s="294">
        <v>2</v>
      </c>
      <c r="C954" s="295" t="s">
        <v>698</v>
      </c>
      <c r="D954" s="280"/>
      <c r="E954" s="253"/>
      <c r="F954" s="1"/>
      <c r="AD954" s="80"/>
      <c r="AE954" s="80"/>
      <c r="AF954" s="80">
        <f>IF(C$951=C954,B954,0)</f>
        <v>0</v>
      </c>
      <c r="AG954" s="80"/>
      <c r="AH954" s="80"/>
    </row>
    <row r="955" spans="1:34" ht="12" hidden="1" customHeight="1" thickBot="1" x14ac:dyDescent="0.35">
      <c r="A955" s="253"/>
      <c r="B955" s="294">
        <v>3</v>
      </c>
      <c r="C955" s="295" t="s">
        <v>699</v>
      </c>
      <c r="D955" s="280"/>
      <c r="E955" s="253"/>
      <c r="F955" s="1"/>
      <c r="AD955" s="80"/>
      <c r="AE955" s="80"/>
      <c r="AF955" s="80">
        <f>IF(C$951=C955,B955,0)</f>
        <v>0</v>
      </c>
      <c r="AG955" s="80"/>
      <c r="AH955" s="80"/>
    </row>
    <row r="956" spans="1:34" ht="19.95" hidden="1" customHeight="1" thickTop="1" thickBot="1" x14ac:dyDescent="0.35">
      <c r="A956" s="253"/>
      <c r="B956" s="292">
        <v>7</v>
      </c>
      <c r="C956" s="603" t="str">
        <f>AD956</f>
        <v>self-loath</v>
      </c>
      <c r="D956" s="604"/>
      <c r="E956" s="253"/>
      <c r="F956" s="1"/>
      <c r="AD956" s="293" t="s">
        <v>700</v>
      </c>
      <c r="AE956" s="80"/>
      <c r="AF956" s="80"/>
      <c r="AG956" s="80">
        <f>IF(AND(C956&lt;&gt;"",C956=AD956),0,1)</f>
        <v>0</v>
      </c>
      <c r="AH956" s="80"/>
    </row>
    <row r="957" spans="1:34" ht="12" hidden="1" customHeight="1" thickTop="1" x14ac:dyDescent="0.3">
      <c r="A957" s="253"/>
      <c r="B957" s="294">
        <v>0</v>
      </c>
      <c r="C957" s="295" t="s">
        <v>701</v>
      </c>
      <c r="D957" s="280"/>
      <c r="E957" s="253"/>
      <c r="F957" s="1"/>
      <c r="AD957" s="80"/>
      <c r="AE957" s="80"/>
      <c r="AF957" s="80">
        <f>IF(C$956=C957,B957,0)</f>
        <v>0</v>
      </c>
      <c r="AG957" s="80"/>
      <c r="AH957" s="80"/>
    </row>
    <row r="958" spans="1:34" ht="12" hidden="1" customHeight="1" x14ac:dyDescent="0.3">
      <c r="A958" s="253"/>
      <c r="B958" s="294">
        <v>1</v>
      </c>
      <c r="C958" s="295" t="s">
        <v>702</v>
      </c>
      <c r="D958" s="280"/>
      <c r="E958" s="253"/>
      <c r="F958" s="1"/>
      <c r="AD958" s="80"/>
      <c r="AE958" s="80"/>
      <c r="AF958" s="80">
        <f>IF(C$956=C958,B958,0)</f>
        <v>0</v>
      </c>
      <c r="AG958" s="80"/>
      <c r="AH958" s="80"/>
    </row>
    <row r="959" spans="1:34" ht="12" hidden="1" customHeight="1" x14ac:dyDescent="0.3">
      <c r="A959" s="253"/>
      <c r="B959" s="294">
        <v>2</v>
      </c>
      <c r="C959" s="295" t="s">
        <v>703</v>
      </c>
      <c r="D959" s="280"/>
      <c r="E959" s="253"/>
      <c r="F959" s="1"/>
      <c r="AD959" s="80"/>
      <c r="AE959" s="80"/>
      <c r="AF959" s="80">
        <f>IF(C$956=C959,B959,0)</f>
        <v>0</v>
      </c>
      <c r="AG959" s="80"/>
      <c r="AH959" s="80"/>
    </row>
    <row r="960" spans="1:34" ht="12" hidden="1" customHeight="1" thickBot="1" x14ac:dyDescent="0.35">
      <c r="A960" s="253"/>
      <c r="B960" s="294">
        <v>3</v>
      </c>
      <c r="C960" s="295" t="s">
        <v>704</v>
      </c>
      <c r="D960" s="280"/>
      <c r="E960" s="253"/>
      <c r="F960" s="1"/>
      <c r="AD960" s="80"/>
      <c r="AE960" s="80"/>
      <c r="AF960" s="80">
        <f>IF(C$956=C960,B960,0)</f>
        <v>0</v>
      </c>
      <c r="AG960" s="80"/>
      <c r="AH960" s="80"/>
    </row>
    <row r="961" spans="1:34" ht="19.95" hidden="1" customHeight="1" thickTop="1" thickBot="1" x14ac:dyDescent="0.35">
      <c r="A961" s="253"/>
      <c r="B961" s="292">
        <v>8</v>
      </c>
      <c r="C961" s="603" t="str">
        <f>AD961</f>
        <v>faults</v>
      </c>
      <c r="D961" s="604"/>
      <c r="E961" s="253"/>
      <c r="F961" s="1"/>
      <c r="AD961" s="293" t="s">
        <v>705</v>
      </c>
      <c r="AE961" s="80"/>
      <c r="AF961" s="80"/>
      <c r="AG961" s="80">
        <f>IF(AND(C961&lt;&gt;"",C961=AD961),0,1)</f>
        <v>0</v>
      </c>
      <c r="AH961" s="80"/>
    </row>
    <row r="962" spans="1:34" ht="12" hidden="1" customHeight="1" thickTop="1" x14ac:dyDescent="0.3">
      <c r="A962" s="253"/>
      <c r="B962" s="294">
        <v>0</v>
      </c>
      <c r="C962" s="295" t="s">
        <v>706</v>
      </c>
      <c r="D962" s="280"/>
      <c r="E962" s="253"/>
      <c r="F962" s="1"/>
      <c r="AD962" s="80"/>
      <c r="AE962" s="80"/>
      <c r="AF962" s="80">
        <f>IF(C$961=C962,B962,0)</f>
        <v>0</v>
      </c>
      <c r="AG962" s="80"/>
      <c r="AH962" s="80"/>
    </row>
    <row r="963" spans="1:34" ht="12" hidden="1" customHeight="1" x14ac:dyDescent="0.3">
      <c r="A963" s="253"/>
      <c r="B963" s="294">
        <v>1</v>
      </c>
      <c r="C963" s="295" t="s">
        <v>707</v>
      </c>
      <c r="D963" s="280"/>
      <c r="E963" s="253"/>
      <c r="F963" s="1"/>
      <c r="AD963" s="80"/>
      <c r="AE963" s="80"/>
      <c r="AF963" s="80">
        <f>IF(C$961=C963,B963,0)</f>
        <v>0</v>
      </c>
      <c r="AG963" s="80"/>
      <c r="AH963" s="80"/>
    </row>
    <row r="964" spans="1:34" ht="12" hidden="1" customHeight="1" x14ac:dyDescent="0.3">
      <c r="A964" s="253"/>
      <c r="B964" s="294">
        <v>2</v>
      </c>
      <c r="C964" s="295" t="s">
        <v>708</v>
      </c>
      <c r="D964" s="280"/>
      <c r="E964" s="253"/>
      <c r="F964" s="1"/>
      <c r="AD964" s="80"/>
      <c r="AE964" s="80"/>
      <c r="AF964" s="80">
        <f>IF(C$961=C964,B964,0)</f>
        <v>0</v>
      </c>
      <c r="AG964" s="80"/>
      <c r="AH964" s="80"/>
    </row>
    <row r="965" spans="1:34" ht="12" hidden="1" customHeight="1" thickBot="1" x14ac:dyDescent="0.35">
      <c r="A965" s="253"/>
      <c r="B965" s="294">
        <v>3</v>
      </c>
      <c r="C965" s="295" t="s">
        <v>709</v>
      </c>
      <c r="D965" s="280"/>
      <c r="E965" s="253"/>
      <c r="F965" s="1"/>
      <c r="AD965" s="80"/>
      <c r="AE965" s="80"/>
      <c r="AF965" s="80">
        <f>IF(C$961=C965,B965,0)</f>
        <v>0</v>
      </c>
      <c r="AG965" s="80"/>
      <c r="AH965" s="80"/>
    </row>
    <row r="966" spans="1:34" ht="19.95" hidden="1" customHeight="1" thickTop="1" thickBot="1" x14ac:dyDescent="0.35">
      <c r="A966" s="253"/>
      <c r="B966" s="292">
        <v>9</v>
      </c>
      <c r="C966" s="603" t="str">
        <f>AD966</f>
        <v>suicidal thoughts</v>
      </c>
      <c r="D966" s="604"/>
      <c r="E966" s="253"/>
      <c r="F966" s="1"/>
      <c r="AD966" s="293" t="s">
        <v>710</v>
      </c>
      <c r="AE966" s="80"/>
      <c r="AF966" s="80"/>
      <c r="AG966" s="80">
        <f>IF(AND(C966&lt;&gt;"",C966=AD966),0,1)</f>
        <v>0</v>
      </c>
      <c r="AH966" s="80"/>
    </row>
    <row r="967" spans="1:34" ht="12" hidden="1" customHeight="1" thickTop="1" x14ac:dyDescent="0.3">
      <c r="A967" s="253"/>
      <c r="B967" s="294">
        <v>0</v>
      </c>
      <c r="C967" s="295" t="s">
        <v>711</v>
      </c>
      <c r="D967" s="280"/>
      <c r="E967" s="253"/>
      <c r="F967" s="1"/>
      <c r="AD967" s="80"/>
      <c r="AE967" s="80"/>
      <c r="AF967" s="80">
        <f>IF(C$966=C967,B967,0)</f>
        <v>0</v>
      </c>
      <c r="AG967" s="80"/>
      <c r="AH967" s="80"/>
    </row>
    <row r="968" spans="1:34" ht="12" hidden="1" customHeight="1" x14ac:dyDescent="0.3">
      <c r="A968" s="253"/>
      <c r="B968" s="294">
        <v>1</v>
      </c>
      <c r="C968" s="295" t="s">
        <v>712</v>
      </c>
      <c r="D968" s="280"/>
      <c r="E968" s="253"/>
      <c r="F968" s="1"/>
      <c r="AD968" s="80"/>
      <c r="AE968" s="80"/>
      <c r="AF968" s="80">
        <f>IF(C$966=C968,B968,0)</f>
        <v>0</v>
      </c>
      <c r="AG968" s="80"/>
      <c r="AH968" s="80"/>
    </row>
    <row r="969" spans="1:34" ht="12" hidden="1" customHeight="1" x14ac:dyDescent="0.3">
      <c r="A969" s="253"/>
      <c r="B969" s="294">
        <v>2</v>
      </c>
      <c r="C969" s="295" t="s">
        <v>713</v>
      </c>
      <c r="D969" s="280"/>
      <c r="E969" s="253"/>
      <c r="F969" s="1"/>
      <c r="AD969" s="80"/>
      <c r="AE969" s="80"/>
      <c r="AF969" s="80">
        <f>IF(C$966=C969,B969,0)</f>
        <v>0</v>
      </c>
      <c r="AG969" s="80"/>
      <c r="AH969" s="80"/>
    </row>
    <row r="970" spans="1:34" ht="12" hidden="1" customHeight="1" thickBot="1" x14ac:dyDescent="0.35">
      <c r="A970" s="253"/>
      <c r="B970" s="294">
        <v>3</v>
      </c>
      <c r="C970" s="295" t="s">
        <v>714</v>
      </c>
      <c r="D970" s="280"/>
      <c r="E970" s="253"/>
      <c r="F970" s="1"/>
      <c r="AD970" s="80"/>
      <c r="AE970" s="80"/>
      <c r="AF970" s="80">
        <f>IF(C$966=C970,B970,0)</f>
        <v>0</v>
      </c>
      <c r="AG970" s="80"/>
      <c r="AH970" s="80"/>
    </row>
    <row r="971" spans="1:34" ht="19.95" hidden="1" customHeight="1" thickTop="1" thickBot="1" x14ac:dyDescent="0.35">
      <c r="A971" s="253"/>
      <c r="B971" s="292">
        <v>10</v>
      </c>
      <c r="C971" s="603" t="str">
        <f>AD971</f>
        <v>crying</v>
      </c>
      <c r="D971" s="604"/>
      <c r="E971" s="253"/>
      <c r="F971" s="1"/>
      <c r="AD971" s="293" t="s">
        <v>715</v>
      </c>
      <c r="AE971" s="80"/>
      <c r="AF971" s="80"/>
      <c r="AG971" s="80">
        <f>IF(AND(C971&lt;&gt;"",C971=AD971),0,1)</f>
        <v>0</v>
      </c>
      <c r="AH971" s="80"/>
    </row>
    <row r="972" spans="1:34" ht="12" hidden="1" customHeight="1" thickTop="1" x14ac:dyDescent="0.3">
      <c r="A972" s="253"/>
      <c r="B972" s="294">
        <v>0</v>
      </c>
      <c r="C972" s="295" t="s">
        <v>716</v>
      </c>
      <c r="D972" s="280"/>
      <c r="E972" s="253"/>
      <c r="F972" s="1"/>
      <c r="AD972" s="80"/>
      <c r="AE972" s="80"/>
      <c r="AF972" s="80">
        <f>IF(C$971=C972,B972,0)</f>
        <v>0</v>
      </c>
      <c r="AG972" s="80"/>
      <c r="AH972" s="80"/>
    </row>
    <row r="973" spans="1:34" ht="12" hidden="1" customHeight="1" x14ac:dyDescent="0.3">
      <c r="A973" s="253"/>
      <c r="B973" s="294">
        <v>1</v>
      </c>
      <c r="C973" s="295" t="s">
        <v>717</v>
      </c>
      <c r="D973" s="280"/>
      <c r="E973" s="253"/>
      <c r="F973" s="1"/>
      <c r="AD973" s="80"/>
      <c r="AE973" s="80"/>
      <c r="AF973" s="80">
        <f>IF(C$971=C973,B973,0)</f>
        <v>0</v>
      </c>
      <c r="AG973" s="80"/>
      <c r="AH973" s="80"/>
    </row>
    <row r="974" spans="1:34" ht="12" hidden="1" customHeight="1" x14ac:dyDescent="0.3">
      <c r="A974" s="253"/>
      <c r="B974" s="294">
        <v>2</v>
      </c>
      <c r="C974" s="295" t="s">
        <v>718</v>
      </c>
      <c r="D974" s="280"/>
      <c r="E974" s="253"/>
      <c r="F974" s="1"/>
      <c r="AD974" s="80"/>
      <c r="AE974" s="80"/>
      <c r="AF974" s="80">
        <f>IF(C$971=C974,B974,0)</f>
        <v>0</v>
      </c>
      <c r="AG974" s="80"/>
      <c r="AH974" s="80"/>
    </row>
    <row r="975" spans="1:34" ht="12" hidden="1" customHeight="1" thickBot="1" x14ac:dyDescent="0.35">
      <c r="A975" s="253"/>
      <c r="B975" s="294">
        <v>3</v>
      </c>
      <c r="C975" s="295" t="s">
        <v>719</v>
      </c>
      <c r="D975" s="280"/>
      <c r="E975" s="253"/>
      <c r="F975" s="1"/>
      <c r="AD975" s="80"/>
      <c r="AE975" s="80"/>
      <c r="AF975" s="80">
        <f>IF(C$971=C975,B975,0)</f>
        <v>0</v>
      </c>
      <c r="AG975" s="80"/>
      <c r="AH975" s="80"/>
    </row>
    <row r="976" spans="1:34" ht="19.95" hidden="1" customHeight="1" thickTop="1" thickBot="1" x14ac:dyDescent="0.35">
      <c r="A976" s="253"/>
      <c r="B976" s="292">
        <v>11</v>
      </c>
      <c r="C976" s="603" t="str">
        <f>AD976</f>
        <v>irritability</v>
      </c>
      <c r="D976" s="604"/>
      <c r="E976" s="253"/>
      <c r="F976" s="1"/>
      <c r="AD976" s="293" t="s">
        <v>720</v>
      </c>
      <c r="AE976" s="80"/>
      <c r="AF976" s="80"/>
      <c r="AG976" s="80">
        <f>IF(AND(C976&lt;&gt;"",C976=AD976),0,1)</f>
        <v>0</v>
      </c>
      <c r="AH976" s="80"/>
    </row>
    <row r="977" spans="1:34" ht="12" hidden="1" customHeight="1" thickTop="1" x14ac:dyDescent="0.3">
      <c r="A977" s="253"/>
      <c r="B977" s="294">
        <v>0</v>
      </c>
      <c r="C977" s="295" t="s">
        <v>721</v>
      </c>
      <c r="D977" s="280"/>
      <c r="E977" s="253"/>
      <c r="F977" s="1"/>
      <c r="AD977" s="80"/>
      <c r="AE977" s="80"/>
      <c r="AF977" s="80">
        <f>IF(C$976=C977,B977,0)</f>
        <v>0</v>
      </c>
      <c r="AG977" s="80"/>
      <c r="AH977" s="80"/>
    </row>
    <row r="978" spans="1:34" ht="12" hidden="1" customHeight="1" x14ac:dyDescent="0.3">
      <c r="A978" s="253"/>
      <c r="B978" s="294">
        <v>1</v>
      </c>
      <c r="C978" s="295" t="s">
        <v>722</v>
      </c>
      <c r="D978" s="280"/>
      <c r="E978" s="253"/>
      <c r="F978" s="1"/>
      <c r="AD978" s="80"/>
      <c r="AE978" s="80"/>
      <c r="AF978" s="80">
        <f>IF(C$976=C978,B978,0)</f>
        <v>0</v>
      </c>
      <c r="AG978" s="80"/>
      <c r="AH978" s="80"/>
    </row>
    <row r="979" spans="1:34" ht="12" hidden="1" customHeight="1" x14ac:dyDescent="0.3">
      <c r="A979" s="253"/>
      <c r="B979" s="294">
        <v>2</v>
      </c>
      <c r="C979" s="295" t="s">
        <v>723</v>
      </c>
      <c r="D979" s="280"/>
      <c r="E979" s="253"/>
      <c r="F979" s="1"/>
      <c r="AD979" s="80"/>
      <c r="AE979" s="80"/>
      <c r="AF979" s="80">
        <f>IF(C$976=C979,B979,0)</f>
        <v>0</v>
      </c>
      <c r="AG979" s="80"/>
      <c r="AH979" s="80"/>
    </row>
    <row r="980" spans="1:34" ht="12" hidden="1" customHeight="1" thickBot="1" x14ac:dyDescent="0.35">
      <c r="A980" s="253"/>
      <c r="B980" s="294">
        <v>3</v>
      </c>
      <c r="C980" s="295" t="s">
        <v>724</v>
      </c>
      <c r="D980" s="280"/>
      <c r="E980" s="253"/>
      <c r="F980" s="1"/>
      <c r="AD980" s="80"/>
      <c r="AE980" s="80"/>
      <c r="AF980" s="80">
        <f>IF(C$976=C980,B980,0)</f>
        <v>0</v>
      </c>
      <c r="AG980" s="80"/>
      <c r="AH980" s="80"/>
    </row>
    <row r="981" spans="1:34" ht="19.95" hidden="1" customHeight="1" thickTop="1" thickBot="1" x14ac:dyDescent="0.35">
      <c r="A981" s="253"/>
      <c r="B981" s="292">
        <v>12</v>
      </c>
      <c r="C981" s="603" t="str">
        <f>AD981</f>
        <v>socializing</v>
      </c>
      <c r="D981" s="604"/>
      <c r="E981" s="253"/>
      <c r="F981" s="1"/>
      <c r="AD981" s="293" t="s">
        <v>725</v>
      </c>
      <c r="AE981" s="80"/>
      <c r="AF981" s="80"/>
      <c r="AG981" s="80">
        <f>IF(AND(C981&lt;&gt;"",C981=AD981),0,1)</f>
        <v>0</v>
      </c>
      <c r="AH981" s="80"/>
    </row>
    <row r="982" spans="1:34" ht="12" hidden="1" customHeight="1" thickTop="1" x14ac:dyDescent="0.3">
      <c r="A982" s="253"/>
      <c r="B982" s="294">
        <v>0</v>
      </c>
      <c r="C982" s="295" t="s">
        <v>726</v>
      </c>
      <c r="D982" s="280"/>
      <c r="E982" s="253"/>
      <c r="F982" s="1"/>
      <c r="AD982" s="80"/>
      <c r="AE982" s="80"/>
      <c r="AF982" s="80">
        <f>IF(C$981=C982,B982,0)</f>
        <v>0</v>
      </c>
      <c r="AG982" s="80"/>
      <c r="AH982" s="80"/>
    </row>
    <row r="983" spans="1:34" ht="12" hidden="1" customHeight="1" x14ac:dyDescent="0.3">
      <c r="A983" s="253"/>
      <c r="B983" s="294">
        <v>1</v>
      </c>
      <c r="C983" s="295" t="s">
        <v>727</v>
      </c>
      <c r="D983" s="280"/>
      <c r="E983" s="253"/>
      <c r="F983" s="1"/>
      <c r="AD983" s="80"/>
      <c r="AE983" s="80"/>
      <c r="AF983" s="80">
        <f>IF(C$981=C983,B983,0)</f>
        <v>0</v>
      </c>
      <c r="AG983" s="80"/>
      <c r="AH983" s="80"/>
    </row>
    <row r="984" spans="1:34" ht="12" hidden="1" customHeight="1" x14ac:dyDescent="0.3">
      <c r="A984" s="253"/>
      <c r="B984" s="294">
        <v>2</v>
      </c>
      <c r="C984" s="295" t="s">
        <v>728</v>
      </c>
      <c r="D984" s="280"/>
      <c r="E984" s="253"/>
      <c r="F984" s="1"/>
      <c r="AD984" s="80"/>
      <c r="AE984" s="80"/>
      <c r="AF984" s="80">
        <f>IF(C$981=C984,B984,0)</f>
        <v>0</v>
      </c>
      <c r="AG984" s="80"/>
      <c r="AH984" s="80"/>
    </row>
    <row r="985" spans="1:34" ht="12" hidden="1" customHeight="1" thickBot="1" x14ac:dyDescent="0.35">
      <c r="A985" s="253"/>
      <c r="B985" s="294">
        <v>3</v>
      </c>
      <c r="C985" s="295" t="s">
        <v>729</v>
      </c>
      <c r="D985" s="280"/>
      <c r="E985" s="253"/>
      <c r="F985" s="1"/>
      <c r="AD985" s="80"/>
      <c r="AE985" s="80"/>
      <c r="AF985" s="80">
        <f>IF(C$981=C985,B985,0)</f>
        <v>0</v>
      </c>
      <c r="AG985" s="80"/>
      <c r="AH985" s="80"/>
    </row>
    <row r="986" spans="1:34" ht="19.95" hidden="1" customHeight="1" thickTop="1" thickBot="1" x14ac:dyDescent="0.35">
      <c r="A986" s="253"/>
      <c r="B986" s="292">
        <v>13</v>
      </c>
      <c r="C986" s="603" t="str">
        <f>AD986</f>
        <v>decisiveness</v>
      </c>
      <c r="D986" s="604"/>
      <c r="E986" s="253"/>
      <c r="F986" s="1"/>
      <c r="AD986" s="293" t="s">
        <v>730</v>
      </c>
      <c r="AE986" s="80"/>
      <c r="AF986" s="80"/>
      <c r="AG986" s="80">
        <f>IF(AND(C986&lt;&gt;"",C986=AD986),0,1)</f>
        <v>0</v>
      </c>
      <c r="AH986" s="80"/>
    </row>
    <row r="987" spans="1:34" ht="12" hidden="1" customHeight="1" thickTop="1" x14ac:dyDescent="0.3">
      <c r="A987" s="253"/>
      <c r="B987" s="294">
        <v>0</v>
      </c>
      <c r="C987" s="295" t="s">
        <v>731</v>
      </c>
      <c r="D987" s="280"/>
      <c r="E987" s="253"/>
      <c r="F987" s="1"/>
      <c r="AD987" s="80"/>
      <c r="AE987" s="80"/>
      <c r="AF987" s="80">
        <f>IF(C$986=C987,B987,0)</f>
        <v>0</v>
      </c>
      <c r="AG987" s="80"/>
      <c r="AH987" s="80"/>
    </row>
    <row r="988" spans="1:34" ht="12" hidden="1" customHeight="1" x14ac:dyDescent="0.3">
      <c r="A988" s="253"/>
      <c r="B988" s="294">
        <v>1</v>
      </c>
      <c r="C988" s="295" t="s">
        <v>732</v>
      </c>
      <c r="D988" s="280"/>
      <c r="E988" s="253"/>
      <c r="F988" s="1"/>
      <c r="AD988" s="80"/>
      <c r="AE988" s="80"/>
      <c r="AF988" s="80">
        <f>IF(C$986=C988,B988,0)</f>
        <v>0</v>
      </c>
      <c r="AG988" s="80"/>
      <c r="AH988" s="80"/>
    </row>
    <row r="989" spans="1:34" ht="12" hidden="1" customHeight="1" x14ac:dyDescent="0.3">
      <c r="A989" s="253"/>
      <c r="B989" s="294">
        <v>2</v>
      </c>
      <c r="C989" s="295" t="s">
        <v>733</v>
      </c>
      <c r="D989" s="280"/>
      <c r="E989" s="253"/>
      <c r="F989" s="1"/>
      <c r="AD989" s="80"/>
      <c r="AE989" s="80"/>
      <c r="AF989" s="80">
        <f>IF(C$986=C989,B989,0)</f>
        <v>0</v>
      </c>
      <c r="AG989" s="80"/>
      <c r="AH989" s="80"/>
    </row>
    <row r="990" spans="1:34" ht="12" hidden="1" customHeight="1" thickBot="1" x14ac:dyDescent="0.35">
      <c r="A990" s="253"/>
      <c r="B990" s="294">
        <v>3</v>
      </c>
      <c r="C990" s="295" t="s">
        <v>734</v>
      </c>
      <c r="D990" s="280"/>
      <c r="E990" s="253"/>
      <c r="F990" s="1"/>
      <c r="AD990" s="80"/>
      <c r="AE990" s="80"/>
      <c r="AF990" s="80">
        <f>IF(C$986=C990,B990,0)</f>
        <v>0</v>
      </c>
      <c r="AG990" s="80"/>
      <c r="AH990" s="80"/>
    </row>
    <row r="991" spans="1:34" ht="19.95" hidden="1" customHeight="1" thickTop="1" thickBot="1" x14ac:dyDescent="0.35">
      <c r="A991" s="253"/>
      <c r="B991" s="292">
        <v>14</v>
      </c>
      <c r="C991" s="603" t="str">
        <f>AD991</f>
        <v>self-image</v>
      </c>
      <c r="D991" s="604"/>
      <c r="E991" s="253"/>
      <c r="F991" s="1"/>
      <c r="AD991" s="293" t="s">
        <v>735</v>
      </c>
      <c r="AE991" s="80"/>
      <c r="AF991" s="80"/>
      <c r="AG991" s="80">
        <f>IF(AND(C991&lt;&gt;"",C991=AD991),0,1)</f>
        <v>0</v>
      </c>
      <c r="AH991" s="80"/>
    </row>
    <row r="992" spans="1:34" ht="12" hidden="1" customHeight="1" thickTop="1" x14ac:dyDescent="0.3">
      <c r="A992" s="253"/>
      <c r="B992" s="294">
        <v>0</v>
      </c>
      <c r="C992" s="295" t="s">
        <v>736</v>
      </c>
      <c r="D992" s="280"/>
      <c r="E992" s="253"/>
      <c r="F992" s="1"/>
      <c r="AD992" s="80"/>
      <c r="AE992" s="80"/>
      <c r="AF992" s="80">
        <f>IF(C$991=C992,B992,0)</f>
        <v>0</v>
      </c>
      <c r="AG992" s="80"/>
      <c r="AH992" s="80"/>
    </row>
    <row r="993" spans="1:34" ht="12" hidden="1" customHeight="1" x14ac:dyDescent="0.3">
      <c r="A993" s="253"/>
      <c r="B993" s="294">
        <v>1</v>
      </c>
      <c r="C993" s="295" t="s">
        <v>737</v>
      </c>
      <c r="D993" s="280"/>
      <c r="E993" s="253"/>
      <c r="F993" s="1"/>
      <c r="AD993" s="80"/>
      <c r="AE993" s="80"/>
      <c r="AF993" s="80">
        <f>IF(C$991=C993,B993,0)</f>
        <v>0</v>
      </c>
      <c r="AG993" s="80"/>
      <c r="AH993" s="80"/>
    </row>
    <row r="994" spans="1:34" ht="12" hidden="1" customHeight="1" x14ac:dyDescent="0.3">
      <c r="A994" s="253"/>
      <c r="B994" s="294">
        <v>2</v>
      </c>
      <c r="C994" s="295" t="s">
        <v>738</v>
      </c>
      <c r="D994" s="280"/>
      <c r="E994" s="253"/>
      <c r="F994" s="1"/>
      <c r="AD994" s="80"/>
      <c r="AE994" s="80"/>
      <c r="AF994" s="80">
        <f>IF(C$991=C994,B994,0)</f>
        <v>0</v>
      </c>
      <c r="AG994" s="80"/>
      <c r="AH994" s="80"/>
    </row>
    <row r="995" spans="1:34" ht="12" hidden="1" customHeight="1" thickBot="1" x14ac:dyDescent="0.35">
      <c r="A995" s="253"/>
      <c r="B995" s="294">
        <v>3</v>
      </c>
      <c r="C995" s="295" t="s">
        <v>739</v>
      </c>
      <c r="D995" s="280"/>
      <c r="E995" s="253"/>
      <c r="F995" s="1"/>
      <c r="AD995" s="80"/>
      <c r="AE995" s="80"/>
      <c r="AF995" s="80">
        <f>IF(C$991=C995,B995,0)</f>
        <v>0</v>
      </c>
      <c r="AG995" s="80"/>
      <c r="AH995" s="80"/>
    </row>
    <row r="996" spans="1:34" ht="19.95" hidden="1" customHeight="1" thickTop="1" thickBot="1" x14ac:dyDescent="0.35">
      <c r="A996" s="253"/>
      <c r="B996" s="292">
        <v>15</v>
      </c>
      <c r="C996" s="603" t="str">
        <f>AD996</f>
        <v>effort</v>
      </c>
      <c r="D996" s="604"/>
      <c r="E996" s="253"/>
      <c r="F996" s="1"/>
      <c r="AD996" s="293" t="s">
        <v>740</v>
      </c>
      <c r="AE996" s="80"/>
      <c r="AF996" s="80"/>
      <c r="AG996" s="80">
        <f>IF(AND(C996&lt;&gt;"",C996=AD996),0,1)</f>
        <v>0</v>
      </c>
      <c r="AH996" s="80"/>
    </row>
    <row r="997" spans="1:34" ht="12" hidden="1" customHeight="1" thickTop="1" x14ac:dyDescent="0.3">
      <c r="A997" s="253"/>
      <c r="B997" s="294">
        <v>0</v>
      </c>
      <c r="C997" s="295" t="s">
        <v>741</v>
      </c>
      <c r="D997" s="280"/>
      <c r="E997" s="253"/>
      <c r="F997" s="1"/>
      <c r="AD997" s="80"/>
      <c r="AE997" s="80"/>
      <c r="AF997" s="80">
        <f>IF(C$996=C997,B997,0)</f>
        <v>0</v>
      </c>
      <c r="AG997" s="80"/>
      <c r="AH997" s="80"/>
    </row>
    <row r="998" spans="1:34" ht="12" hidden="1" customHeight="1" x14ac:dyDescent="0.3">
      <c r="A998" s="253"/>
      <c r="B998" s="294">
        <v>1</v>
      </c>
      <c r="C998" s="295" t="s">
        <v>742</v>
      </c>
      <c r="D998" s="280"/>
      <c r="E998" s="253"/>
      <c r="F998" s="1"/>
      <c r="AD998" s="80"/>
      <c r="AE998" s="80"/>
      <c r="AF998" s="80">
        <f>IF(C$996=C998,B998,0)</f>
        <v>0</v>
      </c>
      <c r="AG998" s="80"/>
      <c r="AH998" s="80"/>
    </row>
    <row r="999" spans="1:34" ht="12" hidden="1" customHeight="1" x14ac:dyDescent="0.3">
      <c r="A999" s="253"/>
      <c r="B999" s="294">
        <v>2</v>
      </c>
      <c r="C999" s="295" t="s">
        <v>743</v>
      </c>
      <c r="D999" s="280"/>
      <c r="E999" s="253"/>
      <c r="F999" s="1"/>
      <c r="AD999" s="80"/>
      <c r="AE999" s="80"/>
      <c r="AF999" s="80">
        <f>IF(C$996=C999,B999,0)</f>
        <v>0</v>
      </c>
      <c r="AG999" s="80"/>
      <c r="AH999" s="80"/>
    </row>
    <row r="1000" spans="1:34" ht="12" hidden="1" customHeight="1" thickBot="1" x14ac:dyDescent="0.35">
      <c r="A1000" s="253"/>
      <c r="B1000" s="294">
        <v>3</v>
      </c>
      <c r="C1000" s="295" t="s">
        <v>744</v>
      </c>
      <c r="D1000" s="280"/>
      <c r="E1000" s="253"/>
      <c r="F1000" s="1"/>
      <c r="AD1000" s="80"/>
      <c r="AE1000" s="80"/>
      <c r="AF1000" s="80">
        <f>IF(C$996=C1000,B1000,0)</f>
        <v>0</v>
      </c>
      <c r="AG1000" s="80"/>
      <c r="AH1000" s="80"/>
    </row>
    <row r="1001" spans="1:34" ht="19.95" hidden="1" customHeight="1" thickTop="1" thickBot="1" x14ac:dyDescent="0.35">
      <c r="A1001" s="253"/>
      <c r="B1001" s="292">
        <v>16</v>
      </c>
      <c r="C1001" s="603" t="str">
        <f>AD1001</f>
        <v>sleep</v>
      </c>
      <c r="D1001" s="604"/>
      <c r="E1001" s="253"/>
      <c r="F1001" s="1"/>
      <c r="AD1001" s="293" t="s">
        <v>745</v>
      </c>
      <c r="AE1001" s="80"/>
      <c r="AF1001" s="80"/>
      <c r="AG1001" s="80">
        <f>IF(AND(C1001&lt;&gt;"",C1001=AD1001),0,1)</f>
        <v>0</v>
      </c>
      <c r="AH1001" s="80"/>
    </row>
    <row r="1002" spans="1:34" ht="12" hidden="1" customHeight="1" thickTop="1" x14ac:dyDescent="0.3">
      <c r="A1002" s="253"/>
      <c r="B1002" s="294">
        <v>0</v>
      </c>
      <c r="C1002" s="295" t="s">
        <v>746</v>
      </c>
      <c r="D1002" s="280"/>
      <c r="E1002" s="253"/>
      <c r="F1002" s="1"/>
      <c r="AD1002" s="80"/>
      <c r="AE1002" s="80"/>
      <c r="AF1002" s="80">
        <f>IF(C$1001=C1002,B1002,0)</f>
        <v>0</v>
      </c>
      <c r="AG1002" s="80"/>
      <c r="AH1002" s="80"/>
    </row>
    <row r="1003" spans="1:34" ht="12" hidden="1" customHeight="1" x14ac:dyDescent="0.3">
      <c r="A1003" s="253"/>
      <c r="B1003" s="294">
        <v>1</v>
      </c>
      <c r="C1003" s="295" t="s">
        <v>747</v>
      </c>
      <c r="D1003" s="280"/>
      <c r="E1003" s="253"/>
      <c r="F1003" s="1"/>
      <c r="AD1003" s="80"/>
      <c r="AE1003" s="80"/>
      <c r="AF1003" s="80">
        <f>IF(C$1001=C1003,B1003,0)</f>
        <v>0</v>
      </c>
      <c r="AG1003" s="80"/>
      <c r="AH1003" s="80"/>
    </row>
    <row r="1004" spans="1:34" ht="12" hidden="1" customHeight="1" x14ac:dyDescent="0.3">
      <c r="A1004" s="253"/>
      <c r="B1004" s="294">
        <v>2</v>
      </c>
      <c r="C1004" s="295" t="s">
        <v>748</v>
      </c>
      <c r="D1004" s="280"/>
      <c r="E1004" s="253"/>
      <c r="F1004" s="1"/>
      <c r="AD1004" s="80"/>
      <c r="AE1004" s="80"/>
      <c r="AF1004" s="80">
        <f>IF(C$1001=C1004,B1004,0)</f>
        <v>0</v>
      </c>
      <c r="AG1004" s="80"/>
      <c r="AH1004" s="80"/>
    </row>
    <row r="1005" spans="1:34" ht="12" hidden="1" customHeight="1" thickBot="1" x14ac:dyDescent="0.35">
      <c r="A1005" s="253"/>
      <c r="B1005" s="294">
        <v>3</v>
      </c>
      <c r="C1005" s="295" t="s">
        <v>749</v>
      </c>
      <c r="D1005" s="280"/>
      <c r="E1005" s="253"/>
      <c r="F1005" s="1"/>
      <c r="AD1005" s="80"/>
      <c r="AE1005" s="80"/>
      <c r="AF1005" s="80">
        <f>IF(C$1001=C1005,B1005,0)</f>
        <v>0</v>
      </c>
      <c r="AG1005" s="80"/>
      <c r="AH1005" s="80"/>
    </row>
    <row r="1006" spans="1:34" ht="19.95" hidden="1" customHeight="1" thickTop="1" thickBot="1" x14ac:dyDescent="0.35">
      <c r="A1006" s="253"/>
      <c r="B1006" s="292">
        <v>17</v>
      </c>
      <c r="C1006" s="603" t="str">
        <f>AD1006</f>
        <v>tiredness</v>
      </c>
      <c r="D1006" s="604"/>
      <c r="E1006" s="253"/>
      <c r="F1006" s="1"/>
      <c r="AD1006" s="293" t="s">
        <v>750</v>
      </c>
      <c r="AE1006" s="80"/>
      <c r="AF1006" s="80"/>
      <c r="AG1006" s="80">
        <f>IF(AND(C1006&lt;&gt;"",C1006=AD1006),0,1)</f>
        <v>0</v>
      </c>
      <c r="AH1006" s="80"/>
    </row>
    <row r="1007" spans="1:34" ht="12" hidden="1" customHeight="1" thickTop="1" x14ac:dyDescent="0.3">
      <c r="A1007" s="253"/>
      <c r="B1007" s="294">
        <v>0</v>
      </c>
      <c r="C1007" s="295" t="s">
        <v>751</v>
      </c>
      <c r="D1007" s="280"/>
      <c r="E1007" s="253"/>
      <c r="F1007" s="1"/>
      <c r="AD1007" s="80"/>
      <c r="AE1007" s="80"/>
      <c r="AF1007" s="80">
        <f>IF(C$1006=C1007,B1007,0)</f>
        <v>0</v>
      </c>
      <c r="AG1007" s="80"/>
      <c r="AH1007" s="80"/>
    </row>
    <row r="1008" spans="1:34" ht="12" hidden="1" customHeight="1" x14ac:dyDescent="0.3">
      <c r="A1008" s="253"/>
      <c r="B1008" s="294">
        <v>1</v>
      </c>
      <c r="C1008" s="295" t="s">
        <v>752</v>
      </c>
      <c r="D1008" s="280"/>
      <c r="E1008" s="253"/>
      <c r="F1008" s="1"/>
      <c r="AD1008" s="80"/>
      <c r="AE1008" s="80"/>
      <c r="AF1008" s="80">
        <f>IF(C$1006=C1008,B1008,0)</f>
        <v>0</v>
      </c>
      <c r="AG1008" s="80"/>
      <c r="AH1008" s="80"/>
    </row>
    <row r="1009" spans="1:34" ht="12" hidden="1" customHeight="1" x14ac:dyDescent="0.3">
      <c r="A1009" s="253"/>
      <c r="B1009" s="294">
        <v>2</v>
      </c>
      <c r="C1009" s="295" t="s">
        <v>753</v>
      </c>
      <c r="D1009" s="280"/>
      <c r="E1009" s="253"/>
      <c r="F1009" s="1"/>
      <c r="AD1009" s="80"/>
      <c r="AE1009" s="80"/>
      <c r="AF1009" s="80">
        <f>IF(C$1006=C1009,B1009,0)</f>
        <v>0</v>
      </c>
      <c r="AG1009" s="80"/>
      <c r="AH1009" s="80"/>
    </row>
    <row r="1010" spans="1:34" ht="12" hidden="1" customHeight="1" thickBot="1" x14ac:dyDescent="0.35">
      <c r="A1010" s="253"/>
      <c r="B1010" s="294">
        <v>3</v>
      </c>
      <c r="C1010" s="295" t="s">
        <v>754</v>
      </c>
      <c r="D1010" s="280"/>
      <c r="E1010" s="253"/>
      <c r="F1010" s="1"/>
      <c r="AD1010" s="80"/>
      <c r="AE1010" s="80"/>
      <c r="AF1010" s="80">
        <f>IF(C$1006=C1010,B1010,0)</f>
        <v>0</v>
      </c>
      <c r="AG1010" s="80"/>
      <c r="AH1010" s="80"/>
    </row>
    <row r="1011" spans="1:34" ht="19.95" hidden="1" customHeight="1" thickTop="1" thickBot="1" x14ac:dyDescent="0.35">
      <c r="A1011" s="253"/>
      <c r="B1011" s="292">
        <v>18</v>
      </c>
      <c r="C1011" s="603" t="str">
        <f>AD1011</f>
        <v>appetite</v>
      </c>
      <c r="D1011" s="604"/>
      <c r="E1011" s="253"/>
      <c r="F1011" s="1"/>
      <c r="AD1011" s="293" t="s">
        <v>755</v>
      </c>
      <c r="AE1011" s="80"/>
      <c r="AF1011" s="80"/>
      <c r="AG1011" s="80">
        <f>IF(AND(C1011&lt;&gt;"",C1011=AD1011),0,1)</f>
        <v>0</v>
      </c>
      <c r="AH1011" s="80"/>
    </row>
    <row r="1012" spans="1:34" ht="12" hidden="1" customHeight="1" thickTop="1" x14ac:dyDescent="0.3">
      <c r="A1012" s="253"/>
      <c r="B1012" s="294">
        <v>0</v>
      </c>
      <c r="C1012" s="295" t="s">
        <v>756</v>
      </c>
      <c r="D1012" s="280"/>
      <c r="E1012" s="253"/>
      <c r="F1012" s="1"/>
      <c r="AD1012" s="80"/>
      <c r="AE1012" s="80"/>
      <c r="AF1012" s="80">
        <f>IF(C$1011=C1012,B1012,0)</f>
        <v>0</v>
      </c>
      <c r="AG1012" s="80"/>
      <c r="AH1012" s="80"/>
    </row>
    <row r="1013" spans="1:34" ht="12" hidden="1" customHeight="1" x14ac:dyDescent="0.3">
      <c r="A1013" s="253"/>
      <c r="B1013" s="294">
        <v>1</v>
      </c>
      <c r="C1013" s="295" t="s">
        <v>757</v>
      </c>
      <c r="D1013" s="280"/>
      <c r="E1013" s="253"/>
      <c r="F1013" s="1"/>
      <c r="AD1013" s="80"/>
      <c r="AE1013" s="80"/>
      <c r="AF1013" s="80">
        <f>IF(C$1011=C1013,B1013,0)</f>
        <v>0</v>
      </c>
      <c r="AG1013" s="80"/>
      <c r="AH1013" s="80"/>
    </row>
    <row r="1014" spans="1:34" ht="12" hidden="1" customHeight="1" x14ac:dyDescent="0.3">
      <c r="A1014" s="253"/>
      <c r="B1014" s="294">
        <v>2</v>
      </c>
      <c r="C1014" s="295" t="s">
        <v>758</v>
      </c>
      <c r="D1014" s="280"/>
      <c r="E1014" s="253"/>
      <c r="F1014" s="1"/>
      <c r="AD1014" s="80"/>
      <c r="AE1014" s="80"/>
      <c r="AF1014" s="80">
        <f>IF(C$1011=C1014,B1014,0)</f>
        <v>0</v>
      </c>
      <c r="AG1014" s="80"/>
      <c r="AH1014" s="80"/>
    </row>
    <row r="1015" spans="1:34" ht="12" hidden="1" customHeight="1" thickBot="1" x14ac:dyDescent="0.35">
      <c r="A1015" s="253"/>
      <c r="B1015" s="294">
        <v>3</v>
      </c>
      <c r="C1015" s="295" t="s">
        <v>759</v>
      </c>
      <c r="D1015" s="280"/>
      <c r="E1015" s="253"/>
      <c r="F1015" s="1"/>
      <c r="AD1015" s="80"/>
      <c r="AE1015" s="80"/>
      <c r="AF1015" s="80">
        <f>IF(C$1011=C1015,B1015,0)</f>
        <v>0</v>
      </c>
      <c r="AG1015" s="80"/>
      <c r="AH1015" s="80"/>
    </row>
    <row r="1016" spans="1:34" ht="19.95" hidden="1" customHeight="1" thickTop="1" thickBot="1" x14ac:dyDescent="0.35">
      <c r="A1016" s="253"/>
      <c r="B1016" s="292">
        <v>19</v>
      </c>
      <c r="C1016" s="603" t="str">
        <f>AD1016</f>
        <v>weight loss</v>
      </c>
      <c r="D1016" s="604"/>
      <c r="E1016" s="253"/>
      <c r="F1016" s="1"/>
      <c r="AD1016" s="293" t="s">
        <v>760</v>
      </c>
      <c r="AE1016" s="80"/>
      <c r="AF1016" s="80"/>
      <c r="AG1016" s="80">
        <f>IF(AND(C1016&lt;&gt;"",C1016=AD1016),0,1)</f>
        <v>0</v>
      </c>
      <c r="AH1016" s="80"/>
    </row>
    <row r="1017" spans="1:34" ht="12" hidden="1" customHeight="1" thickTop="1" x14ac:dyDescent="0.3">
      <c r="A1017" s="253"/>
      <c r="B1017" s="294">
        <v>0</v>
      </c>
      <c r="C1017" s="295" t="s">
        <v>761</v>
      </c>
      <c r="D1017" s="280"/>
      <c r="E1017" s="253"/>
      <c r="F1017" s="1"/>
      <c r="AD1017" s="80"/>
      <c r="AE1017" s="80"/>
      <c r="AF1017" s="80">
        <f>IF(C$1016=C1017,B1017,0)</f>
        <v>0</v>
      </c>
      <c r="AG1017" s="80"/>
      <c r="AH1017" s="80"/>
    </row>
    <row r="1018" spans="1:34" ht="12" hidden="1" customHeight="1" x14ac:dyDescent="0.3">
      <c r="A1018" s="253"/>
      <c r="B1018" s="294">
        <v>1</v>
      </c>
      <c r="C1018" s="295" t="s">
        <v>762</v>
      </c>
      <c r="D1018" s="280"/>
      <c r="E1018" s="253"/>
      <c r="F1018" s="1"/>
      <c r="AD1018" s="80"/>
      <c r="AE1018" s="80"/>
      <c r="AF1018" s="80">
        <f>IF(C$1016=C1018,B1018,0)</f>
        <v>0</v>
      </c>
      <c r="AG1018" s="80"/>
      <c r="AH1018" s="80"/>
    </row>
    <row r="1019" spans="1:34" ht="12" hidden="1" customHeight="1" x14ac:dyDescent="0.3">
      <c r="A1019" s="253"/>
      <c r="B1019" s="294">
        <v>2</v>
      </c>
      <c r="C1019" s="295" t="s">
        <v>763</v>
      </c>
      <c r="D1019" s="280"/>
      <c r="E1019" s="253"/>
      <c r="F1019" s="1"/>
      <c r="AD1019" s="80"/>
      <c r="AE1019" s="80"/>
      <c r="AF1019" s="80">
        <f>IF(C$1016=C1019,B1019,0)</f>
        <v>0</v>
      </c>
      <c r="AG1019" s="80"/>
      <c r="AH1019" s="80"/>
    </row>
    <row r="1020" spans="1:34" ht="12" hidden="1" customHeight="1" thickBot="1" x14ac:dyDescent="0.35">
      <c r="A1020" s="253"/>
      <c r="B1020" s="294">
        <v>3</v>
      </c>
      <c r="C1020" s="295" t="s">
        <v>764</v>
      </c>
      <c r="D1020" s="280"/>
      <c r="E1020" s="253"/>
      <c r="F1020" s="1"/>
      <c r="AD1020" s="80"/>
      <c r="AE1020" s="80"/>
      <c r="AF1020" s="80">
        <f>IF(C$1016=C1020,B1020,0)</f>
        <v>0</v>
      </c>
      <c r="AG1020" s="80"/>
      <c r="AH1020" s="80"/>
    </row>
    <row r="1021" spans="1:34" ht="19.95" hidden="1" customHeight="1" thickTop="1" thickBot="1" x14ac:dyDescent="0.35">
      <c r="A1021" s="253"/>
      <c r="B1021" s="292">
        <v>20</v>
      </c>
      <c r="C1021" s="603" t="str">
        <f>AD1021</f>
        <v>worries</v>
      </c>
      <c r="D1021" s="604"/>
      <c r="E1021" s="253"/>
      <c r="F1021" s="1"/>
      <c r="AD1021" s="293" t="s">
        <v>765</v>
      </c>
      <c r="AE1021" s="80"/>
      <c r="AF1021" s="80"/>
      <c r="AG1021" s="80">
        <f>IF(AND(C1021&lt;&gt;"",C1021=AD1021),0,1)</f>
        <v>0</v>
      </c>
      <c r="AH1021" s="80"/>
    </row>
    <row r="1022" spans="1:34" ht="12" hidden="1" customHeight="1" thickTop="1" x14ac:dyDescent="0.3">
      <c r="A1022" s="253"/>
      <c r="B1022" s="294">
        <v>0</v>
      </c>
      <c r="C1022" s="295" t="s">
        <v>766</v>
      </c>
      <c r="D1022" s="280"/>
      <c r="E1022" s="253"/>
      <c r="F1022" s="1"/>
      <c r="AD1022" s="80"/>
      <c r="AE1022" s="80"/>
      <c r="AF1022" s="80">
        <f>IF(C$1021=C1022,B1022,0)</f>
        <v>0</v>
      </c>
      <c r="AG1022" s="80"/>
      <c r="AH1022" s="80"/>
    </row>
    <row r="1023" spans="1:34" ht="12" hidden="1" customHeight="1" x14ac:dyDescent="0.3">
      <c r="A1023" s="253"/>
      <c r="B1023" s="294">
        <v>1</v>
      </c>
      <c r="C1023" s="295" t="s">
        <v>767</v>
      </c>
      <c r="D1023" s="280"/>
      <c r="E1023" s="253"/>
      <c r="F1023" s="1"/>
      <c r="AD1023" s="80"/>
      <c r="AE1023" s="80"/>
      <c r="AF1023" s="80">
        <f>IF(C$1021=C1023,B1023,0)</f>
        <v>0</v>
      </c>
      <c r="AG1023" s="80"/>
      <c r="AH1023" s="80"/>
    </row>
    <row r="1024" spans="1:34" ht="12" hidden="1" customHeight="1" x14ac:dyDescent="0.3">
      <c r="A1024" s="253"/>
      <c r="B1024" s="294">
        <v>2</v>
      </c>
      <c r="C1024" s="295" t="s">
        <v>768</v>
      </c>
      <c r="D1024" s="280"/>
      <c r="E1024" s="253"/>
      <c r="F1024" s="1"/>
      <c r="AD1024" s="80"/>
      <c r="AE1024" s="80"/>
      <c r="AF1024" s="80">
        <f>IF(C$1021=C1024,B1024,0)</f>
        <v>0</v>
      </c>
      <c r="AG1024" s="80"/>
      <c r="AH1024" s="80"/>
    </row>
    <row r="1025" spans="1:54" ht="12" hidden="1" customHeight="1" thickBot="1" x14ac:dyDescent="0.35">
      <c r="A1025" s="253"/>
      <c r="B1025" s="294">
        <v>3</v>
      </c>
      <c r="C1025" s="295" t="s">
        <v>769</v>
      </c>
      <c r="D1025" s="280"/>
      <c r="E1025" s="253"/>
      <c r="F1025" s="1"/>
      <c r="AD1025" s="80"/>
      <c r="AE1025" s="80"/>
      <c r="AF1025" s="80">
        <f>IF(C$1021=C1025,B1025,0)</f>
        <v>0</v>
      </c>
      <c r="AG1025" s="80"/>
      <c r="AH1025" s="80"/>
    </row>
    <row r="1026" spans="1:54" ht="19.95" hidden="1" customHeight="1" thickTop="1" thickBot="1" x14ac:dyDescent="0.35">
      <c r="A1026" s="253"/>
      <c r="B1026" s="292">
        <v>21</v>
      </c>
      <c r="C1026" s="603" t="str">
        <f>AD1026</f>
        <v>sexual interest</v>
      </c>
      <c r="D1026" s="604"/>
      <c r="E1026" s="253"/>
      <c r="F1026" s="1"/>
      <c r="AD1026" s="293" t="s">
        <v>770</v>
      </c>
      <c r="AE1026" s="80"/>
      <c r="AF1026" s="80"/>
      <c r="AG1026" s="80">
        <f>IF(AND(C1026&lt;&gt;"",C1026=AD1026),0,1)</f>
        <v>0</v>
      </c>
      <c r="AH1026" s="80"/>
      <c r="AK1026" s="80" t="s">
        <v>655</v>
      </c>
      <c r="AL1026" s="80"/>
      <c r="AM1026" s="56" t="s">
        <v>771</v>
      </c>
      <c r="AY1026" s="56" t="str">
        <f>AT1039</f>
        <v/>
      </c>
      <c r="AZ1026" s="56" t="s">
        <v>772</v>
      </c>
    </row>
    <row r="1027" spans="1:54" ht="14.55" hidden="1" customHeight="1" thickTop="1" x14ac:dyDescent="0.3">
      <c r="A1027" s="253"/>
      <c r="B1027" s="294">
        <v>0</v>
      </c>
      <c r="C1027" s="295" t="s">
        <v>773</v>
      </c>
      <c r="D1027" s="280"/>
      <c r="E1027" s="253"/>
      <c r="F1027" s="1"/>
      <c r="AD1027" s="80"/>
      <c r="AE1027" s="80"/>
      <c r="AF1027" s="80">
        <f>IF(C$1026=C1027,B1027,0)</f>
        <v>0</v>
      </c>
      <c r="AG1027" s="80"/>
      <c r="AH1027" s="80"/>
    </row>
    <row r="1028" spans="1:54" ht="14.55" hidden="1" customHeight="1" x14ac:dyDescent="0.3">
      <c r="A1028" s="253"/>
      <c r="B1028" s="294">
        <v>1</v>
      </c>
      <c r="C1028" s="295" t="s">
        <v>774</v>
      </c>
      <c r="D1028" s="280"/>
      <c r="E1028" s="253"/>
      <c r="F1028" s="1"/>
      <c r="AD1028" s="80"/>
      <c r="AE1028" s="80"/>
      <c r="AF1028" s="80">
        <f>IF(C$1026=C1028,B1028,0)</f>
        <v>0</v>
      </c>
      <c r="AG1028" s="80"/>
      <c r="AH1028" s="80"/>
    </row>
    <row r="1029" spans="1:54" ht="14.55" hidden="1" customHeight="1" x14ac:dyDescent="0.3">
      <c r="A1029" s="253"/>
      <c r="B1029" s="294">
        <v>2</v>
      </c>
      <c r="C1029" s="295" t="s">
        <v>775</v>
      </c>
      <c r="D1029" s="280"/>
      <c r="E1029" s="253"/>
      <c r="F1029" s="1"/>
      <c r="AD1029" s="80"/>
      <c r="AE1029" s="80"/>
      <c r="AF1029" s="80">
        <f>IF(C$1026=C1029,B1029,0)</f>
        <v>0</v>
      </c>
      <c r="AG1029" s="80"/>
      <c r="AH1029" s="80"/>
    </row>
    <row r="1030" spans="1:54" ht="14.55" hidden="1" customHeight="1" x14ac:dyDescent="0.3">
      <c r="A1030" s="253"/>
      <c r="B1030" s="294">
        <v>3</v>
      </c>
      <c r="C1030" s="295" t="s">
        <v>776</v>
      </c>
      <c r="D1030" s="280"/>
      <c r="E1030" s="253"/>
      <c r="F1030" s="1"/>
      <c r="AD1030" s="80"/>
      <c r="AE1030" s="80"/>
      <c r="AF1030" s="80">
        <f>IF(C$1026=C1030,B1030,0)</f>
        <v>0</v>
      </c>
      <c r="AG1030" s="80"/>
      <c r="AH1030" s="80"/>
    </row>
    <row r="1031" spans="1:54" ht="14.55" hidden="1" customHeight="1" x14ac:dyDescent="0.3">
      <c r="A1031" s="253"/>
      <c r="B1031" s="280"/>
      <c r="C1031" s="280"/>
      <c r="D1031" s="280"/>
      <c r="E1031" s="253"/>
      <c r="F1031" s="1"/>
      <c r="AD1031" s="80"/>
      <c r="AE1031" s="80"/>
      <c r="AF1031" s="80"/>
      <c r="AG1031" s="80"/>
      <c r="AH1031" s="80"/>
    </row>
    <row r="1032" spans="1:54" ht="14.55" hidden="1" customHeight="1" x14ac:dyDescent="0.3">
      <c r="A1032" s="253"/>
      <c r="B1032" s="280"/>
      <c r="C1032" s="296" t="s">
        <v>777</v>
      </c>
      <c r="D1032" s="280"/>
      <c r="E1032" s="253"/>
      <c r="F1032" s="1"/>
      <c r="AD1032" s="80"/>
      <c r="AE1032" s="80"/>
      <c r="AF1032" s="60" t="s">
        <v>778</v>
      </c>
      <c r="AG1032" s="80"/>
      <c r="AH1032" s="80"/>
      <c r="AK1032" s="267">
        <f t="shared" ref="AK1032:AK1038" si="51">AH817</f>
        <v>0</v>
      </c>
      <c r="AL1032" s="267">
        <f t="shared" ref="AL1032:AL1038" si="52">AJ827</f>
        <v>0</v>
      </c>
      <c r="AN1032" s="56" t="str">
        <f>IF(AL1032&gt;=AK1032,B817,B827)</f>
        <v>Rate each item by how much the wrongful conviction appears to impact it in your current life.</v>
      </c>
    </row>
    <row r="1033" spans="1:54" ht="14.55" hidden="1" customHeight="1" x14ac:dyDescent="0.3">
      <c r="A1033" s="253"/>
      <c r="B1033" s="280"/>
      <c r="C1033" s="295" t="s">
        <v>779</v>
      </c>
      <c r="D1033" s="280"/>
      <c r="E1033" s="253"/>
      <c r="F1033" s="1"/>
      <c r="AD1033" s="80"/>
      <c r="AE1033" s="80"/>
      <c r="AF1033" s="120">
        <v>1</v>
      </c>
      <c r="AG1033" s="120">
        <v>10</v>
      </c>
      <c r="AH1033" s="80"/>
      <c r="AK1033" s="297">
        <f t="shared" si="51"/>
        <v>0</v>
      </c>
      <c r="AL1033" s="297">
        <f t="shared" si="52"/>
        <v>0</v>
      </c>
      <c r="AT1033" s="56" t="str">
        <f t="shared" ref="AT1033:AT1038" si="53">IF(AL1033&gt;=AK1033,B818,B828)</f>
        <v>economic</v>
      </c>
    </row>
    <row r="1034" spans="1:54" ht="14.55" hidden="1" customHeight="1" x14ac:dyDescent="0.3">
      <c r="A1034" s="253"/>
      <c r="B1034" s="280"/>
      <c r="C1034" s="295" t="s">
        <v>780</v>
      </c>
      <c r="D1034" s="280"/>
      <c r="E1034" s="253"/>
      <c r="F1034" s="1"/>
      <c r="AD1034" s="80"/>
      <c r="AE1034" s="80"/>
      <c r="AF1034" s="120">
        <v>11</v>
      </c>
      <c r="AG1034" s="120">
        <v>16</v>
      </c>
      <c r="AH1034" s="80"/>
      <c r="AK1034" s="297">
        <f t="shared" si="51"/>
        <v>0</v>
      </c>
      <c r="AL1034" s="297">
        <f t="shared" si="52"/>
        <v>0</v>
      </c>
      <c r="AT1034" s="56" t="str">
        <f t="shared" si="53"/>
        <v>physical health</v>
      </c>
    </row>
    <row r="1035" spans="1:54" ht="14.55" hidden="1" customHeight="1" x14ac:dyDescent="0.3">
      <c r="A1035" s="253"/>
      <c r="B1035" s="280"/>
      <c r="C1035" s="295" t="s">
        <v>781</v>
      </c>
      <c r="D1035" s="280"/>
      <c r="E1035" s="253"/>
      <c r="F1035" s="1"/>
      <c r="AD1035" s="80"/>
      <c r="AE1035" s="80"/>
      <c r="AF1035" s="120">
        <v>17</v>
      </c>
      <c r="AG1035" s="120">
        <v>20</v>
      </c>
      <c r="AH1035" s="80"/>
      <c r="AK1035" s="297">
        <f t="shared" si="51"/>
        <v>0</v>
      </c>
      <c r="AL1035" s="297">
        <f t="shared" si="52"/>
        <v>0</v>
      </c>
      <c r="AT1035" s="56" t="str">
        <f t="shared" si="53"/>
        <v>mental health</v>
      </c>
    </row>
    <row r="1036" spans="1:54" ht="14.55" hidden="1" customHeight="1" x14ac:dyDescent="0.3">
      <c r="A1036" s="253"/>
      <c r="B1036" s="280"/>
      <c r="C1036" s="295" t="s">
        <v>782</v>
      </c>
      <c r="D1036" s="280"/>
      <c r="E1036" s="253"/>
      <c r="F1036" s="1"/>
      <c r="AD1036" s="80"/>
      <c r="AE1036" s="80"/>
      <c r="AF1036" s="120">
        <v>21</v>
      </c>
      <c r="AG1036" s="120">
        <v>30</v>
      </c>
      <c r="AH1036" s="80"/>
      <c r="AK1036" s="297">
        <f t="shared" si="51"/>
        <v>0</v>
      </c>
      <c r="AL1036" s="297">
        <f t="shared" si="52"/>
        <v>0</v>
      </c>
      <c r="AT1036" s="56" t="str">
        <f t="shared" si="53"/>
        <v>relationships</v>
      </c>
    </row>
    <row r="1037" spans="1:54" ht="14.55" hidden="1" customHeight="1" x14ac:dyDescent="0.3">
      <c r="A1037" s="253"/>
      <c r="B1037" s="280"/>
      <c r="C1037" s="295" t="s">
        <v>783</v>
      </c>
      <c r="D1037" s="280"/>
      <c r="E1037" s="253"/>
      <c r="F1037" s="1"/>
      <c r="AD1037" s="80"/>
      <c r="AE1037" s="80"/>
      <c r="AF1037" s="120">
        <v>31</v>
      </c>
      <c r="AG1037" s="120">
        <v>40</v>
      </c>
      <c r="AH1037" s="80"/>
      <c r="AK1037" s="297">
        <f t="shared" si="51"/>
        <v>0</v>
      </c>
      <c r="AL1037" s="297">
        <f t="shared" si="52"/>
        <v>0</v>
      </c>
      <c r="AT1037" s="56" t="str">
        <f t="shared" si="53"/>
        <v>will-to-live</v>
      </c>
    </row>
    <row r="1038" spans="1:54" ht="14.55" hidden="1" customHeight="1" thickBot="1" x14ac:dyDescent="0.35">
      <c r="A1038" s="253"/>
      <c r="B1038" s="280"/>
      <c r="C1038" s="298" t="s">
        <v>784</v>
      </c>
      <c r="D1038" s="280"/>
      <c r="E1038" s="253"/>
      <c r="F1038" s="1"/>
      <c r="AD1038" s="80"/>
      <c r="AE1038" s="80"/>
      <c r="AF1038" s="120">
        <v>41</v>
      </c>
      <c r="AG1038" s="120">
        <f>21*3</f>
        <v>63</v>
      </c>
      <c r="AH1038" s="80"/>
      <c r="AK1038" s="297">
        <f t="shared" si="51"/>
        <v>0</v>
      </c>
      <c r="AL1038" s="297">
        <f t="shared" si="52"/>
        <v>0</v>
      </c>
      <c r="AT1038" s="56" t="str">
        <f t="shared" si="53"/>
        <v>OTHER:</v>
      </c>
    </row>
    <row r="1039" spans="1:54" ht="14.55" hidden="1" customHeight="1" thickTop="1" thickBot="1" x14ac:dyDescent="0.35">
      <c r="A1039" s="253"/>
      <c r="B1039" s="280"/>
      <c r="C1039" s="280"/>
      <c r="D1039" s="280"/>
      <c r="E1039" s="253"/>
      <c r="F1039" s="1"/>
      <c r="AE1039" s="80"/>
      <c r="AF1039" s="299">
        <f>SUM(AF926:AF1031)</f>
        <v>0</v>
      </c>
      <c r="AG1039" s="300">
        <f>SUM(AG926:AG1031)</f>
        <v>0</v>
      </c>
      <c r="AH1039" s="80">
        <v>21</v>
      </c>
      <c r="AN1039" s="606" t="str">
        <f>IF(AG1039=AH1039,AT1039,"")</f>
        <v/>
      </c>
      <c r="AO1039" s="607"/>
      <c r="AT1039" s="608" t="str">
        <f>IF(AND(AF1039&gt;AF1033,AF1039&lt;AG1033),C1033,IF(AND(AF1039&gt;AF1034,AF1039&lt;AG1034),C1034,IF(AND(AF1039&gt;AF1035,AF1039&lt;AG1035),C1035,IF(AND(AF1039&gt;AF1036,AF1039&lt;AG1036),C1036,IF(AND(AF1039&gt;AF1037,AF1039&lt;AG1037),C1037,IF(AND(AF1039&gt;AF1038,AF1039&lt;AG1038),C1038,""))))))</f>
        <v/>
      </c>
      <c r="AU1039" s="609"/>
      <c r="AV1039" s="609"/>
      <c r="AW1039" s="609"/>
      <c r="AX1039" s="609"/>
      <c r="AY1039" s="609"/>
      <c r="AZ1039" s="609"/>
      <c r="BA1039" s="609"/>
      <c r="BB1039" s="609"/>
    </row>
    <row r="1040" spans="1:54" ht="48" hidden="1" customHeight="1" thickTop="1" x14ac:dyDescent="0.25">
      <c r="A1040" s="253"/>
      <c r="B1040" s="610" t="str">
        <f>CONCATENATE(AG1040,AN1040,AO1040,AZ1040)</f>
        <v>You understandably experience some depression, considering the many challenges you face from such a conviction. You can rule out a purely biological source for such depression.</v>
      </c>
      <c r="C1040" s="611"/>
      <c r="D1040" s="612"/>
      <c r="E1040" s="253"/>
      <c r="F1040" s="1"/>
      <c r="AG1040" s="28" t="s">
        <v>662</v>
      </c>
      <c r="AN1040" s="56" t="str">
        <f>IF(AG1039&lt;AH1039,"some depression",AT1039)</f>
        <v>some depression</v>
      </c>
      <c r="AO1040" s="120" t="s">
        <v>663</v>
      </c>
      <c r="AZ1040" s="56" t="s">
        <v>785</v>
      </c>
    </row>
    <row r="1041" spans="1:58" ht="4.95" hidden="1" customHeight="1" x14ac:dyDescent="0.25">
      <c r="A1041" s="253"/>
      <c r="B1041" s="253"/>
      <c r="C1041" s="253"/>
      <c r="D1041" s="253"/>
      <c r="E1041" s="253"/>
      <c r="F1041" s="1"/>
    </row>
    <row r="1042" spans="1:58" ht="72" hidden="1" customHeight="1" x14ac:dyDescent="0.25">
      <c r="A1042" s="253"/>
      <c r="B1042" s="610" t="s">
        <v>786</v>
      </c>
      <c r="C1042" s="611"/>
      <c r="D1042" s="612"/>
      <c r="E1042" s="253"/>
      <c r="F1042" s="1"/>
      <c r="AD1042" s="56" t="str">
        <f>IF(D152="","Claimant",AN152)</f>
        <v>Claimant</v>
      </c>
      <c r="AF1042" s="56" t="s">
        <v>666</v>
      </c>
      <c r="AM1042" s="56" t="str">
        <f>AN1040</f>
        <v>some depression</v>
      </c>
      <c r="AQ1042" s="56" t="s">
        <v>667</v>
      </c>
      <c r="AZ1042" s="56" t="str">
        <f>IF(AT1033="","","The wrongful conviction produces plenty of depressing economic conditions. ")</f>
        <v xml:space="preserve">The wrongful conviction produces plenty of depressing economic conditions. </v>
      </c>
      <c r="BB1042" s="56"/>
      <c r="BF1042" s="56" t="s">
        <v>668</v>
      </c>
    </row>
    <row r="1043" spans="1:58" ht="10.050000000000001" hidden="1" customHeight="1" x14ac:dyDescent="0.25">
      <c r="A1043" s="253"/>
      <c r="B1043" s="253"/>
      <c r="C1043" s="253"/>
      <c r="D1043" s="253"/>
      <c r="E1043" s="253"/>
      <c r="F1043" s="1"/>
      <c r="AD1043" s="56" t="str">
        <f>CONCATENATE(AD1042,AF1042,AM1042,AQ1042,AZ1042,BF1042)</f>
        <v>Claimant understandably experiences some depression from the wrongful conviction. The wrongful conviction produces plenty of depressing economic conditions. Once hired, much of that should clear up. If not, Value Relating can help.</v>
      </c>
    </row>
    <row r="1044" spans="1:58" ht="17.399999999999999" hidden="1" x14ac:dyDescent="0.25">
      <c r="A1044" s="253"/>
      <c r="B1044" s="265" t="s">
        <v>787</v>
      </c>
      <c r="C1044" s="265"/>
      <c r="D1044" s="265"/>
      <c r="E1044" s="253"/>
      <c r="F1044" s="1"/>
    </row>
    <row r="1045" spans="1:58" ht="30" hidden="1" customHeight="1" x14ac:dyDescent="0.25">
      <c r="A1045" s="253"/>
      <c r="B1045" s="599"/>
      <c r="C1045" s="599"/>
      <c r="D1045" s="599"/>
      <c r="E1045" s="253"/>
      <c r="F1045" s="1"/>
    </row>
    <row r="1046" spans="1:58" ht="15" hidden="1" x14ac:dyDescent="0.25">
      <c r="A1046" s="253"/>
      <c r="B1046" s="301" t="s">
        <v>788</v>
      </c>
      <c r="C1046" s="253"/>
      <c r="D1046" s="301" t="s">
        <v>789</v>
      </c>
      <c r="E1046" s="253"/>
      <c r="F1046" s="1"/>
    </row>
    <row r="1047" spans="1:58" hidden="1" x14ac:dyDescent="0.25">
      <c r="A1047" s="253"/>
      <c r="B1047" s="253"/>
      <c r="C1047" s="298"/>
      <c r="D1047" s="253"/>
      <c r="E1047" s="253"/>
      <c r="F1047" s="1"/>
    </row>
    <row r="1048" spans="1:58" hidden="1" x14ac:dyDescent="0.25">
      <c r="A1048" s="253"/>
      <c r="B1048" s="253"/>
      <c r="C1048" s="253"/>
      <c r="D1048" s="253"/>
      <c r="E1048" s="253"/>
      <c r="F1048" s="1"/>
    </row>
    <row r="1049" spans="1:58" ht="15" hidden="1" x14ac:dyDescent="0.25">
      <c r="A1049" s="253"/>
      <c r="B1049" s="301" t="s">
        <v>790</v>
      </c>
      <c r="C1049" s="253"/>
      <c r="D1049" s="301" t="str">
        <f>D1046</f>
        <v>anticipated results</v>
      </c>
      <c r="E1049" s="253"/>
      <c r="F1049" s="1"/>
    </row>
    <row r="1050" spans="1:58" hidden="1" x14ac:dyDescent="0.25">
      <c r="A1050" s="253"/>
      <c r="B1050" s="253"/>
      <c r="C1050" s="253"/>
      <c r="D1050" s="253"/>
      <c r="E1050" s="253"/>
      <c r="F1050" s="1"/>
    </row>
    <row r="1051" spans="1:58" hidden="1" x14ac:dyDescent="0.25">
      <c r="A1051" s="253"/>
      <c r="B1051" s="253"/>
      <c r="C1051" s="253"/>
      <c r="D1051" s="253"/>
      <c r="E1051" s="253"/>
      <c r="F1051" s="1"/>
    </row>
    <row r="1052" spans="1:58" ht="15" hidden="1" x14ac:dyDescent="0.25">
      <c r="A1052" s="253"/>
      <c r="B1052" s="301" t="s">
        <v>791</v>
      </c>
      <c r="C1052" s="253"/>
      <c r="D1052" s="301" t="str">
        <f>D1049</f>
        <v>anticipated results</v>
      </c>
      <c r="E1052" s="253"/>
      <c r="F1052" s="1"/>
    </row>
    <row r="1053" spans="1:58" hidden="1" x14ac:dyDescent="0.25">
      <c r="A1053" s="253"/>
      <c r="B1053" s="253"/>
      <c r="C1053" s="253"/>
      <c r="D1053" s="253"/>
      <c r="E1053" s="253"/>
      <c r="F1053" s="1"/>
    </row>
    <row r="1054" spans="1:58" hidden="1" x14ac:dyDescent="0.25">
      <c r="A1054" s="253"/>
      <c r="B1054" s="253"/>
      <c r="C1054" s="253"/>
      <c r="D1054" s="253"/>
      <c r="E1054" s="253"/>
      <c r="F1054" s="1"/>
    </row>
    <row r="1055" spans="1:58" hidden="1" x14ac:dyDescent="0.25">
      <c r="A1055" s="253"/>
      <c r="B1055" s="253" t="s">
        <v>792</v>
      </c>
      <c r="C1055" s="253"/>
      <c r="D1055" s="302">
        <f>IF(AD208=0,0,AD208)</f>
        <v>0</v>
      </c>
      <c r="E1055" s="253"/>
      <c r="F1055" s="1"/>
    </row>
    <row r="1056" spans="1:58" hidden="1" x14ac:dyDescent="0.25">
      <c r="A1056" s="253"/>
      <c r="B1056" s="253"/>
      <c r="C1056" s="253"/>
      <c r="D1056" s="302" t="s">
        <v>793</v>
      </c>
      <c r="E1056" s="253"/>
      <c r="F1056" s="1"/>
    </row>
    <row r="1057" spans="1:54" hidden="1" x14ac:dyDescent="0.25">
      <c r="A1057" s="253"/>
      <c r="B1057" s="253"/>
      <c r="C1057" s="302" t="s">
        <v>794</v>
      </c>
      <c r="D1057" s="302">
        <f>D1055-50000</f>
        <v>-50000</v>
      </c>
      <c r="E1057" s="253"/>
      <c r="F1057" s="1"/>
    </row>
    <row r="1058" spans="1:54" hidden="1" x14ac:dyDescent="0.25">
      <c r="A1058" s="253"/>
      <c r="B1058" s="253"/>
      <c r="C1058" s="253"/>
      <c r="D1058" s="302" t="s">
        <v>795</v>
      </c>
      <c r="E1058" s="253"/>
      <c r="F1058" s="1"/>
    </row>
    <row r="1059" spans="1:54" hidden="1" x14ac:dyDescent="0.25">
      <c r="A1059" s="253"/>
      <c r="B1059" s="253"/>
      <c r="C1059" s="253"/>
      <c r="D1059" s="253"/>
      <c r="E1059" s="253"/>
      <c r="F1059" s="1"/>
      <c r="BB1059" s="56"/>
    </row>
    <row r="1060" spans="1:54" hidden="1" x14ac:dyDescent="0.25">
      <c r="A1060" s="92"/>
      <c r="B1060" s="253"/>
      <c r="C1060" s="253"/>
      <c r="D1060" s="253"/>
      <c r="E1060" s="253"/>
      <c r="F1060" s="1"/>
      <c r="BB1060" s="56"/>
    </row>
    <row r="1061" spans="1:54" ht="10.050000000000001" hidden="1" customHeight="1" x14ac:dyDescent="0.25">
      <c r="A1061" s="253"/>
      <c r="B1061" s="253"/>
      <c r="C1061" s="253"/>
      <c r="D1061" s="253"/>
      <c r="E1061" s="253"/>
      <c r="F1061" s="1"/>
      <c r="BB1061" s="56"/>
    </row>
    <row r="1062" spans="1:54" ht="30" customHeight="1" x14ac:dyDescent="0.25">
      <c r="A1062" s="46" t="s">
        <v>95</v>
      </c>
      <c r="B1062" s="46" t="s">
        <v>796</v>
      </c>
      <c r="C1062" s="46"/>
      <c r="D1062" s="45"/>
      <c r="E1062" s="475"/>
      <c r="F1062" s="475" t="s">
        <v>949</v>
      </c>
      <c r="AE1062" s="56" t="str">
        <f>IF(AT1039="","",CONCATENATE(AG1040,AN1040,AO1040,AZ1040,AG1042,AO1042,BF1042))</f>
        <v/>
      </c>
      <c r="BB1062" s="56"/>
    </row>
    <row r="1063" spans="1:54" ht="17.399999999999999" x14ac:dyDescent="0.25">
      <c r="A1063" s="48"/>
      <c r="B1063" s="531" t="str">
        <f>CONCATENATE(AI1063,AJ1063)</f>
        <v>California's compensation statue, along with some challenges to receive such a claim.</v>
      </c>
      <c r="C1063" s="531"/>
      <c r="D1063" s="531"/>
      <c r="E1063" s="49"/>
      <c r="F1063" s="48"/>
      <c r="AC1063" s="60" t="str">
        <f>D1065</f>
        <v>California</v>
      </c>
      <c r="AF1063" s="56" t="s">
        <v>797</v>
      </c>
      <c r="AI1063" s="56" t="str">
        <f>IF(AC1063=0,AF1063,AC1063)</f>
        <v>California</v>
      </c>
      <c r="AJ1063" s="56" t="s">
        <v>798</v>
      </c>
      <c r="BB1063" s="56"/>
    </row>
    <row r="1064" spans="1:54" ht="14.4" thickBot="1" x14ac:dyDescent="0.3">
      <c r="A1064" s="303"/>
      <c r="B1064" s="303"/>
      <c r="C1064" s="303"/>
      <c r="D1064" s="303"/>
      <c r="E1064" s="303"/>
      <c r="F1064" s="1"/>
      <c r="BB1064" s="56"/>
    </row>
    <row r="1065" spans="1:54" ht="15.6" thickBot="1" x14ac:dyDescent="0.3">
      <c r="A1065" s="303"/>
      <c r="B1065" s="305" t="s">
        <v>1550</v>
      </c>
      <c r="C1065" s="496">
        <f>AC1065</f>
        <v>12</v>
      </c>
      <c r="D1065" s="497" t="s">
        <v>1158</v>
      </c>
      <c r="E1065" s="303"/>
      <c r="F1065" s="1"/>
      <c r="AC1065" s="406">
        <f>AE264</f>
        <v>12</v>
      </c>
      <c r="BB1065" s="56"/>
    </row>
    <row r="1066" spans="1:54" s="485" customFormat="1" ht="14.4" thickBot="1" x14ac:dyDescent="0.3">
      <c r="A1066" s="303"/>
      <c r="B1066" s="303"/>
      <c r="C1066" s="303"/>
      <c r="D1066" s="303"/>
      <c r="E1066" s="303"/>
      <c r="F1066" s="1"/>
      <c r="G1066" s="5"/>
      <c r="H1066" s="5"/>
      <c r="I1066" s="5"/>
      <c r="J1066" s="5"/>
      <c r="K1066" s="5"/>
      <c r="L1066" s="5"/>
      <c r="M1066" s="5"/>
      <c r="N1066" s="5"/>
      <c r="O1066" s="5"/>
      <c r="P1066" s="5"/>
      <c r="Q1066" s="5"/>
      <c r="R1066" s="5"/>
      <c r="S1066" s="5"/>
      <c r="T1066" s="5"/>
      <c r="U1066" s="5"/>
      <c r="V1066" s="5"/>
      <c r="W1066" s="5"/>
      <c r="X1066" s="5"/>
      <c r="Y1066" s="5"/>
      <c r="Z1066" s="5"/>
    </row>
    <row r="1067" spans="1:54" ht="25.95" customHeight="1" thickBot="1" x14ac:dyDescent="0.3">
      <c r="A1067" s="303"/>
      <c r="B1067" s="305" t="s">
        <v>799</v>
      </c>
      <c r="C1067" s="617" t="str">
        <f>IF($D$1065="","",D2221)</f>
        <v>Calif. Penal Code §4900 et seq.</v>
      </c>
      <c r="D1067" s="618"/>
      <c r="E1067" s="303"/>
      <c r="F1067" s="1"/>
      <c r="BB1067" s="56"/>
    </row>
    <row r="1068" spans="1:54" ht="14.4" thickBot="1" x14ac:dyDescent="0.3">
      <c r="A1068" s="303"/>
      <c r="B1068" s="303"/>
      <c r="C1068" s="303"/>
      <c r="D1068" s="303"/>
      <c r="E1068" s="303"/>
      <c r="F1068" s="1"/>
      <c r="BB1068" s="56"/>
    </row>
    <row r="1069" spans="1:54" ht="15" customHeight="1" x14ac:dyDescent="0.25">
      <c r="A1069" s="303"/>
      <c r="B1069" s="306" t="s">
        <v>800</v>
      </c>
      <c r="C1069" s="619" t="str">
        <f>IF($D$1065="","",D2222)</f>
        <v>Pardon for innocence or being “innocent”; declaration of factual innocence.</v>
      </c>
      <c r="D1069" s="620"/>
      <c r="E1069" s="303"/>
      <c r="F1069" s="1"/>
      <c r="BB1069" s="56"/>
    </row>
    <row r="1070" spans="1:54" x14ac:dyDescent="0.25">
      <c r="A1070" s="303"/>
      <c r="B1070" s="303"/>
      <c r="C1070" s="621"/>
      <c r="D1070" s="622"/>
      <c r="E1070" s="303"/>
      <c r="F1070" s="1"/>
      <c r="BB1070" s="56"/>
    </row>
    <row r="1071" spans="1:54" x14ac:dyDescent="0.25">
      <c r="A1071" s="303"/>
      <c r="B1071" s="303"/>
      <c r="C1071" s="621"/>
      <c r="D1071" s="622"/>
      <c r="E1071" s="303"/>
      <c r="F1071" s="1"/>
      <c r="BB1071" s="56"/>
    </row>
    <row r="1072" spans="1:54" x14ac:dyDescent="0.25">
      <c r="A1072" s="303"/>
      <c r="B1072" s="303"/>
      <c r="C1072" s="621"/>
      <c r="D1072" s="622"/>
      <c r="E1072" s="303"/>
      <c r="F1072" s="1"/>
      <c r="BB1072" s="56"/>
    </row>
    <row r="1073" spans="1:54" x14ac:dyDescent="0.25">
      <c r="A1073" s="303"/>
      <c r="B1073" s="303"/>
      <c r="C1073" s="621"/>
      <c r="D1073" s="622"/>
      <c r="E1073" s="303"/>
      <c r="F1073" s="1"/>
      <c r="BB1073" s="56"/>
    </row>
    <row r="1074" spans="1:54" x14ac:dyDescent="0.25">
      <c r="A1074" s="303"/>
      <c r="B1074" s="303"/>
      <c r="C1074" s="621"/>
      <c r="D1074" s="622"/>
      <c r="E1074" s="303"/>
      <c r="F1074" s="1"/>
      <c r="BB1074" s="56"/>
    </row>
    <row r="1075" spans="1:54" ht="14.4" thickBot="1" x14ac:dyDescent="0.3">
      <c r="A1075" s="303"/>
      <c r="B1075" s="303"/>
      <c r="C1075" s="623"/>
      <c r="D1075" s="624"/>
      <c r="E1075" s="303"/>
      <c r="F1075" s="1"/>
      <c r="BB1075" s="56"/>
    </row>
    <row r="1076" spans="1:54" ht="14.4" thickBot="1" x14ac:dyDescent="0.3">
      <c r="A1076" s="303"/>
      <c r="B1076" s="303"/>
      <c r="C1076" s="303"/>
      <c r="D1076" s="303"/>
      <c r="E1076" s="303"/>
      <c r="F1076" s="1"/>
      <c r="BB1076" s="56"/>
    </row>
    <row r="1077" spans="1:54" ht="15" x14ac:dyDescent="0.25">
      <c r="A1077" s="303"/>
      <c r="B1077" s="306" t="s">
        <v>801</v>
      </c>
      <c r="C1077" s="619" t="str">
        <f>IF($D$1065="","",D2223)</f>
        <v>Not specified</v>
      </c>
      <c r="D1077" s="620"/>
      <c r="E1077" s="303"/>
      <c r="F1077" s="1"/>
      <c r="BB1077" s="56"/>
    </row>
    <row r="1078" spans="1:54" ht="15" x14ac:dyDescent="0.25">
      <c r="A1078" s="303"/>
      <c r="B1078" s="306" t="s">
        <v>802</v>
      </c>
      <c r="C1078" s="621"/>
      <c r="D1078" s="622"/>
      <c r="E1078" s="303"/>
      <c r="F1078" s="1"/>
      <c r="BB1078" s="56"/>
    </row>
    <row r="1079" spans="1:54" ht="14.4" thickBot="1" x14ac:dyDescent="0.3">
      <c r="A1079" s="303"/>
      <c r="B1079" s="303"/>
      <c r="C1079" s="623"/>
      <c r="D1079" s="624"/>
      <c r="E1079" s="303"/>
      <c r="F1079" s="1"/>
      <c r="BB1079" s="56"/>
    </row>
    <row r="1080" spans="1:54" ht="15.6" thickBot="1" x14ac:dyDescent="0.3">
      <c r="A1080" s="303"/>
      <c r="B1080" s="306"/>
      <c r="C1080" s="303"/>
      <c r="D1080" s="303"/>
      <c r="E1080" s="303"/>
      <c r="F1080" s="1"/>
      <c r="BB1080" s="56"/>
    </row>
    <row r="1081" spans="1:54" ht="15" x14ac:dyDescent="0.25">
      <c r="A1081" s="303"/>
      <c r="B1081" s="306" t="s">
        <v>803</v>
      </c>
      <c r="C1081" s="619" t="str">
        <f>IF($D$1065="","",D2224)</f>
        <v>California Victim Compensation and GovernmentClaims Board makes a recommendation to the legislature</v>
      </c>
      <c r="D1081" s="620"/>
      <c r="E1081" s="303"/>
      <c r="F1081" s="1"/>
      <c r="BB1081" s="56"/>
    </row>
    <row r="1082" spans="1:54" ht="15.6" thickBot="1" x14ac:dyDescent="0.3">
      <c r="A1082" s="303"/>
      <c r="B1082" s="306" t="s">
        <v>804</v>
      </c>
      <c r="C1082" s="623"/>
      <c r="D1082" s="624"/>
      <c r="E1082" s="303"/>
      <c r="F1082" s="1"/>
      <c r="BB1082" s="56"/>
    </row>
    <row r="1083" spans="1:54" ht="14.4" thickBot="1" x14ac:dyDescent="0.3">
      <c r="A1083" s="303"/>
      <c r="B1083" s="303"/>
      <c r="C1083" s="303"/>
      <c r="D1083" s="303"/>
      <c r="E1083" s="303"/>
      <c r="F1083" s="1"/>
      <c r="BB1083" s="56"/>
    </row>
    <row r="1084" spans="1:54" ht="16.2" thickBot="1" x14ac:dyDescent="0.35">
      <c r="A1084" s="303"/>
      <c r="B1084" s="306" t="s">
        <v>805</v>
      </c>
      <c r="C1084" s="307" t="str">
        <f>IF($D$1065="","",D2225)</f>
        <v>2 years</v>
      </c>
      <c r="D1084" s="308"/>
      <c r="E1084" s="303"/>
      <c r="F1084" s="1"/>
      <c r="BB1084" s="56"/>
    </row>
    <row r="1085" spans="1:54" ht="14.4" thickBot="1" x14ac:dyDescent="0.3">
      <c r="A1085" s="303"/>
      <c r="B1085" s="303"/>
      <c r="C1085" s="303"/>
      <c r="D1085" s="303"/>
      <c r="E1085" s="303"/>
      <c r="F1085" s="1"/>
      <c r="BB1085" s="56"/>
    </row>
    <row r="1086" spans="1:54" ht="15.6" x14ac:dyDescent="0.3">
      <c r="A1086" s="303"/>
      <c r="B1086" s="306" t="s">
        <v>806</v>
      </c>
      <c r="C1086" s="313" t="str">
        <f>IF($D$1065="","",D2226)</f>
        <v/>
      </c>
      <c r="D1086" s="310"/>
      <c r="E1086" s="303"/>
      <c r="F1086" s="1"/>
      <c r="BB1086" s="56"/>
    </row>
    <row r="1087" spans="1:54" ht="15.6" thickBot="1" x14ac:dyDescent="0.3">
      <c r="A1087" s="303"/>
      <c r="B1087" s="306" t="s">
        <v>807</v>
      </c>
      <c r="C1087" s="311"/>
      <c r="D1087" s="312"/>
      <c r="E1087" s="303"/>
      <c r="F1087" s="1"/>
      <c r="BB1087" s="56"/>
    </row>
    <row r="1088" spans="1:54" ht="15.6" thickBot="1" x14ac:dyDescent="0.3">
      <c r="A1088" s="303"/>
      <c r="B1088" s="306"/>
      <c r="C1088" s="303"/>
      <c r="D1088" s="303"/>
      <c r="E1088" s="303"/>
      <c r="F1088" s="1"/>
      <c r="BB1088" s="56"/>
    </row>
    <row r="1089" spans="1:81" ht="15.6" x14ac:dyDescent="0.3">
      <c r="A1089" s="303"/>
      <c r="B1089" s="306" t="s">
        <v>808</v>
      </c>
      <c r="C1089" s="313">
        <f>IF($D$1065="","",D2227)</f>
        <v>51135</v>
      </c>
      <c r="D1089" s="310"/>
      <c r="E1089" s="303"/>
      <c r="F1089" s="1"/>
      <c r="BB1089" s="56"/>
    </row>
    <row r="1090" spans="1:81" ht="16.2" thickBot="1" x14ac:dyDescent="0.3">
      <c r="A1090" s="303"/>
      <c r="B1090" s="306" t="s">
        <v>809</v>
      </c>
      <c r="C1090" s="311"/>
      <c r="D1090" s="312"/>
      <c r="E1090" s="303"/>
      <c r="F1090" s="1"/>
      <c r="AC1090" s="454" t="s">
        <v>1143</v>
      </c>
      <c r="AD1090" s="454" t="s">
        <v>1151</v>
      </c>
      <c r="AE1090" s="454" t="s">
        <v>1153</v>
      </c>
      <c r="AF1090" s="454" t="s">
        <v>1155</v>
      </c>
      <c r="AG1090" s="454" t="s">
        <v>1157</v>
      </c>
      <c r="AH1090" s="454" t="s">
        <v>1162</v>
      </c>
      <c r="AI1090" s="454" t="s">
        <v>1168</v>
      </c>
      <c r="AJ1090" s="454" t="s">
        <v>1175</v>
      </c>
      <c r="AK1090" s="461" t="s">
        <v>1177</v>
      </c>
      <c r="AL1090" s="454" t="s">
        <v>1183</v>
      </c>
      <c r="AM1090" s="454" t="s">
        <v>1191</v>
      </c>
      <c r="AN1090" s="454" t="s">
        <v>1193</v>
      </c>
      <c r="AO1090" s="454" t="s">
        <v>1198</v>
      </c>
      <c r="AP1090" s="454" t="s">
        <v>1200</v>
      </c>
      <c r="AQ1090" s="454" t="s">
        <v>1205</v>
      </c>
      <c r="AR1090" s="454" t="s">
        <v>1209</v>
      </c>
      <c r="AS1090" s="454" t="s">
        <v>1215</v>
      </c>
      <c r="AT1090" s="454" t="s">
        <v>1219</v>
      </c>
      <c r="AU1090" s="454" t="s">
        <v>1221</v>
      </c>
      <c r="AV1090" s="454" t="s">
        <v>1226</v>
      </c>
      <c r="AW1090" s="454" t="s">
        <v>1231</v>
      </c>
      <c r="AX1090" s="454" t="s">
        <v>1236</v>
      </c>
      <c r="AY1090" s="454" t="s">
        <v>1240</v>
      </c>
      <c r="AZ1090" s="454" t="s">
        <v>1244</v>
      </c>
      <c r="BA1090" s="454" t="s">
        <v>1249</v>
      </c>
      <c r="BB1090" s="454" t="s">
        <v>1254</v>
      </c>
      <c r="BC1090" s="454" t="s">
        <v>1260</v>
      </c>
      <c r="BD1090" s="454" t="s">
        <v>1266</v>
      </c>
      <c r="BE1090" s="454" t="s">
        <v>1270</v>
      </c>
      <c r="BF1090" s="454" t="s">
        <v>1272</v>
      </c>
      <c r="BG1090" s="454" t="s">
        <v>1278</v>
      </c>
      <c r="BH1090" s="454" t="s">
        <v>1283</v>
      </c>
      <c r="BI1090" s="454" t="s">
        <v>1285</v>
      </c>
      <c r="BJ1090" s="454" t="s">
        <v>1288</v>
      </c>
      <c r="BK1090" s="454" t="s">
        <v>1293</v>
      </c>
      <c r="BL1090" s="454" t="s">
        <v>1295</v>
      </c>
      <c r="BM1090" s="454" t="s">
        <v>1300</v>
      </c>
      <c r="BN1090" s="454" t="s">
        <v>1305</v>
      </c>
      <c r="BO1090" s="454" t="s">
        <v>1307</v>
      </c>
      <c r="BP1090" s="454" t="s">
        <v>1309</v>
      </c>
      <c r="BQ1090" s="454" t="s">
        <v>1311</v>
      </c>
      <c r="BR1090" s="454" t="s">
        <v>1313</v>
      </c>
      <c r="BS1090" s="454" t="s">
        <v>1315</v>
      </c>
      <c r="BT1090" s="454" t="s">
        <v>1320</v>
      </c>
      <c r="BU1090" s="454" t="s">
        <v>1326</v>
      </c>
      <c r="BV1090" s="454" t="s">
        <v>1331</v>
      </c>
      <c r="BW1090" s="454" t="s">
        <v>1337</v>
      </c>
      <c r="BX1090" s="454" t="s">
        <v>1342</v>
      </c>
      <c r="BY1090" s="454" t="s">
        <v>1347</v>
      </c>
      <c r="BZ1090" s="454" t="s">
        <v>1351</v>
      </c>
      <c r="CA1090" s="454" t="s">
        <v>1356</v>
      </c>
      <c r="CB1090" s="454" t="s">
        <v>1358</v>
      </c>
    </row>
    <row r="1091" spans="1:81" ht="14.4" thickBot="1" x14ac:dyDescent="0.3">
      <c r="A1091" s="303"/>
      <c r="B1091" s="303"/>
      <c r="C1091" s="303"/>
      <c r="D1091" s="303"/>
      <c r="E1091" s="303"/>
      <c r="F1091" s="1"/>
      <c r="AC1091" s="56">
        <v>1</v>
      </c>
      <c r="AD1091" s="485">
        <v>2</v>
      </c>
      <c r="AE1091" s="485">
        <v>3</v>
      </c>
      <c r="AF1091" s="485">
        <v>4</v>
      </c>
      <c r="AG1091" s="485">
        <v>5</v>
      </c>
      <c r="AH1091" s="485">
        <v>6</v>
      </c>
      <c r="AI1091" s="485">
        <v>7</v>
      </c>
      <c r="AJ1091" s="485">
        <v>8</v>
      </c>
      <c r="AK1091" s="485">
        <v>9</v>
      </c>
      <c r="AL1091" s="485">
        <v>10</v>
      </c>
      <c r="AM1091" s="485">
        <v>11</v>
      </c>
      <c r="AN1091" s="485">
        <v>12</v>
      </c>
      <c r="AO1091" s="485">
        <v>13</v>
      </c>
      <c r="AP1091" s="485">
        <v>14</v>
      </c>
      <c r="AQ1091" s="485">
        <v>15</v>
      </c>
      <c r="AR1091" s="485">
        <v>16</v>
      </c>
      <c r="AS1091" s="485">
        <v>17</v>
      </c>
      <c r="AT1091" s="485">
        <v>18</v>
      </c>
      <c r="AU1091" s="485">
        <v>19</v>
      </c>
      <c r="AV1091" s="485">
        <v>20</v>
      </c>
      <c r="AW1091" s="485">
        <v>21</v>
      </c>
      <c r="AX1091" s="485">
        <v>22</v>
      </c>
      <c r="AY1091" s="485">
        <v>23</v>
      </c>
      <c r="AZ1091" s="485">
        <v>24</v>
      </c>
      <c r="BA1091" s="485">
        <v>25</v>
      </c>
      <c r="BB1091" s="485">
        <v>26</v>
      </c>
      <c r="BC1091" s="485">
        <v>27</v>
      </c>
      <c r="BD1091" s="485">
        <v>28</v>
      </c>
      <c r="BE1091" s="485">
        <v>29</v>
      </c>
      <c r="BF1091" s="485">
        <v>30</v>
      </c>
      <c r="BG1091" s="485">
        <v>31</v>
      </c>
      <c r="BH1091" s="485">
        <v>32</v>
      </c>
      <c r="BI1091" s="485">
        <v>33</v>
      </c>
      <c r="BJ1091" s="485">
        <v>34</v>
      </c>
      <c r="BK1091" s="485">
        <v>35</v>
      </c>
      <c r="BL1091" s="485">
        <v>36</v>
      </c>
      <c r="BM1091" s="485">
        <v>37</v>
      </c>
      <c r="BN1091" s="485">
        <v>38</v>
      </c>
      <c r="BO1091" s="485">
        <v>39</v>
      </c>
      <c r="BP1091" s="485">
        <v>40</v>
      </c>
      <c r="BQ1091" s="485">
        <v>41</v>
      </c>
      <c r="BR1091" s="485">
        <v>42</v>
      </c>
      <c r="BS1091" s="485">
        <v>43</v>
      </c>
      <c r="BT1091" s="485">
        <v>44</v>
      </c>
      <c r="BU1091" s="485">
        <v>45</v>
      </c>
      <c r="BV1091" s="485">
        <v>46</v>
      </c>
      <c r="BW1091" s="485">
        <v>47</v>
      </c>
      <c r="BX1091" s="485">
        <v>48</v>
      </c>
      <c r="BY1091" s="485">
        <v>49</v>
      </c>
      <c r="BZ1091" s="485">
        <v>50</v>
      </c>
      <c r="CA1091" s="485">
        <v>51</v>
      </c>
      <c r="CB1091" s="485">
        <v>52</v>
      </c>
      <c r="CC1091" s="485"/>
    </row>
    <row r="1092" spans="1:81" ht="15.6" x14ac:dyDescent="0.3">
      <c r="A1092" s="303"/>
      <c r="B1092" s="306" t="s">
        <v>810</v>
      </c>
      <c r="C1092" s="313" t="str">
        <f>IF($D$1065="","",D2228)</f>
        <v>not specified</v>
      </c>
      <c r="D1092" s="314"/>
      <c r="E1092" s="303"/>
      <c r="F1092" s="1"/>
      <c r="AC1092" s="495" t="s">
        <v>1548</v>
      </c>
      <c r="AD1092" s="495">
        <f>IF(OR($AC$1063=0,$C$1089=""),0,$C$1089*$C$1065)</f>
        <v>613620</v>
      </c>
      <c r="AE1092" s="495">
        <f>IF(OR($AC$1063=0,$C$1089=""),0,$C$1089*$C$1065)</f>
        <v>613620</v>
      </c>
      <c r="AF1092" s="495">
        <f>IF(OR($AC$1063=0,$C$1089=""),0,$C$1089*$C$1065)</f>
        <v>613620</v>
      </c>
      <c r="AG1092" s="495">
        <f>IF(OR($AC$1063=0,$C$1089=""),0,$C$1089*$C$1065)</f>
        <v>613620</v>
      </c>
      <c r="AP1092" s="495" t="s">
        <v>1547</v>
      </c>
      <c r="BB1092" s="56"/>
    </row>
    <row r="1093" spans="1:81" ht="15.6" thickBot="1" x14ac:dyDescent="0.3">
      <c r="A1093" s="303"/>
      <c r="B1093" s="306" t="s">
        <v>811</v>
      </c>
      <c r="C1093" s="315"/>
      <c r="D1093" s="316"/>
      <c r="E1093" s="303"/>
      <c r="F1093" s="1"/>
    </row>
    <row r="1094" spans="1:81" ht="14.4" thickBot="1" x14ac:dyDescent="0.3">
      <c r="A1094" s="303"/>
      <c r="B1094" s="303"/>
      <c r="C1094" s="320"/>
      <c r="D1094" s="320"/>
      <c r="E1094" s="303"/>
      <c r="F1094" s="1"/>
    </row>
    <row r="1095" spans="1:81" ht="15.6" x14ac:dyDescent="0.3">
      <c r="A1095" s="303"/>
      <c r="B1095" s="306" t="s">
        <v>812</v>
      </c>
      <c r="C1095" s="494">
        <f>D2229</f>
        <v>613620</v>
      </c>
      <c r="D1095" s="314"/>
      <c r="E1095" s="303"/>
      <c r="F1095" s="1"/>
      <c r="AC1095" s="489" t="s">
        <v>1546</v>
      </c>
    </row>
    <row r="1096" spans="1:81" ht="15.6" thickBot="1" x14ac:dyDescent="0.3">
      <c r="A1096" s="303"/>
      <c r="B1096" s="306" t="s">
        <v>813</v>
      </c>
      <c r="C1096" s="315"/>
      <c r="D1096" s="316"/>
      <c r="E1096" s="303"/>
      <c r="F1096" s="1"/>
    </row>
    <row r="1097" spans="1:81" x14ac:dyDescent="0.25">
      <c r="A1097" s="303"/>
      <c r="B1097" s="303"/>
      <c r="C1097" s="303"/>
      <c r="D1097" s="303"/>
      <c r="E1097" s="303"/>
      <c r="F1097" s="1"/>
    </row>
    <row r="1098" spans="1:81" ht="3" customHeight="1" x14ac:dyDescent="0.25">
      <c r="A1098" s="303"/>
      <c r="B1098" s="303"/>
      <c r="C1098" s="303"/>
      <c r="D1098" s="303"/>
      <c r="E1098" s="303"/>
      <c r="F1098" s="1"/>
    </row>
    <row r="1099" spans="1:81" ht="4.95" customHeight="1" x14ac:dyDescent="0.25">
      <c r="A1099" s="303"/>
      <c r="B1099" s="303"/>
      <c r="C1099" s="303"/>
      <c r="D1099" s="303"/>
      <c r="E1099" s="303"/>
      <c r="F1099" s="1"/>
    </row>
    <row r="1100" spans="1:81" ht="4.95" customHeight="1" x14ac:dyDescent="0.25">
      <c r="A1100" s="303"/>
      <c r="B1100" s="303"/>
      <c r="C1100" s="303"/>
      <c r="D1100" s="303"/>
      <c r="E1100" s="303"/>
      <c r="F1100" s="1"/>
    </row>
    <row r="1101" spans="1:81" ht="21" x14ac:dyDescent="0.4">
      <c r="A1101" s="303"/>
      <c r="B1101" s="318"/>
      <c r="C1101" s="319" t="s">
        <v>814</v>
      </c>
      <c r="D1101" s="303"/>
      <c r="E1101" s="303"/>
      <c r="F1101" s="1"/>
    </row>
    <row r="1102" spans="1:81" ht="60" customHeight="1" x14ac:dyDescent="0.25">
      <c r="A1102" s="303"/>
      <c r="B1102" s="625" t="str">
        <f>CONCATENATE(AC1102,AJ1102,AK1102,AS1102,BI1102,AC1103,AJ1103,AK1103,AO1103,BD1103)</f>
        <v>you can potentially earn around 100% more than your current income. By removing employment discrimination from this wrongful conviction, you could earn up to $2407 more per month. That's about $556 more per week. Hidden costs of anxiety and depression could also drop significantly. Share that with your supporters!</v>
      </c>
      <c r="C1102" s="625"/>
      <c r="D1102" s="625"/>
      <c r="E1102" s="303"/>
      <c r="F1102" s="1"/>
      <c r="AC1102" s="56" t="s">
        <v>815</v>
      </c>
      <c r="AJ1102" s="154">
        <f>ROUND((BJ1103*100),0)</f>
        <v>100</v>
      </c>
      <c r="AK1102" s="56" t="s">
        <v>816</v>
      </c>
      <c r="AS1102" s="56" t="s">
        <v>817</v>
      </c>
      <c r="BI1102" s="321">
        <f>ROUND(BH1103,0)</f>
        <v>2407</v>
      </c>
    </row>
    <row r="1103" spans="1:81" x14ac:dyDescent="0.25">
      <c r="A1103" s="303"/>
      <c r="B1103" s="303"/>
      <c r="C1103" s="303"/>
      <c r="D1103" s="303"/>
      <c r="E1103" s="303"/>
      <c r="F1103" s="1"/>
      <c r="AC1103" s="56" t="s">
        <v>818</v>
      </c>
      <c r="AF1103" s="322"/>
      <c r="AJ1103" s="322" t="str">
        <f>FIXED(BI1103,0,0)</f>
        <v>556</v>
      </c>
      <c r="AK1103" s="56" t="s">
        <v>819</v>
      </c>
      <c r="AO1103" s="56" t="s">
        <v>820</v>
      </c>
      <c r="BD1103" s="56" t="s">
        <v>821</v>
      </c>
      <c r="BG1103" s="322">
        <f>IF(BH2241=0,BH2293,BH2241)</f>
        <v>28889</v>
      </c>
      <c r="BH1103" s="322">
        <f>IF(BI2241=0,BI2293,BI2241)</f>
        <v>2407.4166666666665</v>
      </c>
      <c r="BI1103" s="322">
        <f>IF(BJ2241=0,BJ2293,BJ2241)</f>
        <v>555.55769230769226</v>
      </c>
      <c r="BJ1103" s="113">
        <f>IF(BK2241=0,BK2293,BK2241)</f>
        <v>1</v>
      </c>
    </row>
    <row r="1104" spans="1:81" ht="30" hidden="1" customHeight="1" x14ac:dyDescent="0.25">
      <c r="A1104" s="45" t="s">
        <v>822</v>
      </c>
      <c r="B1104" s="46" t="s">
        <v>823</v>
      </c>
      <c r="C1104" s="45"/>
      <c r="D1104" s="45"/>
      <c r="E1104" s="45"/>
      <c r="F1104" s="45"/>
      <c r="AF1104" s="322"/>
      <c r="AJ1104" s="322"/>
      <c r="BG1104" s="322"/>
      <c r="BH1104" s="322"/>
      <c r="BI1104" s="322"/>
      <c r="BJ1104" s="113"/>
    </row>
    <row r="1105" spans="1:62" ht="60" hidden="1" customHeight="1" x14ac:dyDescent="0.25">
      <c r="A1105" s="48"/>
      <c r="B1105" s="531"/>
      <c r="C1105" s="531"/>
      <c r="D1105" s="531"/>
      <c r="E1105" s="49"/>
      <c r="F1105" s="48"/>
      <c r="AF1105" s="322"/>
      <c r="AJ1105" s="322"/>
      <c r="BG1105" s="322"/>
      <c r="BH1105" s="322"/>
      <c r="BI1105" s="322"/>
      <c r="BJ1105" s="113"/>
    </row>
    <row r="1106" spans="1:62" ht="14.4" hidden="1" x14ac:dyDescent="0.3">
      <c r="A1106" s="323"/>
      <c r="B1106" s="323"/>
      <c r="C1106" s="323"/>
      <c r="D1106" s="324"/>
      <c r="E1106" s="323"/>
      <c r="F1106" s="1"/>
      <c r="AF1106" s="322"/>
      <c r="AJ1106" s="322"/>
      <c r="BG1106" s="322"/>
      <c r="BH1106" s="322"/>
      <c r="BI1106" s="322"/>
      <c r="BJ1106" s="113"/>
    </row>
    <row r="1107" spans="1:62" ht="15.6" hidden="1" x14ac:dyDescent="0.3">
      <c r="A1107" s="323"/>
      <c r="B1107" s="325" t="s">
        <v>824</v>
      </c>
      <c r="C1107" s="323"/>
      <c r="D1107" s="323"/>
      <c r="E1107" s="323"/>
      <c r="F1107" s="1"/>
      <c r="AF1107" s="322"/>
      <c r="AJ1107" s="322"/>
      <c r="BG1107" s="322"/>
      <c r="BH1107" s="322"/>
      <c r="BI1107" s="322"/>
      <c r="BJ1107" s="113"/>
    </row>
    <row r="1108" spans="1:62" hidden="1" x14ac:dyDescent="0.25">
      <c r="A1108" s="323"/>
      <c r="B1108" s="107" t="s">
        <v>825</v>
      </c>
      <c r="C1108" s="107"/>
      <c r="D1108" s="107"/>
      <c r="E1108" s="323"/>
      <c r="F1108" s="1"/>
      <c r="AF1108" s="322"/>
      <c r="AJ1108" s="322"/>
      <c r="BG1108" s="322"/>
      <c r="BH1108" s="322"/>
      <c r="BI1108" s="322"/>
      <c r="BJ1108" s="113"/>
    </row>
    <row r="1109" spans="1:62" hidden="1" x14ac:dyDescent="0.25">
      <c r="A1109" s="323"/>
      <c r="B1109" s="107" t="s">
        <v>826</v>
      </c>
      <c r="C1109" s="107"/>
      <c r="D1109" s="107"/>
      <c r="E1109" s="323"/>
      <c r="F1109" s="1"/>
      <c r="AF1109" s="322"/>
      <c r="AJ1109" s="322"/>
      <c r="BG1109" s="322"/>
      <c r="BH1109" s="322"/>
      <c r="BI1109" s="322"/>
      <c r="BJ1109" s="113"/>
    </row>
    <row r="1110" spans="1:62" hidden="1" x14ac:dyDescent="0.25">
      <c r="A1110" s="323"/>
      <c r="B1110" s="107" t="s">
        <v>827</v>
      </c>
      <c r="C1110" s="107" t="s">
        <v>828</v>
      </c>
      <c r="D1110" s="107"/>
      <c r="E1110" s="323"/>
      <c r="F1110" s="1"/>
      <c r="AF1110" s="322"/>
      <c r="AJ1110" s="322"/>
      <c r="BG1110" s="322"/>
      <c r="BH1110" s="322"/>
      <c r="BI1110" s="322"/>
      <c r="BJ1110" s="113"/>
    </row>
    <row r="1111" spans="1:62" hidden="1" x14ac:dyDescent="0.25">
      <c r="A1111" s="323"/>
      <c r="B1111" s="107" t="s">
        <v>829</v>
      </c>
      <c r="C1111" s="107"/>
      <c r="D1111" s="107"/>
      <c r="E1111" s="323"/>
      <c r="F1111" s="1"/>
      <c r="AF1111" s="322"/>
      <c r="AJ1111" s="322"/>
      <c r="BG1111" s="322"/>
      <c r="BH1111" s="322"/>
      <c r="BI1111" s="322"/>
      <c r="BJ1111" s="113"/>
    </row>
    <row r="1112" spans="1:62" hidden="1" x14ac:dyDescent="0.25">
      <c r="A1112" s="323"/>
      <c r="B1112" s="326" t="s">
        <v>830</v>
      </c>
      <c r="C1112" s="107"/>
      <c r="D1112" s="107"/>
      <c r="E1112" s="323"/>
      <c r="F1112" s="1"/>
      <c r="AF1112" s="322"/>
      <c r="AJ1112" s="322"/>
      <c r="BG1112" s="322"/>
      <c r="BH1112" s="322"/>
      <c r="BI1112" s="322"/>
      <c r="BJ1112" s="113"/>
    </row>
    <row r="1113" spans="1:62" hidden="1" x14ac:dyDescent="0.25">
      <c r="A1113" s="323"/>
      <c r="B1113" s="326" t="s">
        <v>831</v>
      </c>
      <c r="C1113" s="107"/>
      <c r="D1113" s="107"/>
      <c r="E1113" s="323"/>
      <c r="F1113" s="1"/>
      <c r="AF1113" s="322"/>
      <c r="AJ1113" s="322"/>
      <c r="BG1113" s="322"/>
      <c r="BH1113" s="322"/>
      <c r="BI1113" s="322"/>
      <c r="BJ1113" s="113"/>
    </row>
    <row r="1114" spans="1:62" hidden="1" x14ac:dyDescent="0.25">
      <c r="A1114" s="323"/>
      <c r="B1114" s="326" t="s">
        <v>832</v>
      </c>
      <c r="C1114" s="107"/>
      <c r="D1114" s="107"/>
      <c r="E1114" s="323"/>
      <c r="F1114" s="1"/>
      <c r="AF1114" s="322"/>
      <c r="AJ1114" s="322"/>
      <c r="BG1114" s="322"/>
      <c r="BH1114" s="322"/>
      <c r="BI1114" s="322"/>
      <c r="BJ1114" s="113"/>
    </row>
    <row r="1115" spans="1:62" hidden="1" x14ac:dyDescent="0.25">
      <c r="A1115" s="323"/>
      <c r="B1115" s="326" t="s">
        <v>833</v>
      </c>
      <c r="C1115" s="107"/>
      <c r="D1115" s="107"/>
      <c r="E1115" s="323"/>
      <c r="F1115" s="1"/>
      <c r="AF1115" s="322"/>
      <c r="AJ1115" s="322"/>
      <c r="BG1115" s="322"/>
      <c r="BH1115" s="322"/>
      <c r="BI1115" s="322"/>
      <c r="BJ1115" s="113"/>
    </row>
    <row r="1116" spans="1:62" hidden="1" x14ac:dyDescent="0.25">
      <c r="A1116" s="323"/>
      <c r="B1116" s="326" t="s">
        <v>834</v>
      </c>
      <c r="C1116" s="107"/>
      <c r="D1116" s="107"/>
      <c r="E1116" s="323"/>
      <c r="F1116" s="1"/>
      <c r="AF1116" s="322"/>
      <c r="AJ1116" s="322"/>
      <c r="BG1116" s="322"/>
      <c r="BH1116" s="322"/>
      <c r="BI1116" s="322"/>
      <c r="BJ1116" s="113"/>
    </row>
    <row r="1117" spans="1:62" hidden="1" x14ac:dyDescent="0.25">
      <c r="A1117" s="323"/>
      <c r="B1117" s="326" t="s">
        <v>835</v>
      </c>
      <c r="C1117" s="107"/>
      <c r="D1117" s="107"/>
      <c r="E1117" s="323"/>
      <c r="F1117" s="1"/>
      <c r="AF1117" s="322"/>
      <c r="AJ1117" s="322"/>
      <c r="BG1117" s="322"/>
      <c r="BH1117" s="322"/>
      <c r="BI1117" s="322"/>
      <c r="BJ1117" s="113"/>
    </row>
    <row r="1118" spans="1:62" hidden="1" x14ac:dyDescent="0.25">
      <c r="A1118" s="323"/>
      <c r="B1118" s="327" t="s">
        <v>836</v>
      </c>
      <c r="C1118" s="107"/>
      <c r="D1118" s="107"/>
      <c r="E1118" s="323"/>
      <c r="F1118" s="1"/>
      <c r="AF1118" s="322"/>
      <c r="AJ1118" s="322"/>
      <c r="BG1118" s="322"/>
      <c r="BH1118" s="322"/>
      <c r="BI1118" s="322"/>
      <c r="BJ1118" s="113"/>
    </row>
    <row r="1119" spans="1:62" hidden="1" x14ac:dyDescent="0.25">
      <c r="A1119" s="323"/>
      <c r="B1119" s="107" t="s">
        <v>837</v>
      </c>
      <c r="C1119" s="107"/>
      <c r="D1119" s="107"/>
      <c r="E1119" s="323"/>
      <c r="F1119" s="1"/>
      <c r="AF1119" s="322"/>
      <c r="AJ1119" s="322"/>
      <c r="BG1119" s="322"/>
      <c r="BH1119" s="322"/>
      <c r="BI1119" s="322"/>
      <c r="BJ1119" s="113"/>
    </row>
    <row r="1120" spans="1:62" hidden="1" x14ac:dyDescent="0.25">
      <c r="A1120" s="323"/>
      <c r="B1120" s="107" t="s">
        <v>838</v>
      </c>
      <c r="C1120" s="107"/>
      <c r="D1120" s="107"/>
      <c r="E1120" s="323"/>
      <c r="F1120" s="1"/>
      <c r="AF1120" s="322"/>
      <c r="AJ1120" s="322"/>
      <c r="BG1120" s="322"/>
      <c r="BH1120" s="322"/>
      <c r="BI1120" s="322"/>
      <c r="BJ1120" s="113"/>
    </row>
    <row r="1121" spans="1:62" hidden="1" x14ac:dyDescent="0.25">
      <c r="A1121" s="323"/>
      <c r="B1121" s="107" t="s">
        <v>839</v>
      </c>
      <c r="C1121" s="107"/>
      <c r="D1121" s="107"/>
      <c r="E1121" s="323"/>
      <c r="F1121" s="1"/>
      <c r="AF1121" s="322"/>
      <c r="AJ1121" s="322"/>
      <c r="BG1121" s="322"/>
      <c r="BH1121" s="322"/>
      <c r="BI1121" s="322"/>
      <c r="BJ1121" s="113"/>
    </row>
    <row r="1122" spans="1:62" ht="4.95" hidden="1" customHeight="1" x14ac:dyDescent="0.25">
      <c r="A1122" s="323"/>
      <c r="B1122" s="107"/>
      <c r="C1122" s="107"/>
      <c r="D1122" s="107"/>
      <c r="E1122" s="323"/>
      <c r="F1122" s="1"/>
      <c r="AF1122" s="322"/>
      <c r="AJ1122" s="322"/>
      <c r="BG1122" s="322"/>
      <c r="BH1122" s="322"/>
      <c r="BI1122" s="322"/>
      <c r="BJ1122" s="113"/>
    </row>
    <row r="1123" spans="1:62" hidden="1" x14ac:dyDescent="0.25">
      <c r="A1123" s="323"/>
      <c r="B1123" s="323"/>
      <c r="C1123" s="323"/>
      <c r="D1123" s="323"/>
      <c r="E1123" s="323"/>
      <c r="F1123" s="1"/>
      <c r="AF1123" s="322"/>
      <c r="AJ1123" s="322"/>
      <c r="BG1123" s="322"/>
      <c r="BH1123" s="322"/>
      <c r="BI1123" s="322"/>
      <c r="BJ1123" s="113"/>
    </row>
    <row r="1124" spans="1:62" ht="20.399999999999999" hidden="1" x14ac:dyDescent="0.35">
      <c r="A1124" s="328" t="s">
        <v>840</v>
      </c>
      <c r="B1124" s="329" t="s">
        <v>841</v>
      </c>
      <c r="C1124" s="323"/>
      <c r="D1124" s="323"/>
      <c r="E1124" s="323"/>
      <c r="F1124" s="1"/>
      <c r="AF1124" s="322"/>
      <c r="AJ1124" s="322"/>
      <c r="BG1124" s="322"/>
      <c r="BH1124" s="322"/>
      <c r="BI1124" s="322"/>
      <c r="BJ1124" s="113"/>
    </row>
    <row r="1125" spans="1:62" hidden="1" x14ac:dyDescent="0.25">
      <c r="A1125" s="323"/>
      <c r="B1125" s="323"/>
      <c r="C1125" s="323"/>
      <c r="D1125" s="323"/>
      <c r="E1125" s="323"/>
      <c r="F1125" s="1"/>
      <c r="AF1125" s="322"/>
      <c r="AJ1125" s="322"/>
      <c r="BG1125" s="322"/>
      <c r="BH1125" s="322"/>
      <c r="BI1125" s="322"/>
      <c r="BJ1125" s="113"/>
    </row>
    <row r="1126" spans="1:62" hidden="1" x14ac:dyDescent="0.25">
      <c r="A1126" s="323"/>
      <c r="B1126" s="323" t="s">
        <v>842</v>
      </c>
      <c r="C1126" s="323"/>
      <c r="D1126" s="323"/>
      <c r="E1126" s="323"/>
      <c r="F1126" s="1"/>
      <c r="AF1126" s="322"/>
      <c r="AJ1126" s="322"/>
      <c r="BG1126" s="322"/>
      <c r="BH1126" s="322"/>
      <c r="BI1126" s="322"/>
      <c r="BJ1126" s="113"/>
    </row>
    <row r="1127" spans="1:62" hidden="1" x14ac:dyDescent="0.25">
      <c r="A1127" s="323"/>
      <c r="B1127" s="323"/>
      <c r="C1127" s="323"/>
      <c r="D1127" s="323"/>
      <c r="E1127" s="323"/>
      <c r="F1127" s="1"/>
      <c r="AF1127" s="322"/>
      <c r="AJ1127" s="322"/>
      <c r="BG1127" s="322"/>
      <c r="BH1127" s="322"/>
      <c r="BI1127" s="322"/>
      <c r="BJ1127" s="113"/>
    </row>
    <row r="1128" spans="1:62" hidden="1" x14ac:dyDescent="0.25">
      <c r="A1128" s="323"/>
      <c r="B1128" s="323"/>
      <c r="C1128" s="323"/>
      <c r="D1128" s="323"/>
      <c r="E1128" s="323"/>
      <c r="F1128" s="1"/>
      <c r="AF1128" s="322"/>
      <c r="AJ1128" s="322"/>
      <c r="BG1128" s="322"/>
      <c r="BH1128" s="322"/>
      <c r="BI1128" s="322"/>
      <c r="BJ1128" s="113"/>
    </row>
    <row r="1129" spans="1:62" hidden="1" x14ac:dyDescent="0.25">
      <c r="A1129" s="323"/>
      <c r="B1129" s="323"/>
      <c r="C1129" s="323"/>
      <c r="D1129" s="323"/>
      <c r="E1129" s="323"/>
      <c r="F1129" s="1"/>
      <c r="AF1129" s="322"/>
      <c r="AJ1129" s="322"/>
      <c r="BG1129" s="322"/>
      <c r="BH1129" s="322"/>
      <c r="BI1129" s="322"/>
      <c r="BJ1129" s="113"/>
    </row>
    <row r="1130" spans="1:62" hidden="1" x14ac:dyDescent="0.25">
      <c r="A1130" s="323"/>
      <c r="B1130" s="323"/>
      <c r="C1130" s="323"/>
      <c r="D1130" s="323"/>
      <c r="E1130" s="323"/>
      <c r="F1130" s="1"/>
      <c r="AF1130" s="322"/>
      <c r="AJ1130" s="322"/>
      <c r="BG1130" s="322"/>
      <c r="BH1130" s="322"/>
      <c r="BI1130" s="322"/>
      <c r="BJ1130" s="113"/>
    </row>
    <row r="1131" spans="1:62" hidden="1" x14ac:dyDescent="0.25">
      <c r="A1131" s="323"/>
      <c r="B1131" s="323"/>
      <c r="C1131" s="323"/>
      <c r="D1131" s="323"/>
      <c r="E1131" s="323"/>
      <c r="F1131" s="1"/>
      <c r="AF1131" s="322"/>
      <c r="AJ1131" s="322"/>
      <c r="BG1131" s="322"/>
      <c r="BH1131" s="322"/>
      <c r="BI1131" s="322"/>
      <c r="BJ1131" s="113"/>
    </row>
    <row r="1132" spans="1:62" hidden="1" x14ac:dyDescent="0.25">
      <c r="A1132" s="323"/>
      <c r="B1132" s="323"/>
      <c r="C1132" s="323"/>
      <c r="D1132" s="323"/>
      <c r="E1132" s="323"/>
      <c r="F1132" s="1"/>
      <c r="AF1132" s="322"/>
      <c r="AJ1132" s="322"/>
      <c r="BG1132" s="322"/>
      <c r="BH1132" s="322"/>
      <c r="BI1132" s="322"/>
      <c r="BJ1132" s="113"/>
    </row>
    <row r="1133" spans="1:62" hidden="1" x14ac:dyDescent="0.25">
      <c r="A1133" s="323"/>
      <c r="B1133" s="323"/>
      <c r="C1133" s="323"/>
      <c r="D1133" s="323"/>
      <c r="E1133" s="323"/>
      <c r="F1133" s="1"/>
      <c r="AF1133" s="322"/>
      <c r="AJ1133" s="322"/>
      <c r="BG1133" s="322"/>
      <c r="BH1133" s="322"/>
      <c r="BI1133" s="322"/>
      <c r="BJ1133" s="113"/>
    </row>
    <row r="1134" spans="1:62" hidden="1" x14ac:dyDescent="0.25">
      <c r="A1134" s="323"/>
      <c r="B1134" s="323"/>
      <c r="C1134" s="323"/>
      <c r="D1134" s="323"/>
      <c r="E1134" s="323"/>
      <c r="F1134" s="1"/>
      <c r="AF1134" s="322"/>
      <c r="AJ1134" s="322"/>
      <c r="BG1134" s="322"/>
      <c r="BH1134" s="322"/>
      <c r="BI1134" s="322"/>
      <c r="BJ1134" s="113"/>
    </row>
    <row r="1135" spans="1:62" hidden="1" x14ac:dyDescent="0.25">
      <c r="A1135" s="323"/>
      <c r="B1135" s="323"/>
      <c r="C1135" s="323"/>
      <c r="D1135" s="323"/>
      <c r="E1135" s="323"/>
      <c r="F1135" s="1"/>
      <c r="AF1135" s="322"/>
      <c r="AJ1135" s="322"/>
      <c r="BG1135" s="322"/>
      <c r="BH1135" s="322"/>
      <c r="BI1135" s="322"/>
      <c r="BJ1135" s="113"/>
    </row>
    <row r="1136" spans="1:62" hidden="1" x14ac:dyDescent="0.25">
      <c r="A1136" s="323"/>
      <c r="B1136" s="323"/>
      <c r="C1136" s="323"/>
      <c r="D1136" s="323"/>
      <c r="E1136" s="323"/>
      <c r="F1136" s="1"/>
      <c r="AF1136" s="322"/>
      <c r="AJ1136" s="322"/>
      <c r="BG1136" s="322"/>
      <c r="BH1136" s="322"/>
      <c r="BI1136" s="322"/>
      <c r="BJ1136" s="113"/>
    </row>
    <row r="1137" spans="1:62" hidden="1" x14ac:dyDescent="0.25">
      <c r="A1137" s="323"/>
      <c r="B1137" s="323"/>
      <c r="C1137" s="323"/>
      <c r="D1137" s="323"/>
      <c r="E1137" s="323"/>
      <c r="F1137" s="1"/>
      <c r="AF1137" s="322"/>
      <c r="AJ1137" s="322"/>
      <c r="BG1137" s="322"/>
      <c r="BH1137" s="322"/>
      <c r="BI1137" s="322"/>
      <c r="BJ1137" s="113"/>
    </row>
    <row r="1138" spans="1:62" hidden="1" x14ac:dyDescent="0.25">
      <c r="A1138" s="323"/>
      <c r="B1138" s="323"/>
      <c r="C1138" s="323"/>
      <c r="D1138" s="323"/>
      <c r="E1138" s="323"/>
      <c r="F1138" s="1"/>
      <c r="AF1138" s="322"/>
      <c r="AJ1138" s="322"/>
      <c r="BG1138" s="322"/>
      <c r="BH1138" s="322"/>
      <c r="BI1138" s="322"/>
      <c r="BJ1138" s="113"/>
    </row>
    <row r="1139" spans="1:62" ht="20.399999999999999" hidden="1" x14ac:dyDescent="0.35">
      <c r="A1139" s="328"/>
      <c r="B1139" s="329"/>
      <c r="C1139" s="323"/>
      <c r="D1139" s="323"/>
      <c r="E1139" s="323"/>
      <c r="F1139" s="1"/>
      <c r="AF1139" s="322"/>
      <c r="AJ1139" s="322"/>
      <c r="BG1139" s="322"/>
      <c r="BH1139" s="322"/>
      <c r="BI1139" s="322"/>
      <c r="BJ1139" s="113"/>
    </row>
    <row r="1140" spans="1:62" hidden="1" x14ac:dyDescent="0.25">
      <c r="A1140" s="323"/>
      <c r="B1140" s="323"/>
      <c r="C1140" s="323"/>
      <c r="D1140" s="323"/>
      <c r="E1140" s="323"/>
      <c r="F1140" s="1"/>
      <c r="AF1140" s="322"/>
      <c r="AJ1140" s="322"/>
      <c r="BG1140" s="322"/>
      <c r="BH1140" s="322"/>
      <c r="BI1140" s="322"/>
      <c r="BJ1140" s="113"/>
    </row>
    <row r="1141" spans="1:62" hidden="1" x14ac:dyDescent="0.25">
      <c r="A1141" s="323"/>
      <c r="B1141" s="323"/>
      <c r="C1141" s="323"/>
      <c r="D1141" s="323"/>
      <c r="E1141" s="323"/>
      <c r="F1141" s="1"/>
      <c r="AF1141" s="322"/>
      <c r="AJ1141" s="322"/>
      <c r="BG1141" s="322"/>
      <c r="BH1141" s="322"/>
      <c r="BI1141" s="322"/>
      <c r="BJ1141" s="113"/>
    </row>
    <row r="1142" spans="1:62" hidden="1" x14ac:dyDescent="0.25">
      <c r="A1142" s="323"/>
      <c r="B1142" s="323"/>
      <c r="C1142" s="323"/>
      <c r="D1142" s="323"/>
      <c r="E1142" s="323"/>
      <c r="F1142" s="1"/>
      <c r="AF1142" s="322"/>
      <c r="AJ1142" s="322"/>
      <c r="BG1142" s="322"/>
      <c r="BH1142" s="322"/>
      <c r="BI1142" s="322"/>
      <c r="BJ1142" s="113"/>
    </row>
    <row r="1143" spans="1:62" hidden="1" x14ac:dyDescent="0.25">
      <c r="A1143" s="323"/>
      <c r="B1143" s="323"/>
      <c r="C1143" s="323"/>
      <c r="D1143" s="323"/>
      <c r="E1143" s="323"/>
      <c r="F1143" s="1"/>
      <c r="AF1143" s="322"/>
      <c r="AJ1143" s="322"/>
      <c r="BG1143" s="322"/>
      <c r="BH1143" s="322"/>
      <c r="BI1143" s="322"/>
      <c r="BJ1143" s="113"/>
    </row>
    <row r="1144" spans="1:62" hidden="1" x14ac:dyDescent="0.25">
      <c r="A1144" s="323"/>
      <c r="B1144" s="323"/>
      <c r="C1144" s="323"/>
      <c r="D1144" s="323"/>
      <c r="E1144" s="323"/>
      <c r="F1144" s="1"/>
      <c r="AF1144" s="322"/>
      <c r="AG1144" s="330"/>
      <c r="AJ1144" s="322"/>
      <c r="BG1144" s="322"/>
      <c r="BH1144" s="322"/>
      <c r="BI1144" s="322"/>
      <c r="BJ1144" s="113"/>
    </row>
    <row r="1145" spans="1:62" hidden="1" x14ac:dyDescent="0.25">
      <c r="A1145" s="323"/>
      <c r="B1145" s="323"/>
      <c r="C1145" s="323"/>
      <c r="D1145" s="323"/>
      <c r="E1145" s="323"/>
      <c r="F1145" s="1"/>
      <c r="AF1145" s="322"/>
      <c r="AG1145" s="331">
        <v>5</v>
      </c>
      <c r="AJ1145" s="322"/>
      <c r="BG1145" s="322"/>
      <c r="BH1145" s="322"/>
      <c r="BI1145" s="322"/>
      <c r="BJ1145" s="113"/>
    </row>
    <row r="1146" spans="1:62" hidden="1" x14ac:dyDescent="0.25">
      <c r="A1146" s="323"/>
      <c r="B1146" s="323"/>
      <c r="C1146" s="323"/>
      <c r="D1146" s="323"/>
      <c r="E1146" s="323"/>
      <c r="F1146" s="1"/>
      <c r="AF1146" s="322"/>
      <c r="AG1146" s="330"/>
      <c r="AJ1146" s="322"/>
      <c r="BG1146" s="322"/>
      <c r="BH1146" s="322"/>
      <c r="BI1146" s="322"/>
      <c r="BJ1146" s="113"/>
    </row>
    <row r="1147" spans="1:62" hidden="1" x14ac:dyDescent="0.25">
      <c r="A1147" s="323"/>
      <c r="B1147" s="323"/>
      <c r="C1147" s="323"/>
      <c r="D1147" s="323"/>
      <c r="E1147" s="323"/>
      <c r="F1147" s="1"/>
      <c r="AF1147" s="322"/>
      <c r="AG1147" s="330"/>
      <c r="AJ1147" s="322"/>
      <c r="BG1147" s="322"/>
      <c r="BH1147" s="322"/>
      <c r="BI1147" s="322"/>
      <c r="BJ1147" s="113"/>
    </row>
    <row r="1148" spans="1:62" hidden="1" x14ac:dyDescent="0.25">
      <c r="A1148" s="323"/>
      <c r="B1148" s="323"/>
      <c r="C1148" s="323"/>
      <c r="D1148" s="323"/>
      <c r="E1148" s="323"/>
      <c r="F1148" s="1"/>
      <c r="AF1148" s="322"/>
      <c r="AG1148" s="331">
        <v>25</v>
      </c>
      <c r="AJ1148" s="322"/>
      <c r="BG1148" s="322"/>
      <c r="BH1148" s="322"/>
      <c r="BI1148" s="322"/>
      <c r="BJ1148" s="113"/>
    </row>
    <row r="1149" spans="1:62" hidden="1" x14ac:dyDescent="0.25">
      <c r="A1149" s="323"/>
      <c r="B1149" s="323"/>
      <c r="C1149" s="323"/>
      <c r="D1149" s="323"/>
      <c r="E1149" s="323"/>
      <c r="F1149" s="1"/>
      <c r="AF1149" s="322"/>
      <c r="AG1149" s="330"/>
      <c r="AJ1149" s="322"/>
      <c r="BG1149" s="322"/>
      <c r="BH1149" s="322"/>
      <c r="BI1149" s="322"/>
      <c r="BJ1149" s="113"/>
    </row>
    <row r="1150" spans="1:62" hidden="1" x14ac:dyDescent="0.25">
      <c r="A1150" s="323"/>
      <c r="B1150" s="323"/>
      <c r="C1150" s="323"/>
      <c r="D1150" s="323"/>
      <c r="E1150" s="323"/>
      <c r="F1150" s="1"/>
      <c r="AF1150" s="322"/>
      <c r="AG1150" s="331">
        <v>50</v>
      </c>
      <c r="AJ1150" s="322"/>
      <c r="BG1150" s="322"/>
      <c r="BH1150" s="322"/>
      <c r="BI1150" s="322"/>
      <c r="BJ1150" s="113"/>
    </row>
    <row r="1151" spans="1:62" hidden="1" x14ac:dyDescent="0.25">
      <c r="A1151" s="323"/>
      <c r="B1151" s="323"/>
      <c r="C1151" s="323"/>
      <c r="D1151" s="323"/>
      <c r="E1151" s="323"/>
      <c r="F1151" s="1"/>
      <c r="AF1151" s="322"/>
      <c r="AG1151" s="330"/>
      <c r="AJ1151" s="322"/>
      <c r="BG1151" s="322"/>
      <c r="BH1151" s="322"/>
      <c r="BI1151" s="322"/>
      <c r="BJ1151" s="113"/>
    </row>
    <row r="1152" spans="1:62" hidden="1" x14ac:dyDescent="0.25">
      <c r="A1152" s="323"/>
      <c r="B1152" s="323"/>
      <c r="C1152" s="323"/>
      <c r="D1152" s="323"/>
      <c r="E1152" s="323"/>
      <c r="F1152" s="1"/>
      <c r="AF1152" s="322"/>
      <c r="AG1152" s="331">
        <v>100</v>
      </c>
      <c r="AJ1152" s="322"/>
      <c r="BG1152" s="322"/>
      <c r="BH1152" s="322"/>
      <c r="BI1152" s="322"/>
      <c r="BJ1152" s="113"/>
    </row>
    <row r="1153" spans="1:62" hidden="1" x14ac:dyDescent="0.25">
      <c r="A1153" s="323"/>
      <c r="B1153" s="323"/>
      <c r="C1153" s="323"/>
      <c r="D1153" s="323"/>
      <c r="E1153" s="323"/>
      <c r="F1153" s="1"/>
      <c r="AF1153" s="322"/>
      <c r="AJ1153" s="322"/>
      <c r="BG1153" s="322"/>
      <c r="BH1153" s="322"/>
      <c r="BI1153" s="322"/>
      <c r="BJ1153" s="113"/>
    </row>
    <row r="1154" spans="1:62" hidden="1" x14ac:dyDescent="0.25">
      <c r="A1154" s="323"/>
      <c r="B1154" s="323"/>
      <c r="C1154" s="323"/>
      <c r="D1154" s="323"/>
      <c r="E1154" s="323"/>
      <c r="F1154" s="1"/>
      <c r="AF1154" s="322"/>
      <c r="AJ1154" s="322"/>
      <c r="BG1154" s="322"/>
      <c r="BH1154" s="322"/>
      <c r="BI1154" s="322"/>
      <c r="BJ1154" s="113"/>
    </row>
    <row r="1155" spans="1:62" hidden="1" x14ac:dyDescent="0.25">
      <c r="A1155" s="323"/>
      <c r="B1155" s="323"/>
      <c r="C1155" s="323"/>
      <c r="D1155" s="323"/>
      <c r="E1155" s="323"/>
      <c r="F1155" s="1"/>
      <c r="AF1155" s="322"/>
      <c r="AJ1155" s="322"/>
      <c r="BG1155" s="322"/>
      <c r="BH1155" s="322"/>
      <c r="BI1155" s="322"/>
      <c r="BJ1155" s="113"/>
    </row>
    <row r="1156" spans="1:62" hidden="1" x14ac:dyDescent="0.25">
      <c r="A1156" s="323"/>
      <c r="B1156" s="323"/>
      <c r="C1156" s="323"/>
      <c r="D1156" s="323"/>
      <c r="E1156" s="323"/>
      <c r="F1156" s="1"/>
      <c r="AF1156" s="322"/>
      <c r="AJ1156" s="322"/>
      <c r="BG1156" s="322"/>
      <c r="BH1156" s="322"/>
      <c r="BI1156" s="322"/>
      <c r="BJ1156" s="113"/>
    </row>
    <row r="1157" spans="1:62" hidden="1" x14ac:dyDescent="0.25">
      <c r="A1157" s="323"/>
      <c r="B1157" s="323"/>
      <c r="C1157" s="323"/>
      <c r="D1157" s="323"/>
      <c r="E1157" s="323"/>
      <c r="F1157" s="1"/>
      <c r="AF1157" s="322"/>
      <c r="AJ1157" s="322"/>
      <c r="BG1157" s="322"/>
      <c r="BH1157" s="322"/>
      <c r="BI1157" s="322"/>
      <c r="BJ1157" s="113"/>
    </row>
    <row r="1158" spans="1:62" hidden="1" x14ac:dyDescent="0.25">
      <c r="A1158" s="323"/>
      <c r="B1158" s="323"/>
      <c r="C1158" s="323"/>
      <c r="D1158" s="323"/>
      <c r="E1158" s="323"/>
      <c r="F1158" s="1"/>
      <c r="AF1158" s="322"/>
      <c r="AJ1158" s="322"/>
      <c r="BG1158" s="322"/>
      <c r="BH1158" s="322"/>
      <c r="BI1158" s="322"/>
      <c r="BJ1158" s="113"/>
    </row>
    <row r="1159" spans="1:62" hidden="1" x14ac:dyDescent="0.25">
      <c r="A1159" s="323"/>
      <c r="B1159" s="323"/>
      <c r="C1159" s="323"/>
      <c r="D1159" s="323"/>
      <c r="E1159" s="323"/>
      <c r="F1159" s="1"/>
      <c r="AF1159" s="322"/>
      <c r="AJ1159" s="322"/>
      <c r="BG1159" s="322"/>
      <c r="BH1159" s="322"/>
      <c r="BI1159" s="322"/>
      <c r="BJ1159" s="113"/>
    </row>
    <row r="1160" spans="1:62" hidden="1" x14ac:dyDescent="0.25">
      <c r="A1160" s="323"/>
      <c r="B1160" s="323"/>
      <c r="C1160" s="323"/>
      <c r="D1160" s="323"/>
      <c r="E1160" s="323"/>
      <c r="F1160" s="1"/>
      <c r="AF1160" s="322"/>
      <c r="AJ1160" s="322"/>
      <c r="BG1160" s="322"/>
      <c r="BH1160" s="322"/>
      <c r="BI1160" s="322"/>
      <c r="BJ1160" s="113"/>
    </row>
    <row r="1161" spans="1:62" hidden="1" x14ac:dyDescent="0.25">
      <c r="A1161" s="323"/>
      <c r="B1161" s="323"/>
      <c r="C1161" s="323"/>
      <c r="D1161" s="323"/>
      <c r="E1161" s="323"/>
      <c r="F1161" s="1"/>
      <c r="AF1161" s="322"/>
      <c r="AJ1161" s="322"/>
      <c r="BG1161" s="322"/>
      <c r="BH1161" s="322"/>
      <c r="BI1161" s="322"/>
      <c r="BJ1161" s="113"/>
    </row>
    <row r="1162" spans="1:62" hidden="1" x14ac:dyDescent="0.25">
      <c r="A1162" s="323"/>
      <c r="B1162" s="323"/>
      <c r="C1162" s="323"/>
      <c r="D1162" s="323"/>
      <c r="E1162" s="323"/>
      <c r="F1162" s="1"/>
      <c r="AF1162" s="322"/>
      <c r="AJ1162" s="322"/>
      <c r="BG1162" s="322"/>
      <c r="BH1162" s="322"/>
      <c r="BI1162" s="322"/>
      <c r="BJ1162" s="113"/>
    </row>
    <row r="1163" spans="1:62" hidden="1" x14ac:dyDescent="0.25">
      <c r="A1163" s="323"/>
      <c r="B1163" s="323"/>
      <c r="C1163" s="323"/>
      <c r="D1163" s="323"/>
      <c r="E1163" s="323"/>
      <c r="F1163" s="1"/>
      <c r="AF1163" s="322"/>
      <c r="AJ1163" s="322"/>
      <c r="BG1163" s="322"/>
      <c r="BH1163" s="322"/>
      <c r="BI1163" s="322"/>
      <c r="BJ1163" s="113"/>
    </row>
    <row r="1164" spans="1:62" hidden="1" x14ac:dyDescent="0.25">
      <c r="A1164" s="323"/>
      <c r="B1164" s="323"/>
      <c r="C1164" s="323"/>
      <c r="D1164" s="323"/>
      <c r="E1164" s="323"/>
      <c r="F1164" s="1"/>
      <c r="AF1164" s="322"/>
      <c r="AJ1164" s="322"/>
      <c r="BG1164" s="322"/>
      <c r="BH1164" s="322"/>
      <c r="BI1164" s="322"/>
      <c r="BJ1164" s="113"/>
    </row>
    <row r="1165" spans="1:62" hidden="1" x14ac:dyDescent="0.25">
      <c r="A1165" s="323"/>
      <c r="B1165" s="323"/>
      <c r="C1165" s="323"/>
      <c r="D1165" s="323"/>
      <c r="E1165" s="323"/>
      <c r="F1165" s="1"/>
      <c r="AF1165" s="322"/>
      <c r="AJ1165" s="322"/>
      <c r="BG1165" s="322"/>
      <c r="BH1165" s="322"/>
      <c r="BI1165" s="322"/>
      <c r="BJ1165" s="113"/>
    </row>
    <row r="1166" spans="1:62" hidden="1" x14ac:dyDescent="0.25">
      <c r="A1166" s="323"/>
      <c r="B1166" s="323"/>
      <c r="C1166" s="323"/>
      <c r="D1166" s="323"/>
      <c r="E1166" s="323"/>
      <c r="F1166" s="1"/>
      <c r="AF1166" s="322"/>
      <c r="AJ1166" s="322"/>
      <c r="BG1166" s="322"/>
      <c r="BH1166" s="322"/>
      <c r="BI1166" s="322"/>
      <c r="BJ1166" s="113"/>
    </row>
    <row r="1167" spans="1:62" hidden="1" x14ac:dyDescent="0.25">
      <c r="A1167" s="323"/>
      <c r="B1167" s="323"/>
      <c r="C1167" s="323"/>
      <c r="D1167" s="323"/>
      <c r="E1167" s="323"/>
      <c r="F1167" s="1"/>
      <c r="AF1167" s="322"/>
      <c r="AJ1167" s="322"/>
      <c r="BG1167" s="322"/>
      <c r="BH1167" s="322"/>
      <c r="BI1167" s="322"/>
      <c r="BJ1167" s="113"/>
    </row>
    <row r="1168" spans="1:62" hidden="1" x14ac:dyDescent="0.25">
      <c r="A1168" s="323"/>
      <c r="B1168" s="323"/>
      <c r="C1168" s="323"/>
      <c r="D1168" s="323"/>
      <c r="E1168" s="323"/>
      <c r="F1168" s="1"/>
      <c r="AF1168" s="322"/>
      <c r="AJ1168" s="322"/>
      <c r="BG1168" s="322"/>
      <c r="BH1168" s="322"/>
      <c r="BI1168" s="322"/>
      <c r="BJ1168" s="113"/>
    </row>
    <row r="1169" spans="1:62" hidden="1" x14ac:dyDescent="0.25">
      <c r="A1169" s="323"/>
      <c r="B1169" s="323"/>
      <c r="C1169" s="323"/>
      <c r="D1169" s="323"/>
      <c r="E1169" s="323"/>
      <c r="F1169" s="1"/>
      <c r="AF1169" s="322"/>
      <c r="AJ1169" s="322"/>
      <c r="BG1169" s="322"/>
      <c r="BH1169" s="322"/>
      <c r="BI1169" s="322"/>
      <c r="BJ1169" s="113"/>
    </row>
    <row r="1170" spans="1:62" hidden="1" x14ac:dyDescent="0.25">
      <c r="A1170" s="323"/>
      <c r="B1170" s="323"/>
      <c r="C1170" s="323"/>
      <c r="D1170" s="323"/>
      <c r="E1170" s="323"/>
      <c r="F1170" s="1"/>
      <c r="AF1170" s="322"/>
      <c r="AJ1170" s="322"/>
      <c r="BG1170" s="322"/>
      <c r="BH1170" s="322"/>
      <c r="BI1170" s="322"/>
      <c r="BJ1170" s="113"/>
    </row>
    <row r="1171" spans="1:62" hidden="1" x14ac:dyDescent="0.25">
      <c r="A1171" s="323"/>
      <c r="B1171" s="323"/>
      <c r="C1171" s="323"/>
      <c r="D1171" s="323"/>
      <c r="E1171" s="323"/>
      <c r="F1171" s="1"/>
      <c r="AF1171" s="322"/>
      <c r="AJ1171" s="322"/>
      <c r="BG1171" s="322"/>
      <c r="BH1171" s="322"/>
      <c r="BI1171" s="322"/>
      <c r="BJ1171" s="113"/>
    </row>
    <row r="1172" spans="1:62" hidden="1" x14ac:dyDescent="0.25">
      <c r="A1172" s="323"/>
      <c r="B1172" s="323"/>
      <c r="C1172" s="323"/>
      <c r="D1172" s="323"/>
      <c r="E1172" s="323"/>
      <c r="F1172" s="1"/>
      <c r="AF1172" s="322"/>
      <c r="AJ1172" s="322"/>
      <c r="BG1172" s="322"/>
      <c r="BH1172" s="322"/>
      <c r="BI1172" s="322"/>
      <c r="BJ1172" s="113"/>
    </row>
    <row r="1173" spans="1:62" hidden="1" x14ac:dyDescent="0.25">
      <c r="A1173" s="323"/>
      <c r="B1173" s="323"/>
      <c r="C1173" s="323"/>
      <c r="D1173" s="323"/>
      <c r="E1173" s="323"/>
      <c r="F1173" s="1"/>
      <c r="AF1173" s="322"/>
      <c r="AJ1173" s="322"/>
      <c r="BG1173" s="322"/>
      <c r="BH1173" s="322"/>
      <c r="BI1173" s="322"/>
      <c r="BJ1173" s="113"/>
    </row>
    <row r="1174" spans="1:62" hidden="1" x14ac:dyDescent="0.25">
      <c r="A1174" s="323"/>
      <c r="B1174" s="323"/>
      <c r="C1174" s="323"/>
      <c r="D1174" s="323"/>
      <c r="E1174" s="323"/>
      <c r="F1174" s="1"/>
      <c r="AF1174" s="322"/>
      <c r="AJ1174" s="322"/>
      <c r="BG1174" s="322"/>
      <c r="BH1174" s="322"/>
      <c r="BI1174" s="322"/>
      <c r="BJ1174" s="113"/>
    </row>
    <row r="1175" spans="1:62" hidden="1" x14ac:dyDescent="0.25">
      <c r="A1175" s="323"/>
      <c r="B1175" s="323"/>
      <c r="C1175" s="323"/>
      <c r="D1175" s="323"/>
      <c r="E1175" s="323"/>
      <c r="F1175" s="1"/>
      <c r="AF1175" s="322"/>
      <c r="AJ1175" s="322"/>
      <c r="BG1175" s="322"/>
      <c r="BH1175" s="322"/>
      <c r="BI1175" s="322"/>
      <c r="BJ1175" s="113"/>
    </row>
    <row r="1176" spans="1:62" hidden="1" x14ac:dyDescent="0.25">
      <c r="A1176" s="323"/>
      <c r="B1176" s="323"/>
      <c r="C1176" s="323"/>
      <c r="D1176" s="323"/>
      <c r="E1176" s="323"/>
      <c r="F1176" s="1"/>
      <c r="AF1176" s="322"/>
      <c r="AJ1176" s="322"/>
      <c r="BG1176" s="322"/>
      <c r="BH1176" s="322"/>
      <c r="BI1176" s="322"/>
      <c r="BJ1176" s="113"/>
    </row>
    <row r="1177" spans="1:62" hidden="1" x14ac:dyDescent="0.25">
      <c r="A1177" s="323"/>
      <c r="B1177" s="323"/>
      <c r="C1177" s="323"/>
      <c r="D1177" s="323"/>
      <c r="E1177" s="323"/>
      <c r="F1177" s="1"/>
      <c r="AF1177" s="322"/>
      <c r="AJ1177" s="322"/>
      <c r="BG1177" s="322"/>
      <c r="BH1177" s="322"/>
      <c r="BI1177" s="322"/>
      <c r="BJ1177" s="113"/>
    </row>
    <row r="1178" spans="1:62" hidden="1" x14ac:dyDescent="0.25">
      <c r="A1178" s="323"/>
      <c r="B1178" s="323"/>
      <c r="C1178" s="323"/>
      <c r="D1178" s="323"/>
      <c r="E1178" s="323"/>
      <c r="F1178" s="1"/>
      <c r="AF1178" s="322"/>
      <c r="AJ1178" s="322"/>
      <c r="BG1178" s="322"/>
      <c r="BH1178" s="322"/>
      <c r="BI1178" s="322"/>
      <c r="BJ1178" s="113"/>
    </row>
    <row r="1179" spans="1:62" hidden="1" x14ac:dyDescent="0.25">
      <c r="A1179" s="323"/>
      <c r="B1179" s="323"/>
      <c r="C1179" s="323"/>
      <c r="D1179" s="323"/>
      <c r="E1179" s="323"/>
      <c r="F1179" s="1"/>
      <c r="AF1179" s="322"/>
      <c r="AJ1179" s="322"/>
      <c r="BG1179" s="322"/>
      <c r="BH1179" s="322"/>
      <c r="BI1179" s="322"/>
      <c r="BJ1179" s="113"/>
    </row>
    <row r="1180" spans="1:62" hidden="1" x14ac:dyDescent="0.25">
      <c r="A1180" s="323"/>
      <c r="B1180" s="323"/>
      <c r="C1180" s="323"/>
      <c r="D1180" s="323"/>
      <c r="E1180" s="323"/>
      <c r="F1180" s="1"/>
      <c r="AF1180" s="322"/>
      <c r="AJ1180" s="322"/>
      <c r="BG1180" s="322"/>
      <c r="BH1180" s="322"/>
      <c r="BI1180" s="322"/>
      <c r="BJ1180" s="113"/>
    </row>
    <row r="1181" spans="1:62" hidden="1" x14ac:dyDescent="0.25">
      <c r="A1181" s="323"/>
      <c r="B1181" s="323"/>
      <c r="C1181" s="323"/>
      <c r="D1181" s="323"/>
      <c r="E1181" s="323"/>
      <c r="F1181" s="1"/>
      <c r="AF1181" s="322"/>
      <c r="AJ1181" s="322"/>
      <c r="BG1181" s="322"/>
      <c r="BH1181" s="322"/>
      <c r="BI1181" s="322"/>
      <c r="BJ1181" s="113"/>
    </row>
    <row r="1182" spans="1:62" hidden="1" x14ac:dyDescent="0.25">
      <c r="A1182" s="323"/>
      <c r="B1182" s="323"/>
      <c r="C1182" s="323"/>
      <c r="D1182" s="323"/>
      <c r="E1182" s="323"/>
      <c r="F1182" s="1"/>
      <c r="AF1182" s="322"/>
      <c r="AJ1182" s="322"/>
      <c r="BG1182" s="322"/>
      <c r="BH1182" s="322"/>
      <c r="BI1182" s="322"/>
      <c r="BJ1182" s="113"/>
    </row>
    <row r="1183" spans="1:62" hidden="1" x14ac:dyDescent="0.25">
      <c r="A1183" s="323"/>
      <c r="B1183" s="323"/>
      <c r="C1183" s="323"/>
      <c r="D1183" s="323"/>
      <c r="E1183" s="323"/>
      <c r="F1183" s="1"/>
      <c r="AF1183" s="322"/>
      <c r="AJ1183" s="322"/>
      <c r="BG1183" s="322"/>
      <c r="BH1183" s="322"/>
      <c r="BI1183" s="322"/>
      <c r="BJ1183" s="113"/>
    </row>
    <row r="1184" spans="1:62" hidden="1" x14ac:dyDescent="0.25">
      <c r="A1184" s="323"/>
      <c r="B1184" s="323"/>
      <c r="C1184" s="323"/>
      <c r="D1184" s="323"/>
      <c r="E1184" s="323"/>
      <c r="F1184" s="1"/>
      <c r="AF1184" s="322"/>
      <c r="AJ1184" s="322"/>
      <c r="BG1184" s="322"/>
      <c r="BH1184" s="322"/>
      <c r="BI1184" s="322"/>
      <c r="BJ1184" s="113"/>
    </row>
    <row r="1185" spans="1:66" hidden="1" x14ac:dyDescent="0.25">
      <c r="A1185" s="323"/>
      <c r="B1185" s="323"/>
      <c r="C1185" s="323"/>
      <c r="D1185" s="323"/>
      <c r="E1185" s="323"/>
      <c r="F1185" s="1"/>
      <c r="AF1185" s="322"/>
      <c r="AJ1185" s="322"/>
      <c r="BG1185" s="322"/>
      <c r="BH1185" s="322"/>
      <c r="BI1185" s="322"/>
      <c r="BJ1185" s="113"/>
    </row>
    <row r="1186" spans="1:66" hidden="1" x14ac:dyDescent="0.25">
      <c r="A1186" s="323"/>
      <c r="B1186" s="323"/>
      <c r="C1186" s="323"/>
      <c r="D1186" s="323"/>
      <c r="E1186" s="323"/>
      <c r="F1186" s="1"/>
      <c r="AF1186" s="322"/>
      <c r="AJ1186" s="322"/>
      <c r="BG1186" s="322"/>
      <c r="BH1186" s="322"/>
      <c r="BI1186" s="322"/>
      <c r="BJ1186" s="113"/>
    </row>
    <row r="1187" spans="1:66" hidden="1" x14ac:dyDescent="0.25">
      <c r="A1187" s="323"/>
      <c r="B1187" s="323"/>
      <c r="C1187" s="323"/>
      <c r="D1187" s="323"/>
      <c r="E1187" s="323"/>
      <c r="F1187" s="1"/>
      <c r="AF1187" s="322"/>
      <c r="AJ1187" s="322"/>
      <c r="BG1187" s="322"/>
      <c r="BH1187" s="322"/>
      <c r="BI1187" s="322"/>
      <c r="BJ1187" s="113"/>
    </row>
    <row r="1188" spans="1:66" hidden="1" x14ac:dyDescent="0.25">
      <c r="A1188" s="323"/>
      <c r="B1188" s="323"/>
      <c r="C1188" s="323"/>
      <c r="D1188" s="323"/>
      <c r="E1188" s="323"/>
      <c r="F1188" s="1"/>
      <c r="AF1188" s="322"/>
      <c r="AJ1188" s="322"/>
      <c r="BG1188" s="322"/>
      <c r="BH1188" s="322"/>
      <c r="BI1188" s="322"/>
      <c r="BJ1188" s="113"/>
    </row>
    <row r="1189" spans="1:66" hidden="1" x14ac:dyDescent="0.25">
      <c r="A1189" s="323"/>
      <c r="B1189" s="323"/>
      <c r="C1189" s="323"/>
      <c r="D1189" s="323"/>
      <c r="E1189" s="323"/>
      <c r="F1189" s="1"/>
      <c r="AF1189" s="322"/>
      <c r="AJ1189" s="322"/>
      <c r="BG1189" s="322"/>
      <c r="BH1189" s="322"/>
      <c r="BI1189" s="322"/>
      <c r="BJ1189" s="113"/>
    </row>
    <row r="1190" spans="1:66" hidden="1" x14ac:dyDescent="0.25">
      <c r="A1190" s="323"/>
      <c r="B1190" s="323"/>
      <c r="C1190" s="323"/>
      <c r="D1190" s="323"/>
      <c r="E1190" s="323"/>
      <c r="F1190" s="1"/>
      <c r="AF1190" s="322"/>
      <c r="AJ1190" s="322"/>
      <c r="BG1190" s="322"/>
      <c r="BH1190" s="322"/>
      <c r="BI1190" s="322"/>
      <c r="BJ1190" s="113"/>
    </row>
    <row r="1191" spans="1:66" hidden="1" x14ac:dyDescent="0.25">
      <c r="A1191" s="323"/>
      <c r="B1191" s="323"/>
      <c r="C1191" s="323"/>
      <c r="D1191" s="323"/>
      <c r="E1191" s="323"/>
      <c r="F1191" s="1"/>
      <c r="AF1191" s="322"/>
      <c r="AJ1191" s="322"/>
      <c r="BG1191" s="322"/>
      <c r="BH1191" s="322"/>
      <c r="BI1191" s="322"/>
      <c r="BJ1191" s="113"/>
    </row>
    <row r="1192" spans="1:66" hidden="1" x14ac:dyDescent="0.25">
      <c r="A1192" s="323"/>
      <c r="B1192" s="323"/>
      <c r="C1192" s="323"/>
      <c r="D1192" s="323"/>
      <c r="E1192" s="323"/>
      <c r="F1192" s="1"/>
      <c r="AF1192" s="322"/>
      <c r="AJ1192" s="322"/>
      <c r="BG1192" s="322"/>
      <c r="BH1192" s="322"/>
      <c r="BI1192" s="322"/>
      <c r="BJ1192" s="113"/>
    </row>
    <row r="1193" spans="1:66" hidden="1" x14ac:dyDescent="0.25">
      <c r="A1193" s="323"/>
      <c r="B1193" s="323"/>
      <c r="C1193" s="323"/>
      <c r="D1193" s="323"/>
      <c r="E1193" s="323"/>
      <c r="F1193" s="1"/>
      <c r="AF1193" s="322"/>
      <c r="AJ1193" s="322"/>
      <c r="BG1193" s="322"/>
      <c r="BH1193" s="322"/>
      <c r="BI1193" s="322"/>
      <c r="BJ1193" s="113"/>
    </row>
    <row r="1194" spans="1:66" ht="19.95" hidden="1" customHeight="1" x14ac:dyDescent="0.25">
      <c r="A1194" s="323"/>
      <c r="B1194" s="323"/>
      <c r="C1194" s="323"/>
      <c r="D1194" s="323"/>
      <c r="E1194" s="323"/>
      <c r="F1194" s="1"/>
      <c r="AF1194" s="322"/>
      <c r="AJ1194" s="322"/>
      <c r="BG1194" s="322"/>
      <c r="BH1194" s="322"/>
      <c r="BI1194" s="322"/>
      <c r="BJ1194" s="113"/>
    </row>
    <row r="1195" spans="1:66" ht="10.050000000000001" hidden="1" customHeight="1" x14ac:dyDescent="0.25">
      <c r="A1195" s="323"/>
      <c r="B1195" s="323"/>
      <c r="C1195" s="323"/>
      <c r="D1195" s="323"/>
      <c r="E1195" s="323"/>
      <c r="F1195" s="1"/>
      <c r="AF1195" s="322"/>
      <c r="AJ1195" s="322"/>
      <c r="BG1195" s="322"/>
      <c r="BH1195" s="322"/>
      <c r="BI1195" s="322"/>
      <c r="BJ1195" s="113"/>
    </row>
    <row r="1196" spans="1:66" ht="30" hidden="1" customHeight="1" x14ac:dyDescent="0.25">
      <c r="A1196" s="45" t="s">
        <v>98</v>
      </c>
      <c r="B1196" s="45" t="s">
        <v>843</v>
      </c>
      <c r="C1196" s="45"/>
      <c r="D1196" s="45"/>
      <c r="E1196" s="45"/>
      <c r="F1196" s="45"/>
      <c r="AC1196" s="60">
        <f>AC1202+AC1212+AC1222+AC1232+AC1242+AC1252+AC1262+AC1272+AC1282+AC1292+AC1302+AC1312+AC1322+AC1332+AC1342+AC1352+AC1362+AC1372+AC1382+AC1392+AC1402+AC1412+AC1422+AC1432</f>
        <v>1</v>
      </c>
      <c r="AD1196" s="56" t="s">
        <v>844</v>
      </c>
      <c r="AL1196" s="332" t="str">
        <f>TEXT(AC1196,"0")</f>
        <v>1</v>
      </c>
      <c r="AM1196" s="332"/>
      <c r="BN1196" s="333" t="str">
        <f>IF(NOT(C1205=AM1205),C1205,"")</f>
        <v/>
      </c>
    </row>
    <row r="1197" spans="1:66" ht="19.95" hidden="1" customHeight="1" x14ac:dyDescent="0.25">
      <c r="A1197" s="48"/>
      <c r="B1197" s="581" t="str">
        <f>BD1197</f>
        <v>Build up your Support Team, one supporter at a time.</v>
      </c>
      <c r="C1197" s="581"/>
      <c r="D1197" s="581"/>
      <c r="E1197" s="49"/>
      <c r="F1197" s="108"/>
      <c r="AC1197" s="334">
        <f>(AJ1197)/AC1196</f>
        <v>45</v>
      </c>
      <c r="AD1197" s="56" t="s">
        <v>845</v>
      </c>
      <c r="AJ1197" s="437">
        <f>50-5</f>
        <v>45</v>
      </c>
      <c r="AL1197" s="56">
        <v>50</v>
      </c>
      <c r="AO1197" s="56" t="s">
        <v>846</v>
      </c>
      <c r="BD1197" s="56" t="s">
        <v>847</v>
      </c>
    </row>
    <row r="1198" spans="1:66" ht="4.95" hidden="1" customHeight="1" x14ac:dyDescent="0.25">
      <c r="A1198" s="336"/>
      <c r="B1198" s="337"/>
      <c r="C1198" s="337"/>
      <c r="D1198" s="337"/>
      <c r="E1198" s="338"/>
      <c r="F1198" s="1"/>
      <c r="AC1198" s="334"/>
      <c r="AJ1198" s="437"/>
    </row>
    <row r="1199" spans="1:66" ht="75" hidden="1" customHeight="1" x14ac:dyDescent="0.25">
      <c r="A1199" s="338"/>
      <c r="B1199" s="339" t="s">
        <v>848</v>
      </c>
      <c r="C1199" s="613" t="str">
        <f>AC1200</f>
        <v>Invite supporters to help cover the weekly support fee, after claimant and proxy covers 10%. For step 1, you and your proxy will cover $5 while your support team covers the remaining $45. Later, for group video-chat, you and your proxy covers $10 while your support team covers the remaining $90. Only $45 to go for weekly support.</v>
      </c>
      <c r="D1199" s="613"/>
      <c r="E1199" s="338"/>
      <c r="F1199" s="1"/>
      <c r="AC1199" s="614">
        <f ca="1">TODAY()</f>
        <v>44336</v>
      </c>
      <c r="AD1199" s="614"/>
      <c r="AE1199" s="614"/>
      <c r="AF1199" s="615">
        <f ca="1">AC1199-365</f>
        <v>43971</v>
      </c>
      <c r="AG1199" s="615"/>
      <c r="AH1199" s="615"/>
      <c r="AI1199" s="615">
        <f ca="1">AC1199+365</f>
        <v>44701</v>
      </c>
      <c r="AJ1199" s="616"/>
      <c r="AK1199" s="616"/>
      <c r="AO1199" s="58" t="str">
        <f>IF(BD1201&lt;0,"Once over that amount, you can cover the possibility of attrition, when you may lose some supporters.","")</f>
        <v/>
      </c>
      <c r="BH1199" s="58" t="s">
        <v>849</v>
      </c>
    </row>
    <row r="1200" spans="1:66" ht="15" hidden="1" customHeight="1" thickBot="1" x14ac:dyDescent="0.4">
      <c r="A1200" s="338"/>
      <c r="B1200" s="340"/>
      <c r="C1200" s="341"/>
      <c r="D1200" s="342"/>
      <c r="E1200" s="338"/>
      <c r="F1200" s="1"/>
      <c r="AC1200" s="343" t="str">
        <f>CONCATENATE(AE1200,AZ1200)</f>
        <v>Invite supporters to help cover the weekly support fee, after claimant and proxy covers 10%. For step 1, you and your proxy will cover $5 while your support team covers the remaining $45. Later, for group video-chat, you and your proxy covers $10 while your support team covers the remaining $90. Only $45 to go for weekly support.</v>
      </c>
      <c r="AD1200" s="344"/>
      <c r="AE1200" s="343" t="s">
        <v>850</v>
      </c>
      <c r="AF1200" s="344"/>
      <c r="AG1200" s="344"/>
      <c r="AH1200" s="344"/>
      <c r="AI1200" s="344"/>
      <c r="AJ1200" s="345"/>
      <c r="AK1200" s="345"/>
      <c r="AZ1200" s="56" t="str">
        <f>IF(BD1201&gt;=0,CONCATENATE(BB1200,BF1200),AO1199)</f>
        <v>Only $45 to go for weekly support.</v>
      </c>
      <c r="BB1200" s="56" t="s">
        <v>851</v>
      </c>
      <c r="BD1200" s="346" t="str">
        <f>DOLLAR(AJ1197-(SUM(BD1207:BD1438)),0)</f>
        <v>$45</v>
      </c>
      <c r="BF1200" s="343" t="str">
        <f>CONCATENATE(BD1200,BH1199)</f>
        <v>$45 to go for weekly support.</v>
      </c>
    </row>
    <row r="1201" spans="1:69" ht="16.8" hidden="1" thickTop="1" thickBot="1" x14ac:dyDescent="0.35">
      <c r="A1201" s="347">
        <f>IF(C1201="",0,1+A1197)</f>
        <v>1</v>
      </c>
      <c r="B1201" s="348" t="s">
        <v>852</v>
      </c>
      <c r="C1201" s="349" t="str">
        <f>AM1201</f>
        <v>FIRST NAME</v>
      </c>
      <c r="D1201" s="350" t="str">
        <f>AQ1201</f>
        <v>LAST NAME</v>
      </c>
      <c r="E1201" s="338"/>
      <c r="F1201" s="1"/>
      <c r="AC1201" s="333" t="str">
        <f>IF(NOT(C1201=AM1201),C1201,"")</f>
        <v/>
      </c>
      <c r="AH1201" s="333" t="str">
        <f>IF(NOT(D1201=AQ1201),D1201,"")</f>
        <v/>
      </c>
      <c r="AM1201" s="351" t="s">
        <v>853</v>
      </c>
      <c r="AQ1201" s="351" t="s">
        <v>107</v>
      </c>
      <c r="BB1201" s="56"/>
      <c r="BD1201" s="322">
        <f>AJ1197-(SUM(BD1207:BD1439))</f>
        <v>45</v>
      </c>
      <c r="BM1201" s="352" t="s">
        <v>854</v>
      </c>
      <c r="BN1201" s="289" t="s">
        <v>855</v>
      </c>
    </row>
    <row r="1202" spans="1:69" ht="15.6" hidden="1" thickTop="1" thickBot="1" x14ac:dyDescent="0.35">
      <c r="A1202" s="336"/>
      <c r="B1202" s="338" t="s">
        <v>856</v>
      </c>
      <c r="C1202" s="353"/>
      <c r="D1202" s="5"/>
      <c r="E1202" s="338"/>
      <c r="F1202" s="1"/>
      <c r="AC1202" s="56">
        <f>IF(C1202="",0,1)</f>
        <v>0</v>
      </c>
      <c r="AE1202" s="56">
        <f>IF($AC$1202=1,AC$1197,0)</f>
        <v>0</v>
      </c>
      <c r="BB1202" s="56"/>
      <c r="BM1202" s="352" t="s">
        <v>857</v>
      </c>
      <c r="BN1202" s="289" t="s">
        <v>858</v>
      </c>
    </row>
    <row r="1203" spans="1:69" ht="13.95" hidden="1" customHeight="1" thickTop="1" thickBot="1" x14ac:dyDescent="0.35">
      <c r="A1203" s="336"/>
      <c r="B1203" s="354" t="s">
        <v>859</v>
      </c>
      <c r="C1203" s="353"/>
      <c r="D1203" s="355" t="str">
        <f>AS1203</f>
        <v>AWARENESS OF ISSUE</v>
      </c>
      <c r="E1203" s="338"/>
      <c r="F1203" s="1"/>
      <c r="AM1203" s="356"/>
      <c r="AN1203" s="356"/>
      <c r="AO1203" s="356"/>
      <c r="AP1203" s="356"/>
      <c r="AS1203" s="56" t="s">
        <v>860</v>
      </c>
      <c r="BB1203" s="56"/>
      <c r="BM1203" s="352" t="s">
        <v>861</v>
      </c>
      <c r="BN1203" s="289" t="s">
        <v>862</v>
      </c>
    </row>
    <row r="1204" spans="1:69" ht="13.95" hidden="1" customHeight="1" thickTop="1" thickBot="1" x14ac:dyDescent="0.35">
      <c r="A1204" s="336"/>
      <c r="B1204" s="348" t="s">
        <v>863</v>
      </c>
      <c r="C1204" s="357" t="s">
        <v>864</v>
      </c>
      <c r="D1204" s="357" t="s">
        <v>865</v>
      </c>
      <c r="E1204" s="338"/>
      <c r="F1204" s="1"/>
      <c r="AS1204" s="56" t="str">
        <f>CONCATENATE(AS1205,AX1205,AZ1205)</f>
        <v>This contribution is 0% of the average contribution.</v>
      </c>
      <c r="BB1204" s="56"/>
      <c r="BM1204" s="352" t="s">
        <v>866</v>
      </c>
      <c r="BN1204" s="289" t="s">
        <v>867</v>
      </c>
    </row>
    <row r="1205" spans="1:69" ht="13.95" hidden="1" customHeight="1" thickTop="1" thickBot="1" x14ac:dyDescent="0.35">
      <c r="A1205" s="336"/>
      <c r="B1205" s="337" t="s">
        <v>868</v>
      </c>
      <c r="C1205" s="358" t="str">
        <f>AM1205</f>
        <v>YYYY-MM-DD</v>
      </c>
      <c r="D1205" s="358" t="str">
        <f>AM1205</f>
        <v>YYYY-MM-DD</v>
      </c>
      <c r="E1205" s="338"/>
      <c r="F1205" s="1"/>
      <c r="AH1205" s="616" t="str">
        <f>IF(NOT(D1205=AQ1205),D1205,"")</f>
        <v>YYYY-MM-DD</v>
      </c>
      <c r="AI1205" s="616"/>
      <c r="AM1205" s="351" t="s">
        <v>869</v>
      </c>
      <c r="AQ1205" s="351"/>
      <c r="AS1205" s="56" t="s">
        <v>870</v>
      </c>
      <c r="AX1205" s="359">
        <f>ROUND((BB1207*100),0)</f>
        <v>0</v>
      </c>
      <c r="AZ1205" s="56" t="s">
        <v>871</v>
      </c>
      <c r="BB1205" s="56"/>
      <c r="BM1205" s="352" t="s">
        <v>872</v>
      </c>
      <c r="BN1205" s="289" t="s">
        <v>873</v>
      </c>
    </row>
    <row r="1206" spans="1:69" ht="13.95" hidden="1" customHeight="1" thickTop="1" thickBot="1" x14ac:dyDescent="0.3">
      <c r="A1206" s="336"/>
      <c r="B1206" s="337" t="s">
        <v>874</v>
      </c>
      <c r="C1206" s="360"/>
      <c r="D1206" s="361" t="str">
        <f>AC1206</f>
        <v/>
      </c>
      <c r="E1206" s="338"/>
      <c r="F1206" s="1"/>
      <c r="AC1206" s="58" t="str">
        <f>IF(AND(AC$1196&gt;0,C1206=BN$1201),BM$1201,IF(AND(AC$1196&gt;0,C1206=BN$1202),BM$1202,IF(AND(AC$1196&gt;0,C1206=BN$1203),BM$1203,IF(AND(AC$1196&gt;0,C1206=BN$1204),BM$1204,IF(AND(AC$1196&gt;0,C1206=BN$1205),BM$1205,"")))))</f>
        <v/>
      </c>
      <c r="AI1206" s="626">
        <f>AV1207/AL$1197</f>
        <v>0</v>
      </c>
      <c r="AJ1206" s="626"/>
      <c r="AK1206" s="56" t="s">
        <v>875</v>
      </c>
      <c r="AO1206" s="11" t="str">
        <f>IF(AI1206=0,"none",(AI1206*100))</f>
        <v>none</v>
      </c>
      <c r="AP1206" s="56" t="str">
        <f>IF(AO1206="none"," of weekly support cost.","% of weekly support cost.")</f>
        <v xml:space="preserve"> of weekly support cost.</v>
      </c>
      <c r="BB1206" s="56"/>
      <c r="BQ1206" s="56" t="s">
        <v>876</v>
      </c>
    </row>
    <row r="1207" spans="1:69" ht="13.95" hidden="1" customHeight="1" thickTop="1" thickBot="1" x14ac:dyDescent="0.3">
      <c r="A1207" s="336"/>
      <c r="B1207" s="337" t="s">
        <v>877</v>
      </c>
      <c r="C1207" s="362"/>
      <c r="D1207" s="337" t="str">
        <f>IF(NOT(AV1207&gt;0),"",AC1207)</f>
        <v/>
      </c>
      <c r="E1207" s="338"/>
      <c r="F1207" s="1"/>
      <c r="AC1207" s="263" t="str">
        <f>CONCATENATE(AO1207,AT1207)</f>
        <v>Weekly contribution: $0.00</v>
      </c>
      <c r="AO1207" s="56" t="s">
        <v>878</v>
      </c>
      <c r="AT1207" s="263" t="str">
        <f>DOLLAR(AV1207)</f>
        <v>$0.00</v>
      </c>
      <c r="AV1207" s="338">
        <f>IF(AND(D1206=BM$1205,C1207=B$2043),D$2043,IF(AND(D1206=BM$1205,C1207=B$2044),D$2044,IF(AND(D1206=BM$1205,C1207=B$2045),D$2045,IF(AND(D1206=BM$1205,C1207=B$2046),D$2046,IF(AND(D1206=BM$1205,C1207=B$2047),D$2047,IF(AND(D1206=BM$1205,C1207=B$2048),D$2048,0))))))</f>
        <v>0</v>
      </c>
      <c r="AX1207" s="11" t="str">
        <f>DOLLAR(AZ1207)</f>
        <v>$45.00</v>
      </c>
      <c r="AZ1207" s="363">
        <f>$AJ$1197-AV1207</f>
        <v>45</v>
      </c>
      <c r="BB1207" s="359"/>
      <c r="BD1207" s="322">
        <f>AV1207</f>
        <v>0</v>
      </c>
      <c r="BQ1207" s="56" t="s">
        <v>879</v>
      </c>
    </row>
    <row r="1208" spans="1:69" ht="13.95" hidden="1" customHeight="1" thickTop="1" x14ac:dyDescent="0.25">
      <c r="A1208" s="336"/>
      <c r="B1208" s="337"/>
      <c r="C1208" s="337" t="str">
        <f>CONCATENATE(AK1206,AO1206,AP1206)</f>
        <v>This covers none of weekly support cost.</v>
      </c>
      <c r="D1208" s="337" t="str">
        <f>BF$1200</f>
        <v>$45 to go for weekly support.</v>
      </c>
      <c r="E1208" s="338"/>
      <c r="F1208" s="1"/>
      <c r="AC1208" s="56" t="s">
        <v>880</v>
      </c>
      <c r="AI1208" s="154">
        <f>MIN(D1206,AE1202)</f>
        <v>0</v>
      </c>
      <c r="AJ1208" s="56">
        <f>ROUND(AI1208,2)</f>
        <v>0</v>
      </c>
      <c r="AK1208" s="56" t="str">
        <f>CONCATENATE(AC1208,AJ1208)</f>
        <v>contribution per exchange: $0</v>
      </c>
      <c r="BQ1208" s="56" t="s">
        <v>881</v>
      </c>
    </row>
    <row r="1209" spans="1:69" ht="13.95" hidden="1" customHeight="1" x14ac:dyDescent="0.25">
      <c r="A1209" s="336"/>
      <c r="B1209" s="337"/>
      <c r="C1209" s="337"/>
      <c r="D1209" s="337"/>
      <c r="E1209" s="338"/>
      <c r="F1209" s="1"/>
      <c r="BQ1209" s="56" t="s">
        <v>882</v>
      </c>
    </row>
    <row r="1210" spans="1:69" ht="4.95" hidden="1" customHeight="1" thickBot="1" x14ac:dyDescent="0.3">
      <c r="A1210" s="338"/>
      <c r="B1210" s="340"/>
      <c r="C1210" s="341"/>
      <c r="D1210" s="338"/>
      <c r="E1210" s="338"/>
      <c r="F1210" s="1"/>
      <c r="AC1210" s="334"/>
      <c r="AJ1210" s="437"/>
      <c r="BB1210" s="56"/>
    </row>
    <row r="1211" spans="1:69" ht="16.8" hidden="1" thickTop="1" thickBot="1" x14ac:dyDescent="0.3">
      <c r="A1211" s="347">
        <f>IF(C1211="",0,1+A1201)</f>
        <v>2</v>
      </c>
      <c r="B1211" s="348" t="s">
        <v>883</v>
      </c>
      <c r="C1211" s="349" t="str">
        <f>AM1211</f>
        <v>FIRST NAME</v>
      </c>
      <c r="D1211" s="350" t="str">
        <f>AQ1211</f>
        <v>LAST NAME</v>
      </c>
      <c r="E1211" s="338"/>
      <c r="F1211" s="1"/>
      <c r="AC1211" s="333" t="str">
        <f>IF(NOT(C1211=AM1211),C1211,"")</f>
        <v/>
      </c>
      <c r="AH1211" s="333" t="str">
        <f>IF(NOT(D1211=AQ1211),D1211,"")</f>
        <v/>
      </c>
      <c r="AM1211" s="351" t="s">
        <v>853</v>
      </c>
      <c r="AQ1211" s="351" t="s">
        <v>107</v>
      </c>
      <c r="BB1211" s="56"/>
    </row>
    <row r="1212" spans="1:69" ht="15" hidden="1" thickTop="1" thickBot="1" x14ac:dyDescent="0.3">
      <c r="A1212" s="336"/>
      <c r="B1212" s="338" t="s">
        <v>856</v>
      </c>
      <c r="C1212" s="353" t="s">
        <v>884</v>
      </c>
      <c r="D1212" s="5"/>
      <c r="E1212" s="338"/>
      <c r="F1212" s="1"/>
      <c r="AC1212" s="56">
        <f>IF(C1212="",0,1)</f>
        <v>1</v>
      </c>
      <c r="AE1212" s="56">
        <f>IF($AC$1202=1,AC$1197,0)</f>
        <v>0</v>
      </c>
      <c r="BB1212" s="56"/>
    </row>
    <row r="1213" spans="1:69" ht="13.95" hidden="1" customHeight="1" thickTop="1" thickBot="1" x14ac:dyDescent="0.3">
      <c r="A1213" s="336"/>
      <c r="B1213" s="354" t="s">
        <v>859</v>
      </c>
      <c r="C1213" s="353"/>
      <c r="D1213" s="355" t="str">
        <f>AS1213</f>
        <v>AWARENESS OF ISSUE</v>
      </c>
      <c r="E1213" s="338"/>
      <c r="F1213" s="1"/>
      <c r="AM1213" s="356"/>
      <c r="AN1213" s="356"/>
      <c r="AO1213" s="356"/>
      <c r="AP1213" s="356"/>
      <c r="AS1213" s="56" t="str">
        <f>AS1203</f>
        <v>AWARENESS OF ISSUE</v>
      </c>
      <c r="BB1213" s="56"/>
    </row>
    <row r="1214" spans="1:69" ht="13.95" hidden="1" customHeight="1" thickTop="1" thickBot="1" x14ac:dyDescent="0.3">
      <c r="A1214" s="336"/>
      <c r="B1214" s="348" t="s">
        <v>863</v>
      </c>
      <c r="C1214" s="357" t="s">
        <v>864</v>
      </c>
      <c r="D1214" s="357" t="s">
        <v>865</v>
      </c>
      <c r="E1214" s="338"/>
      <c r="F1214" s="1"/>
      <c r="BB1214" s="56"/>
    </row>
    <row r="1215" spans="1:69" ht="13.95" hidden="1" customHeight="1" thickTop="1" thickBot="1" x14ac:dyDescent="0.3">
      <c r="A1215" s="336"/>
      <c r="B1215" s="337" t="s">
        <v>868</v>
      </c>
      <c r="C1215" s="358" t="str">
        <f>AM1215</f>
        <v>YYYY-MM-DD</v>
      </c>
      <c r="D1215" s="358" t="str">
        <f>AM1215</f>
        <v>YYYY-MM-DD</v>
      </c>
      <c r="E1215" s="338"/>
      <c r="F1215" s="1"/>
      <c r="AH1215" s="616" t="str">
        <f>IF(NOT(D1215=AQ1215),D1215,"")</f>
        <v>YYYY-MM-DD</v>
      </c>
      <c r="AI1215" s="616"/>
      <c r="AM1215" s="351" t="s">
        <v>869</v>
      </c>
      <c r="AQ1215" s="351"/>
      <c r="BB1215" s="56"/>
    </row>
    <row r="1216" spans="1:69" ht="13.95" hidden="1" customHeight="1" thickTop="1" thickBot="1" x14ac:dyDescent="0.3">
      <c r="A1216" s="336"/>
      <c r="B1216" s="337" t="s">
        <v>874</v>
      </c>
      <c r="C1216" s="360"/>
      <c r="D1216" s="361" t="str">
        <f>AC1216</f>
        <v/>
      </c>
      <c r="E1216" s="338"/>
      <c r="F1216" s="1"/>
      <c r="AC1216" s="58" t="str">
        <f>IF(AND(AC$1196&gt;0,C1216=BN$1201),BM$1201,IF(AND(AC$1196&gt;0,C1216=BN$1202),BM$1202,IF(AND(AC$1196&gt;0,C1216=BN$1203),BM$1203,IF(AND(AC$1196&gt;0,C1216=BN$1204),BM$1204,IF(AND(AC$1196&gt;0,C1216=BN$1205),BM$1205,"")))))</f>
        <v/>
      </c>
      <c r="AI1216" s="626">
        <f>AV1217/AL$1197</f>
        <v>0</v>
      </c>
      <c r="AJ1216" s="626"/>
      <c r="AK1216" s="56" t="s">
        <v>875</v>
      </c>
      <c r="AO1216" s="11" t="str">
        <f>IF(AI1216=0,"none",(AI1216*100))</f>
        <v>none</v>
      </c>
      <c r="AP1216" s="56" t="str">
        <f>IF(AO1216="none"," of weekly support cost.","% of weekly support cost.")</f>
        <v xml:space="preserve"> of weekly support cost.</v>
      </c>
      <c r="BB1216" s="56"/>
    </row>
    <row r="1217" spans="1:56" ht="13.95" hidden="1" customHeight="1" thickTop="1" thickBot="1" x14ac:dyDescent="0.3">
      <c r="A1217" s="336"/>
      <c r="B1217" s="337" t="s">
        <v>877</v>
      </c>
      <c r="C1217" s="362"/>
      <c r="D1217" s="337" t="str">
        <f>IF(NOT(AV1217&gt;0),"",AC1217)</f>
        <v/>
      </c>
      <c r="E1217" s="338"/>
      <c r="F1217" s="1"/>
      <c r="AC1217" s="263" t="str">
        <f>CONCATENATE(AO1217,AT1217)</f>
        <v>Weekly contribution: $0.00</v>
      </c>
      <c r="AO1217" s="56" t="s">
        <v>878</v>
      </c>
      <c r="AT1217" s="263" t="str">
        <f>DOLLAR(AV1217)</f>
        <v>$0.00</v>
      </c>
      <c r="AV1217" s="338">
        <f>IF(AND(D1216=BM$1205,C1217=B$2043),D$2043,IF(AND(D1216=BM$1205,C1217=B$2044),D$2044,IF(AND(D1216=BM$1205,C1217=B$2045),D$2045,IF(AND(D1216=BM$1205,C1217=B$2046),D$2046,IF(AND(D1216=BM$1205,C1217=B$2047),D$2047,IF(AND(D1216=BM$1205,C1217=B$2048),D$2048,0))))))</f>
        <v>0</v>
      </c>
      <c r="AX1217" s="11" t="str">
        <f>DOLLAR(AZ1217)</f>
        <v>$45.00</v>
      </c>
      <c r="AZ1217" s="363">
        <f>$AJ$1197-AV1217</f>
        <v>45</v>
      </c>
      <c r="BB1217" s="359"/>
      <c r="BD1217" s="322">
        <f>AV1217</f>
        <v>0</v>
      </c>
    </row>
    <row r="1218" spans="1:56" ht="13.95" hidden="1" customHeight="1" thickTop="1" x14ac:dyDescent="0.25">
      <c r="A1218" s="336"/>
      <c r="B1218" s="337"/>
      <c r="C1218" s="337" t="str">
        <f>CONCATENATE(AK1216,AO1216,AP1216)</f>
        <v>This covers none of weekly support cost.</v>
      </c>
      <c r="D1218" s="337" t="str">
        <f>BF$1200</f>
        <v>$45 to go for weekly support.</v>
      </c>
      <c r="E1218" s="338"/>
      <c r="F1218" s="1"/>
      <c r="AC1218" s="56" t="s">
        <v>880</v>
      </c>
      <c r="AI1218" s="154">
        <f>MIN(D1216,AE1212)</f>
        <v>0</v>
      </c>
      <c r="AJ1218" s="56">
        <f>ROUND(AI1218,2)</f>
        <v>0</v>
      </c>
      <c r="AK1218" s="56" t="str">
        <f>CONCATENATE(AC1218,AJ1218)</f>
        <v>contribution per exchange: $0</v>
      </c>
    </row>
    <row r="1219" spans="1:56" ht="13.95" hidden="1" customHeight="1" x14ac:dyDescent="0.25">
      <c r="A1219" s="336"/>
      <c r="B1219" s="337"/>
      <c r="C1219" s="337"/>
      <c r="D1219" s="337"/>
      <c r="E1219" s="338"/>
      <c r="F1219" s="1"/>
    </row>
    <row r="1220" spans="1:56" ht="4.95" hidden="1" customHeight="1" thickBot="1" x14ac:dyDescent="0.3">
      <c r="A1220" s="338"/>
      <c r="B1220" s="340"/>
      <c r="C1220" s="341"/>
      <c r="D1220" s="338"/>
      <c r="E1220" s="338"/>
      <c r="F1220" s="1"/>
      <c r="AC1220" s="334"/>
      <c r="AJ1220" s="437"/>
      <c r="BB1220" s="56"/>
    </row>
    <row r="1221" spans="1:56" ht="16.8" hidden="1" thickTop="1" thickBot="1" x14ac:dyDescent="0.3">
      <c r="A1221" s="347">
        <f>IF(C1221="",0,1+A1211)</f>
        <v>3</v>
      </c>
      <c r="B1221" s="348" t="s">
        <v>885</v>
      </c>
      <c r="C1221" s="349" t="str">
        <f>AM1221</f>
        <v>FIRST NAME</v>
      </c>
      <c r="D1221" s="350" t="str">
        <f>AQ1221</f>
        <v>LAST NAME</v>
      </c>
      <c r="E1221" s="338"/>
      <c r="F1221" s="1"/>
      <c r="AC1221" s="333" t="str">
        <f>IF(NOT(C1221=AM1221),C1221,"")</f>
        <v/>
      </c>
      <c r="AH1221" s="333" t="str">
        <f>IF(NOT(D1221=AQ1221),D1221,"")</f>
        <v/>
      </c>
      <c r="AM1221" s="351" t="s">
        <v>853</v>
      </c>
      <c r="AQ1221" s="351" t="s">
        <v>107</v>
      </c>
      <c r="BB1221" s="56"/>
    </row>
    <row r="1222" spans="1:56" ht="15" hidden="1" thickTop="1" thickBot="1" x14ac:dyDescent="0.3">
      <c r="A1222" s="336"/>
      <c r="B1222" s="338" t="s">
        <v>856</v>
      </c>
      <c r="C1222" s="353"/>
      <c r="D1222" s="5"/>
      <c r="E1222" s="338"/>
      <c r="F1222" s="1"/>
      <c r="AC1222" s="56">
        <f>IF(C1222="",0,1)</f>
        <v>0</v>
      </c>
      <c r="AE1222" s="56">
        <f>IF($AC$1202=1,AC$1197,0)</f>
        <v>0</v>
      </c>
      <c r="BB1222" s="56"/>
    </row>
    <row r="1223" spans="1:56" ht="13.95" hidden="1" customHeight="1" thickTop="1" thickBot="1" x14ac:dyDescent="0.3">
      <c r="A1223" s="336"/>
      <c r="B1223" s="354" t="s">
        <v>859</v>
      </c>
      <c r="C1223" s="353"/>
      <c r="D1223" s="355" t="str">
        <f>AS1223</f>
        <v>AWARENESS OF ISSUE</v>
      </c>
      <c r="E1223" s="338"/>
      <c r="F1223" s="1"/>
      <c r="AM1223" s="356"/>
      <c r="AN1223" s="356"/>
      <c r="AO1223" s="356"/>
      <c r="AP1223" s="356"/>
      <c r="AS1223" s="56" t="str">
        <f>AS1213</f>
        <v>AWARENESS OF ISSUE</v>
      </c>
      <c r="BB1223" s="56"/>
    </row>
    <row r="1224" spans="1:56" ht="13.95" hidden="1" customHeight="1" thickTop="1" thickBot="1" x14ac:dyDescent="0.3">
      <c r="A1224" s="336"/>
      <c r="B1224" s="348" t="s">
        <v>863</v>
      </c>
      <c r="C1224" s="357" t="s">
        <v>864</v>
      </c>
      <c r="D1224" s="357" t="s">
        <v>865</v>
      </c>
      <c r="E1224" s="338"/>
      <c r="F1224" s="1"/>
      <c r="BB1224" s="56"/>
    </row>
    <row r="1225" spans="1:56" ht="13.95" hidden="1" customHeight="1" thickTop="1" thickBot="1" x14ac:dyDescent="0.3">
      <c r="A1225" s="336"/>
      <c r="B1225" s="337" t="s">
        <v>868</v>
      </c>
      <c r="C1225" s="358" t="str">
        <f>AM1225</f>
        <v>YYYY-MM-DD</v>
      </c>
      <c r="D1225" s="358" t="str">
        <f>AM1225</f>
        <v>YYYY-MM-DD</v>
      </c>
      <c r="E1225" s="338"/>
      <c r="F1225" s="1"/>
      <c r="AH1225" s="616" t="str">
        <f>IF(NOT(D1225=AQ1225),D1225,"")</f>
        <v>YYYY-MM-DD</v>
      </c>
      <c r="AI1225" s="616"/>
      <c r="AM1225" s="351" t="s">
        <v>869</v>
      </c>
      <c r="AQ1225" s="351"/>
      <c r="BB1225" s="56"/>
    </row>
    <row r="1226" spans="1:56" ht="13.95" hidden="1" customHeight="1" thickTop="1" thickBot="1" x14ac:dyDescent="0.3">
      <c r="A1226" s="336"/>
      <c r="B1226" s="337" t="s">
        <v>874</v>
      </c>
      <c r="C1226" s="360"/>
      <c r="D1226" s="361" t="str">
        <f>AC1226</f>
        <v/>
      </c>
      <c r="E1226" s="338"/>
      <c r="F1226" s="1"/>
      <c r="AC1226" s="58" t="str">
        <f>IF(AND(AC$1196&gt;0,C1226=BN$1201),BM$1201,IF(AND(AC$1196&gt;0,C1226=BN$1202),BM$1202,IF(AND(AC$1196&gt;0,C1226=BN$1203),BM$1203,IF(AND(AC$1196&gt;0,C1226=BN$1204),BM$1204,IF(AND(AC$1196&gt;0,C1226=BN$1205),BM$1205,"")))))</f>
        <v/>
      </c>
      <c r="AI1226" s="626">
        <f>AV1227/AL$1197</f>
        <v>0</v>
      </c>
      <c r="AJ1226" s="626"/>
      <c r="AK1226" s="56" t="s">
        <v>875</v>
      </c>
      <c r="AO1226" s="11" t="str">
        <f>IF(AI1226=0,"none",(AI1226*100))</f>
        <v>none</v>
      </c>
      <c r="AP1226" s="56" t="str">
        <f>IF(AO1226="none"," of weekly support cost.","% of weekly support cost.")</f>
        <v xml:space="preserve"> of weekly support cost.</v>
      </c>
      <c r="BB1226" s="56"/>
    </row>
    <row r="1227" spans="1:56" ht="13.95" hidden="1" customHeight="1" thickTop="1" thickBot="1" x14ac:dyDescent="0.3">
      <c r="A1227" s="336"/>
      <c r="B1227" s="337" t="s">
        <v>877</v>
      </c>
      <c r="C1227" s="362"/>
      <c r="D1227" s="337" t="str">
        <f>IF(NOT(AV1227&gt;0),"",AC1227)</f>
        <v/>
      </c>
      <c r="E1227" s="338"/>
      <c r="F1227" s="1"/>
      <c r="AC1227" s="263" t="str">
        <f>CONCATENATE(AO1227,AT1227)</f>
        <v>Weekly contribution: $0.00</v>
      </c>
      <c r="AO1227" s="56" t="s">
        <v>878</v>
      </c>
      <c r="AT1227" s="263" t="str">
        <f>DOLLAR(AV1227)</f>
        <v>$0.00</v>
      </c>
      <c r="AV1227" s="338">
        <f>IF(AND(D1226=BM$1205,C1227=B$2043),D$2043,IF(AND(D1226=BM$1205,C1227=B$2044),D$2044,IF(AND(D1226=BM$1205,C1227=B$2045),D$2045,IF(AND(D1226=BM$1205,C1227=B$2046),D$2046,IF(AND(D1226=BM$1205,C1227=B$2047),D$2047,IF(AND(D1226=BM$1205,C1227=B$2048),D$2048,0))))))</f>
        <v>0</v>
      </c>
      <c r="AX1227" s="11" t="str">
        <f>DOLLAR(AZ1227)</f>
        <v>$45.00</v>
      </c>
      <c r="AZ1227" s="363">
        <f>$AJ$1197-AV1227</f>
        <v>45</v>
      </c>
      <c r="BB1227" s="56"/>
      <c r="BD1227" s="322">
        <f>AV1227</f>
        <v>0</v>
      </c>
    </row>
    <row r="1228" spans="1:56" ht="13.95" hidden="1" customHeight="1" thickTop="1" x14ac:dyDescent="0.25">
      <c r="A1228" s="336"/>
      <c r="B1228" s="337"/>
      <c r="C1228" s="337" t="str">
        <f>CONCATENATE(AK1226,AO1226,AP1226)</f>
        <v>This covers none of weekly support cost.</v>
      </c>
      <c r="D1228" s="337" t="str">
        <f>BF$1200</f>
        <v>$45 to go for weekly support.</v>
      </c>
      <c r="E1228" s="338"/>
      <c r="F1228" s="1"/>
      <c r="AC1228" s="56" t="s">
        <v>880</v>
      </c>
      <c r="AI1228" s="154">
        <f>MIN(D1226,AE1222)</f>
        <v>0</v>
      </c>
      <c r="AJ1228" s="56">
        <f>ROUND(AI1228,2)</f>
        <v>0</v>
      </c>
      <c r="AK1228" s="56" t="str">
        <f>CONCATENATE(AC1228,AJ1228)</f>
        <v>contribution per exchange: $0</v>
      </c>
    </row>
    <row r="1229" spans="1:56" ht="13.95" hidden="1" customHeight="1" x14ac:dyDescent="0.25">
      <c r="A1229" s="336"/>
      <c r="B1229" s="337"/>
      <c r="C1229" s="337"/>
      <c r="D1229" s="337"/>
      <c r="E1229" s="338"/>
      <c r="F1229" s="1"/>
    </row>
    <row r="1230" spans="1:56" ht="4.95" hidden="1" customHeight="1" thickBot="1" x14ac:dyDescent="0.3">
      <c r="A1230" s="338"/>
      <c r="B1230" s="340"/>
      <c r="C1230" s="341"/>
      <c r="D1230" s="338"/>
      <c r="E1230" s="338"/>
      <c r="F1230" s="1"/>
      <c r="AC1230" s="334"/>
      <c r="AJ1230" s="437"/>
      <c r="BB1230" s="56"/>
    </row>
    <row r="1231" spans="1:56" ht="16.8" hidden="1" thickTop="1" thickBot="1" x14ac:dyDescent="0.3">
      <c r="A1231" s="347">
        <f>IF(C1231="",0,1+A1221)</f>
        <v>4</v>
      </c>
      <c r="B1231" s="348" t="s">
        <v>886</v>
      </c>
      <c r="C1231" s="349" t="str">
        <f>AM1231</f>
        <v>FIRST NAME</v>
      </c>
      <c r="D1231" s="350" t="str">
        <f>AQ1231</f>
        <v>LAST NAME</v>
      </c>
      <c r="E1231" s="338"/>
      <c r="F1231" s="1"/>
      <c r="AC1231" s="333" t="str">
        <f>IF(NOT(C1231=AM1231),C1231,"")</f>
        <v/>
      </c>
      <c r="AH1231" s="333" t="str">
        <f>IF(NOT(D1231=AQ1231),D1231,"")</f>
        <v/>
      </c>
      <c r="AM1231" s="351" t="s">
        <v>853</v>
      </c>
      <c r="AQ1231" s="351" t="s">
        <v>107</v>
      </c>
      <c r="BB1231" s="56"/>
    </row>
    <row r="1232" spans="1:56" ht="15" hidden="1" thickTop="1" thickBot="1" x14ac:dyDescent="0.3">
      <c r="A1232" s="336"/>
      <c r="B1232" s="338" t="s">
        <v>856</v>
      </c>
      <c r="C1232" s="353"/>
      <c r="D1232" s="5"/>
      <c r="E1232" s="338"/>
      <c r="F1232" s="1"/>
      <c r="AC1232" s="56">
        <f>IF(C1232="",0,1)</f>
        <v>0</v>
      </c>
      <c r="AE1232" s="56">
        <f>IF($AC$1202=1,AC$1197,0)</f>
        <v>0</v>
      </c>
      <c r="BB1232" s="56"/>
    </row>
    <row r="1233" spans="1:56" ht="13.95" hidden="1" customHeight="1" thickTop="1" thickBot="1" x14ac:dyDescent="0.3">
      <c r="A1233" s="336"/>
      <c r="B1233" s="354" t="s">
        <v>859</v>
      </c>
      <c r="C1233" s="353"/>
      <c r="D1233" s="355" t="str">
        <f>AS1233</f>
        <v>AWARENESS OF ISSUE</v>
      </c>
      <c r="E1233" s="338"/>
      <c r="F1233" s="1"/>
      <c r="AM1233" s="356"/>
      <c r="AN1233" s="356"/>
      <c r="AO1233" s="356"/>
      <c r="AP1233" s="356"/>
      <c r="AS1233" s="56" t="str">
        <f>AS1223</f>
        <v>AWARENESS OF ISSUE</v>
      </c>
      <c r="BB1233" s="56"/>
    </row>
    <row r="1234" spans="1:56" ht="13.95" hidden="1" customHeight="1" thickTop="1" thickBot="1" x14ac:dyDescent="0.3">
      <c r="A1234" s="336"/>
      <c r="B1234" s="348" t="s">
        <v>863</v>
      </c>
      <c r="C1234" s="357" t="s">
        <v>864</v>
      </c>
      <c r="D1234" s="357" t="s">
        <v>865</v>
      </c>
      <c r="E1234" s="338"/>
      <c r="F1234" s="1"/>
      <c r="BB1234" s="56"/>
    </row>
    <row r="1235" spans="1:56" ht="13.95" hidden="1" customHeight="1" thickTop="1" thickBot="1" x14ac:dyDescent="0.3">
      <c r="A1235" s="336"/>
      <c r="B1235" s="337" t="s">
        <v>868</v>
      </c>
      <c r="C1235" s="358" t="str">
        <f>AM1235</f>
        <v>YYYY-MM-DD</v>
      </c>
      <c r="D1235" s="358" t="str">
        <f>AM1235</f>
        <v>YYYY-MM-DD</v>
      </c>
      <c r="E1235" s="338"/>
      <c r="F1235" s="1"/>
      <c r="AH1235" s="616" t="str">
        <f>IF(NOT(D1235=AQ1235),D1235,"")</f>
        <v>YYYY-MM-DD</v>
      </c>
      <c r="AI1235" s="616"/>
      <c r="AM1235" s="351" t="s">
        <v>869</v>
      </c>
      <c r="AQ1235" s="351"/>
      <c r="BB1235" s="56"/>
    </row>
    <row r="1236" spans="1:56" ht="13.95" hidden="1" customHeight="1" thickTop="1" thickBot="1" x14ac:dyDescent="0.3">
      <c r="A1236" s="336"/>
      <c r="B1236" s="337" t="s">
        <v>874</v>
      </c>
      <c r="C1236" s="360"/>
      <c r="D1236" s="361" t="str">
        <f>AC1236</f>
        <v/>
      </c>
      <c r="E1236" s="338"/>
      <c r="F1236" s="1"/>
      <c r="AC1236" s="58" t="str">
        <f>IF(AND(AC$1196&gt;0,C1236=BN$1201),BM$1201,IF(AND(AC$1196&gt;0,C1236=BN$1202),BM$1202,IF(AND(AC$1196&gt;0,C1236=BN$1203),BM$1203,IF(AND(AC$1196&gt;0,C1236=BN$1204),BM$1204,IF(AND(AC$1196&gt;0,C1236=BN$1205),BM$1205,"")))))</f>
        <v/>
      </c>
      <c r="AI1236" s="626">
        <f>AV1237/AL$1197</f>
        <v>0</v>
      </c>
      <c r="AJ1236" s="626"/>
      <c r="AK1236" s="56" t="s">
        <v>875</v>
      </c>
      <c r="AO1236" s="11" t="str">
        <f>IF(AI1236=0,"none",(AI1236*100))</f>
        <v>none</v>
      </c>
      <c r="AP1236" s="56" t="str">
        <f>IF(AO1236="none"," of weekly support cost.","% of weekly support cost.")</f>
        <v xml:space="preserve"> of weekly support cost.</v>
      </c>
      <c r="BB1236" s="56"/>
    </row>
    <row r="1237" spans="1:56" ht="13.95" hidden="1" customHeight="1" thickTop="1" thickBot="1" x14ac:dyDescent="0.3">
      <c r="A1237" s="336"/>
      <c r="B1237" s="337" t="s">
        <v>877</v>
      </c>
      <c r="C1237" s="362"/>
      <c r="D1237" s="337" t="str">
        <f>IF(NOT(AV1237&gt;0),"",AC1237)</f>
        <v/>
      </c>
      <c r="E1237" s="338"/>
      <c r="F1237" s="1"/>
      <c r="AC1237" s="263" t="str">
        <f>CONCATENATE(AO1237,AT1237)</f>
        <v>Weekly contribution: $0.00</v>
      </c>
      <c r="AO1237" s="56" t="s">
        <v>878</v>
      </c>
      <c r="AT1237" s="263" t="str">
        <f>DOLLAR(AV1237)</f>
        <v>$0.00</v>
      </c>
      <c r="AV1237" s="338">
        <f>IF(AND(D1236=BM$1205,C1237=B$2043),D$2043,IF(AND(D1236=BM$1205,C1237=B$2044),D$2044,IF(AND(D1236=BM$1205,C1237=B$2045),D$2045,IF(AND(D1236=BM$1205,C1237=B$2046),D$2046,IF(AND(D1236=BM$1205,C1237=B$2047),D$2047,IF(AND(D1236=BM$1205,C1237=B$2048),D$2048,0))))))</f>
        <v>0</v>
      </c>
      <c r="AX1237" s="11" t="str">
        <f>DOLLAR(AZ1237)</f>
        <v>$45.00</v>
      </c>
      <c r="AZ1237" s="363">
        <f>$AJ$1197-AV1237</f>
        <v>45</v>
      </c>
      <c r="BB1237" s="56"/>
      <c r="BD1237" s="322">
        <f>AV1237</f>
        <v>0</v>
      </c>
    </row>
    <row r="1238" spans="1:56" ht="13.95" hidden="1" customHeight="1" thickTop="1" x14ac:dyDescent="0.25">
      <c r="A1238" s="336"/>
      <c r="B1238" s="337"/>
      <c r="C1238" s="337" t="str">
        <f>CONCATENATE(AK1236,AO1236,AP1236)</f>
        <v>This covers none of weekly support cost.</v>
      </c>
      <c r="D1238" s="337" t="str">
        <f>BF$1200</f>
        <v>$45 to go for weekly support.</v>
      </c>
      <c r="E1238" s="338"/>
      <c r="F1238" s="1"/>
      <c r="AC1238" s="56" t="s">
        <v>880</v>
      </c>
      <c r="AI1238" s="154">
        <f>MIN(D1236,AE1232)</f>
        <v>0</v>
      </c>
      <c r="AJ1238" s="56">
        <f>ROUND(AI1238,2)</f>
        <v>0</v>
      </c>
      <c r="AK1238" s="56" t="str">
        <f>CONCATENATE(AC1238,AJ1238)</f>
        <v>contribution per exchange: $0</v>
      </c>
    </row>
    <row r="1239" spans="1:56" ht="13.95" hidden="1" customHeight="1" x14ac:dyDescent="0.25">
      <c r="A1239" s="336"/>
      <c r="B1239" s="337"/>
      <c r="C1239" s="337"/>
      <c r="D1239" s="337"/>
      <c r="E1239" s="338"/>
      <c r="F1239" s="1"/>
    </row>
    <row r="1240" spans="1:56" ht="4.95" hidden="1" customHeight="1" thickBot="1" x14ac:dyDescent="0.3">
      <c r="A1240" s="338"/>
      <c r="B1240" s="340"/>
      <c r="C1240" s="341"/>
      <c r="D1240" s="338"/>
      <c r="E1240" s="338"/>
      <c r="F1240" s="1"/>
      <c r="AC1240" s="334"/>
      <c r="AJ1240" s="437"/>
      <c r="BB1240" s="56"/>
    </row>
    <row r="1241" spans="1:56" ht="16.8" hidden="1" thickTop="1" thickBot="1" x14ac:dyDescent="0.3">
      <c r="A1241" s="347">
        <f>IF(C1241="",0,1+A1231)</f>
        <v>5</v>
      </c>
      <c r="B1241" s="348" t="s">
        <v>887</v>
      </c>
      <c r="C1241" s="349" t="str">
        <f>AM1241</f>
        <v>FIRST NAME</v>
      </c>
      <c r="D1241" s="350" t="str">
        <f>AQ1241</f>
        <v>LAST NAME</v>
      </c>
      <c r="E1241" s="338"/>
      <c r="F1241" s="1"/>
      <c r="AC1241" s="333" t="str">
        <f>IF(NOT(C1241=AM1241),C1241,"")</f>
        <v/>
      </c>
      <c r="AH1241" s="333" t="str">
        <f>IF(NOT(D1241=AQ1241),D1241,"")</f>
        <v/>
      </c>
      <c r="AM1241" s="351" t="s">
        <v>853</v>
      </c>
      <c r="AQ1241" s="351" t="s">
        <v>107</v>
      </c>
      <c r="BB1241" s="56"/>
    </row>
    <row r="1242" spans="1:56" ht="15" hidden="1" thickTop="1" thickBot="1" x14ac:dyDescent="0.3">
      <c r="A1242" s="336"/>
      <c r="B1242" s="338" t="s">
        <v>856</v>
      </c>
      <c r="C1242" s="353"/>
      <c r="D1242" s="5"/>
      <c r="E1242" s="338"/>
      <c r="F1242" s="1"/>
      <c r="AC1242" s="56">
        <f>IF(C1242="",0,1)</f>
        <v>0</v>
      </c>
      <c r="AE1242" s="56">
        <f>IF($AC$1202=1,AC$1197,0)</f>
        <v>0</v>
      </c>
      <c r="BB1242" s="56"/>
    </row>
    <row r="1243" spans="1:56" ht="13.95" hidden="1" customHeight="1" thickTop="1" thickBot="1" x14ac:dyDescent="0.3">
      <c r="A1243" s="336"/>
      <c r="B1243" s="354" t="s">
        <v>859</v>
      </c>
      <c r="C1243" s="353"/>
      <c r="D1243" s="355" t="str">
        <f>AS1243</f>
        <v>AWARENESS OF ISSUE</v>
      </c>
      <c r="E1243" s="338"/>
      <c r="F1243" s="1"/>
      <c r="AM1243" s="356"/>
      <c r="AN1243" s="356"/>
      <c r="AO1243" s="356"/>
      <c r="AP1243" s="356"/>
      <c r="AS1243" s="56" t="str">
        <f>AS1233</f>
        <v>AWARENESS OF ISSUE</v>
      </c>
      <c r="BB1243" s="56"/>
    </row>
    <row r="1244" spans="1:56" ht="13.95" hidden="1" customHeight="1" thickTop="1" thickBot="1" x14ac:dyDescent="0.3">
      <c r="A1244" s="336"/>
      <c r="B1244" s="348" t="s">
        <v>863</v>
      </c>
      <c r="C1244" s="357" t="s">
        <v>864</v>
      </c>
      <c r="D1244" s="357" t="s">
        <v>865</v>
      </c>
      <c r="E1244" s="338"/>
      <c r="F1244" s="1"/>
      <c r="BB1244" s="56"/>
    </row>
    <row r="1245" spans="1:56" ht="13.95" hidden="1" customHeight="1" thickTop="1" thickBot="1" x14ac:dyDescent="0.3">
      <c r="A1245" s="336"/>
      <c r="B1245" s="337" t="s">
        <v>868</v>
      </c>
      <c r="C1245" s="358" t="str">
        <f>AM1245</f>
        <v>YYYY-MM-DD</v>
      </c>
      <c r="D1245" s="358" t="str">
        <f>AM1245</f>
        <v>YYYY-MM-DD</v>
      </c>
      <c r="E1245" s="338"/>
      <c r="F1245" s="1"/>
      <c r="AH1245" s="616" t="str">
        <f>IF(NOT(D1245=AQ1245),D1245,"")</f>
        <v>YYYY-MM-DD</v>
      </c>
      <c r="AI1245" s="616"/>
      <c r="AM1245" s="351" t="s">
        <v>869</v>
      </c>
      <c r="AQ1245" s="351"/>
      <c r="BB1245" s="56"/>
    </row>
    <row r="1246" spans="1:56" ht="13.95" hidden="1" customHeight="1" thickTop="1" thickBot="1" x14ac:dyDescent="0.3">
      <c r="A1246" s="336"/>
      <c r="B1246" s="337" t="s">
        <v>874</v>
      </c>
      <c r="C1246" s="360"/>
      <c r="D1246" s="361" t="str">
        <f>AC1246</f>
        <v/>
      </c>
      <c r="E1246" s="338"/>
      <c r="F1246" s="1"/>
      <c r="AC1246" s="58" t="str">
        <f>IF(AND(AC$1196&gt;0,C1246=BN$1201),BM$1201,IF(AND(AC$1196&gt;0,C1246=BN$1202),BM$1202,IF(AND(AC$1196&gt;0,C1246=BN$1203),BM$1203,IF(AND(AC$1196&gt;0,C1246=BN$1204),BM$1204,IF(AND(AC$1196&gt;0,C1246=BN$1205),BM$1205,"")))))</f>
        <v/>
      </c>
      <c r="AI1246" s="626">
        <f>AV1247/AL$1197</f>
        <v>0</v>
      </c>
      <c r="AJ1246" s="626"/>
      <c r="AK1246" s="56" t="s">
        <v>875</v>
      </c>
      <c r="AO1246" s="11" t="str">
        <f>IF(AI1246=0,"none",(AI1246*100))</f>
        <v>none</v>
      </c>
      <c r="AP1246" s="56" t="str">
        <f>IF(AO1246="none"," of weekly support cost.","% of weekly support cost.")</f>
        <v xml:space="preserve"> of weekly support cost.</v>
      </c>
      <c r="BB1246" s="56"/>
    </row>
    <row r="1247" spans="1:56" ht="13.95" hidden="1" customHeight="1" thickTop="1" thickBot="1" x14ac:dyDescent="0.3">
      <c r="A1247" s="336"/>
      <c r="B1247" s="337" t="s">
        <v>877</v>
      </c>
      <c r="C1247" s="362"/>
      <c r="D1247" s="337" t="str">
        <f>IF(NOT(AV1247&gt;0),"",AC1247)</f>
        <v/>
      </c>
      <c r="E1247" s="338"/>
      <c r="F1247" s="1"/>
      <c r="AC1247" s="263" t="str">
        <f>CONCATENATE(AO1247,AT1247)</f>
        <v>Weekly contribution: $0.00</v>
      </c>
      <c r="AO1247" s="56" t="s">
        <v>878</v>
      </c>
      <c r="AT1247" s="263" t="str">
        <f>DOLLAR(AV1247)</f>
        <v>$0.00</v>
      </c>
      <c r="AV1247" s="338">
        <f>IF(AND(D1246=BM$1205,C1247=B$2043),D$2043,IF(AND(D1246=BM$1205,C1247=B$2044),D$2044,IF(AND(D1246=BM$1205,C1247=B$2045),D$2045,IF(AND(D1246=BM$1205,C1247=B$2046),D$2046,IF(AND(D1246=BM$1205,C1247=B$2047),D$2047,IF(AND(D1246=BM$1205,C1247=B$2048),D$2048,0))))))</f>
        <v>0</v>
      </c>
      <c r="AX1247" s="11" t="str">
        <f>DOLLAR(AZ1247)</f>
        <v>$45.00</v>
      </c>
      <c r="AZ1247" s="363">
        <f>$AJ$1197-AV1247</f>
        <v>45</v>
      </c>
      <c r="BB1247" s="56"/>
      <c r="BD1247" s="322">
        <f>AV1247</f>
        <v>0</v>
      </c>
    </row>
    <row r="1248" spans="1:56" ht="13.95" hidden="1" customHeight="1" thickTop="1" x14ac:dyDescent="0.25">
      <c r="A1248" s="336"/>
      <c r="B1248" s="337"/>
      <c r="C1248" s="337" t="str">
        <f>CONCATENATE(AK1246,AO1246,AP1246)</f>
        <v>This covers none of weekly support cost.</v>
      </c>
      <c r="D1248" s="337" t="str">
        <f>BF$1200</f>
        <v>$45 to go for weekly support.</v>
      </c>
      <c r="E1248" s="338"/>
      <c r="F1248" s="1"/>
      <c r="AC1248" s="56" t="s">
        <v>880</v>
      </c>
      <c r="AI1248" s="154">
        <f>MIN(D1246,AE1242)</f>
        <v>0</v>
      </c>
      <c r="AJ1248" s="56">
        <f>ROUND(AI1248,2)</f>
        <v>0</v>
      </c>
      <c r="AK1248" s="56" t="str">
        <f>CONCATENATE(AC1248,AJ1248)</f>
        <v>contribution per exchange: $0</v>
      </c>
    </row>
    <row r="1249" spans="1:56" ht="13.95" hidden="1" customHeight="1" x14ac:dyDescent="0.25">
      <c r="A1249" s="336"/>
      <c r="B1249" s="337"/>
      <c r="C1249" s="337"/>
      <c r="D1249" s="337"/>
      <c r="E1249" s="338"/>
      <c r="F1249" s="1"/>
    </row>
    <row r="1250" spans="1:56" ht="4.95" hidden="1" customHeight="1" thickBot="1" x14ac:dyDescent="0.3">
      <c r="A1250" s="338"/>
      <c r="B1250" s="340"/>
      <c r="C1250" s="341"/>
      <c r="D1250" s="338"/>
      <c r="E1250" s="338"/>
      <c r="F1250" s="1"/>
      <c r="AC1250" s="334"/>
      <c r="AJ1250" s="437"/>
      <c r="BB1250" s="56"/>
    </row>
    <row r="1251" spans="1:56" ht="16.8" hidden="1" thickTop="1" thickBot="1" x14ac:dyDescent="0.3">
      <c r="A1251" s="347">
        <f>IF(C1251="",0,1+A1241)</f>
        <v>6</v>
      </c>
      <c r="B1251" s="348" t="s">
        <v>888</v>
      </c>
      <c r="C1251" s="349" t="str">
        <f>AM1251</f>
        <v>FIRST NAME</v>
      </c>
      <c r="D1251" s="350" t="str">
        <f>AQ1251</f>
        <v>LAST NAME</v>
      </c>
      <c r="E1251" s="338"/>
      <c r="F1251" s="1"/>
      <c r="AC1251" s="333" t="str">
        <f>IF(NOT(C1251=AM1251),C1251,"")</f>
        <v/>
      </c>
      <c r="AH1251" s="333" t="str">
        <f>IF(NOT(D1251=AQ1251),D1251,"")</f>
        <v/>
      </c>
      <c r="AM1251" s="351" t="s">
        <v>853</v>
      </c>
      <c r="AQ1251" s="351" t="s">
        <v>107</v>
      </c>
      <c r="BB1251" s="56"/>
    </row>
    <row r="1252" spans="1:56" ht="15" hidden="1" thickTop="1" thickBot="1" x14ac:dyDescent="0.3">
      <c r="A1252" s="336"/>
      <c r="B1252" s="338" t="s">
        <v>856</v>
      </c>
      <c r="C1252" s="353"/>
      <c r="D1252" s="5"/>
      <c r="E1252" s="338"/>
      <c r="F1252" s="1"/>
      <c r="AC1252" s="56">
        <f>IF(C1252="",0,1)</f>
        <v>0</v>
      </c>
      <c r="AE1252" s="56">
        <f>IF($AC$1202=1,AC$1197,0)</f>
        <v>0</v>
      </c>
      <c r="BB1252" s="56"/>
    </row>
    <row r="1253" spans="1:56" ht="13.95" hidden="1" customHeight="1" thickTop="1" thickBot="1" x14ac:dyDescent="0.3">
      <c r="A1253" s="336"/>
      <c r="B1253" s="354" t="s">
        <v>859</v>
      </c>
      <c r="C1253" s="353"/>
      <c r="D1253" s="355" t="str">
        <f>AS1253</f>
        <v>AWARENESS OF ISSUE</v>
      </c>
      <c r="E1253" s="338"/>
      <c r="F1253" s="1"/>
      <c r="AM1253" s="356"/>
      <c r="AN1253" s="356"/>
      <c r="AO1253" s="356"/>
      <c r="AP1253" s="356"/>
      <c r="AS1253" s="56" t="str">
        <f>AS1243</f>
        <v>AWARENESS OF ISSUE</v>
      </c>
      <c r="BB1253" s="56"/>
    </row>
    <row r="1254" spans="1:56" ht="13.95" hidden="1" customHeight="1" thickTop="1" thickBot="1" x14ac:dyDescent="0.3">
      <c r="A1254" s="336"/>
      <c r="B1254" s="348" t="s">
        <v>863</v>
      </c>
      <c r="C1254" s="357" t="s">
        <v>864</v>
      </c>
      <c r="D1254" s="357" t="s">
        <v>865</v>
      </c>
      <c r="E1254" s="338"/>
      <c r="F1254" s="1"/>
      <c r="BB1254" s="56"/>
    </row>
    <row r="1255" spans="1:56" ht="13.95" hidden="1" customHeight="1" thickTop="1" thickBot="1" x14ac:dyDescent="0.3">
      <c r="A1255" s="336"/>
      <c r="B1255" s="337" t="s">
        <v>868</v>
      </c>
      <c r="C1255" s="358" t="str">
        <f>AM1255</f>
        <v>YYYY-MM-DD</v>
      </c>
      <c r="D1255" s="358" t="str">
        <f>AM1255</f>
        <v>YYYY-MM-DD</v>
      </c>
      <c r="E1255" s="338"/>
      <c r="F1255" s="1"/>
      <c r="AH1255" s="616" t="str">
        <f>IF(NOT(D1255=AQ1255),D1255,"")</f>
        <v>YYYY-MM-DD</v>
      </c>
      <c r="AI1255" s="616"/>
      <c r="AM1255" s="351" t="s">
        <v>869</v>
      </c>
      <c r="AQ1255" s="351"/>
      <c r="BB1255" s="56"/>
    </row>
    <row r="1256" spans="1:56" ht="13.95" hidden="1" customHeight="1" thickTop="1" thickBot="1" x14ac:dyDescent="0.3">
      <c r="A1256" s="336"/>
      <c r="B1256" s="337" t="s">
        <v>874</v>
      </c>
      <c r="C1256" s="360"/>
      <c r="D1256" s="361" t="str">
        <f>AC1256</f>
        <v/>
      </c>
      <c r="E1256" s="338"/>
      <c r="F1256" s="1"/>
      <c r="AC1256" s="58" t="str">
        <f>IF(AND(AC$1196&gt;0,C1256=BN$1201),BM$1201,IF(AND(AC$1196&gt;0,C1256=BN$1202),BM$1202,IF(AND(AC$1196&gt;0,C1256=BN$1203),BM$1203,IF(AND(AC$1196&gt;0,C1256=BN$1204),BM$1204,IF(AND(AC$1196&gt;0,C1256=BN$1205),BM$1205,"")))))</f>
        <v/>
      </c>
      <c r="AI1256" s="626">
        <f>AV1257/AL$1197</f>
        <v>0</v>
      </c>
      <c r="AJ1256" s="626"/>
      <c r="AK1256" s="56" t="s">
        <v>875</v>
      </c>
      <c r="AO1256" s="11" t="str">
        <f>IF(AI1256=0,"none",(AI1256*100))</f>
        <v>none</v>
      </c>
      <c r="AP1256" s="56" t="str">
        <f>IF(AO1256="none"," of weekly support cost.","% of weekly support cost.")</f>
        <v xml:space="preserve"> of weekly support cost.</v>
      </c>
      <c r="BB1256" s="56"/>
    </row>
    <row r="1257" spans="1:56" ht="13.95" hidden="1" customHeight="1" thickTop="1" thickBot="1" x14ac:dyDescent="0.3">
      <c r="A1257" s="336"/>
      <c r="B1257" s="337" t="s">
        <v>877</v>
      </c>
      <c r="C1257" s="362"/>
      <c r="D1257" s="337" t="str">
        <f>IF(NOT(AV1257&gt;0),"",AC1257)</f>
        <v/>
      </c>
      <c r="E1257" s="338"/>
      <c r="F1257" s="1"/>
      <c r="AC1257" s="263" t="str">
        <f>CONCATENATE(AO1257,AT1257)</f>
        <v>Weekly contribution: $0.00</v>
      </c>
      <c r="AO1257" s="56" t="s">
        <v>878</v>
      </c>
      <c r="AT1257" s="263" t="str">
        <f>DOLLAR(AV1257)</f>
        <v>$0.00</v>
      </c>
      <c r="AV1257" s="338">
        <f>IF(AND(D1256=BM$1205,C1257=B$2043),D$2043,IF(AND(D1256=BM$1205,C1257=B$2044),D$2044,IF(AND(D1256=BM$1205,C1257=B$2045),D$2045,IF(AND(D1256=BM$1205,C1257=B$2046),D$2046,IF(AND(D1256=BM$1205,C1257=B$2047),D$2047,IF(AND(D1256=BM$1205,C1257=B$2048),D$2048,0))))))</f>
        <v>0</v>
      </c>
      <c r="AX1257" s="11" t="str">
        <f>DOLLAR(AZ1257)</f>
        <v>$45.00</v>
      </c>
      <c r="AZ1257" s="363">
        <f>$AJ$1197-AV1257</f>
        <v>45</v>
      </c>
      <c r="BB1257" s="359">
        <f>AV1257/AC$1197</f>
        <v>0</v>
      </c>
      <c r="BD1257" s="322">
        <f>AV1257</f>
        <v>0</v>
      </c>
    </row>
    <row r="1258" spans="1:56" ht="13.95" hidden="1" customHeight="1" thickTop="1" x14ac:dyDescent="0.25">
      <c r="A1258" s="336"/>
      <c r="B1258" s="337"/>
      <c r="C1258" s="337" t="str">
        <f>CONCATENATE(AK1256,AO1256,AP1256)</f>
        <v>This covers none of weekly support cost.</v>
      </c>
      <c r="D1258" s="337" t="str">
        <f>BF$1200</f>
        <v>$45 to go for weekly support.</v>
      </c>
      <c r="E1258" s="338"/>
      <c r="F1258" s="1"/>
      <c r="AC1258" s="56" t="s">
        <v>880</v>
      </c>
      <c r="AI1258" s="154">
        <f>MIN(D1256,AE1252)</f>
        <v>0</v>
      </c>
      <c r="AJ1258" s="56">
        <f>ROUND(AI1258,2)</f>
        <v>0</v>
      </c>
      <c r="AK1258" s="56" t="str">
        <f>CONCATENATE(AC1258,AJ1258)</f>
        <v>contribution per exchange: $0</v>
      </c>
    </row>
    <row r="1259" spans="1:56" ht="13.95" hidden="1" customHeight="1" x14ac:dyDescent="0.25">
      <c r="A1259" s="336"/>
      <c r="B1259" s="337"/>
      <c r="C1259" s="337"/>
      <c r="D1259" s="337"/>
      <c r="E1259" s="338"/>
      <c r="F1259" s="1"/>
    </row>
    <row r="1260" spans="1:56" ht="4.95" hidden="1" customHeight="1" thickBot="1" x14ac:dyDescent="0.3">
      <c r="A1260" s="338"/>
      <c r="B1260" s="340"/>
      <c r="C1260" s="341"/>
      <c r="D1260" s="338"/>
      <c r="E1260" s="338"/>
      <c r="F1260" s="1"/>
      <c r="AC1260" s="334"/>
      <c r="AJ1260" s="437"/>
      <c r="BB1260" s="56"/>
    </row>
    <row r="1261" spans="1:56" ht="16.8" hidden="1" thickTop="1" thickBot="1" x14ac:dyDescent="0.3">
      <c r="A1261" s="347">
        <f>IF(C1261="",0,1+A1251)</f>
        <v>7</v>
      </c>
      <c r="B1261" s="348" t="s">
        <v>889</v>
      </c>
      <c r="C1261" s="349" t="str">
        <f>AM1261</f>
        <v>FIRST NAME</v>
      </c>
      <c r="D1261" s="350" t="str">
        <f>AQ1261</f>
        <v>LAST NAME</v>
      </c>
      <c r="E1261" s="338"/>
      <c r="F1261" s="1"/>
      <c r="AC1261" s="333" t="str">
        <f>IF(NOT(C1261=AM1261),C1261,"")</f>
        <v/>
      </c>
      <c r="AH1261" s="333" t="str">
        <f>IF(NOT(D1261=AQ1261),D1261,"")</f>
        <v/>
      </c>
      <c r="AM1261" s="351" t="s">
        <v>853</v>
      </c>
      <c r="AQ1261" s="351" t="s">
        <v>107</v>
      </c>
      <c r="BB1261" s="56"/>
    </row>
    <row r="1262" spans="1:56" ht="15" hidden="1" thickTop="1" thickBot="1" x14ac:dyDescent="0.3">
      <c r="A1262" s="336"/>
      <c r="B1262" s="338" t="s">
        <v>856</v>
      </c>
      <c r="C1262" s="353"/>
      <c r="D1262" s="5"/>
      <c r="E1262" s="338"/>
      <c r="F1262" s="1"/>
      <c r="AC1262" s="56">
        <f>IF(C1262="",0,1)</f>
        <v>0</v>
      </c>
      <c r="AE1262" s="56">
        <f>IF($AC$1202=1,AC$1197,0)</f>
        <v>0</v>
      </c>
      <c r="BB1262" s="56"/>
    </row>
    <row r="1263" spans="1:56" ht="13.95" hidden="1" customHeight="1" thickTop="1" thickBot="1" x14ac:dyDescent="0.3">
      <c r="A1263" s="336"/>
      <c r="B1263" s="354" t="s">
        <v>859</v>
      </c>
      <c r="C1263" s="353"/>
      <c r="D1263" s="355" t="str">
        <f>AS1263</f>
        <v>AWARENESS OF ISSUE</v>
      </c>
      <c r="E1263" s="338"/>
      <c r="F1263" s="1"/>
      <c r="AM1263" s="356"/>
      <c r="AN1263" s="356"/>
      <c r="AO1263" s="356"/>
      <c r="AP1263" s="356"/>
      <c r="AS1263" s="56" t="str">
        <f>AS1253</f>
        <v>AWARENESS OF ISSUE</v>
      </c>
      <c r="BB1263" s="56"/>
    </row>
    <row r="1264" spans="1:56" ht="13.95" hidden="1" customHeight="1" thickTop="1" thickBot="1" x14ac:dyDescent="0.3">
      <c r="A1264" s="336"/>
      <c r="B1264" s="348" t="s">
        <v>863</v>
      </c>
      <c r="C1264" s="357" t="s">
        <v>864</v>
      </c>
      <c r="D1264" s="357" t="s">
        <v>865</v>
      </c>
      <c r="E1264" s="338"/>
      <c r="F1264" s="1"/>
      <c r="BB1264" s="56"/>
    </row>
    <row r="1265" spans="1:56" ht="13.95" hidden="1" customHeight="1" thickTop="1" thickBot="1" x14ac:dyDescent="0.3">
      <c r="A1265" s="336"/>
      <c r="B1265" s="337" t="s">
        <v>868</v>
      </c>
      <c r="C1265" s="358" t="str">
        <f>AM1265</f>
        <v>YYYY-MM-DD</v>
      </c>
      <c r="D1265" s="358" t="str">
        <f>AM1265</f>
        <v>YYYY-MM-DD</v>
      </c>
      <c r="E1265" s="338"/>
      <c r="F1265" s="1"/>
      <c r="AH1265" s="616" t="str">
        <f>IF(NOT(D1265=AQ1265),D1265,"")</f>
        <v>YYYY-MM-DD</v>
      </c>
      <c r="AI1265" s="616"/>
      <c r="AM1265" s="351" t="s">
        <v>869</v>
      </c>
      <c r="AQ1265" s="351"/>
      <c r="BB1265" s="56"/>
    </row>
    <row r="1266" spans="1:56" ht="13.95" hidden="1" customHeight="1" thickTop="1" thickBot="1" x14ac:dyDescent="0.3">
      <c r="A1266" s="336"/>
      <c r="B1266" s="337" t="s">
        <v>874</v>
      </c>
      <c r="C1266" s="360"/>
      <c r="D1266" s="361" t="str">
        <f>AC1266</f>
        <v/>
      </c>
      <c r="E1266" s="338"/>
      <c r="F1266" s="1"/>
      <c r="AC1266" s="58" t="str">
        <f>IF(AND(AC$1196&gt;0,C1266=BN$1201),BM$1201,IF(AND(AC$1196&gt;0,C1266=BN$1202),BM$1202,IF(AND(AC$1196&gt;0,C1266=BN$1203),BM$1203,IF(AND(AC$1196&gt;0,C1266=BN$1204),BM$1204,IF(AND(AC$1196&gt;0,C1266=BN$1205),BM$1205,"")))))</f>
        <v/>
      </c>
      <c r="AI1266" s="626">
        <f>AV1267/AL$1197</f>
        <v>0</v>
      </c>
      <c r="AJ1266" s="626"/>
      <c r="AK1266" s="56" t="s">
        <v>875</v>
      </c>
      <c r="AO1266" s="11" t="str">
        <f>IF(AI1266=0,"none",(AI1266*100))</f>
        <v>none</v>
      </c>
      <c r="AP1266" s="56" t="str">
        <f>IF(AO1266="none"," of weekly support cost.","% of weekly support cost.")</f>
        <v xml:space="preserve"> of weekly support cost.</v>
      </c>
      <c r="BB1266" s="56"/>
    </row>
    <row r="1267" spans="1:56" ht="13.95" hidden="1" customHeight="1" thickTop="1" thickBot="1" x14ac:dyDescent="0.3">
      <c r="A1267" s="336"/>
      <c r="B1267" s="337" t="s">
        <v>877</v>
      </c>
      <c r="C1267" s="362"/>
      <c r="D1267" s="337" t="str">
        <f>IF(NOT(AV1267&gt;0),"",AC1267)</f>
        <v/>
      </c>
      <c r="E1267" s="338"/>
      <c r="F1267" s="1"/>
      <c r="AC1267" s="263" t="str">
        <f>CONCATENATE(AO1267,AT1267)</f>
        <v>Weekly contribution: $0.00</v>
      </c>
      <c r="AO1267" s="56" t="s">
        <v>878</v>
      </c>
      <c r="AT1267" s="263" t="str">
        <f>DOLLAR(AV1267)</f>
        <v>$0.00</v>
      </c>
      <c r="AV1267" s="338">
        <f>IF(AND(D1266=BM$1205,C1267=B$2043),D$2043,IF(AND(D1266=BM$1205,C1267=B$2044),D$2044,IF(AND(D1266=BM$1205,C1267=B$2045),D$2045,IF(AND(D1266=BM$1205,C1267=B$2046),D$2046,IF(AND(D1266=BM$1205,C1267=B$2047),D$2047,IF(AND(D1266=BM$1205,C1267=B$2048),D$2048,0))))))</f>
        <v>0</v>
      </c>
      <c r="AX1267" s="11" t="str">
        <f>DOLLAR(AZ1267)</f>
        <v>$45.00</v>
      </c>
      <c r="AZ1267" s="363">
        <f>$AJ$1197-AV1267</f>
        <v>45</v>
      </c>
      <c r="BB1267" s="56"/>
      <c r="BD1267" s="322">
        <f>AV1267</f>
        <v>0</v>
      </c>
    </row>
    <row r="1268" spans="1:56" ht="13.95" hidden="1" customHeight="1" thickTop="1" x14ac:dyDescent="0.25">
      <c r="A1268" s="336"/>
      <c r="B1268" s="337"/>
      <c r="C1268" s="337" t="str">
        <f>CONCATENATE(AK1266,AO1266,AP1266)</f>
        <v>This covers none of weekly support cost.</v>
      </c>
      <c r="D1268" s="337" t="str">
        <f>BF$1200</f>
        <v>$45 to go for weekly support.</v>
      </c>
      <c r="E1268" s="338"/>
      <c r="F1268" s="1"/>
      <c r="AC1268" s="56" t="s">
        <v>880</v>
      </c>
      <c r="AI1268" s="154">
        <f>MIN(D1266,AE1262)</f>
        <v>0</v>
      </c>
      <c r="AJ1268" s="56">
        <f>ROUND(AI1268,2)</f>
        <v>0</v>
      </c>
      <c r="AK1268" s="56" t="str">
        <f>CONCATENATE(AC1268,AJ1268)</f>
        <v>contribution per exchange: $0</v>
      </c>
    </row>
    <row r="1269" spans="1:56" ht="13.95" hidden="1" customHeight="1" x14ac:dyDescent="0.25">
      <c r="A1269" s="336"/>
      <c r="B1269" s="337"/>
      <c r="C1269" s="337"/>
      <c r="D1269" s="337"/>
      <c r="E1269" s="338"/>
      <c r="F1269" s="1"/>
    </row>
    <row r="1270" spans="1:56" ht="4.95" hidden="1" customHeight="1" thickBot="1" x14ac:dyDescent="0.3">
      <c r="A1270" s="338"/>
      <c r="B1270" s="340"/>
      <c r="C1270" s="341"/>
      <c r="D1270" s="338"/>
      <c r="E1270" s="338"/>
      <c r="F1270" s="1"/>
      <c r="AC1270" s="334"/>
      <c r="AJ1270" s="437"/>
      <c r="BB1270" s="56"/>
    </row>
    <row r="1271" spans="1:56" ht="16.8" hidden="1" thickTop="1" thickBot="1" x14ac:dyDescent="0.3">
      <c r="A1271" s="347">
        <f>IF(C1271="",0,1+A1261)</f>
        <v>8</v>
      </c>
      <c r="B1271" s="348" t="s">
        <v>890</v>
      </c>
      <c r="C1271" s="349" t="str">
        <f>AM1271</f>
        <v>FIRST NAME</v>
      </c>
      <c r="D1271" s="350" t="str">
        <f>AQ1271</f>
        <v>LAST NAME</v>
      </c>
      <c r="E1271" s="338"/>
      <c r="F1271" s="1"/>
      <c r="AC1271" s="333" t="str">
        <f>IF(NOT(C1271=AM1271),C1271,"")</f>
        <v/>
      </c>
      <c r="AH1271" s="333" t="str">
        <f>IF(NOT(D1271=AQ1271),D1271,"")</f>
        <v/>
      </c>
      <c r="AM1271" s="351" t="s">
        <v>853</v>
      </c>
      <c r="AQ1271" s="351" t="s">
        <v>107</v>
      </c>
      <c r="BB1271" s="56"/>
    </row>
    <row r="1272" spans="1:56" ht="15" hidden="1" thickTop="1" thickBot="1" x14ac:dyDescent="0.3">
      <c r="A1272" s="336"/>
      <c r="B1272" s="338" t="s">
        <v>856</v>
      </c>
      <c r="C1272" s="353"/>
      <c r="D1272" s="5"/>
      <c r="E1272" s="338"/>
      <c r="F1272" s="1"/>
      <c r="AC1272" s="56">
        <f>IF(C1272="",0,1)</f>
        <v>0</v>
      </c>
      <c r="AE1272" s="56">
        <f>IF($AC$1202=1,AC$1197,0)</f>
        <v>0</v>
      </c>
      <c r="BB1272" s="56"/>
    </row>
    <row r="1273" spans="1:56" ht="13.95" hidden="1" customHeight="1" thickTop="1" thickBot="1" x14ac:dyDescent="0.3">
      <c r="A1273" s="336"/>
      <c r="B1273" s="354" t="s">
        <v>859</v>
      </c>
      <c r="C1273" s="353"/>
      <c r="D1273" s="355" t="str">
        <f>AS1273</f>
        <v>AWARENESS OF ISSUE</v>
      </c>
      <c r="E1273" s="338"/>
      <c r="F1273" s="1"/>
      <c r="AM1273" s="356"/>
      <c r="AN1273" s="356"/>
      <c r="AO1273" s="356"/>
      <c r="AP1273" s="356"/>
      <c r="AS1273" s="56" t="str">
        <f>AS1263</f>
        <v>AWARENESS OF ISSUE</v>
      </c>
      <c r="BB1273" s="56"/>
    </row>
    <row r="1274" spans="1:56" ht="13.95" hidden="1" customHeight="1" thickTop="1" thickBot="1" x14ac:dyDescent="0.3">
      <c r="A1274" s="336"/>
      <c r="B1274" s="348" t="s">
        <v>863</v>
      </c>
      <c r="C1274" s="357" t="s">
        <v>864</v>
      </c>
      <c r="D1274" s="357" t="s">
        <v>865</v>
      </c>
      <c r="E1274" s="338"/>
      <c r="F1274" s="1"/>
      <c r="BB1274" s="56"/>
    </row>
    <row r="1275" spans="1:56" ht="13.95" hidden="1" customHeight="1" thickTop="1" thickBot="1" x14ac:dyDescent="0.3">
      <c r="A1275" s="336"/>
      <c r="B1275" s="337" t="s">
        <v>868</v>
      </c>
      <c r="C1275" s="358" t="str">
        <f>AM1275</f>
        <v>YYYY-MM-DD</v>
      </c>
      <c r="D1275" s="358" t="str">
        <f>AM1275</f>
        <v>YYYY-MM-DD</v>
      </c>
      <c r="E1275" s="338"/>
      <c r="F1275" s="1"/>
      <c r="AH1275" s="616" t="str">
        <f>IF(NOT(D1275=AQ1275),D1275,"")</f>
        <v>YYYY-MM-DD</v>
      </c>
      <c r="AI1275" s="616"/>
      <c r="AM1275" s="351" t="s">
        <v>869</v>
      </c>
      <c r="AQ1275" s="351"/>
      <c r="BB1275" s="56"/>
    </row>
    <row r="1276" spans="1:56" ht="13.95" hidden="1" customHeight="1" thickTop="1" thickBot="1" x14ac:dyDescent="0.3">
      <c r="A1276" s="336"/>
      <c r="B1276" s="337" t="s">
        <v>874</v>
      </c>
      <c r="C1276" s="360"/>
      <c r="D1276" s="361" t="str">
        <f>AC1276</f>
        <v/>
      </c>
      <c r="E1276" s="338"/>
      <c r="F1276" s="1"/>
      <c r="AC1276" s="58" t="str">
        <f>IF(AND(AC$1196&gt;0,C1276=BN$1201),BM$1201,IF(AND(AC$1196&gt;0,C1276=BN$1202),BM$1202,IF(AND(AC$1196&gt;0,C1276=BN$1203),BM$1203,IF(AND(AC$1196&gt;0,C1276=BN$1204),BM$1204,IF(AND(AC$1196&gt;0,C1276=BN$1205),BM$1205,"")))))</f>
        <v/>
      </c>
      <c r="AI1276" s="626">
        <f>AV1277/AL$1197</f>
        <v>0</v>
      </c>
      <c r="AJ1276" s="626"/>
      <c r="AK1276" s="56" t="s">
        <v>875</v>
      </c>
      <c r="AO1276" s="11" t="str">
        <f>IF(AI1276=0,"none",(AI1276*100))</f>
        <v>none</v>
      </c>
      <c r="AP1276" s="56" t="str">
        <f>IF(AO1276="none"," of weekly support cost.","% of weekly support cost.")</f>
        <v xml:space="preserve"> of weekly support cost.</v>
      </c>
      <c r="BB1276" s="56"/>
    </row>
    <row r="1277" spans="1:56" ht="13.95" hidden="1" customHeight="1" thickTop="1" thickBot="1" x14ac:dyDescent="0.3">
      <c r="A1277" s="336"/>
      <c r="B1277" s="337" t="s">
        <v>877</v>
      </c>
      <c r="C1277" s="362"/>
      <c r="D1277" s="337" t="str">
        <f>IF(NOT(AV1277&gt;0),"",AC1277)</f>
        <v/>
      </c>
      <c r="E1277" s="338"/>
      <c r="F1277" s="1"/>
      <c r="AC1277" s="263" t="str">
        <f>CONCATENATE(AO1277,AT1277)</f>
        <v>Weekly contribution: $0.00</v>
      </c>
      <c r="AO1277" s="56" t="s">
        <v>878</v>
      </c>
      <c r="AT1277" s="263" t="str">
        <f>DOLLAR(AV1277)</f>
        <v>$0.00</v>
      </c>
      <c r="AV1277" s="338">
        <f>IF(AND(D1276=BM$1205,C1277=B$2043),D$2043,IF(AND(D1276=BM$1205,C1277=B$2044),D$2044,IF(AND(D1276=BM$1205,C1277=B$2045),D$2045,IF(AND(D1276=BM$1205,C1277=B$2046),D$2046,IF(AND(D1276=BM$1205,C1277=B$2047),D$2047,IF(AND(D1276=BM$1205,C1277=B$2048),D$2048,0))))))</f>
        <v>0</v>
      </c>
      <c r="AX1277" s="11" t="str">
        <f>DOLLAR(AZ1277)</f>
        <v>$45.00</v>
      </c>
      <c r="AZ1277" s="363">
        <f>$AJ$1197-AV1277</f>
        <v>45</v>
      </c>
      <c r="BB1277" s="56"/>
      <c r="BD1277" s="322">
        <f>AV1277</f>
        <v>0</v>
      </c>
    </row>
    <row r="1278" spans="1:56" ht="13.95" hidden="1" customHeight="1" thickTop="1" x14ac:dyDescent="0.25">
      <c r="A1278" s="336"/>
      <c r="B1278" s="337"/>
      <c r="C1278" s="337" t="str">
        <f>CONCATENATE(AK1276,AO1276,AP1276)</f>
        <v>This covers none of weekly support cost.</v>
      </c>
      <c r="D1278" s="337" t="str">
        <f>BF$1200</f>
        <v>$45 to go for weekly support.</v>
      </c>
      <c r="E1278" s="338"/>
      <c r="F1278" s="1"/>
      <c r="AC1278" s="56" t="s">
        <v>880</v>
      </c>
      <c r="AI1278" s="154">
        <f>MIN(D1276,AE1272)</f>
        <v>0</v>
      </c>
      <c r="AJ1278" s="56">
        <f>ROUND(AI1278,2)</f>
        <v>0</v>
      </c>
      <c r="AK1278" s="56" t="str">
        <f>CONCATENATE(AC1278,AJ1278)</f>
        <v>contribution per exchange: $0</v>
      </c>
    </row>
    <row r="1279" spans="1:56" ht="13.95" hidden="1" customHeight="1" x14ac:dyDescent="0.25">
      <c r="A1279" s="336"/>
      <c r="B1279" s="337"/>
      <c r="C1279" s="337"/>
      <c r="D1279" s="337"/>
      <c r="E1279" s="338"/>
      <c r="F1279" s="1"/>
    </row>
    <row r="1280" spans="1:56" ht="4.95" hidden="1" customHeight="1" thickBot="1" x14ac:dyDescent="0.3">
      <c r="A1280" s="338"/>
      <c r="B1280" s="340"/>
      <c r="C1280" s="341"/>
      <c r="D1280" s="338"/>
      <c r="E1280" s="338"/>
      <c r="F1280" s="1"/>
      <c r="AC1280" s="334"/>
      <c r="AJ1280" s="437"/>
      <c r="BB1280" s="56"/>
    </row>
    <row r="1281" spans="1:56" ht="16.8" hidden="1" thickTop="1" thickBot="1" x14ac:dyDescent="0.3">
      <c r="A1281" s="347">
        <f>IF(C1281="",0,1+A1271)</f>
        <v>9</v>
      </c>
      <c r="B1281" s="348" t="s">
        <v>891</v>
      </c>
      <c r="C1281" s="349" t="str">
        <f>AM1281</f>
        <v>FIRST NAME</v>
      </c>
      <c r="D1281" s="350" t="str">
        <f>AQ1281</f>
        <v>LAST NAME</v>
      </c>
      <c r="E1281" s="338"/>
      <c r="F1281" s="1"/>
      <c r="AC1281" s="333" t="str">
        <f>IF(NOT(C1281=AM1281),C1281,"")</f>
        <v/>
      </c>
      <c r="AH1281" s="333" t="str">
        <f>IF(NOT(D1281=AQ1281),D1281,"")</f>
        <v/>
      </c>
      <c r="AM1281" s="351" t="s">
        <v>853</v>
      </c>
      <c r="AQ1281" s="351" t="s">
        <v>107</v>
      </c>
      <c r="BB1281" s="56"/>
    </row>
    <row r="1282" spans="1:56" ht="15" hidden="1" thickTop="1" thickBot="1" x14ac:dyDescent="0.3">
      <c r="A1282" s="336"/>
      <c r="B1282" s="338" t="s">
        <v>856</v>
      </c>
      <c r="C1282" s="353"/>
      <c r="D1282" s="5"/>
      <c r="E1282" s="338"/>
      <c r="F1282" s="1"/>
      <c r="AC1282" s="56">
        <f>IF(C1282="",0,1)</f>
        <v>0</v>
      </c>
      <c r="AE1282" s="56">
        <f>IF($AC$1202=1,AC$1197,0)</f>
        <v>0</v>
      </c>
      <c r="BB1282" s="56"/>
    </row>
    <row r="1283" spans="1:56" ht="13.95" hidden="1" customHeight="1" thickTop="1" thickBot="1" x14ac:dyDescent="0.3">
      <c r="A1283" s="336"/>
      <c r="B1283" s="354" t="s">
        <v>859</v>
      </c>
      <c r="C1283" s="353"/>
      <c r="D1283" s="355" t="str">
        <f>AS1283</f>
        <v>AWARENESS OF ISSUE</v>
      </c>
      <c r="E1283" s="338"/>
      <c r="F1283" s="1"/>
      <c r="AM1283" s="356"/>
      <c r="AN1283" s="356"/>
      <c r="AO1283" s="356"/>
      <c r="AP1283" s="356"/>
      <c r="AS1283" s="56" t="str">
        <f>AS1273</f>
        <v>AWARENESS OF ISSUE</v>
      </c>
      <c r="BB1283" s="56"/>
    </row>
    <row r="1284" spans="1:56" ht="13.95" hidden="1" customHeight="1" thickTop="1" thickBot="1" x14ac:dyDescent="0.3">
      <c r="A1284" s="336"/>
      <c r="B1284" s="348" t="s">
        <v>863</v>
      </c>
      <c r="C1284" s="357" t="s">
        <v>864</v>
      </c>
      <c r="D1284" s="357" t="s">
        <v>865</v>
      </c>
      <c r="E1284" s="338"/>
      <c r="F1284" s="1"/>
      <c r="BB1284" s="56"/>
    </row>
    <row r="1285" spans="1:56" ht="13.95" hidden="1" customHeight="1" thickTop="1" thickBot="1" x14ac:dyDescent="0.3">
      <c r="A1285" s="336"/>
      <c r="B1285" s="337" t="s">
        <v>868</v>
      </c>
      <c r="C1285" s="358" t="str">
        <f>AM1285</f>
        <v>YYYY-MM-DD</v>
      </c>
      <c r="D1285" s="358" t="str">
        <f>AM1285</f>
        <v>YYYY-MM-DD</v>
      </c>
      <c r="E1285" s="338"/>
      <c r="F1285" s="1"/>
      <c r="AH1285" s="616" t="str">
        <f>IF(NOT(D1285=AQ1285),D1285,"")</f>
        <v>YYYY-MM-DD</v>
      </c>
      <c r="AI1285" s="616"/>
      <c r="AM1285" s="351" t="s">
        <v>869</v>
      </c>
      <c r="AQ1285" s="351"/>
      <c r="BB1285" s="56"/>
    </row>
    <row r="1286" spans="1:56" ht="13.95" hidden="1" customHeight="1" thickTop="1" thickBot="1" x14ac:dyDescent="0.3">
      <c r="A1286" s="336"/>
      <c r="B1286" s="337" t="s">
        <v>874</v>
      </c>
      <c r="C1286" s="360"/>
      <c r="D1286" s="361" t="str">
        <f>AC1286</f>
        <v/>
      </c>
      <c r="E1286" s="338"/>
      <c r="F1286" s="1"/>
      <c r="AC1286" s="58" t="str">
        <f>IF(AND(AC$1196&gt;0,C1286=BN$1201),BM$1201,IF(AND(AC$1196&gt;0,C1286=BN$1202),BM$1202,IF(AND(AC$1196&gt;0,C1286=BN$1203),BM$1203,IF(AND(AC$1196&gt;0,C1286=BN$1204),BM$1204,IF(AND(AC$1196&gt;0,C1286=BN$1205),BM$1205,"")))))</f>
        <v/>
      </c>
      <c r="AI1286" s="626">
        <f>AV1287/AL$1197</f>
        <v>0</v>
      </c>
      <c r="AJ1286" s="626"/>
      <c r="AK1286" s="56" t="s">
        <v>875</v>
      </c>
      <c r="AO1286" s="11" t="str">
        <f>IF(AI1286=0,"none",(AI1286*100))</f>
        <v>none</v>
      </c>
      <c r="AP1286" s="56" t="str">
        <f>IF(AO1286="none"," of weekly support cost.","% of weekly support cost.")</f>
        <v xml:space="preserve"> of weekly support cost.</v>
      </c>
      <c r="BB1286" s="56"/>
    </row>
    <row r="1287" spans="1:56" ht="13.95" hidden="1" customHeight="1" thickTop="1" thickBot="1" x14ac:dyDescent="0.3">
      <c r="A1287" s="336"/>
      <c r="B1287" s="337" t="s">
        <v>877</v>
      </c>
      <c r="C1287" s="362"/>
      <c r="D1287" s="337" t="str">
        <f>IF(NOT(AV1287&gt;0),"",AC1287)</f>
        <v/>
      </c>
      <c r="E1287" s="338"/>
      <c r="F1287" s="1"/>
      <c r="AC1287" s="263" t="str">
        <f>CONCATENATE(AO1287,AT1287)</f>
        <v>Weekly contribution: $0.00</v>
      </c>
      <c r="AO1287" s="56" t="s">
        <v>878</v>
      </c>
      <c r="AT1287" s="263" t="str">
        <f>DOLLAR(AV1287)</f>
        <v>$0.00</v>
      </c>
      <c r="AV1287" s="338">
        <f>IF(AND(D1286=BM$1205,C1287=B$2043),D$2043,IF(AND(D1286=BM$1205,C1287=B$2044),D$2044,IF(AND(D1286=BM$1205,C1287=B$2045),D$2045,IF(AND(D1286=BM$1205,C1287=B$2046),D$2046,IF(AND(D1286=BM$1205,C1287=B$2047),D$2047,IF(AND(D1286=BM$1205,C1287=B$2048),D$2048,0))))))</f>
        <v>0</v>
      </c>
      <c r="AX1287" s="11" t="str">
        <f>DOLLAR(AZ1287)</f>
        <v>$45.00</v>
      </c>
      <c r="AZ1287" s="363">
        <f>$AJ$1197-AV1287</f>
        <v>45</v>
      </c>
      <c r="BB1287" s="56"/>
      <c r="BD1287" s="322">
        <f>AV1287</f>
        <v>0</v>
      </c>
    </row>
    <row r="1288" spans="1:56" ht="13.95" hidden="1" customHeight="1" thickTop="1" x14ac:dyDescent="0.25">
      <c r="A1288" s="336"/>
      <c r="B1288" s="337"/>
      <c r="C1288" s="337" t="str">
        <f>CONCATENATE(AK1286,AO1286,AP1286)</f>
        <v>This covers none of weekly support cost.</v>
      </c>
      <c r="D1288" s="337" t="str">
        <f>BF$1200</f>
        <v>$45 to go for weekly support.</v>
      </c>
      <c r="E1288" s="338"/>
      <c r="F1288" s="1"/>
      <c r="AC1288" s="56" t="s">
        <v>880</v>
      </c>
      <c r="AI1288" s="154">
        <f>MIN(D1286,AE1282)</f>
        <v>0</v>
      </c>
      <c r="AJ1288" s="56">
        <f>ROUND(AI1288,2)</f>
        <v>0</v>
      </c>
      <c r="AK1288" s="56" t="str">
        <f>CONCATENATE(AC1288,AJ1288)</f>
        <v>contribution per exchange: $0</v>
      </c>
    </row>
    <row r="1289" spans="1:56" ht="18" hidden="1" customHeight="1" x14ac:dyDescent="0.25">
      <c r="A1289" s="336"/>
      <c r="B1289" s="337"/>
      <c r="C1289" s="337"/>
      <c r="D1289" s="337"/>
      <c r="E1289" s="338"/>
      <c r="F1289" s="1"/>
    </row>
    <row r="1290" spans="1:56" ht="4.95" hidden="1" customHeight="1" thickBot="1" x14ac:dyDescent="0.3">
      <c r="A1290" s="338"/>
      <c r="B1290" s="340"/>
      <c r="C1290" s="341"/>
      <c r="D1290" s="338"/>
      <c r="E1290" s="338"/>
      <c r="F1290" s="1"/>
      <c r="AC1290" s="334"/>
      <c r="AJ1290" s="437"/>
      <c r="BB1290" s="56"/>
    </row>
    <row r="1291" spans="1:56" ht="16.8" hidden="1" thickTop="1" thickBot="1" x14ac:dyDescent="0.3">
      <c r="A1291" s="347">
        <f>IF(C1291="",0,1+A1281)</f>
        <v>10</v>
      </c>
      <c r="B1291" s="348" t="s">
        <v>892</v>
      </c>
      <c r="C1291" s="349" t="str">
        <f>AM1291</f>
        <v>FIRST NAME</v>
      </c>
      <c r="D1291" s="350" t="str">
        <f>AQ1291</f>
        <v>LAST NAME</v>
      </c>
      <c r="E1291" s="338"/>
      <c r="F1291" s="1"/>
      <c r="AC1291" s="333" t="str">
        <f>IF(NOT(C1291=AM1291),C1291,"")</f>
        <v/>
      </c>
      <c r="AH1291" s="333" t="str">
        <f>IF(NOT(D1291=AQ1291),D1291,"")</f>
        <v/>
      </c>
      <c r="AM1291" s="351" t="s">
        <v>853</v>
      </c>
      <c r="AQ1291" s="351" t="s">
        <v>107</v>
      </c>
      <c r="BB1291" s="56"/>
    </row>
    <row r="1292" spans="1:56" ht="15" hidden="1" thickTop="1" thickBot="1" x14ac:dyDescent="0.3">
      <c r="A1292" s="336"/>
      <c r="B1292" s="338" t="s">
        <v>856</v>
      </c>
      <c r="C1292" s="353"/>
      <c r="D1292" s="5"/>
      <c r="E1292" s="338"/>
      <c r="F1292" s="1"/>
      <c r="AC1292" s="56">
        <f>IF(C1292="",0,1)</f>
        <v>0</v>
      </c>
      <c r="AE1292" s="56">
        <f>IF($AC$1202=1,AC$1197,0)</f>
        <v>0</v>
      </c>
      <c r="BB1292" s="56"/>
    </row>
    <row r="1293" spans="1:56" ht="13.95" hidden="1" customHeight="1" thickTop="1" thickBot="1" x14ac:dyDescent="0.3">
      <c r="A1293" s="336"/>
      <c r="B1293" s="354" t="s">
        <v>859</v>
      </c>
      <c r="C1293" s="353"/>
      <c r="D1293" s="355" t="str">
        <f>AS1293</f>
        <v>AWARENESS OF ISSUE</v>
      </c>
      <c r="E1293" s="338"/>
      <c r="F1293" s="1"/>
      <c r="AM1293" s="356"/>
      <c r="AN1293" s="356"/>
      <c r="AO1293" s="356"/>
      <c r="AP1293" s="356"/>
      <c r="AS1293" s="56" t="str">
        <f>AS1283</f>
        <v>AWARENESS OF ISSUE</v>
      </c>
      <c r="BB1293" s="56"/>
    </row>
    <row r="1294" spans="1:56" ht="13.95" hidden="1" customHeight="1" thickTop="1" thickBot="1" x14ac:dyDescent="0.3">
      <c r="A1294" s="336"/>
      <c r="B1294" s="348" t="s">
        <v>863</v>
      </c>
      <c r="C1294" s="357" t="s">
        <v>864</v>
      </c>
      <c r="D1294" s="357" t="s">
        <v>865</v>
      </c>
      <c r="E1294" s="338"/>
      <c r="F1294" s="1"/>
      <c r="BB1294" s="56"/>
    </row>
    <row r="1295" spans="1:56" ht="13.95" hidden="1" customHeight="1" thickTop="1" thickBot="1" x14ac:dyDescent="0.3">
      <c r="A1295" s="336"/>
      <c r="B1295" s="337" t="s">
        <v>868</v>
      </c>
      <c r="C1295" s="358" t="str">
        <f>AM1295</f>
        <v>YYYY-MM-DD</v>
      </c>
      <c r="D1295" s="358" t="str">
        <f>AM1295</f>
        <v>YYYY-MM-DD</v>
      </c>
      <c r="E1295" s="338"/>
      <c r="F1295" s="1"/>
      <c r="AH1295" s="616" t="str">
        <f>IF(NOT(D1295=AQ1295),D1295,"")</f>
        <v>YYYY-MM-DD</v>
      </c>
      <c r="AI1295" s="616"/>
      <c r="AM1295" s="351" t="s">
        <v>869</v>
      </c>
      <c r="AQ1295" s="351"/>
      <c r="BB1295" s="56"/>
    </row>
    <row r="1296" spans="1:56" ht="13.95" hidden="1" customHeight="1" thickTop="1" thickBot="1" x14ac:dyDescent="0.3">
      <c r="A1296" s="336"/>
      <c r="B1296" s="337" t="s">
        <v>874</v>
      </c>
      <c r="C1296" s="360"/>
      <c r="D1296" s="361" t="str">
        <f>AC1296</f>
        <v/>
      </c>
      <c r="E1296" s="338"/>
      <c r="F1296" s="1"/>
      <c r="AC1296" s="58" t="str">
        <f>IF(AND(AC$1196&gt;0,C1296=BN$1201),BM$1201,IF(AND(AC$1196&gt;0,C1296=BN$1202),BM$1202,IF(AND(AC$1196&gt;0,C1296=BN$1203),BM$1203,IF(AND(AC$1196&gt;0,C1296=BN$1204),BM$1204,IF(AND(AC$1196&gt;0,C1296=BN$1205),BM$1205,"")))))</f>
        <v/>
      </c>
      <c r="AI1296" s="626">
        <f>AV1297/AL$1197</f>
        <v>0</v>
      </c>
      <c r="AJ1296" s="626"/>
      <c r="AK1296" s="56" t="s">
        <v>875</v>
      </c>
      <c r="AO1296" s="11" t="str">
        <f>IF(AI1296=0,"none",(AI1296*100))</f>
        <v>none</v>
      </c>
      <c r="AP1296" s="56" t="str">
        <f>IF(AO1296="none"," of weekly support cost.","% of weekly support cost.")</f>
        <v xml:space="preserve"> of weekly support cost.</v>
      </c>
      <c r="BB1296" s="56"/>
    </row>
    <row r="1297" spans="1:56" ht="13.95" hidden="1" customHeight="1" thickTop="1" thickBot="1" x14ac:dyDescent="0.3">
      <c r="A1297" s="336"/>
      <c r="B1297" s="337" t="s">
        <v>877</v>
      </c>
      <c r="C1297" s="362"/>
      <c r="D1297" s="337" t="str">
        <f>IF(NOT(AV1297&gt;0),"",AC1297)</f>
        <v/>
      </c>
      <c r="E1297" s="338"/>
      <c r="F1297" s="1"/>
      <c r="AC1297" s="263" t="str">
        <f>CONCATENATE(AO1297,AT1297)</f>
        <v>Weekly contribution: $0.00</v>
      </c>
      <c r="AO1297" s="56" t="s">
        <v>878</v>
      </c>
      <c r="AT1297" s="263" t="str">
        <f>DOLLAR(AV1297)</f>
        <v>$0.00</v>
      </c>
      <c r="AV1297" s="338">
        <f>IF(AND(D1296=BM$1205,C1297=B$2043),D$2043,IF(AND(D1296=BM$1205,C1297=B$2044),D$2044,IF(AND(D1296=BM$1205,C1297=B$2045),D$2045,IF(AND(D1296=BM$1205,C1297=B$2046),D$2046,IF(AND(D1296=BM$1205,C1297=B$2047),D$2047,IF(AND(D1296=BM$1205,C1297=B$2048),D$2048,0))))))</f>
        <v>0</v>
      </c>
      <c r="AX1297" s="11" t="str">
        <f>DOLLAR(AZ1297)</f>
        <v>$45.00</v>
      </c>
      <c r="AZ1297" s="363">
        <f>$AJ$1197-AV1297</f>
        <v>45</v>
      </c>
      <c r="BB1297" s="359">
        <f>AV1297/AC$1197</f>
        <v>0</v>
      </c>
      <c r="BD1297" s="322">
        <f>AV1297</f>
        <v>0</v>
      </c>
    </row>
    <row r="1298" spans="1:56" ht="13.95" hidden="1" customHeight="1" thickTop="1" x14ac:dyDescent="0.25">
      <c r="A1298" s="336"/>
      <c r="B1298" s="337"/>
      <c r="C1298" s="337" t="str">
        <f>CONCATENATE(AK1296,AO1296,AP1296)</f>
        <v>This covers none of weekly support cost.</v>
      </c>
      <c r="D1298" s="337" t="str">
        <f>BF$1200</f>
        <v>$45 to go for weekly support.</v>
      </c>
      <c r="E1298" s="338"/>
      <c r="F1298" s="1"/>
      <c r="AC1298" s="56" t="s">
        <v>880</v>
      </c>
      <c r="AI1298" s="154">
        <f>MIN(D1296,AE1292)</f>
        <v>0</v>
      </c>
      <c r="AJ1298" s="56">
        <f>ROUND(AI1298,2)</f>
        <v>0</v>
      </c>
      <c r="AK1298" s="56" t="str">
        <f>CONCATENATE(AC1298,AJ1298)</f>
        <v>contribution per exchange: $0</v>
      </c>
    </row>
    <row r="1299" spans="1:56" ht="13.95" hidden="1" customHeight="1" x14ac:dyDescent="0.25">
      <c r="A1299" s="336"/>
      <c r="B1299" s="337"/>
      <c r="C1299" s="337"/>
      <c r="D1299" s="337"/>
      <c r="E1299" s="338"/>
      <c r="F1299" s="1"/>
    </row>
    <row r="1300" spans="1:56" ht="4.95" hidden="1" customHeight="1" thickBot="1" x14ac:dyDescent="0.3">
      <c r="A1300" s="338"/>
      <c r="B1300" s="340"/>
      <c r="C1300" s="341"/>
      <c r="D1300" s="338"/>
      <c r="E1300" s="338"/>
      <c r="F1300" s="1"/>
      <c r="AC1300" s="334"/>
      <c r="AJ1300" s="437"/>
      <c r="BB1300" s="56"/>
    </row>
    <row r="1301" spans="1:56" ht="16.8" hidden="1" thickTop="1" thickBot="1" x14ac:dyDescent="0.3">
      <c r="A1301" s="347">
        <f>IF(C1301="",0,1+A1291)</f>
        <v>11</v>
      </c>
      <c r="B1301" s="348" t="s">
        <v>893</v>
      </c>
      <c r="C1301" s="349" t="str">
        <f>AM1301</f>
        <v>FIRST NAME</v>
      </c>
      <c r="D1301" s="350" t="str">
        <f>AQ1301</f>
        <v>LAST NAME</v>
      </c>
      <c r="E1301" s="338"/>
      <c r="F1301" s="1"/>
      <c r="AC1301" s="333" t="str">
        <f>IF(NOT(C1301=AM1301),C1301,"")</f>
        <v/>
      </c>
      <c r="AH1301" s="333" t="str">
        <f>IF(NOT(D1301=AQ1301),D1301,"")</f>
        <v/>
      </c>
      <c r="AM1301" s="351" t="s">
        <v>853</v>
      </c>
      <c r="AQ1301" s="351" t="s">
        <v>107</v>
      </c>
      <c r="BB1301" s="56"/>
    </row>
    <row r="1302" spans="1:56" ht="15" hidden="1" thickTop="1" thickBot="1" x14ac:dyDescent="0.3">
      <c r="A1302" s="336"/>
      <c r="B1302" s="338" t="s">
        <v>856</v>
      </c>
      <c r="C1302" s="353"/>
      <c r="D1302" s="5"/>
      <c r="E1302" s="338"/>
      <c r="F1302" s="1"/>
      <c r="AC1302" s="56">
        <f>IF(C1302="",0,1)</f>
        <v>0</v>
      </c>
      <c r="AE1302" s="56">
        <f>IF($AC$1202=1,AC$1197,0)</f>
        <v>0</v>
      </c>
      <c r="BB1302" s="56"/>
    </row>
    <row r="1303" spans="1:56" ht="13.95" hidden="1" customHeight="1" thickTop="1" thickBot="1" x14ac:dyDescent="0.3">
      <c r="A1303" s="336"/>
      <c r="B1303" s="354" t="s">
        <v>859</v>
      </c>
      <c r="C1303" s="353"/>
      <c r="D1303" s="355" t="str">
        <f>AS1303</f>
        <v>AWARENESS OF ISSUE</v>
      </c>
      <c r="E1303" s="338"/>
      <c r="F1303" s="1"/>
      <c r="AM1303" s="356"/>
      <c r="AN1303" s="356"/>
      <c r="AO1303" s="356"/>
      <c r="AP1303" s="356"/>
      <c r="AS1303" s="56" t="str">
        <f>AS1293</f>
        <v>AWARENESS OF ISSUE</v>
      </c>
      <c r="BB1303" s="56"/>
    </row>
    <row r="1304" spans="1:56" ht="13.95" hidden="1" customHeight="1" thickTop="1" thickBot="1" x14ac:dyDescent="0.3">
      <c r="A1304" s="336"/>
      <c r="B1304" s="348" t="s">
        <v>863</v>
      </c>
      <c r="C1304" s="357" t="s">
        <v>864</v>
      </c>
      <c r="D1304" s="357" t="s">
        <v>865</v>
      </c>
      <c r="E1304" s="338"/>
      <c r="F1304" s="1"/>
      <c r="BB1304" s="56"/>
    </row>
    <row r="1305" spans="1:56" ht="13.95" hidden="1" customHeight="1" thickTop="1" thickBot="1" x14ac:dyDescent="0.3">
      <c r="A1305" s="336"/>
      <c r="B1305" s="337" t="s">
        <v>868</v>
      </c>
      <c r="C1305" s="358" t="str">
        <f>AM1305</f>
        <v>YYYY-MM-DD</v>
      </c>
      <c r="D1305" s="358" t="str">
        <f>AM1305</f>
        <v>YYYY-MM-DD</v>
      </c>
      <c r="E1305" s="338"/>
      <c r="F1305" s="1"/>
      <c r="AH1305" s="616" t="str">
        <f>IF(NOT(D1305=AQ1305),D1305,"")</f>
        <v>YYYY-MM-DD</v>
      </c>
      <c r="AI1305" s="616"/>
      <c r="AM1305" s="351" t="s">
        <v>869</v>
      </c>
      <c r="AQ1305" s="351"/>
      <c r="BB1305" s="56"/>
    </row>
    <row r="1306" spans="1:56" ht="13.95" hidden="1" customHeight="1" thickTop="1" thickBot="1" x14ac:dyDescent="0.3">
      <c r="A1306" s="336"/>
      <c r="B1306" s="337" t="s">
        <v>874</v>
      </c>
      <c r="C1306" s="360"/>
      <c r="D1306" s="361" t="str">
        <f>AC1306</f>
        <v/>
      </c>
      <c r="E1306" s="338"/>
      <c r="F1306" s="1"/>
      <c r="AC1306" s="58" t="str">
        <f>IF(AND(AC$1196&gt;0,C1306=BN$1201),BM$1201,IF(AND(AC$1196&gt;0,C1306=BN$1202),BM$1202,IF(AND(AC$1196&gt;0,C1306=BN$1203),BM$1203,IF(AND(AC$1196&gt;0,C1306=BN$1204),BM$1204,IF(AND(AC$1196&gt;0,C1306=BN$1205),BM$1205,"")))))</f>
        <v/>
      </c>
      <c r="AI1306" s="626">
        <f>AV1307/AL$1197</f>
        <v>0</v>
      </c>
      <c r="AJ1306" s="626"/>
      <c r="AK1306" s="56" t="s">
        <v>875</v>
      </c>
      <c r="AO1306" s="11" t="str">
        <f>IF(AI1306=0,"none",(AI1306*100))</f>
        <v>none</v>
      </c>
      <c r="AP1306" s="56" t="str">
        <f>IF(AO1306="none"," of weekly support cost.","% of weekly support cost.")</f>
        <v xml:space="preserve"> of weekly support cost.</v>
      </c>
      <c r="BB1306" s="56"/>
    </row>
    <row r="1307" spans="1:56" ht="13.95" hidden="1" customHeight="1" thickTop="1" thickBot="1" x14ac:dyDescent="0.3">
      <c r="A1307" s="336"/>
      <c r="B1307" s="337" t="s">
        <v>877</v>
      </c>
      <c r="C1307" s="362"/>
      <c r="D1307" s="337" t="str">
        <f>IF(NOT(AV1307&gt;0),"",AC1307)</f>
        <v/>
      </c>
      <c r="E1307" s="338"/>
      <c r="F1307" s="1"/>
      <c r="AC1307" s="263" t="str">
        <f>CONCATENATE(AO1307,AT1307)</f>
        <v>Weekly contribution: $0.00</v>
      </c>
      <c r="AO1307" s="56" t="s">
        <v>878</v>
      </c>
      <c r="AT1307" s="263" t="str">
        <f>DOLLAR(AV1307)</f>
        <v>$0.00</v>
      </c>
      <c r="AV1307" s="338">
        <f>IF(AND(D1306=BM$1205,C1307=B$2043),D$2043,IF(AND(D1306=BM$1205,C1307=B$2044),D$2044,IF(AND(D1306=BM$1205,C1307=B$2045),D$2045,IF(AND(D1306=BM$1205,C1307=B$2046),D$2046,IF(AND(D1306=BM$1205,C1307=B$2047),D$2047,IF(AND(D1306=BM$1205,C1307=B$2048),D$2048,0))))))</f>
        <v>0</v>
      </c>
      <c r="AX1307" s="11" t="str">
        <f>DOLLAR(AZ1307)</f>
        <v>$45.00</v>
      </c>
      <c r="AZ1307" s="363">
        <f>$AJ$1197-AV1307</f>
        <v>45</v>
      </c>
      <c r="BB1307" s="56"/>
      <c r="BD1307" s="322">
        <f>AV1307</f>
        <v>0</v>
      </c>
    </row>
    <row r="1308" spans="1:56" ht="13.95" hidden="1" customHeight="1" thickTop="1" x14ac:dyDescent="0.25">
      <c r="A1308" s="336"/>
      <c r="B1308" s="337"/>
      <c r="C1308" s="337" t="str">
        <f>CONCATENATE(AK1306,AO1306,AP1306)</f>
        <v>This covers none of weekly support cost.</v>
      </c>
      <c r="D1308" s="337" t="str">
        <f>BF$1200</f>
        <v>$45 to go for weekly support.</v>
      </c>
      <c r="E1308" s="338"/>
      <c r="F1308" s="1"/>
      <c r="AC1308" s="56" t="s">
        <v>880</v>
      </c>
      <c r="AI1308" s="154">
        <f>MIN(D1306,AE1302)</f>
        <v>0</v>
      </c>
      <c r="AJ1308" s="56">
        <f>ROUND(AI1308,2)</f>
        <v>0</v>
      </c>
      <c r="AK1308" s="56" t="str">
        <f>CONCATENATE(AC1308,AJ1308)</f>
        <v>contribution per exchange: $0</v>
      </c>
    </row>
    <row r="1309" spans="1:56" ht="13.95" hidden="1" customHeight="1" x14ac:dyDescent="0.25">
      <c r="A1309" s="336"/>
      <c r="B1309" s="337"/>
      <c r="C1309" s="337"/>
      <c r="D1309" s="337"/>
      <c r="E1309" s="338"/>
      <c r="F1309" s="1"/>
    </row>
    <row r="1310" spans="1:56" ht="4.95" hidden="1" customHeight="1" thickBot="1" x14ac:dyDescent="0.3">
      <c r="A1310" s="338"/>
      <c r="B1310" s="340"/>
      <c r="C1310" s="341"/>
      <c r="D1310" s="338"/>
      <c r="E1310" s="338"/>
      <c r="F1310" s="1"/>
      <c r="AC1310" s="334"/>
      <c r="AJ1310" s="437"/>
      <c r="BB1310" s="56"/>
    </row>
    <row r="1311" spans="1:56" ht="16.8" hidden="1" thickTop="1" thickBot="1" x14ac:dyDescent="0.3">
      <c r="A1311" s="347">
        <f>IF(C1311="",0,1+A1301)</f>
        <v>12</v>
      </c>
      <c r="B1311" s="348" t="s">
        <v>894</v>
      </c>
      <c r="C1311" s="349" t="str">
        <f>AM1311</f>
        <v>FIRST NAME</v>
      </c>
      <c r="D1311" s="350" t="str">
        <f>AQ1311</f>
        <v>LAST NAME</v>
      </c>
      <c r="E1311" s="338"/>
      <c r="F1311" s="1"/>
      <c r="AC1311" s="333" t="str">
        <f>IF(NOT(C1311=AM1311),C1311,"")</f>
        <v/>
      </c>
      <c r="AH1311" s="333" t="str">
        <f>IF(NOT(D1311=AQ1311),D1311,"")</f>
        <v/>
      </c>
      <c r="AM1311" s="351" t="s">
        <v>853</v>
      </c>
      <c r="AQ1311" s="351" t="s">
        <v>107</v>
      </c>
      <c r="BB1311" s="56"/>
    </row>
    <row r="1312" spans="1:56" ht="15" hidden="1" thickTop="1" thickBot="1" x14ac:dyDescent="0.3">
      <c r="A1312" s="336"/>
      <c r="B1312" s="338" t="s">
        <v>856</v>
      </c>
      <c r="C1312" s="353"/>
      <c r="D1312" s="5"/>
      <c r="E1312" s="338"/>
      <c r="F1312" s="1"/>
      <c r="AC1312" s="56">
        <f>IF(C1312="",0,1)</f>
        <v>0</v>
      </c>
      <c r="AE1312" s="56">
        <f>IF($AC$1202=1,AC$1197,0)</f>
        <v>0</v>
      </c>
      <c r="BB1312" s="56"/>
    </row>
    <row r="1313" spans="1:56" ht="13.95" hidden="1" customHeight="1" thickTop="1" thickBot="1" x14ac:dyDescent="0.3">
      <c r="A1313" s="336"/>
      <c r="B1313" s="354" t="s">
        <v>859</v>
      </c>
      <c r="C1313" s="353"/>
      <c r="D1313" s="355" t="str">
        <f>AS1313</f>
        <v>AWARENESS OF ISSUE</v>
      </c>
      <c r="E1313" s="338"/>
      <c r="F1313" s="1"/>
      <c r="AM1313" s="356"/>
      <c r="AN1313" s="356"/>
      <c r="AO1313" s="356"/>
      <c r="AP1313" s="356"/>
      <c r="AS1313" s="56" t="str">
        <f>AS1303</f>
        <v>AWARENESS OF ISSUE</v>
      </c>
      <c r="BB1313" s="56"/>
    </row>
    <row r="1314" spans="1:56" ht="13.95" hidden="1" customHeight="1" thickTop="1" thickBot="1" x14ac:dyDescent="0.3">
      <c r="A1314" s="336"/>
      <c r="B1314" s="348" t="s">
        <v>863</v>
      </c>
      <c r="C1314" s="357" t="s">
        <v>864</v>
      </c>
      <c r="D1314" s="357" t="s">
        <v>865</v>
      </c>
      <c r="E1314" s="338"/>
      <c r="F1314" s="1"/>
      <c r="BB1314" s="56"/>
    </row>
    <row r="1315" spans="1:56" ht="13.95" hidden="1" customHeight="1" thickTop="1" thickBot="1" x14ac:dyDescent="0.3">
      <c r="A1315" s="336"/>
      <c r="B1315" s="337" t="s">
        <v>868</v>
      </c>
      <c r="C1315" s="358" t="str">
        <f>AM1315</f>
        <v>YYYY-MM-DD</v>
      </c>
      <c r="D1315" s="358" t="str">
        <f>AM1315</f>
        <v>YYYY-MM-DD</v>
      </c>
      <c r="E1315" s="338"/>
      <c r="F1315" s="1"/>
      <c r="AH1315" s="616" t="str">
        <f>IF(NOT(D1315=AQ1315),D1315,"")</f>
        <v>YYYY-MM-DD</v>
      </c>
      <c r="AI1315" s="616"/>
      <c r="AM1315" s="351" t="s">
        <v>869</v>
      </c>
      <c r="AQ1315" s="351"/>
      <c r="BB1315" s="56"/>
    </row>
    <row r="1316" spans="1:56" ht="13.95" hidden="1" customHeight="1" thickTop="1" thickBot="1" x14ac:dyDescent="0.3">
      <c r="A1316" s="336"/>
      <c r="B1316" s="337" t="s">
        <v>874</v>
      </c>
      <c r="C1316" s="360"/>
      <c r="D1316" s="361" t="str">
        <f>AC1316</f>
        <v/>
      </c>
      <c r="E1316" s="338"/>
      <c r="F1316" s="1"/>
      <c r="AC1316" s="58" t="str">
        <f>IF(AND(AC$1196&gt;0,C1316=BN$1201),BM$1201,IF(AND(AC$1196&gt;0,C1316=BN$1202),BM$1202,IF(AND(AC$1196&gt;0,C1316=BN$1203),BM$1203,IF(AND(AC$1196&gt;0,C1316=BN$1204),BM$1204,IF(AND(AC$1196&gt;0,C1316=BN$1205),BM$1205,"")))))</f>
        <v/>
      </c>
      <c r="AI1316" s="626">
        <f>AV1317/AL$1197</f>
        <v>0</v>
      </c>
      <c r="AJ1316" s="626"/>
      <c r="AK1316" s="56" t="s">
        <v>875</v>
      </c>
      <c r="AO1316" s="11" t="str">
        <f>IF(AI1316=0,"none",(AI1316*100))</f>
        <v>none</v>
      </c>
      <c r="AP1316" s="56" t="str">
        <f>IF(AO1316="none"," of weekly support cost.","% of weekly support cost.")</f>
        <v xml:space="preserve"> of weekly support cost.</v>
      </c>
      <c r="BB1316" s="56"/>
    </row>
    <row r="1317" spans="1:56" ht="13.95" hidden="1" customHeight="1" thickTop="1" thickBot="1" x14ac:dyDescent="0.3">
      <c r="A1317" s="336"/>
      <c r="B1317" s="337" t="s">
        <v>877</v>
      </c>
      <c r="C1317" s="362"/>
      <c r="D1317" s="337" t="str">
        <f>IF(NOT(AV1317&gt;0),"",AC1317)</f>
        <v/>
      </c>
      <c r="E1317" s="338"/>
      <c r="F1317" s="1"/>
      <c r="AC1317" s="263" t="str">
        <f>CONCATENATE(AO1317,AT1317)</f>
        <v>Weekly contribution: $0.00</v>
      </c>
      <c r="AO1317" s="56" t="s">
        <v>878</v>
      </c>
      <c r="AT1317" s="263" t="str">
        <f>DOLLAR(AV1317)</f>
        <v>$0.00</v>
      </c>
      <c r="AV1317" s="338">
        <f>IF(AND(D1316=BM$1205,C1317=B$2043),D$2043,IF(AND(D1316=BM$1205,C1317=B$2044),D$2044,IF(AND(D1316=BM$1205,C1317=B$2045),D$2045,IF(AND(D1316=BM$1205,C1317=B$2046),D$2046,IF(AND(D1316=BM$1205,C1317=B$2047),D$2047,IF(AND(D1316=BM$1205,C1317=B$2048),D$2048,0))))))</f>
        <v>0</v>
      </c>
      <c r="AX1317" s="11" t="str">
        <f>DOLLAR(AZ1317)</f>
        <v>$45.00</v>
      </c>
      <c r="AZ1317" s="363">
        <f>$AJ$1197-AV1317</f>
        <v>45</v>
      </c>
      <c r="BB1317" s="56"/>
      <c r="BD1317" s="322">
        <f>AV1317</f>
        <v>0</v>
      </c>
    </row>
    <row r="1318" spans="1:56" ht="13.95" hidden="1" customHeight="1" thickTop="1" x14ac:dyDescent="0.25">
      <c r="A1318" s="336"/>
      <c r="B1318" s="337"/>
      <c r="C1318" s="337" t="str">
        <f>CONCATENATE(AK1316,AO1316,AP1316)</f>
        <v>This covers none of weekly support cost.</v>
      </c>
      <c r="D1318" s="337" t="str">
        <f>BF$1200</f>
        <v>$45 to go for weekly support.</v>
      </c>
      <c r="E1318" s="338"/>
      <c r="F1318" s="1"/>
      <c r="AC1318" s="56" t="s">
        <v>880</v>
      </c>
      <c r="AI1318" s="154">
        <f>MIN(D1316,AE1312)</f>
        <v>0</v>
      </c>
      <c r="AJ1318" s="56">
        <f>ROUND(AI1318,2)</f>
        <v>0</v>
      </c>
      <c r="AK1318" s="56" t="str">
        <f>CONCATENATE(AC1318,AJ1318)</f>
        <v>contribution per exchange: $0</v>
      </c>
    </row>
    <row r="1319" spans="1:56" ht="13.95" hidden="1" customHeight="1" x14ac:dyDescent="0.25">
      <c r="A1319" s="336"/>
      <c r="B1319" s="337"/>
      <c r="C1319" s="337"/>
      <c r="D1319" s="337"/>
      <c r="E1319" s="338"/>
      <c r="F1319" s="1"/>
    </row>
    <row r="1320" spans="1:56" ht="4.95" hidden="1" customHeight="1" thickBot="1" x14ac:dyDescent="0.3">
      <c r="A1320" s="338"/>
      <c r="B1320" s="340"/>
      <c r="C1320" s="341"/>
      <c r="D1320" s="338"/>
      <c r="E1320" s="338"/>
      <c r="F1320" s="1"/>
      <c r="AC1320" s="334"/>
      <c r="AJ1320" s="437"/>
      <c r="BB1320" s="56"/>
    </row>
    <row r="1321" spans="1:56" ht="16.8" hidden="1" thickTop="1" thickBot="1" x14ac:dyDescent="0.3">
      <c r="A1321" s="347">
        <f>IF(C1321="",0,1+A1311)</f>
        <v>13</v>
      </c>
      <c r="B1321" s="348" t="s">
        <v>895</v>
      </c>
      <c r="C1321" s="349" t="str">
        <f>AM1321</f>
        <v>FIRST NAME</v>
      </c>
      <c r="D1321" s="350" t="str">
        <f>AQ1321</f>
        <v>LAST NAME</v>
      </c>
      <c r="E1321" s="338"/>
      <c r="F1321" s="1"/>
      <c r="AC1321" s="333" t="str">
        <f>IF(NOT(C1321=AM1321),C1321,"")</f>
        <v/>
      </c>
      <c r="AH1321" s="333" t="str">
        <f>IF(NOT(D1321=AQ1321),D1321,"")</f>
        <v/>
      </c>
      <c r="AM1321" s="351" t="s">
        <v>853</v>
      </c>
      <c r="AQ1321" s="351" t="s">
        <v>107</v>
      </c>
      <c r="BB1321" s="56"/>
    </row>
    <row r="1322" spans="1:56" ht="15" hidden="1" thickTop="1" thickBot="1" x14ac:dyDescent="0.3">
      <c r="A1322" s="336"/>
      <c r="B1322" s="338" t="s">
        <v>856</v>
      </c>
      <c r="C1322" s="353"/>
      <c r="D1322" s="5"/>
      <c r="E1322" s="338"/>
      <c r="F1322" s="1"/>
      <c r="AC1322" s="56">
        <f>IF(C1322="",0,1)</f>
        <v>0</v>
      </c>
      <c r="AE1322" s="56">
        <f>IF($AC$1202=1,AC$1197,0)</f>
        <v>0</v>
      </c>
      <c r="BB1322" s="56"/>
    </row>
    <row r="1323" spans="1:56" ht="13.95" hidden="1" customHeight="1" thickTop="1" thickBot="1" x14ac:dyDescent="0.3">
      <c r="A1323" s="336"/>
      <c r="B1323" s="354" t="s">
        <v>859</v>
      </c>
      <c r="C1323" s="353"/>
      <c r="D1323" s="355" t="str">
        <f>AS1323</f>
        <v>AWARENESS OF ISSUE</v>
      </c>
      <c r="E1323" s="338"/>
      <c r="F1323" s="1"/>
      <c r="AM1323" s="356"/>
      <c r="AN1323" s="356"/>
      <c r="AO1323" s="356"/>
      <c r="AP1323" s="356"/>
      <c r="AS1323" s="56" t="str">
        <f>AS1313</f>
        <v>AWARENESS OF ISSUE</v>
      </c>
      <c r="BB1323" s="56"/>
    </row>
    <row r="1324" spans="1:56" ht="13.95" hidden="1" customHeight="1" thickTop="1" thickBot="1" x14ac:dyDescent="0.3">
      <c r="A1324" s="336"/>
      <c r="B1324" s="348" t="s">
        <v>863</v>
      </c>
      <c r="C1324" s="357" t="s">
        <v>864</v>
      </c>
      <c r="D1324" s="357" t="s">
        <v>865</v>
      </c>
      <c r="E1324" s="338"/>
      <c r="F1324" s="1"/>
      <c r="BB1324" s="56"/>
    </row>
    <row r="1325" spans="1:56" ht="13.95" hidden="1" customHeight="1" thickTop="1" thickBot="1" x14ac:dyDescent="0.3">
      <c r="A1325" s="336"/>
      <c r="B1325" s="337" t="s">
        <v>868</v>
      </c>
      <c r="C1325" s="358" t="str">
        <f>AM1325</f>
        <v>YYYY-MM-DD</v>
      </c>
      <c r="D1325" s="358" t="str">
        <f>AM1325</f>
        <v>YYYY-MM-DD</v>
      </c>
      <c r="E1325" s="338"/>
      <c r="F1325" s="1"/>
      <c r="AH1325" s="616" t="str">
        <f>IF(NOT(D1325=AQ1325),D1325,"")</f>
        <v>YYYY-MM-DD</v>
      </c>
      <c r="AI1325" s="616"/>
      <c r="AM1325" s="351" t="s">
        <v>869</v>
      </c>
      <c r="AQ1325" s="351"/>
      <c r="BB1325" s="56"/>
    </row>
    <row r="1326" spans="1:56" ht="13.95" hidden="1" customHeight="1" thickTop="1" thickBot="1" x14ac:dyDescent="0.3">
      <c r="A1326" s="336"/>
      <c r="B1326" s="337" t="s">
        <v>874</v>
      </c>
      <c r="C1326" s="360"/>
      <c r="D1326" s="361" t="str">
        <f>AC1326</f>
        <v/>
      </c>
      <c r="E1326" s="338"/>
      <c r="F1326" s="1"/>
      <c r="AC1326" s="58" t="str">
        <f>IF(AND(AC$1196&gt;0,C1326=BN$1201),BM$1201,IF(AND(AC$1196&gt;0,C1326=BN$1202),BM$1202,IF(AND(AC$1196&gt;0,C1326=BN$1203),BM$1203,IF(AND(AC$1196&gt;0,C1326=BN$1204),BM$1204,IF(AND(AC$1196&gt;0,C1326=BN$1205),BM$1205,"")))))</f>
        <v/>
      </c>
      <c r="AI1326" s="626">
        <f>AV1327/AL$1197</f>
        <v>0</v>
      </c>
      <c r="AJ1326" s="626"/>
      <c r="AK1326" s="56" t="s">
        <v>875</v>
      </c>
      <c r="AO1326" s="11" t="str">
        <f>IF(AI1326=0,"none",(AI1326*100))</f>
        <v>none</v>
      </c>
      <c r="AP1326" s="56" t="str">
        <f>IF(AO1326="none"," of weekly support cost.","% of weekly support cost.")</f>
        <v xml:space="preserve"> of weekly support cost.</v>
      </c>
      <c r="BB1326" s="56"/>
    </row>
    <row r="1327" spans="1:56" ht="13.95" hidden="1" customHeight="1" thickTop="1" thickBot="1" x14ac:dyDescent="0.3">
      <c r="A1327" s="336"/>
      <c r="B1327" s="337" t="s">
        <v>877</v>
      </c>
      <c r="C1327" s="362"/>
      <c r="D1327" s="337" t="str">
        <f>IF(NOT(AV1327&gt;0),"",AC1327)</f>
        <v/>
      </c>
      <c r="E1327" s="338"/>
      <c r="F1327" s="1"/>
      <c r="AC1327" s="263" t="str">
        <f>CONCATENATE(AO1327,AT1327)</f>
        <v>Weekly contribution: $0.00</v>
      </c>
      <c r="AO1327" s="56" t="s">
        <v>878</v>
      </c>
      <c r="AT1327" s="263" t="str">
        <f>DOLLAR(AV1327)</f>
        <v>$0.00</v>
      </c>
      <c r="AV1327" s="338">
        <f>IF(AND(D1326=BM$1205,C1327=B$2043),D$2043,IF(AND(D1326=BM$1205,C1327=B$2044),D$2044,IF(AND(D1326=BM$1205,C1327=B$2045),D$2045,IF(AND(D1326=BM$1205,C1327=B$2046),D$2046,IF(AND(D1326=BM$1205,C1327=B$2047),D$2047,IF(AND(D1326=BM$1205,C1327=B$2048),D$2048,0))))))</f>
        <v>0</v>
      </c>
      <c r="AX1327" s="11" t="str">
        <f>DOLLAR(AZ1327)</f>
        <v>$45.00</v>
      </c>
      <c r="AZ1327" s="363">
        <f>$AJ$1197-AV1327</f>
        <v>45</v>
      </c>
      <c r="BB1327" s="56"/>
      <c r="BD1327" s="322">
        <f>AV1327</f>
        <v>0</v>
      </c>
    </row>
    <row r="1328" spans="1:56" ht="13.95" hidden="1" customHeight="1" thickTop="1" x14ac:dyDescent="0.25">
      <c r="A1328" s="336"/>
      <c r="B1328" s="337"/>
      <c r="C1328" s="337" t="str">
        <f>CONCATENATE(AK1326,AO1326,AP1326)</f>
        <v>This covers none of weekly support cost.</v>
      </c>
      <c r="D1328" s="337" t="str">
        <f>BF$1200</f>
        <v>$45 to go for weekly support.</v>
      </c>
      <c r="E1328" s="338"/>
      <c r="F1328" s="1"/>
      <c r="AC1328" s="56" t="s">
        <v>880</v>
      </c>
      <c r="AI1328" s="154">
        <f>MIN(D1326,AE1322)</f>
        <v>0</v>
      </c>
      <c r="AJ1328" s="56">
        <f>ROUND(AI1328,2)</f>
        <v>0</v>
      </c>
      <c r="AK1328" s="56" t="str">
        <f>CONCATENATE(AC1328,AJ1328)</f>
        <v>contribution per exchange: $0</v>
      </c>
    </row>
    <row r="1329" spans="1:56" ht="13.95" hidden="1" customHeight="1" x14ac:dyDescent="0.25">
      <c r="A1329" s="336"/>
      <c r="B1329" s="337"/>
      <c r="C1329" s="337"/>
      <c r="D1329" s="337"/>
      <c r="E1329" s="338"/>
      <c r="F1329" s="1"/>
    </row>
    <row r="1330" spans="1:56" ht="4.95" hidden="1" customHeight="1" thickBot="1" x14ac:dyDescent="0.3">
      <c r="A1330" s="338"/>
      <c r="B1330" s="340"/>
      <c r="C1330" s="341"/>
      <c r="D1330" s="338"/>
      <c r="E1330" s="338"/>
      <c r="F1330" s="1"/>
      <c r="AC1330" s="334"/>
      <c r="AJ1330" s="437"/>
      <c r="BB1330" s="56"/>
    </row>
    <row r="1331" spans="1:56" ht="16.8" hidden="1" thickTop="1" thickBot="1" x14ac:dyDescent="0.3">
      <c r="A1331" s="347">
        <f>IF(C1331="",0,1+A1321)</f>
        <v>14</v>
      </c>
      <c r="B1331" s="348" t="s">
        <v>896</v>
      </c>
      <c r="C1331" s="349" t="str">
        <f>AM1331</f>
        <v>FIRST NAME</v>
      </c>
      <c r="D1331" s="350" t="str">
        <f>AQ1331</f>
        <v>LAST NAME</v>
      </c>
      <c r="E1331" s="338"/>
      <c r="F1331" s="1"/>
      <c r="AC1331" s="333" t="str">
        <f>IF(NOT(C1331=AM1331),C1331,"")</f>
        <v/>
      </c>
      <c r="AH1331" s="333" t="str">
        <f>IF(NOT(D1331=AQ1331),D1331,"")</f>
        <v/>
      </c>
      <c r="AM1331" s="351" t="s">
        <v>853</v>
      </c>
      <c r="AQ1331" s="351" t="s">
        <v>107</v>
      </c>
      <c r="BB1331" s="56"/>
    </row>
    <row r="1332" spans="1:56" ht="15" hidden="1" thickTop="1" thickBot="1" x14ac:dyDescent="0.3">
      <c r="A1332" s="336"/>
      <c r="B1332" s="338" t="s">
        <v>856</v>
      </c>
      <c r="C1332" s="353"/>
      <c r="D1332" s="5"/>
      <c r="E1332" s="338"/>
      <c r="F1332" s="1"/>
      <c r="AC1332" s="56">
        <f>IF(C1332="",0,1)</f>
        <v>0</v>
      </c>
      <c r="AE1332" s="56">
        <f>IF($AC$1202=1,AC$1197,0)</f>
        <v>0</v>
      </c>
      <c r="BB1332" s="56"/>
    </row>
    <row r="1333" spans="1:56" ht="13.95" hidden="1" customHeight="1" thickTop="1" thickBot="1" x14ac:dyDescent="0.3">
      <c r="A1333" s="336"/>
      <c r="B1333" s="354" t="s">
        <v>859</v>
      </c>
      <c r="C1333" s="353"/>
      <c r="D1333" s="355" t="str">
        <f>AS1333</f>
        <v>AWARENESS OF ISSUE</v>
      </c>
      <c r="E1333" s="338"/>
      <c r="F1333" s="1"/>
      <c r="AM1333" s="356"/>
      <c r="AN1333" s="356"/>
      <c r="AO1333" s="356"/>
      <c r="AP1333" s="356"/>
      <c r="AS1333" s="56" t="str">
        <f>AS1323</f>
        <v>AWARENESS OF ISSUE</v>
      </c>
      <c r="BB1333" s="56"/>
    </row>
    <row r="1334" spans="1:56" ht="13.95" hidden="1" customHeight="1" thickTop="1" thickBot="1" x14ac:dyDescent="0.3">
      <c r="A1334" s="336"/>
      <c r="B1334" s="348" t="s">
        <v>863</v>
      </c>
      <c r="C1334" s="357" t="s">
        <v>864</v>
      </c>
      <c r="D1334" s="357" t="s">
        <v>865</v>
      </c>
      <c r="E1334" s="338"/>
      <c r="F1334" s="1"/>
      <c r="BB1334" s="56"/>
    </row>
    <row r="1335" spans="1:56" ht="13.95" hidden="1" customHeight="1" thickTop="1" thickBot="1" x14ac:dyDescent="0.3">
      <c r="A1335" s="336"/>
      <c r="B1335" s="337" t="s">
        <v>868</v>
      </c>
      <c r="C1335" s="358" t="str">
        <f>AM1335</f>
        <v>YYYY-MM-DD</v>
      </c>
      <c r="D1335" s="358" t="str">
        <f>AM1335</f>
        <v>YYYY-MM-DD</v>
      </c>
      <c r="E1335" s="338"/>
      <c r="F1335" s="1"/>
      <c r="AH1335" s="616" t="str">
        <f>IF(NOT(D1335=AQ1335),D1335,"")</f>
        <v>YYYY-MM-DD</v>
      </c>
      <c r="AI1335" s="616"/>
      <c r="AM1335" s="351" t="s">
        <v>869</v>
      </c>
      <c r="AQ1335" s="351"/>
      <c r="BB1335" s="56"/>
    </row>
    <row r="1336" spans="1:56" ht="13.95" hidden="1" customHeight="1" thickTop="1" thickBot="1" x14ac:dyDescent="0.3">
      <c r="A1336" s="336"/>
      <c r="B1336" s="337" t="s">
        <v>874</v>
      </c>
      <c r="C1336" s="360"/>
      <c r="D1336" s="361" t="str">
        <f>AC1336</f>
        <v/>
      </c>
      <c r="E1336" s="338"/>
      <c r="F1336" s="1"/>
      <c r="AC1336" s="58" t="str">
        <f>IF(AND(AC$1196&gt;0,C1336=BN$1201),BM$1201,IF(AND(AC$1196&gt;0,C1336=BN$1202),BM$1202,IF(AND(AC$1196&gt;0,C1336=BN$1203),BM$1203,IF(AND(AC$1196&gt;0,C1336=BN$1204),BM$1204,IF(AND(AC$1196&gt;0,C1336=BN$1205),BM$1205,"")))))</f>
        <v/>
      </c>
      <c r="AI1336" s="626">
        <f>AV1337/AL$1197</f>
        <v>0</v>
      </c>
      <c r="AJ1336" s="626"/>
      <c r="AK1336" s="56" t="s">
        <v>875</v>
      </c>
      <c r="AO1336" s="11" t="str">
        <f>IF(AI1336=0,"none",(AI1336*100))</f>
        <v>none</v>
      </c>
      <c r="AP1336" s="56" t="str">
        <f>IF(AO1336="none"," of weekly support cost.","% of weekly support cost.")</f>
        <v xml:space="preserve"> of weekly support cost.</v>
      </c>
      <c r="BB1336" s="56"/>
    </row>
    <row r="1337" spans="1:56" ht="13.95" hidden="1" customHeight="1" thickTop="1" thickBot="1" x14ac:dyDescent="0.3">
      <c r="A1337" s="336"/>
      <c r="B1337" s="337" t="s">
        <v>877</v>
      </c>
      <c r="C1337" s="362"/>
      <c r="D1337" s="337" t="str">
        <f>IF(NOT(AV1337&gt;0),"",AC1337)</f>
        <v/>
      </c>
      <c r="E1337" s="338"/>
      <c r="F1337" s="1"/>
      <c r="AC1337" s="263" t="str">
        <f>CONCATENATE(AO1337,AT1337)</f>
        <v>Weekly contribution: $0.00</v>
      </c>
      <c r="AO1337" s="56" t="s">
        <v>878</v>
      </c>
      <c r="AT1337" s="263" t="str">
        <f>DOLLAR(AV1337)</f>
        <v>$0.00</v>
      </c>
      <c r="AV1337" s="338">
        <f>IF(AND(D1336=BM$1205,C1337=B$2043),D$2043,IF(AND(D1336=BM$1205,C1337=B$2044),D$2044,IF(AND(D1336=BM$1205,C1337=B$2045),D$2045,IF(AND(D1336=BM$1205,C1337=B$2046),D$2046,IF(AND(D1336=BM$1205,C1337=B$2047),D$2047,IF(AND(D1336=BM$1205,C1337=B$2048),D$2048,0))))))</f>
        <v>0</v>
      </c>
      <c r="AX1337" s="11" t="str">
        <f>DOLLAR(AZ1337)</f>
        <v>$45.00</v>
      </c>
      <c r="AZ1337" s="363">
        <f>$AJ$1197-AV1337</f>
        <v>45</v>
      </c>
      <c r="BB1337" s="359">
        <f>AV1337/AC$1197</f>
        <v>0</v>
      </c>
      <c r="BD1337" s="322">
        <f>AV1337</f>
        <v>0</v>
      </c>
    </row>
    <row r="1338" spans="1:56" ht="13.95" hidden="1" customHeight="1" thickTop="1" x14ac:dyDescent="0.25">
      <c r="A1338" s="336"/>
      <c r="B1338" s="337"/>
      <c r="C1338" s="337" t="str">
        <f>CONCATENATE(AK1336,AO1336,AP1336)</f>
        <v>This covers none of weekly support cost.</v>
      </c>
      <c r="D1338" s="337" t="str">
        <f>BF$1200</f>
        <v>$45 to go for weekly support.</v>
      </c>
      <c r="E1338" s="338"/>
      <c r="F1338" s="1"/>
      <c r="AC1338" s="56" t="s">
        <v>880</v>
      </c>
      <c r="AI1338" s="154">
        <f>MIN(D1336,AE1332)</f>
        <v>0</v>
      </c>
      <c r="AJ1338" s="56">
        <f>ROUND(AI1338,2)</f>
        <v>0</v>
      </c>
      <c r="AK1338" s="56" t="str">
        <f>CONCATENATE(AC1338,AJ1338)</f>
        <v>contribution per exchange: $0</v>
      </c>
    </row>
    <row r="1339" spans="1:56" ht="18" hidden="1" customHeight="1" x14ac:dyDescent="0.25">
      <c r="A1339" s="336"/>
      <c r="B1339" s="337"/>
      <c r="C1339" s="337"/>
      <c r="D1339" s="337"/>
      <c r="E1339" s="338"/>
      <c r="F1339" s="1"/>
    </row>
    <row r="1340" spans="1:56" ht="4.95" hidden="1" customHeight="1" thickBot="1" x14ac:dyDescent="0.3">
      <c r="A1340" s="338"/>
      <c r="B1340" s="340"/>
      <c r="C1340" s="341"/>
      <c r="D1340" s="338"/>
      <c r="E1340" s="338"/>
      <c r="F1340" s="1"/>
      <c r="AC1340" s="334"/>
      <c r="AJ1340" s="437"/>
      <c r="BB1340" s="56"/>
    </row>
    <row r="1341" spans="1:56" ht="16.8" hidden="1" thickTop="1" thickBot="1" x14ac:dyDescent="0.3">
      <c r="A1341" s="347">
        <f>IF(C1341="",0,1+A1331)</f>
        <v>15</v>
      </c>
      <c r="B1341" s="348" t="s">
        <v>897</v>
      </c>
      <c r="C1341" s="349" t="str">
        <f>AM1341</f>
        <v>FIRST NAME</v>
      </c>
      <c r="D1341" s="350" t="str">
        <f>AQ1341</f>
        <v>LAST NAME</v>
      </c>
      <c r="E1341" s="338"/>
      <c r="F1341" s="1"/>
      <c r="AC1341" s="333" t="str">
        <f>IF(NOT(C1341=AM1341),C1341,"")</f>
        <v/>
      </c>
      <c r="AH1341" s="333" t="str">
        <f>IF(NOT(D1341=AQ1341),D1341,"")</f>
        <v/>
      </c>
      <c r="AM1341" s="351" t="s">
        <v>853</v>
      </c>
      <c r="AQ1341" s="351" t="s">
        <v>107</v>
      </c>
      <c r="BB1341" s="56"/>
    </row>
    <row r="1342" spans="1:56" ht="15" hidden="1" thickTop="1" thickBot="1" x14ac:dyDescent="0.3">
      <c r="A1342" s="336"/>
      <c r="B1342" s="338" t="s">
        <v>856</v>
      </c>
      <c r="C1342" s="353"/>
      <c r="D1342" s="5"/>
      <c r="E1342" s="338"/>
      <c r="F1342" s="1"/>
      <c r="AC1342" s="56">
        <f>IF(C1342="",0,1)</f>
        <v>0</v>
      </c>
      <c r="AE1342" s="56">
        <f>IF($AC$1202=1,AC$1197,0)</f>
        <v>0</v>
      </c>
      <c r="BB1342" s="56"/>
    </row>
    <row r="1343" spans="1:56" ht="13.95" hidden="1" customHeight="1" thickTop="1" thickBot="1" x14ac:dyDescent="0.3">
      <c r="A1343" s="336"/>
      <c r="B1343" s="354" t="s">
        <v>859</v>
      </c>
      <c r="C1343" s="353"/>
      <c r="D1343" s="355" t="str">
        <f>AS1343</f>
        <v>AWARENESS OF ISSUE</v>
      </c>
      <c r="E1343" s="338"/>
      <c r="F1343" s="1"/>
      <c r="AM1343" s="356"/>
      <c r="AN1343" s="356"/>
      <c r="AO1343" s="356"/>
      <c r="AP1343" s="356"/>
      <c r="AS1343" s="56" t="str">
        <f>AS1333</f>
        <v>AWARENESS OF ISSUE</v>
      </c>
      <c r="BB1343" s="56"/>
    </row>
    <row r="1344" spans="1:56" ht="13.95" hidden="1" customHeight="1" thickTop="1" thickBot="1" x14ac:dyDescent="0.3">
      <c r="A1344" s="336"/>
      <c r="B1344" s="348" t="s">
        <v>863</v>
      </c>
      <c r="C1344" s="357" t="s">
        <v>864</v>
      </c>
      <c r="D1344" s="357" t="s">
        <v>865</v>
      </c>
      <c r="E1344" s="338"/>
      <c r="F1344" s="1"/>
      <c r="BB1344" s="56"/>
    </row>
    <row r="1345" spans="1:56" ht="13.95" hidden="1" customHeight="1" thickTop="1" thickBot="1" x14ac:dyDescent="0.3">
      <c r="A1345" s="336"/>
      <c r="B1345" s="337" t="s">
        <v>868</v>
      </c>
      <c r="C1345" s="358" t="str">
        <f>AM1345</f>
        <v>YYYY-MM-DD</v>
      </c>
      <c r="D1345" s="358" t="str">
        <f>AM1345</f>
        <v>YYYY-MM-DD</v>
      </c>
      <c r="E1345" s="338"/>
      <c r="F1345" s="1"/>
      <c r="AH1345" s="616" t="str">
        <f>IF(NOT(D1345=AQ1345),D1345,"")</f>
        <v>YYYY-MM-DD</v>
      </c>
      <c r="AI1345" s="616"/>
      <c r="AM1345" s="351" t="s">
        <v>869</v>
      </c>
      <c r="AQ1345" s="351"/>
      <c r="BB1345" s="56"/>
    </row>
    <row r="1346" spans="1:56" ht="13.95" hidden="1" customHeight="1" thickTop="1" thickBot="1" x14ac:dyDescent="0.3">
      <c r="A1346" s="336"/>
      <c r="B1346" s="337" t="s">
        <v>874</v>
      </c>
      <c r="C1346" s="360"/>
      <c r="D1346" s="361" t="str">
        <f>AC1346</f>
        <v/>
      </c>
      <c r="E1346" s="338"/>
      <c r="F1346" s="1"/>
      <c r="AC1346" s="58" t="str">
        <f>IF(AND(AC$1196&gt;0,C1346=BN$1201),BM$1201,IF(AND(AC$1196&gt;0,C1346=BN$1202),BM$1202,IF(AND(AC$1196&gt;0,C1346=BN$1203),BM$1203,IF(AND(AC$1196&gt;0,C1346=BN$1204),BM$1204,IF(AND(AC$1196&gt;0,C1346=BN$1205),BM$1205,"")))))</f>
        <v/>
      </c>
      <c r="AI1346" s="626">
        <f>AV1347/AL$1197</f>
        <v>0</v>
      </c>
      <c r="AJ1346" s="626"/>
      <c r="AK1346" s="56" t="s">
        <v>875</v>
      </c>
      <c r="AO1346" s="11" t="str">
        <f>IF(AI1346=0,"none",(AI1346*100))</f>
        <v>none</v>
      </c>
      <c r="AP1346" s="56" t="str">
        <f>IF(AO1346="none"," of weekly support cost.","% of weekly support cost.")</f>
        <v xml:space="preserve"> of weekly support cost.</v>
      </c>
      <c r="BB1346" s="56"/>
    </row>
    <row r="1347" spans="1:56" ht="13.95" hidden="1" customHeight="1" thickTop="1" thickBot="1" x14ac:dyDescent="0.3">
      <c r="A1347" s="336"/>
      <c r="B1347" s="337" t="s">
        <v>877</v>
      </c>
      <c r="C1347" s="362"/>
      <c r="D1347" s="337" t="str">
        <f>IF(NOT(AV1347&gt;0),"",AC1347)</f>
        <v/>
      </c>
      <c r="E1347" s="338"/>
      <c r="F1347" s="1"/>
      <c r="AC1347" s="263" t="str">
        <f>CONCATENATE(AO1347,AT1347)</f>
        <v>Weekly contribution: $0.00</v>
      </c>
      <c r="AO1347" s="56" t="s">
        <v>878</v>
      </c>
      <c r="AT1347" s="263" t="str">
        <f>DOLLAR(AV1347)</f>
        <v>$0.00</v>
      </c>
      <c r="AV1347" s="338">
        <f>IF(AND(D1346=BM$1205,C1347=B$2043),D$2043,IF(AND(D1346=BM$1205,C1347=B$2044),D$2044,IF(AND(D1346=BM$1205,C1347=B$2045),D$2045,IF(AND(D1346=BM$1205,C1347=B$2046),D$2046,IF(AND(D1346=BM$1205,C1347=B$2047),D$2047,IF(AND(D1346=BM$1205,C1347=B$2048),D$2048,0))))))</f>
        <v>0</v>
      </c>
      <c r="AX1347" s="11" t="str">
        <f>DOLLAR(AZ1347)</f>
        <v>$45.00</v>
      </c>
      <c r="AZ1347" s="363">
        <f>$AJ$1197-AV1347</f>
        <v>45</v>
      </c>
      <c r="BB1347" s="56"/>
      <c r="BD1347" s="322">
        <f>AV1347</f>
        <v>0</v>
      </c>
    </row>
    <row r="1348" spans="1:56" ht="13.95" hidden="1" customHeight="1" thickTop="1" x14ac:dyDescent="0.25">
      <c r="A1348" s="336"/>
      <c r="B1348" s="337"/>
      <c r="C1348" s="337" t="str">
        <f>CONCATENATE(AK1346,AO1346,AP1346)</f>
        <v>This covers none of weekly support cost.</v>
      </c>
      <c r="D1348" s="337" t="str">
        <f>BF$1200</f>
        <v>$45 to go for weekly support.</v>
      </c>
      <c r="E1348" s="338"/>
      <c r="F1348" s="1"/>
      <c r="AC1348" s="56" t="s">
        <v>880</v>
      </c>
      <c r="AI1348" s="154">
        <f>MIN(D1346,AE1342)</f>
        <v>0</v>
      </c>
      <c r="AJ1348" s="56">
        <f>ROUND(AI1348,2)</f>
        <v>0</v>
      </c>
      <c r="AK1348" s="56" t="str">
        <f>CONCATENATE(AC1348,AJ1348)</f>
        <v>contribution per exchange: $0</v>
      </c>
    </row>
    <row r="1349" spans="1:56" ht="13.95" hidden="1" customHeight="1" x14ac:dyDescent="0.25">
      <c r="A1349" s="336"/>
      <c r="B1349" s="337"/>
      <c r="C1349" s="337"/>
      <c r="D1349" s="337"/>
      <c r="E1349" s="338"/>
      <c r="F1349" s="1"/>
    </row>
    <row r="1350" spans="1:56" ht="4.95" hidden="1" customHeight="1" thickBot="1" x14ac:dyDescent="0.3">
      <c r="A1350" s="338"/>
      <c r="B1350" s="340"/>
      <c r="C1350" s="341"/>
      <c r="D1350" s="338"/>
      <c r="E1350" s="338"/>
      <c r="F1350" s="1"/>
      <c r="AC1350" s="334"/>
      <c r="AJ1350" s="437"/>
      <c r="BB1350" s="56"/>
    </row>
    <row r="1351" spans="1:56" ht="16.8" hidden="1" thickTop="1" thickBot="1" x14ac:dyDescent="0.3">
      <c r="A1351" s="347">
        <f>IF(C1351="",0,1+A1341)</f>
        <v>16</v>
      </c>
      <c r="B1351" s="348" t="s">
        <v>898</v>
      </c>
      <c r="C1351" s="349" t="str">
        <f>AM1351</f>
        <v>FIRST NAME</v>
      </c>
      <c r="D1351" s="350" t="str">
        <f>AQ1351</f>
        <v>LAST NAME</v>
      </c>
      <c r="E1351" s="338"/>
      <c r="F1351" s="1"/>
      <c r="AC1351" s="333" t="str">
        <f>IF(NOT(C1351=AM1351),C1351,"")</f>
        <v/>
      </c>
      <c r="AH1351" s="333" t="str">
        <f>IF(NOT(D1351=AQ1351),D1351,"")</f>
        <v/>
      </c>
      <c r="AM1351" s="351" t="s">
        <v>853</v>
      </c>
      <c r="AQ1351" s="351" t="s">
        <v>107</v>
      </c>
      <c r="BB1351" s="56"/>
    </row>
    <row r="1352" spans="1:56" ht="15" hidden="1" thickTop="1" thickBot="1" x14ac:dyDescent="0.3">
      <c r="A1352" s="336"/>
      <c r="B1352" s="338" t="s">
        <v>856</v>
      </c>
      <c r="C1352" s="353"/>
      <c r="D1352" s="5"/>
      <c r="E1352" s="338"/>
      <c r="F1352" s="1"/>
      <c r="AC1352" s="56">
        <f>IF(C1352="",0,1)</f>
        <v>0</v>
      </c>
      <c r="AE1352" s="56">
        <f>IF($AC$1202=1,AC$1197,0)</f>
        <v>0</v>
      </c>
      <c r="BB1352" s="56"/>
    </row>
    <row r="1353" spans="1:56" ht="13.95" hidden="1" customHeight="1" thickTop="1" thickBot="1" x14ac:dyDescent="0.3">
      <c r="A1353" s="336"/>
      <c r="B1353" s="354" t="s">
        <v>859</v>
      </c>
      <c r="C1353" s="353"/>
      <c r="D1353" s="355" t="str">
        <f>AS1353</f>
        <v>AWARENESS OF ISSUE</v>
      </c>
      <c r="E1353" s="338"/>
      <c r="F1353" s="1"/>
      <c r="AM1353" s="356"/>
      <c r="AN1353" s="356"/>
      <c r="AO1353" s="356"/>
      <c r="AP1353" s="356"/>
      <c r="AS1353" s="56" t="str">
        <f>AS1343</f>
        <v>AWARENESS OF ISSUE</v>
      </c>
      <c r="BB1353" s="56"/>
    </row>
    <row r="1354" spans="1:56" ht="13.95" hidden="1" customHeight="1" thickTop="1" thickBot="1" x14ac:dyDescent="0.3">
      <c r="A1354" s="336"/>
      <c r="B1354" s="348" t="s">
        <v>863</v>
      </c>
      <c r="C1354" s="357" t="s">
        <v>864</v>
      </c>
      <c r="D1354" s="357" t="s">
        <v>865</v>
      </c>
      <c r="E1354" s="338"/>
      <c r="F1354" s="1"/>
      <c r="BB1354" s="56"/>
    </row>
    <row r="1355" spans="1:56" ht="13.95" hidden="1" customHeight="1" thickTop="1" thickBot="1" x14ac:dyDescent="0.3">
      <c r="A1355" s="336"/>
      <c r="B1355" s="337" t="s">
        <v>868</v>
      </c>
      <c r="C1355" s="358" t="str">
        <f>AM1355</f>
        <v>YYYY-MM-DD</v>
      </c>
      <c r="D1355" s="358" t="str">
        <f>AM1355</f>
        <v>YYYY-MM-DD</v>
      </c>
      <c r="E1355" s="338"/>
      <c r="F1355" s="1"/>
      <c r="AH1355" s="616" t="str">
        <f>IF(NOT(D1355=AQ1355),D1355,"")</f>
        <v>YYYY-MM-DD</v>
      </c>
      <c r="AI1355" s="616"/>
      <c r="AM1355" s="351" t="s">
        <v>869</v>
      </c>
      <c r="AQ1355" s="351"/>
      <c r="BB1355" s="56"/>
    </row>
    <row r="1356" spans="1:56" ht="13.95" hidden="1" customHeight="1" thickTop="1" thickBot="1" x14ac:dyDescent="0.3">
      <c r="A1356" s="336"/>
      <c r="B1356" s="337" t="s">
        <v>874</v>
      </c>
      <c r="C1356" s="360"/>
      <c r="D1356" s="361" t="str">
        <f>AC1356</f>
        <v/>
      </c>
      <c r="E1356" s="338"/>
      <c r="F1356" s="1"/>
      <c r="AC1356" s="58" t="str">
        <f>IF(AND(AC$1196&gt;0,C1356=BN$1201),BM$1201,IF(AND(AC$1196&gt;0,C1356=BN$1202),BM$1202,IF(AND(AC$1196&gt;0,C1356=BN$1203),BM$1203,IF(AND(AC$1196&gt;0,C1356=BN$1204),BM$1204,IF(AND(AC$1196&gt;0,C1356=BN$1205),BM$1205,"")))))</f>
        <v/>
      </c>
      <c r="AI1356" s="626">
        <f>AV1357/AL$1197</f>
        <v>0</v>
      </c>
      <c r="AJ1356" s="626"/>
      <c r="AK1356" s="56" t="s">
        <v>875</v>
      </c>
      <c r="AO1356" s="11" t="str">
        <f>IF(AI1356=0,"none",(AI1356*100))</f>
        <v>none</v>
      </c>
      <c r="AP1356" s="56" t="str">
        <f>IF(AO1356="none"," of weekly support cost.","% of weekly support cost.")</f>
        <v xml:space="preserve"> of weekly support cost.</v>
      </c>
      <c r="BB1356" s="56"/>
    </row>
    <row r="1357" spans="1:56" ht="13.95" hidden="1" customHeight="1" thickTop="1" thickBot="1" x14ac:dyDescent="0.3">
      <c r="A1357" s="336"/>
      <c r="B1357" s="337" t="s">
        <v>877</v>
      </c>
      <c r="C1357" s="362"/>
      <c r="D1357" s="337" t="str">
        <f>IF(NOT(AV1357&gt;0),"",AC1357)</f>
        <v/>
      </c>
      <c r="E1357" s="338"/>
      <c r="F1357" s="1"/>
      <c r="AC1357" s="263" t="str">
        <f>CONCATENATE(AO1357,AT1357)</f>
        <v>Weekly contribution: $0.00</v>
      </c>
      <c r="AO1357" s="56" t="s">
        <v>878</v>
      </c>
      <c r="AT1357" s="263" t="str">
        <f>DOLLAR(AV1357)</f>
        <v>$0.00</v>
      </c>
      <c r="AV1357" s="338">
        <f>IF(AND(D1356=BM$1205,C1357=B$2043),D$2043,IF(AND(D1356=BM$1205,C1357=B$2044),D$2044,IF(AND(D1356=BM$1205,C1357=B$2045),D$2045,IF(AND(D1356=BM$1205,C1357=B$2046),D$2046,IF(AND(D1356=BM$1205,C1357=B$2047),D$2047,IF(AND(D1356=BM$1205,C1357=B$2048),D$2048,0))))))</f>
        <v>0</v>
      </c>
      <c r="AX1357" s="11" t="str">
        <f>DOLLAR(AZ1357)</f>
        <v>$45.00</v>
      </c>
      <c r="AZ1357" s="363">
        <f>$AJ$1197-AV1357</f>
        <v>45</v>
      </c>
      <c r="BB1357" s="56"/>
      <c r="BD1357" s="322">
        <f>AV1357</f>
        <v>0</v>
      </c>
    </row>
    <row r="1358" spans="1:56" ht="13.95" hidden="1" customHeight="1" thickTop="1" x14ac:dyDescent="0.25">
      <c r="A1358" s="336"/>
      <c r="B1358" s="337"/>
      <c r="C1358" s="337" t="str">
        <f>CONCATENATE(AK1356,AO1356,AP1356)</f>
        <v>This covers none of weekly support cost.</v>
      </c>
      <c r="D1358" s="337" t="str">
        <f>BF$1200</f>
        <v>$45 to go for weekly support.</v>
      </c>
      <c r="E1358" s="338"/>
      <c r="F1358" s="1"/>
      <c r="AC1358" s="56" t="s">
        <v>880</v>
      </c>
      <c r="AI1358" s="154">
        <f>MIN(D1356,AE1352)</f>
        <v>0</v>
      </c>
      <c r="AJ1358" s="56">
        <f>ROUND(AI1358,2)</f>
        <v>0</v>
      </c>
      <c r="AK1358" s="56" t="str">
        <f>CONCATENATE(AC1358,AJ1358)</f>
        <v>contribution per exchange: $0</v>
      </c>
    </row>
    <row r="1359" spans="1:56" ht="13.95" hidden="1" customHeight="1" x14ac:dyDescent="0.25">
      <c r="A1359" s="336"/>
      <c r="B1359" s="337"/>
      <c r="C1359" s="337"/>
      <c r="D1359" s="337"/>
      <c r="E1359" s="338"/>
      <c r="F1359" s="1"/>
    </row>
    <row r="1360" spans="1:56" ht="4.95" hidden="1" customHeight="1" thickBot="1" x14ac:dyDescent="0.3">
      <c r="A1360" s="338"/>
      <c r="B1360" s="340"/>
      <c r="C1360" s="341"/>
      <c r="D1360" s="338"/>
      <c r="E1360" s="338"/>
      <c r="F1360" s="1"/>
      <c r="AC1360" s="334"/>
      <c r="AJ1360" s="437"/>
      <c r="BB1360" s="56"/>
    </row>
    <row r="1361" spans="1:56" ht="16.8" hidden="1" thickTop="1" thickBot="1" x14ac:dyDescent="0.3">
      <c r="A1361" s="347">
        <f>IF(C1361="",0,1+A1351)</f>
        <v>17</v>
      </c>
      <c r="B1361" s="348" t="s">
        <v>899</v>
      </c>
      <c r="C1361" s="349" t="str">
        <f>AM1361</f>
        <v>FIRST NAME</v>
      </c>
      <c r="D1361" s="350" t="str">
        <f>AQ1361</f>
        <v>LAST NAME</v>
      </c>
      <c r="E1361" s="338"/>
      <c r="F1361" s="1"/>
      <c r="AC1361" s="333" t="str">
        <f>IF(NOT(C1361=AM1361),C1361,"")</f>
        <v/>
      </c>
      <c r="AH1361" s="333" t="str">
        <f>IF(NOT(D1361=AQ1361),D1361,"")</f>
        <v/>
      </c>
      <c r="AM1361" s="351" t="s">
        <v>853</v>
      </c>
      <c r="AQ1361" s="351" t="s">
        <v>107</v>
      </c>
      <c r="BB1361" s="56"/>
    </row>
    <row r="1362" spans="1:56" ht="15" hidden="1" thickTop="1" thickBot="1" x14ac:dyDescent="0.3">
      <c r="A1362" s="336"/>
      <c r="B1362" s="338" t="s">
        <v>856</v>
      </c>
      <c r="C1362" s="353"/>
      <c r="D1362" s="5"/>
      <c r="E1362" s="338"/>
      <c r="F1362" s="1"/>
      <c r="AC1362" s="56">
        <f>IF(C1362="",0,1)</f>
        <v>0</v>
      </c>
      <c r="AE1362" s="56">
        <f>IF($AC$1202=1,AC$1197,0)</f>
        <v>0</v>
      </c>
      <c r="BB1362" s="56"/>
    </row>
    <row r="1363" spans="1:56" ht="13.95" hidden="1" customHeight="1" thickTop="1" thickBot="1" x14ac:dyDescent="0.3">
      <c r="A1363" s="336"/>
      <c r="B1363" s="354" t="s">
        <v>859</v>
      </c>
      <c r="C1363" s="353"/>
      <c r="D1363" s="355" t="str">
        <f>AS1363</f>
        <v>AWARENESS OF ISSUE</v>
      </c>
      <c r="E1363" s="338"/>
      <c r="F1363" s="1"/>
      <c r="AM1363" s="356"/>
      <c r="AN1363" s="356"/>
      <c r="AO1363" s="356"/>
      <c r="AP1363" s="356"/>
      <c r="AS1363" s="56" t="str">
        <f>AS1353</f>
        <v>AWARENESS OF ISSUE</v>
      </c>
      <c r="BB1363" s="56"/>
    </row>
    <row r="1364" spans="1:56" ht="13.95" hidden="1" customHeight="1" thickTop="1" thickBot="1" x14ac:dyDescent="0.3">
      <c r="A1364" s="336"/>
      <c r="B1364" s="348" t="s">
        <v>863</v>
      </c>
      <c r="C1364" s="357" t="s">
        <v>864</v>
      </c>
      <c r="D1364" s="357" t="s">
        <v>865</v>
      </c>
      <c r="E1364" s="338"/>
      <c r="F1364" s="1"/>
      <c r="BB1364" s="56"/>
    </row>
    <row r="1365" spans="1:56" ht="13.95" hidden="1" customHeight="1" thickTop="1" thickBot="1" x14ac:dyDescent="0.3">
      <c r="A1365" s="336"/>
      <c r="B1365" s="337" t="s">
        <v>868</v>
      </c>
      <c r="C1365" s="358" t="str">
        <f>AM1365</f>
        <v>YYYY-MM-DD</v>
      </c>
      <c r="D1365" s="358" t="str">
        <f>AM1365</f>
        <v>YYYY-MM-DD</v>
      </c>
      <c r="E1365" s="338"/>
      <c r="F1365" s="1"/>
      <c r="AH1365" s="616" t="str">
        <f>IF(NOT(D1365=AQ1365),D1365,"")</f>
        <v>YYYY-MM-DD</v>
      </c>
      <c r="AI1365" s="616"/>
      <c r="AM1365" s="351" t="s">
        <v>869</v>
      </c>
      <c r="AQ1365" s="351"/>
      <c r="BB1365" s="56"/>
    </row>
    <row r="1366" spans="1:56" ht="13.95" hidden="1" customHeight="1" thickTop="1" thickBot="1" x14ac:dyDescent="0.3">
      <c r="A1366" s="336"/>
      <c r="B1366" s="337" t="s">
        <v>874</v>
      </c>
      <c r="C1366" s="360"/>
      <c r="D1366" s="361" t="str">
        <f>AC1366</f>
        <v/>
      </c>
      <c r="E1366" s="338"/>
      <c r="F1366" s="1"/>
      <c r="AC1366" s="58" t="str">
        <f>IF(AND(AC$1196&gt;0,C1366=BN$1201),BM$1201,IF(AND(AC$1196&gt;0,C1366=BN$1202),BM$1202,IF(AND(AC$1196&gt;0,C1366=BN$1203),BM$1203,IF(AND(AC$1196&gt;0,C1366=BN$1204),BM$1204,IF(AND(AC$1196&gt;0,C1366=BN$1205),BM$1205,"")))))</f>
        <v/>
      </c>
      <c r="AI1366" s="626">
        <f>AV1367/AL$1197</f>
        <v>0</v>
      </c>
      <c r="AJ1366" s="626"/>
      <c r="AK1366" s="56" t="s">
        <v>875</v>
      </c>
      <c r="AO1366" s="11" t="str">
        <f>IF(AI1366=0,"none",(AI1366*100))</f>
        <v>none</v>
      </c>
      <c r="AP1366" s="56" t="str">
        <f>IF(AO1366="none"," of weekly support cost.","% of weekly support cost.")</f>
        <v xml:space="preserve"> of weekly support cost.</v>
      </c>
      <c r="BB1366" s="56"/>
    </row>
    <row r="1367" spans="1:56" ht="13.95" hidden="1" customHeight="1" thickTop="1" thickBot="1" x14ac:dyDescent="0.3">
      <c r="A1367" s="336"/>
      <c r="B1367" s="337" t="s">
        <v>877</v>
      </c>
      <c r="C1367" s="362"/>
      <c r="D1367" s="337" t="str">
        <f>IF(NOT(AV1367&gt;0),"",AC1367)</f>
        <v/>
      </c>
      <c r="E1367" s="338"/>
      <c r="F1367" s="1"/>
      <c r="AC1367" s="263" t="str">
        <f>CONCATENATE(AO1367,AT1367)</f>
        <v>Weekly contribution: $0.00</v>
      </c>
      <c r="AO1367" s="56" t="s">
        <v>878</v>
      </c>
      <c r="AT1367" s="263" t="str">
        <f>DOLLAR(AV1367)</f>
        <v>$0.00</v>
      </c>
      <c r="AV1367" s="338">
        <f>IF(AND(D1366=BM$1205,C1367=B$2043),D$2043,IF(AND(D1366=BM$1205,C1367=B$2044),D$2044,IF(AND(D1366=BM$1205,C1367=B$2045),D$2045,IF(AND(D1366=BM$1205,C1367=B$2046),D$2046,IF(AND(D1366=BM$1205,C1367=B$2047),D$2047,IF(AND(D1366=BM$1205,C1367=B$2048),D$2048,0))))))</f>
        <v>0</v>
      </c>
      <c r="AX1367" s="11" t="str">
        <f>DOLLAR(AZ1367)</f>
        <v>$45.00</v>
      </c>
      <c r="AZ1367" s="363">
        <f>$AJ$1197-AV1367</f>
        <v>45</v>
      </c>
      <c r="BB1367" s="56"/>
      <c r="BD1367" s="322">
        <f>AV1367</f>
        <v>0</v>
      </c>
    </row>
    <row r="1368" spans="1:56" ht="13.95" hidden="1" customHeight="1" thickTop="1" x14ac:dyDescent="0.25">
      <c r="A1368" s="336"/>
      <c r="B1368" s="337"/>
      <c r="C1368" s="337" t="str">
        <f>CONCATENATE(AK1366,AO1366,AP1366)</f>
        <v>This covers none of weekly support cost.</v>
      </c>
      <c r="D1368" s="337" t="str">
        <f>BF$1200</f>
        <v>$45 to go for weekly support.</v>
      </c>
      <c r="E1368" s="338"/>
      <c r="F1368" s="1"/>
      <c r="AC1368" s="56" t="s">
        <v>880</v>
      </c>
      <c r="AI1368" s="154">
        <f>MIN(D1366,AE1362)</f>
        <v>0</v>
      </c>
      <c r="AJ1368" s="56">
        <f>ROUND(AI1368,2)</f>
        <v>0</v>
      </c>
      <c r="AK1368" s="56" t="str">
        <f>CONCATENATE(AC1368,AJ1368)</f>
        <v>contribution per exchange: $0</v>
      </c>
    </row>
    <row r="1369" spans="1:56" ht="13.95" hidden="1" customHeight="1" x14ac:dyDescent="0.25">
      <c r="A1369" s="336"/>
      <c r="B1369" s="337"/>
      <c r="C1369" s="337"/>
      <c r="D1369" s="337"/>
      <c r="E1369" s="338"/>
      <c r="F1369" s="1"/>
    </row>
    <row r="1370" spans="1:56" ht="4.95" hidden="1" customHeight="1" thickBot="1" x14ac:dyDescent="0.3">
      <c r="A1370" s="338"/>
      <c r="B1370" s="340"/>
      <c r="C1370" s="341"/>
      <c r="D1370" s="338"/>
      <c r="E1370" s="338"/>
      <c r="F1370" s="1"/>
      <c r="AC1370" s="334"/>
      <c r="AJ1370" s="437"/>
      <c r="BB1370" s="56"/>
    </row>
    <row r="1371" spans="1:56" ht="16.8" hidden="1" thickTop="1" thickBot="1" x14ac:dyDescent="0.3">
      <c r="A1371" s="347">
        <f>IF(C1371="",0,1+A1361)</f>
        <v>18</v>
      </c>
      <c r="B1371" s="348" t="s">
        <v>900</v>
      </c>
      <c r="C1371" s="349" t="str">
        <f>AM1371</f>
        <v>FIRST NAME</v>
      </c>
      <c r="D1371" s="350" t="str">
        <f>AQ1371</f>
        <v>LAST NAME</v>
      </c>
      <c r="E1371" s="338"/>
      <c r="F1371" s="1"/>
      <c r="AC1371" s="333" t="str">
        <f>IF(NOT(C1371=AM1371),C1371,"")</f>
        <v/>
      </c>
      <c r="AH1371" s="333" t="str">
        <f>IF(NOT(D1371=AQ1371),D1371,"")</f>
        <v/>
      </c>
      <c r="AM1371" s="351" t="s">
        <v>853</v>
      </c>
      <c r="AQ1371" s="351" t="s">
        <v>107</v>
      </c>
      <c r="BB1371" s="56"/>
    </row>
    <row r="1372" spans="1:56" ht="15" hidden="1" thickTop="1" thickBot="1" x14ac:dyDescent="0.3">
      <c r="A1372" s="336"/>
      <c r="B1372" s="338" t="s">
        <v>856</v>
      </c>
      <c r="C1372" s="353"/>
      <c r="D1372" s="5"/>
      <c r="E1372" s="338"/>
      <c r="F1372" s="1"/>
      <c r="AC1372" s="56">
        <f>IF(C1372="",0,1)</f>
        <v>0</v>
      </c>
      <c r="AE1372" s="56">
        <f>IF($AC$1202=1,AC$1197,0)</f>
        <v>0</v>
      </c>
      <c r="BB1372" s="56"/>
    </row>
    <row r="1373" spans="1:56" ht="13.95" hidden="1" customHeight="1" thickTop="1" thickBot="1" x14ac:dyDescent="0.3">
      <c r="A1373" s="336"/>
      <c r="B1373" s="354" t="s">
        <v>859</v>
      </c>
      <c r="C1373" s="353"/>
      <c r="D1373" s="355" t="str">
        <f>AS1373</f>
        <v>AWARENESS OF ISSUE</v>
      </c>
      <c r="E1373" s="338"/>
      <c r="F1373" s="1"/>
      <c r="AM1373" s="356"/>
      <c r="AN1373" s="356"/>
      <c r="AO1373" s="356"/>
      <c r="AP1373" s="356"/>
      <c r="AS1373" s="56" t="str">
        <f>AS1363</f>
        <v>AWARENESS OF ISSUE</v>
      </c>
      <c r="BB1373" s="56"/>
    </row>
    <row r="1374" spans="1:56" ht="13.95" hidden="1" customHeight="1" thickTop="1" thickBot="1" x14ac:dyDescent="0.3">
      <c r="A1374" s="336"/>
      <c r="B1374" s="348" t="s">
        <v>863</v>
      </c>
      <c r="C1374" s="357" t="s">
        <v>864</v>
      </c>
      <c r="D1374" s="357" t="s">
        <v>865</v>
      </c>
      <c r="E1374" s="338"/>
      <c r="F1374" s="1"/>
      <c r="BB1374" s="56"/>
    </row>
    <row r="1375" spans="1:56" ht="13.95" hidden="1" customHeight="1" thickTop="1" thickBot="1" x14ac:dyDescent="0.3">
      <c r="A1375" s="336"/>
      <c r="B1375" s="337" t="s">
        <v>868</v>
      </c>
      <c r="C1375" s="358" t="str">
        <f>AM1375</f>
        <v>YYYY-MM-DD</v>
      </c>
      <c r="D1375" s="358" t="str">
        <f>AM1375</f>
        <v>YYYY-MM-DD</v>
      </c>
      <c r="E1375" s="338"/>
      <c r="F1375" s="1"/>
      <c r="AH1375" s="616" t="str">
        <f>IF(NOT(D1375=AQ1375),D1375,"")</f>
        <v>YYYY-MM-DD</v>
      </c>
      <c r="AI1375" s="616"/>
      <c r="AM1375" s="351" t="s">
        <v>869</v>
      </c>
      <c r="AQ1375" s="351"/>
      <c r="BB1375" s="56"/>
    </row>
    <row r="1376" spans="1:56" ht="13.95" hidden="1" customHeight="1" thickTop="1" thickBot="1" x14ac:dyDescent="0.3">
      <c r="A1376" s="336"/>
      <c r="B1376" s="337" t="s">
        <v>874</v>
      </c>
      <c r="C1376" s="360"/>
      <c r="D1376" s="361" t="str">
        <f>AC1376</f>
        <v/>
      </c>
      <c r="E1376" s="338"/>
      <c r="F1376" s="1"/>
      <c r="AC1376" s="58" t="str">
        <f>IF(AND(AC$1196&gt;0,C1376=BN$1201),BM$1201,IF(AND(AC$1196&gt;0,C1376=BN$1202),BM$1202,IF(AND(AC$1196&gt;0,C1376=BN$1203),BM$1203,IF(AND(AC$1196&gt;0,C1376=BN$1204),BM$1204,IF(AND(AC$1196&gt;0,C1376=BN$1205),BM$1205,"")))))</f>
        <v/>
      </c>
      <c r="AI1376" s="626">
        <f>AV1377/AL$1197</f>
        <v>0</v>
      </c>
      <c r="AJ1376" s="626"/>
      <c r="AK1376" s="56" t="s">
        <v>875</v>
      </c>
      <c r="AO1376" s="11" t="str">
        <f>IF(AI1376=0,"none",(AI1376*100))</f>
        <v>none</v>
      </c>
      <c r="AP1376" s="56" t="str">
        <f>IF(AO1376="none"," of weekly support cost.","% of weekly support cost.")</f>
        <v xml:space="preserve"> of weekly support cost.</v>
      </c>
      <c r="BB1376" s="56"/>
    </row>
    <row r="1377" spans="1:56" ht="13.95" hidden="1" customHeight="1" thickTop="1" thickBot="1" x14ac:dyDescent="0.3">
      <c r="A1377" s="336"/>
      <c r="B1377" s="337" t="s">
        <v>877</v>
      </c>
      <c r="C1377" s="362"/>
      <c r="D1377" s="337" t="str">
        <f>IF(NOT(AV1377&gt;0),"",AC1377)</f>
        <v/>
      </c>
      <c r="E1377" s="338"/>
      <c r="F1377" s="1"/>
      <c r="AC1377" s="263" t="str">
        <f>CONCATENATE(AO1377,AT1377)</f>
        <v>Weekly contribution: $0.00</v>
      </c>
      <c r="AO1377" s="56" t="s">
        <v>878</v>
      </c>
      <c r="AT1377" s="263" t="str">
        <f>DOLLAR(AV1377)</f>
        <v>$0.00</v>
      </c>
      <c r="AV1377" s="338">
        <f>IF(AND(D1376=BM$1205,C1377=B$2043),D$2043,IF(AND(D1376=BM$1205,C1377=B$2044),D$2044,IF(AND(D1376=BM$1205,C1377=B$2045),D$2045,IF(AND(D1376=BM$1205,C1377=B$2046),D$2046,IF(AND(D1376=BM$1205,C1377=B$2047),D$2047,IF(AND(D1376=BM$1205,C1377=B$2048),D$2048,0))))))</f>
        <v>0</v>
      </c>
      <c r="AX1377" s="11" t="str">
        <f>DOLLAR(AZ1377)</f>
        <v>$45.00</v>
      </c>
      <c r="AZ1377" s="363">
        <f>$AJ$1197-AV1377</f>
        <v>45</v>
      </c>
      <c r="BB1377" s="56"/>
      <c r="BD1377" s="322">
        <f>AV1377</f>
        <v>0</v>
      </c>
    </row>
    <row r="1378" spans="1:56" ht="13.95" hidden="1" customHeight="1" thickTop="1" x14ac:dyDescent="0.25">
      <c r="A1378" s="336"/>
      <c r="B1378" s="337"/>
      <c r="C1378" s="337" t="str">
        <f>CONCATENATE(AK1376,AO1376,AP1376)</f>
        <v>This covers none of weekly support cost.</v>
      </c>
      <c r="D1378" s="337" t="str">
        <f>BF$1200</f>
        <v>$45 to go for weekly support.</v>
      </c>
      <c r="E1378" s="338"/>
      <c r="F1378" s="1"/>
      <c r="AC1378" s="56" t="s">
        <v>880</v>
      </c>
      <c r="AI1378" s="154">
        <f>MIN(D1376,AE1372)</f>
        <v>0</v>
      </c>
      <c r="AJ1378" s="56">
        <f>ROUND(AI1378,2)</f>
        <v>0</v>
      </c>
      <c r="AK1378" s="56" t="str">
        <f>CONCATENATE(AC1378,AJ1378)</f>
        <v>contribution per exchange: $0</v>
      </c>
    </row>
    <row r="1379" spans="1:56" ht="13.95" hidden="1" customHeight="1" x14ac:dyDescent="0.25">
      <c r="A1379" s="336"/>
      <c r="B1379" s="337"/>
      <c r="C1379" s="337"/>
      <c r="D1379" s="337"/>
      <c r="E1379" s="338"/>
      <c r="F1379" s="1"/>
    </row>
    <row r="1380" spans="1:56" ht="4.95" hidden="1" customHeight="1" thickBot="1" x14ac:dyDescent="0.3">
      <c r="A1380" s="338"/>
      <c r="B1380" s="340"/>
      <c r="C1380" s="341"/>
      <c r="D1380" s="338"/>
      <c r="E1380" s="338"/>
      <c r="F1380" s="1"/>
      <c r="AC1380" s="334"/>
      <c r="AJ1380" s="437"/>
      <c r="BB1380" s="56"/>
    </row>
    <row r="1381" spans="1:56" ht="16.8" hidden="1" thickTop="1" thickBot="1" x14ac:dyDescent="0.3">
      <c r="A1381" s="347">
        <f>IF(C1381="",0,1+A1371)</f>
        <v>19</v>
      </c>
      <c r="B1381" s="348" t="s">
        <v>901</v>
      </c>
      <c r="C1381" s="349" t="str">
        <f>AM1381</f>
        <v>FIRST NAME</v>
      </c>
      <c r="D1381" s="350" t="str">
        <f>AQ1381</f>
        <v>LAST NAME</v>
      </c>
      <c r="E1381" s="338"/>
      <c r="F1381" s="1"/>
      <c r="AC1381" s="333" t="str">
        <f>IF(NOT(C1381=AM1381),C1381,"")</f>
        <v/>
      </c>
      <c r="AH1381" s="333" t="str">
        <f>IF(NOT(D1381=AQ1381),D1381,"")</f>
        <v/>
      </c>
      <c r="AM1381" s="351" t="s">
        <v>853</v>
      </c>
      <c r="AQ1381" s="351" t="s">
        <v>107</v>
      </c>
      <c r="BB1381" s="56"/>
    </row>
    <row r="1382" spans="1:56" ht="15" hidden="1" thickTop="1" thickBot="1" x14ac:dyDescent="0.3">
      <c r="A1382" s="336"/>
      <c r="B1382" s="338" t="s">
        <v>856</v>
      </c>
      <c r="C1382" s="353"/>
      <c r="D1382" s="5"/>
      <c r="E1382" s="338"/>
      <c r="F1382" s="1"/>
      <c r="AC1382" s="56">
        <f>IF(C1382="",0,1)</f>
        <v>0</v>
      </c>
      <c r="AE1382" s="56">
        <f>IF($AC$1202=1,AC$1197,0)</f>
        <v>0</v>
      </c>
      <c r="BB1382" s="56"/>
    </row>
    <row r="1383" spans="1:56" ht="13.95" hidden="1" customHeight="1" thickTop="1" thickBot="1" x14ac:dyDescent="0.3">
      <c r="A1383" s="336"/>
      <c r="B1383" s="354" t="s">
        <v>859</v>
      </c>
      <c r="C1383" s="353"/>
      <c r="D1383" s="355" t="str">
        <f>AS1383</f>
        <v>AWARENESS OF ISSUE</v>
      </c>
      <c r="E1383" s="338"/>
      <c r="F1383" s="1"/>
      <c r="AM1383" s="356"/>
      <c r="AN1383" s="356"/>
      <c r="AO1383" s="356"/>
      <c r="AP1383" s="356"/>
      <c r="AS1383" s="56" t="str">
        <f>AS1373</f>
        <v>AWARENESS OF ISSUE</v>
      </c>
      <c r="BB1383" s="56"/>
    </row>
    <row r="1384" spans="1:56" ht="13.95" hidden="1" customHeight="1" thickTop="1" thickBot="1" x14ac:dyDescent="0.3">
      <c r="A1384" s="336"/>
      <c r="B1384" s="348" t="s">
        <v>863</v>
      </c>
      <c r="C1384" s="357" t="s">
        <v>864</v>
      </c>
      <c r="D1384" s="357" t="s">
        <v>865</v>
      </c>
      <c r="E1384" s="338"/>
      <c r="F1384" s="1"/>
      <c r="BB1384" s="56"/>
    </row>
    <row r="1385" spans="1:56" ht="13.95" hidden="1" customHeight="1" thickTop="1" thickBot="1" x14ac:dyDescent="0.3">
      <c r="A1385" s="336"/>
      <c r="B1385" s="337" t="s">
        <v>868</v>
      </c>
      <c r="C1385" s="358" t="str">
        <f>AM1385</f>
        <v>YYYY-MM-DD</v>
      </c>
      <c r="D1385" s="358" t="str">
        <f>AM1385</f>
        <v>YYYY-MM-DD</v>
      </c>
      <c r="E1385" s="338"/>
      <c r="F1385" s="1"/>
      <c r="AH1385" s="616" t="str">
        <f>IF(NOT(D1385=AQ1385),D1385,"")</f>
        <v>YYYY-MM-DD</v>
      </c>
      <c r="AI1385" s="616"/>
      <c r="AM1385" s="351" t="s">
        <v>869</v>
      </c>
      <c r="AQ1385" s="351"/>
      <c r="BB1385" s="56"/>
    </row>
    <row r="1386" spans="1:56" ht="13.95" hidden="1" customHeight="1" thickTop="1" thickBot="1" x14ac:dyDescent="0.3">
      <c r="A1386" s="336"/>
      <c r="B1386" s="337" t="s">
        <v>874</v>
      </c>
      <c r="C1386" s="360"/>
      <c r="D1386" s="361" t="str">
        <f>AC1386</f>
        <v/>
      </c>
      <c r="E1386" s="338"/>
      <c r="F1386" s="1"/>
      <c r="AC1386" s="58" t="str">
        <f>IF(AND(AC$1196&gt;0,C1386=BN$1201),BM$1201,IF(AND(AC$1196&gt;0,C1386=BN$1202),BM$1202,IF(AND(AC$1196&gt;0,C1386=BN$1203),BM$1203,IF(AND(AC$1196&gt;0,C1386=BN$1204),BM$1204,IF(AND(AC$1196&gt;0,C1386=BN$1205),BM$1205,"")))))</f>
        <v/>
      </c>
      <c r="AI1386" s="626">
        <f>AV1387/AL$1197</f>
        <v>0</v>
      </c>
      <c r="AJ1386" s="626"/>
      <c r="AK1386" s="56" t="s">
        <v>875</v>
      </c>
      <c r="AO1386" s="11" t="str">
        <f>IF(AI1386=0,"none",(AI1386*100))</f>
        <v>none</v>
      </c>
      <c r="AP1386" s="56" t="str">
        <f>IF(AO1386="none"," of weekly support cost.","% of weekly support cost.")</f>
        <v xml:space="preserve"> of weekly support cost.</v>
      </c>
      <c r="BB1386" s="56"/>
    </row>
    <row r="1387" spans="1:56" ht="13.95" hidden="1" customHeight="1" thickTop="1" thickBot="1" x14ac:dyDescent="0.3">
      <c r="A1387" s="336"/>
      <c r="B1387" s="337" t="s">
        <v>877</v>
      </c>
      <c r="C1387" s="362"/>
      <c r="D1387" s="337" t="str">
        <f>IF(NOT(AV1387&gt;0),"",AC1387)</f>
        <v/>
      </c>
      <c r="E1387" s="338"/>
      <c r="F1387" s="1"/>
      <c r="AC1387" s="263" t="str">
        <f>CONCATENATE(AO1387,AT1387)</f>
        <v>Weekly contribution: $0.00</v>
      </c>
      <c r="AO1387" s="56" t="s">
        <v>878</v>
      </c>
      <c r="AT1387" s="263" t="str">
        <f>DOLLAR(AV1387)</f>
        <v>$0.00</v>
      </c>
      <c r="AV1387" s="338">
        <f>IF(AND(D1386=BM$1205,C1387=B$2043),D$2043,IF(AND(D1386=BM$1205,C1387=B$2044),D$2044,IF(AND(D1386=BM$1205,C1387=B$2045),D$2045,IF(AND(D1386=BM$1205,C1387=B$2046),D$2046,IF(AND(D1386=BM$1205,C1387=B$2047),D$2047,IF(AND(D1386=BM$1205,C1387=B$2048),D$2048,0))))))</f>
        <v>0</v>
      </c>
      <c r="AX1387" s="11" t="str">
        <f>DOLLAR(AZ1387)</f>
        <v>$45.00</v>
      </c>
      <c r="AZ1387" s="363">
        <f>$AJ$1197-AV1387</f>
        <v>45</v>
      </c>
      <c r="BB1387" s="56"/>
      <c r="BD1387" s="322">
        <f>AV1387</f>
        <v>0</v>
      </c>
    </row>
    <row r="1388" spans="1:56" ht="13.95" hidden="1" customHeight="1" thickTop="1" x14ac:dyDescent="0.25">
      <c r="A1388" s="336"/>
      <c r="B1388" s="337"/>
      <c r="C1388" s="337" t="str">
        <f>CONCATENATE(AK1386,AO1386,AP1386)</f>
        <v>This covers none of weekly support cost.</v>
      </c>
      <c r="D1388" s="337" t="str">
        <f>BF$1200</f>
        <v>$45 to go for weekly support.</v>
      </c>
      <c r="E1388" s="338"/>
      <c r="F1388" s="1"/>
      <c r="AC1388" s="56" t="s">
        <v>880</v>
      </c>
      <c r="AI1388" s="154">
        <f>MIN(D1386,AE1382)</f>
        <v>0</v>
      </c>
      <c r="AJ1388" s="56">
        <f>ROUND(AI1388,2)</f>
        <v>0</v>
      </c>
      <c r="AK1388" s="56" t="str">
        <f>CONCATENATE(AC1388,AJ1388)</f>
        <v>contribution per exchange: $0</v>
      </c>
    </row>
    <row r="1389" spans="1:56" ht="18" hidden="1" customHeight="1" x14ac:dyDescent="0.25">
      <c r="A1389" s="336"/>
      <c r="B1389" s="337"/>
      <c r="C1389" s="337"/>
      <c r="D1389" s="337"/>
      <c r="E1389" s="338"/>
      <c r="F1389" s="1"/>
    </row>
    <row r="1390" spans="1:56" ht="4.95" hidden="1" customHeight="1" thickBot="1" x14ac:dyDescent="0.3">
      <c r="A1390" s="338"/>
      <c r="B1390" s="340"/>
      <c r="C1390" s="341"/>
      <c r="D1390" s="338"/>
      <c r="E1390" s="338"/>
      <c r="F1390" s="1"/>
      <c r="AC1390" s="334"/>
      <c r="AJ1390" s="437"/>
      <c r="BB1390" s="56"/>
    </row>
    <row r="1391" spans="1:56" ht="16.8" hidden="1" thickTop="1" thickBot="1" x14ac:dyDescent="0.3">
      <c r="A1391" s="347">
        <f>IF(C1391="",0,1+A1381)</f>
        <v>20</v>
      </c>
      <c r="B1391" s="348" t="s">
        <v>902</v>
      </c>
      <c r="C1391" s="349" t="str">
        <f>AM1391</f>
        <v>FIRST NAME</v>
      </c>
      <c r="D1391" s="350" t="str">
        <f>AQ1391</f>
        <v>LAST NAME</v>
      </c>
      <c r="E1391" s="338"/>
      <c r="F1391" s="1"/>
      <c r="AC1391" s="333" t="str">
        <f>IF(NOT(C1391=AM1391),C1391,"")</f>
        <v/>
      </c>
      <c r="AH1391" s="333" t="str">
        <f>IF(NOT(D1391=AQ1391),D1391,"")</f>
        <v/>
      </c>
      <c r="AM1391" s="351" t="s">
        <v>853</v>
      </c>
      <c r="AQ1391" s="351" t="s">
        <v>107</v>
      </c>
      <c r="BB1391" s="56"/>
    </row>
    <row r="1392" spans="1:56" ht="15" hidden="1" thickTop="1" thickBot="1" x14ac:dyDescent="0.3">
      <c r="A1392" s="336"/>
      <c r="B1392" s="338" t="s">
        <v>856</v>
      </c>
      <c r="C1392" s="353"/>
      <c r="D1392" s="5"/>
      <c r="E1392" s="338"/>
      <c r="F1392" s="1"/>
      <c r="AC1392" s="56">
        <f>IF(C1392="",0,1)</f>
        <v>0</v>
      </c>
      <c r="AE1392" s="56">
        <f>IF($AC$1202=1,AC$1197,0)</f>
        <v>0</v>
      </c>
      <c r="BB1392" s="56"/>
    </row>
    <row r="1393" spans="1:56" ht="13.95" hidden="1" customHeight="1" thickTop="1" thickBot="1" x14ac:dyDescent="0.3">
      <c r="A1393" s="336"/>
      <c r="B1393" s="354" t="s">
        <v>859</v>
      </c>
      <c r="C1393" s="353"/>
      <c r="D1393" s="355" t="str">
        <f>AS1393</f>
        <v>AWARENESS OF ISSUE</v>
      </c>
      <c r="E1393" s="338"/>
      <c r="F1393" s="1"/>
      <c r="AM1393" s="356"/>
      <c r="AN1393" s="356"/>
      <c r="AO1393" s="356"/>
      <c r="AP1393" s="356"/>
      <c r="AS1393" s="56" t="str">
        <f>AS1383</f>
        <v>AWARENESS OF ISSUE</v>
      </c>
      <c r="BB1393" s="56"/>
    </row>
    <row r="1394" spans="1:56" ht="13.95" hidden="1" customHeight="1" thickTop="1" thickBot="1" x14ac:dyDescent="0.3">
      <c r="A1394" s="336"/>
      <c r="B1394" s="348" t="s">
        <v>863</v>
      </c>
      <c r="C1394" s="357" t="s">
        <v>864</v>
      </c>
      <c r="D1394" s="357" t="s">
        <v>865</v>
      </c>
      <c r="E1394" s="338"/>
      <c r="F1394" s="1"/>
      <c r="BB1394" s="56"/>
    </row>
    <row r="1395" spans="1:56" ht="13.95" hidden="1" customHeight="1" thickTop="1" thickBot="1" x14ac:dyDescent="0.3">
      <c r="A1395" s="336"/>
      <c r="B1395" s="337" t="s">
        <v>868</v>
      </c>
      <c r="C1395" s="358" t="str">
        <f>AM1395</f>
        <v>YYYY-MM-DD</v>
      </c>
      <c r="D1395" s="358" t="str">
        <f>AM1395</f>
        <v>YYYY-MM-DD</v>
      </c>
      <c r="E1395" s="338"/>
      <c r="F1395" s="1"/>
      <c r="AH1395" s="616" t="str">
        <f>IF(NOT(D1395=AQ1395),D1395,"")</f>
        <v>YYYY-MM-DD</v>
      </c>
      <c r="AI1395" s="616"/>
      <c r="AM1395" s="351" t="s">
        <v>869</v>
      </c>
      <c r="AQ1395" s="351"/>
      <c r="BB1395" s="56"/>
    </row>
    <row r="1396" spans="1:56" ht="13.95" hidden="1" customHeight="1" thickTop="1" thickBot="1" x14ac:dyDescent="0.3">
      <c r="A1396" s="336"/>
      <c r="B1396" s="337" t="s">
        <v>874</v>
      </c>
      <c r="C1396" s="360"/>
      <c r="D1396" s="361" t="str">
        <f>AC1396</f>
        <v/>
      </c>
      <c r="E1396" s="338"/>
      <c r="F1396" s="1"/>
      <c r="AC1396" s="58" t="str">
        <f>IF(AND(AC$1196&gt;0,C1396=BN$1201),BM$1201,IF(AND(AC$1196&gt;0,C1396=BN$1202),BM$1202,IF(AND(AC$1196&gt;0,C1396=BN$1203),BM$1203,IF(AND(AC$1196&gt;0,C1396=BN$1204),BM$1204,IF(AND(AC$1196&gt;0,C1396=BN$1205),BM$1205,"")))))</f>
        <v/>
      </c>
      <c r="AI1396" s="626">
        <f>AV1397/AL$1197</f>
        <v>0</v>
      </c>
      <c r="AJ1396" s="626"/>
      <c r="AK1396" s="56" t="s">
        <v>875</v>
      </c>
      <c r="AO1396" s="11" t="str">
        <f>IF(AI1396=0,"none",(AI1396*100))</f>
        <v>none</v>
      </c>
      <c r="AP1396" s="56" t="str">
        <f>IF(AO1396="none"," of weekly support cost.","% of weekly support cost.")</f>
        <v xml:space="preserve"> of weekly support cost.</v>
      </c>
      <c r="BB1396" s="56"/>
    </row>
    <row r="1397" spans="1:56" ht="13.95" hidden="1" customHeight="1" thickTop="1" thickBot="1" x14ac:dyDescent="0.3">
      <c r="A1397" s="336"/>
      <c r="B1397" s="337" t="s">
        <v>877</v>
      </c>
      <c r="C1397" s="362"/>
      <c r="D1397" s="337" t="str">
        <f>IF(NOT(AV1397&gt;0),"",AC1397)</f>
        <v/>
      </c>
      <c r="E1397" s="338"/>
      <c r="F1397" s="1"/>
      <c r="AC1397" s="263" t="str">
        <f>CONCATENATE(AO1397,AT1397)</f>
        <v>Weekly contribution: $0.00</v>
      </c>
      <c r="AO1397" s="56" t="s">
        <v>878</v>
      </c>
      <c r="AT1397" s="263" t="str">
        <f>DOLLAR(AV1397)</f>
        <v>$0.00</v>
      </c>
      <c r="AV1397" s="338">
        <f>IF(AND(D1396=BM$1205,C1397=B$2043),D$2043,IF(AND(D1396=BM$1205,C1397=B$2044),D$2044,IF(AND(D1396=BM$1205,C1397=B$2045),D$2045,IF(AND(D1396=BM$1205,C1397=B$2046),D$2046,IF(AND(D1396=BM$1205,C1397=B$2047),D$2047,IF(AND(D1396=BM$1205,C1397=B$2048),D$2048,0))))))</f>
        <v>0</v>
      </c>
      <c r="AX1397" s="11" t="str">
        <f>DOLLAR(AZ1397)</f>
        <v>$45.00</v>
      </c>
      <c r="AZ1397" s="363">
        <f>$AJ$1197-AV1397</f>
        <v>45</v>
      </c>
      <c r="BB1397" s="56"/>
      <c r="BD1397" s="322">
        <f>AV1397</f>
        <v>0</v>
      </c>
    </row>
    <row r="1398" spans="1:56" ht="13.95" hidden="1" customHeight="1" thickTop="1" x14ac:dyDescent="0.25">
      <c r="A1398" s="336"/>
      <c r="B1398" s="337"/>
      <c r="C1398" s="337" t="str">
        <f>CONCATENATE(AK1396,AO1396,AP1396)</f>
        <v>This covers none of weekly support cost.</v>
      </c>
      <c r="D1398" s="337" t="str">
        <f>BF$1200</f>
        <v>$45 to go for weekly support.</v>
      </c>
      <c r="E1398" s="338"/>
      <c r="F1398" s="1"/>
      <c r="AC1398" s="56" t="s">
        <v>880</v>
      </c>
      <c r="AI1398" s="154">
        <f>MIN(D1396,AE1392)</f>
        <v>0</v>
      </c>
      <c r="AJ1398" s="56">
        <f>ROUND(AI1398,2)</f>
        <v>0</v>
      </c>
      <c r="AK1398" s="56" t="str">
        <f>CONCATENATE(AC1398,AJ1398)</f>
        <v>contribution per exchange: $0</v>
      </c>
    </row>
    <row r="1399" spans="1:56" ht="13.95" hidden="1" customHeight="1" x14ac:dyDescent="0.25">
      <c r="A1399" s="336"/>
      <c r="B1399" s="337"/>
      <c r="C1399" s="337"/>
      <c r="D1399" s="337"/>
      <c r="E1399" s="338"/>
      <c r="F1399" s="1"/>
    </row>
    <row r="1400" spans="1:56" ht="4.95" hidden="1" customHeight="1" thickBot="1" x14ac:dyDescent="0.3">
      <c r="A1400" s="338"/>
      <c r="B1400" s="340"/>
      <c r="C1400" s="341"/>
      <c r="D1400" s="338"/>
      <c r="E1400" s="338"/>
      <c r="F1400" s="1"/>
      <c r="AC1400" s="334"/>
      <c r="AJ1400" s="437"/>
      <c r="BB1400" s="56"/>
    </row>
    <row r="1401" spans="1:56" ht="16.8" hidden="1" thickTop="1" thickBot="1" x14ac:dyDescent="0.3">
      <c r="A1401" s="347">
        <f>IF(C1401="",0,1+A1391)</f>
        <v>21</v>
      </c>
      <c r="B1401" s="348" t="s">
        <v>903</v>
      </c>
      <c r="C1401" s="349" t="str">
        <f>AM1401</f>
        <v>FIRST NAME</v>
      </c>
      <c r="D1401" s="350" t="str">
        <f>AQ1401</f>
        <v>LAST NAME</v>
      </c>
      <c r="E1401" s="338"/>
      <c r="F1401" s="1"/>
      <c r="AC1401" s="333" t="str">
        <f>IF(NOT(C1401=AM1401),C1401,"")</f>
        <v/>
      </c>
      <c r="AH1401" s="333" t="str">
        <f>IF(NOT(D1401=AQ1401),D1401,"")</f>
        <v/>
      </c>
      <c r="AM1401" s="351" t="s">
        <v>853</v>
      </c>
      <c r="AQ1401" s="351" t="s">
        <v>107</v>
      </c>
      <c r="BB1401" s="56"/>
    </row>
    <row r="1402" spans="1:56" ht="15" hidden="1" thickTop="1" thickBot="1" x14ac:dyDescent="0.3">
      <c r="A1402" s="336"/>
      <c r="B1402" s="338" t="s">
        <v>856</v>
      </c>
      <c r="C1402" s="353"/>
      <c r="D1402" s="5"/>
      <c r="E1402" s="338"/>
      <c r="F1402" s="1"/>
      <c r="AC1402" s="56">
        <f>IF(C1402="",0,1)</f>
        <v>0</v>
      </c>
      <c r="AE1402" s="56">
        <f>IF($AC$1202=1,AC$1197,0)</f>
        <v>0</v>
      </c>
      <c r="BB1402" s="56"/>
    </row>
    <row r="1403" spans="1:56" ht="13.95" hidden="1" customHeight="1" thickTop="1" thickBot="1" x14ac:dyDescent="0.3">
      <c r="A1403" s="336"/>
      <c r="B1403" s="354" t="s">
        <v>859</v>
      </c>
      <c r="C1403" s="353"/>
      <c r="D1403" s="355" t="str">
        <f>AS1403</f>
        <v>AWARENESS OF ISSUE</v>
      </c>
      <c r="E1403" s="338"/>
      <c r="F1403" s="1"/>
      <c r="AM1403" s="356"/>
      <c r="AN1403" s="356"/>
      <c r="AO1403" s="356"/>
      <c r="AP1403" s="356"/>
      <c r="AS1403" s="56" t="str">
        <f>AS1393</f>
        <v>AWARENESS OF ISSUE</v>
      </c>
      <c r="BB1403" s="56"/>
    </row>
    <row r="1404" spans="1:56" ht="13.95" hidden="1" customHeight="1" thickTop="1" thickBot="1" x14ac:dyDescent="0.3">
      <c r="A1404" s="336"/>
      <c r="B1404" s="348" t="s">
        <v>863</v>
      </c>
      <c r="C1404" s="357" t="s">
        <v>864</v>
      </c>
      <c r="D1404" s="357" t="s">
        <v>865</v>
      </c>
      <c r="E1404" s="338"/>
      <c r="F1404" s="1"/>
      <c r="BB1404" s="56"/>
    </row>
    <row r="1405" spans="1:56" ht="13.95" hidden="1" customHeight="1" thickTop="1" thickBot="1" x14ac:dyDescent="0.3">
      <c r="A1405" s="336"/>
      <c r="B1405" s="337" t="s">
        <v>868</v>
      </c>
      <c r="C1405" s="358" t="str">
        <f>AM1405</f>
        <v>YYYY-MM-DD</v>
      </c>
      <c r="D1405" s="358" t="str">
        <f>AM1405</f>
        <v>YYYY-MM-DD</v>
      </c>
      <c r="E1405" s="338"/>
      <c r="F1405" s="1"/>
      <c r="AH1405" s="616" t="str">
        <f>IF(NOT(D1405=AQ1405),D1405,"")</f>
        <v>YYYY-MM-DD</v>
      </c>
      <c r="AI1405" s="616"/>
      <c r="AM1405" s="351" t="s">
        <v>869</v>
      </c>
      <c r="AQ1405" s="351"/>
      <c r="BB1405" s="56"/>
    </row>
    <row r="1406" spans="1:56" ht="13.95" hidden="1" customHeight="1" thickTop="1" thickBot="1" x14ac:dyDescent="0.3">
      <c r="A1406" s="336"/>
      <c r="B1406" s="337" t="s">
        <v>874</v>
      </c>
      <c r="C1406" s="360"/>
      <c r="D1406" s="361" t="str">
        <f>AC1406</f>
        <v/>
      </c>
      <c r="E1406" s="338"/>
      <c r="F1406" s="1"/>
      <c r="AC1406" s="58" t="str">
        <f>IF(AND(AC$1196&gt;0,C1406=BN$1201),BM$1201,IF(AND(AC$1196&gt;0,C1406=BN$1202),BM$1202,IF(AND(AC$1196&gt;0,C1406=BN$1203),BM$1203,IF(AND(AC$1196&gt;0,C1406=BN$1204),BM$1204,IF(AND(AC$1196&gt;0,C1406=BN$1205),BM$1205,"")))))</f>
        <v/>
      </c>
      <c r="AI1406" s="626">
        <f>AV1407/AL$1197</f>
        <v>0</v>
      </c>
      <c r="AJ1406" s="626"/>
      <c r="AK1406" s="56" t="s">
        <v>875</v>
      </c>
      <c r="AO1406" s="11" t="str">
        <f>IF(AI1406=0,"none",(AI1406*100))</f>
        <v>none</v>
      </c>
      <c r="AP1406" s="56" t="str">
        <f>IF(AO1406="none"," of weekly support cost.","% of weekly support cost.")</f>
        <v xml:space="preserve"> of weekly support cost.</v>
      </c>
      <c r="BB1406" s="56"/>
    </row>
    <row r="1407" spans="1:56" ht="13.95" hidden="1" customHeight="1" thickTop="1" thickBot="1" x14ac:dyDescent="0.3">
      <c r="A1407" s="336"/>
      <c r="B1407" s="337" t="s">
        <v>877</v>
      </c>
      <c r="C1407" s="362"/>
      <c r="D1407" s="337" t="str">
        <f>IF(NOT(AV1407&gt;0),"",AC1407)</f>
        <v/>
      </c>
      <c r="E1407" s="338"/>
      <c r="F1407" s="1"/>
      <c r="AC1407" s="263" t="str">
        <f>CONCATENATE(AO1407,AT1407)</f>
        <v>Weekly contribution: $0.00</v>
      </c>
      <c r="AO1407" s="56" t="s">
        <v>878</v>
      </c>
      <c r="AT1407" s="263" t="str">
        <f>DOLLAR(AV1407)</f>
        <v>$0.00</v>
      </c>
      <c r="AV1407" s="338">
        <f>IF(AND(D1406=BM$1205,C1407=B$2043),D$2043,IF(AND(D1406=BM$1205,C1407=B$2044),D$2044,IF(AND(D1406=BM$1205,C1407=B$2045),D$2045,IF(AND(D1406=BM$1205,C1407=B$2046),D$2046,IF(AND(D1406=BM$1205,C1407=B$2047),D$2047,IF(AND(D1406=BM$1205,C1407=B$2048),D$2048,0))))))</f>
        <v>0</v>
      </c>
      <c r="AX1407" s="11" t="str">
        <f>DOLLAR(AZ1407)</f>
        <v>$45.00</v>
      </c>
      <c r="AZ1407" s="363">
        <f>$AJ$1197-AV1407</f>
        <v>45</v>
      </c>
      <c r="BB1407" s="56"/>
      <c r="BD1407" s="322">
        <f>AV1407</f>
        <v>0</v>
      </c>
    </row>
    <row r="1408" spans="1:56" ht="13.95" hidden="1" customHeight="1" thickTop="1" x14ac:dyDescent="0.25">
      <c r="A1408" s="336"/>
      <c r="B1408" s="337"/>
      <c r="C1408" s="337" t="str">
        <f>CONCATENATE(AK1406,AO1406,AP1406)</f>
        <v>This covers none of weekly support cost.</v>
      </c>
      <c r="D1408" s="337" t="str">
        <f>BF$1200</f>
        <v>$45 to go for weekly support.</v>
      </c>
      <c r="E1408" s="338"/>
      <c r="F1408" s="1"/>
      <c r="AC1408" s="56" t="s">
        <v>880</v>
      </c>
      <c r="AI1408" s="154">
        <f>MIN(D1406,AE1402)</f>
        <v>0</v>
      </c>
      <c r="AJ1408" s="56">
        <f>ROUND(AI1408,2)</f>
        <v>0</v>
      </c>
      <c r="AK1408" s="56" t="str">
        <f>CONCATENATE(AC1408,AJ1408)</f>
        <v>contribution per exchange: $0</v>
      </c>
    </row>
    <row r="1409" spans="1:56" ht="13.95" hidden="1" customHeight="1" x14ac:dyDescent="0.25">
      <c r="A1409" s="336"/>
      <c r="B1409" s="337"/>
      <c r="C1409" s="337"/>
      <c r="D1409" s="337"/>
      <c r="E1409" s="338"/>
      <c r="F1409" s="1"/>
    </row>
    <row r="1410" spans="1:56" ht="4.95" hidden="1" customHeight="1" thickBot="1" x14ac:dyDescent="0.3">
      <c r="A1410" s="338"/>
      <c r="B1410" s="340"/>
      <c r="C1410" s="341"/>
      <c r="D1410" s="338"/>
      <c r="E1410" s="338"/>
      <c r="F1410" s="1"/>
      <c r="AC1410" s="334"/>
      <c r="AJ1410" s="437"/>
      <c r="BB1410" s="56"/>
    </row>
    <row r="1411" spans="1:56" ht="16.8" hidden="1" thickTop="1" thickBot="1" x14ac:dyDescent="0.3">
      <c r="A1411" s="347">
        <f>IF(C1411="",0,1+A1401)</f>
        <v>22</v>
      </c>
      <c r="B1411" s="348" t="s">
        <v>904</v>
      </c>
      <c r="C1411" s="349" t="str">
        <f>AM1411</f>
        <v>FIRST NAME</v>
      </c>
      <c r="D1411" s="350" t="str">
        <f>AQ1411</f>
        <v>LAST NAME</v>
      </c>
      <c r="E1411" s="338"/>
      <c r="F1411" s="1"/>
      <c r="AC1411" s="333" t="str">
        <f>IF(NOT(C1411=AM1411),C1411,"")</f>
        <v/>
      </c>
      <c r="AH1411" s="333" t="str">
        <f>IF(NOT(D1411=AQ1411),D1411,"")</f>
        <v/>
      </c>
      <c r="AM1411" s="351" t="s">
        <v>853</v>
      </c>
      <c r="AQ1411" s="351" t="s">
        <v>107</v>
      </c>
      <c r="BB1411" s="56"/>
    </row>
    <row r="1412" spans="1:56" ht="15" hidden="1" thickTop="1" thickBot="1" x14ac:dyDescent="0.3">
      <c r="A1412" s="336"/>
      <c r="B1412" s="338" t="s">
        <v>856</v>
      </c>
      <c r="C1412" s="353"/>
      <c r="D1412" s="5"/>
      <c r="E1412" s="338"/>
      <c r="F1412" s="1"/>
      <c r="AC1412" s="56">
        <f>IF(C1412="",0,1)</f>
        <v>0</v>
      </c>
      <c r="AE1412" s="56">
        <f>IF($AC$1202=1,AC$1197,0)</f>
        <v>0</v>
      </c>
      <c r="BB1412" s="56"/>
    </row>
    <row r="1413" spans="1:56" ht="13.95" hidden="1" customHeight="1" thickTop="1" thickBot="1" x14ac:dyDescent="0.3">
      <c r="A1413" s="336"/>
      <c r="B1413" s="354" t="s">
        <v>859</v>
      </c>
      <c r="C1413" s="353"/>
      <c r="D1413" s="355" t="str">
        <f>AS1413</f>
        <v>AWARENESS OF ISSUE</v>
      </c>
      <c r="E1413" s="338"/>
      <c r="F1413" s="1"/>
      <c r="AM1413" s="356"/>
      <c r="AN1413" s="356"/>
      <c r="AO1413" s="356"/>
      <c r="AP1413" s="356"/>
      <c r="AS1413" s="56" t="str">
        <f>AS1403</f>
        <v>AWARENESS OF ISSUE</v>
      </c>
      <c r="BB1413" s="56"/>
    </row>
    <row r="1414" spans="1:56" ht="13.95" hidden="1" customHeight="1" thickTop="1" thickBot="1" x14ac:dyDescent="0.3">
      <c r="A1414" s="336"/>
      <c r="B1414" s="348" t="s">
        <v>863</v>
      </c>
      <c r="C1414" s="357" t="s">
        <v>864</v>
      </c>
      <c r="D1414" s="357" t="s">
        <v>865</v>
      </c>
      <c r="E1414" s="338"/>
      <c r="F1414" s="1"/>
      <c r="BB1414" s="56"/>
    </row>
    <row r="1415" spans="1:56" ht="13.95" hidden="1" customHeight="1" thickTop="1" thickBot="1" x14ac:dyDescent="0.3">
      <c r="A1415" s="336"/>
      <c r="B1415" s="337" t="s">
        <v>868</v>
      </c>
      <c r="C1415" s="358" t="str">
        <f>AM1415</f>
        <v>YYYY-MM-DD</v>
      </c>
      <c r="D1415" s="358" t="str">
        <f>AM1415</f>
        <v>YYYY-MM-DD</v>
      </c>
      <c r="E1415" s="338"/>
      <c r="F1415" s="1"/>
      <c r="AH1415" s="616" t="str">
        <f>IF(NOT(D1415=AQ1415),D1415,"")</f>
        <v>YYYY-MM-DD</v>
      </c>
      <c r="AI1415" s="616"/>
      <c r="AM1415" s="351" t="s">
        <v>869</v>
      </c>
      <c r="AQ1415" s="351"/>
      <c r="BB1415" s="56"/>
    </row>
    <row r="1416" spans="1:56" ht="13.95" hidden="1" customHeight="1" thickTop="1" thickBot="1" x14ac:dyDescent="0.3">
      <c r="A1416" s="336"/>
      <c r="B1416" s="337" t="s">
        <v>874</v>
      </c>
      <c r="C1416" s="360"/>
      <c r="D1416" s="361" t="str">
        <f>AC1416</f>
        <v/>
      </c>
      <c r="E1416" s="338"/>
      <c r="F1416" s="1"/>
      <c r="AC1416" s="58" t="str">
        <f>IF(AND(AC$1196&gt;0,C1416=BN$1201),BM$1201,IF(AND(AC$1196&gt;0,C1416=BN$1202),BM$1202,IF(AND(AC$1196&gt;0,C1416=BN$1203),BM$1203,IF(AND(AC$1196&gt;0,C1416=BN$1204),BM$1204,IF(AND(AC$1196&gt;0,C1416=BN$1205),BM$1205,"")))))</f>
        <v/>
      </c>
      <c r="AI1416" s="626">
        <f>AV1417/AL$1197</f>
        <v>0</v>
      </c>
      <c r="AJ1416" s="626"/>
      <c r="AK1416" s="56" t="s">
        <v>875</v>
      </c>
      <c r="AO1416" s="11" t="str">
        <f>IF(AI1416=0,"none",(AI1416*100))</f>
        <v>none</v>
      </c>
      <c r="AP1416" s="56" t="str">
        <f>IF(AO1416="none"," of weekly support cost.","% of weekly support cost.")</f>
        <v xml:space="preserve"> of weekly support cost.</v>
      </c>
      <c r="BB1416" s="56"/>
    </row>
    <row r="1417" spans="1:56" ht="13.95" hidden="1" customHeight="1" thickTop="1" thickBot="1" x14ac:dyDescent="0.3">
      <c r="A1417" s="336"/>
      <c r="B1417" s="337" t="s">
        <v>877</v>
      </c>
      <c r="C1417" s="362"/>
      <c r="D1417" s="337" t="str">
        <f>IF(NOT(AV1417&gt;0),"",AC1417)</f>
        <v/>
      </c>
      <c r="E1417" s="338"/>
      <c r="F1417" s="1"/>
      <c r="AC1417" s="263" t="str">
        <f>CONCATENATE(AO1417,AT1417)</f>
        <v>Weekly contribution: $0.00</v>
      </c>
      <c r="AO1417" s="56" t="s">
        <v>878</v>
      </c>
      <c r="AT1417" s="263" t="str">
        <f>DOLLAR(AV1417)</f>
        <v>$0.00</v>
      </c>
      <c r="AV1417" s="338">
        <f>IF(AND(D1416=BM$1205,C1417=B$2043),D$2043,IF(AND(D1416=BM$1205,C1417=B$2044),D$2044,IF(AND(D1416=BM$1205,C1417=B$2045),D$2045,IF(AND(D1416=BM$1205,C1417=B$2046),D$2046,IF(AND(D1416=BM$1205,C1417=B$2047),D$2047,IF(AND(D1416=BM$1205,C1417=B$2048),D$2048,0))))))</f>
        <v>0</v>
      </c>
      <c r="AX1417" s="11" t="str">
        <f>DOLLAR(AZ1417)</f>
        <v>$45.00</v>
      </c>
      <c r="AZ1417" s="363">
        <f>$AJ$1197-AV1417</f>
        <v>45</v>
      </c>
      <c r="BB1417" s="56"/>
      <c r="BD1417" s="322">
        <f>AV1417</f>
        <v>0</v>
      </c>
    </row>
    <row r="1418" spans="1:56" ht="13.95" hidden="1" customHeight="1" thickTop="1" x14ac:dyDescent="0.25">
      <c r="A1418" s="336"/>
      <c r="B1418" s="337"/>
      <c r="C1418" s="337" t="str">
        <f>CONCATENATE(AK1416,AO1416,AP1416)</f>
        <v>This covers none of weekly support cost.</v>
      </c>
      <c r="D1418" s="337" t="str">
        <f>BF$1200</f>
        <v>$45 to go for weekly support.</v>
      </c>
      <c r="E1418" s="338"/>
      <c r="F1418" s="1"/>
      <c r="AC1418" s="56" t="s">
        <v>880</v>
      </c>
      <c r="AI1418" s="154">
        <f>MIN(D1416,AE1412)</f>
        <v>0</v>
      </c>
      <c r="AJ1418" s="56">
        <f>ROUND(AI1418,2)</f>
        <v>0</v>
      </c>
      <c r="AK1418" s="56" t="str">
        <f>CONCATENATE(AC1418,AJ1418)</f>
        <v>contribution per exchange: $0</v>
      </c>
    </row>
    <row r="1419" spans="1:56" ht="13.95" hidden="1" customHeight="1" x14ac:dyDescent="0.25">
      <c r="A1419" s="336"/>
      <c r="B1419" s="337"/>
      <c r="C1419" s="337"/>
      <c r="D1419" s="337"/>
      <c r="E1419" s="338"/>
      <c r="F1419" s="1"/>
    </row>
    <row r="1420" spans="1:56" ht="4.95" hidden="1" customHeight="1" thickBot="1" x14ac:dyDescent="0.3">
      <c r="A1420" s="338"/>
      <c r="B1420" s="340"/>
      <c r="C1420" s="341"/>
      <c r="D1420" s="338"/>
      <c r="E1420" s="338"/>
      <c r="F1420" s="1"/>
      <c r="AC1420" s="334"/>
      <c r="AJ1420" s="437"/>
      <c r="BB1420" s="56"/>
    </row>
    <row r="1421" spans="1:56" ht="16.8" hidden="1" thickTop="1" thickBot="1" x14ac:dyDescent="0.3">
      <c r="A1421" s="347">
        <f>IF(C1421="",0,1+A1411)</f>
        <v>23</v>
      </c>
      <c r="B1421" s="348" t="s">
        <v>905</v>
      </c>
      <c r="C1421" s="349" t="str">
        <f>AM1421</f>
        <v>FIRST NAME</v>
      </c>
      <c r="D1421" s="350" t="str">
        <f>AQ1421</f>
        <v>LAST NAME</v>
      </c>
      <c r="E1421" s="338"/>
      <c r="F1421" s="1"/>
      <c r="AC1421" s="333" t="str">
        <f>IF(NOT(C1421=AM1421),C1421,"")</f>
        <v/>
      </c>
      <c r="AH1421" s="333" t="str">
        <f>IF(NOT(D1421=AQ1421),D1421,"")</f>
        <v/>
      </c>
      <c r="AM1421" s="351" t="s">
        <v>853</v>
      </c>
      <c r="AQ1421" s="351" t="s">
        <v>107</v>
      </c>
      <c r="BB1421" s="56"/>
    </row>
    <row r="1422" spans="1:56" ht="15" hidden="1" thickTop="1" thickBot="1" x14ac:dyDescent="0.3">
      <c r="A1422" s="336"/>
      <c r="B1422" s="338" t="s">
        <v>856</v>
      </c>
      <c r="C1422" s="353"/>
      <c r="D1422" s="5"/>
      <c r="E1422" s="338"/>
      <c r="F1422" s="1"/>
      <c r="AC1422" s="56">
        <f>IF(C1422="",0,1)</f>
        <v>0</v>
      </c>
      <c r="AE1422" s="56">
        <f>IF($AC$1202=1,AC$1197,0)</f>
        <v>0</v>
      </c>
      <c r="BB1422" s="56"/>
    </row>
    <row r="1423" spans="1:56" ht="13.95" hidden="1" customHeight="1" thickTop="1" thickBot="1" x14ac:dyDescent="0.3">
      <c r="A1423" s="336"/>
      <c r="B1423" s="354" t="s">
        <v>859</v>
      </c>
      <c r="C1423" s="353"/>
      <c r="D1423" s="355" t="str">
        <f>AS1423</f>
        <v>AWARENESS OF ISSUE</v>
      </c>
      <c r="E1423" s="338"/>
      <c r="F1423" s="1"/>
      <c r="AM1423" s="356"/>
      <c r="AN1423" s="356"/>
      <c r="AO1423" s="356"/>
      <c r="AP1423" s="356"/>
      <c r="AS1423" s="56" t="str">
        <f>AS1413</f>
        <v>AWARENESS OF ISSUE</v>
      </c>
      <c r="BB1423" s="56"/>
    </row>
    <row r="1424" spans="1:56" ht="13.95" hidden="1" customHeight="1" thickTop="1" thickBot="1" x14ac:dyDescent="0.3">
      <c r="A1424" s="336"/>
      <c r="B1424" s="348" t="s">
        <v>863</v>
      </c>
      <c r="C1424" s="357" t="s">
        <v>864</v>
      </c>
      <c r="D1424" s="357" t="s">
        <v>865</v>
      </c>
      <c r="E1424" s="338"/>
      <c r="F1424" s="1"/>
      <c r="BB1424" s="56"/>
    </row>
    <row r="1425" spans="1:56" ht="13.95" hidden="1" customHeight="1" thickTop="1" thickBot="1" x14ac:dyDescent="0.3">
      <c r="A1425" s="336"/>
      <c r="B1425" s="337" t="s">
        <v>868</v>
      </c>
      <c r="C1425" s="358" t="str">
        <f>AM1425</f>
        <v>YYYY-MM-DD</v>
      </c>
      <c r="D1425" s="358" t="str">
        <f>AM1425</f>
        <v>YYYY-MM-DD</v>
      </c>
      <c r="E1425" s="338"/>
      <c r="F1425" s="1"/>
      <c r="AH1425" s="616" t="str">
        <f>IF(NOT(D1425=AQ1425),D1425,"")</f>
        <v>YYYY-MM-DD</v>
      </c>
      <c r="AI1425" s="616"/>
      <c r="AM1425" s="351" t="s">
        <v>869</v>
      </c>
      <c r="AQ1425" s="351"/>
      <c r="BB1425" s="56"/>
    </row>
    <row r="1426" spans="1:56" ht="13.95" hidden="1" customHeight="1" thickTop="1" thickBot="1" x14ac:dyDescent="0.3">
      <c r="A1426" s="336"/>
      <c r="B1426" s="337" t="s">
        <v>874</v>
      </c>
      <c r="C1426" s="360"/>
      <c r="D1426" s="361" t="str">
        <f>AC1426</f>
        <v/>
      </c>
      <c r="E1426" s="338"/>
      <c r="F1426" s="1"/>
      <c r="AC1426" s="58" t="str">
        <f>IF(AND(AC$1196&gt;0,C1426=BN$1201),BM$1201,IF(AND(AC$1196&gt;0,C1426=BN$1202),BM$1202,IF(AND(AC$1196&gt;0,C1426=BN$1203),BM$1203,IF(AND(AC$1196&gt;0,C1426=BN$1204),BM$1204,IF(AND(AC$1196&gt;0,C1426=BN$1205),BM$1205,"")))))</f>
        <v/>
      </c>
      <c r="AI1426" s="626">
        <f>AV1427/AL$1197</f>
        <v>0</v>
      </c>
      <c r="AJ1426" s="626"/>
      <c r="AK1426" s="56" t="s">
        <v>875</v>
      </c>
      <c r="AO1426" s="11" t="str">
        <f>IF(AI1426=0,"none",(AI1426*100))</f>
        <v>none</v>
      </c>
      <c r="AP1426" s="56" t="str">
        <f>IF(AO1426="none"," of weekly support cost.","% of weekly support cost.")</f>
        <v xml:space="preserve"> of weekly support cost.</v>
      </c>
      <c r="BB1426" s="56"/>
    </row>
    <row r="1427" spans="1:56" ht="13.95" hidden="1" customHeight="1" thickTop="1" thickBot="1" x14ac:dyDescent="0.3">
      <c r="A1427" s="336"/>
      <c r="B1427" s="337" t="s">
        <v>877</v>
      </c>
      <c r="C1427" s="362"/>
      <c r="D1427" s="337" t="str">
        <f>IF(NOT(AV1427&gt;0),"",AC1427)</f>
        <v/>
      </c>
      <c r="E1427" s="338"/>
      <c r="F1427" s="1"/>
      <c r="AC1427" s="263" t="str">
        <f>CONCATENATE(AO1427,AT1427)</f>
        <v>Weekly contribution: $0.00</v>
      </c>
      <c r="AO1427" s="56" t="s">
        <v>878</v>
      </c>
      <c r="AT1427" s="263" t="str">
        <f>DOLLAR(AV1427)</f>
        <v>$0.00</v>
      </c>
      <c r="AV1427" s="338">
        <f>IF(AND(D1426=BM$1205,C1427=B$2043),D$2043,IF(AND(D1426=BM$1205,C1427=B$2044),D$2044,IF(AND(D1426=BM$1205,C1427=B$2045),D$2045,IF(AND(D1426=BM$1205,C1427=B$2046),D$2046,IF(AND(D1426=BM$1205,C1427=B$2047),D$2047,IF(AND(D1426=BM$1205,C1427=B$2048),D$2048,0))))))</f>
        <v>0</v>
      </c>
      <c r="AX1427" s="11" t="str">
        <f>DOLLAR(AZ1427)</f>
        <v>$45.00</v>
      </c>
      <c r="AZ1427" s="363">
        <f>$AJ$1197-AV1427</f>
        <v>45</v>
      </c>
      <c r="BB1427" s="56"/>
      <c r="BD1427" s="322">
        <f>AV1427</f>
        <v>0</v>
      </c>
    </row>
    <row r="1428" spans="1:56" ht="13.95" hidden="1" customHeight="1" thickTop="1" x14ac:dyDescent="0.25">
      <c r="A1428" s="336"/>
      <c r="B1428" s="337"/>
      <c r="C1428" s="337" t="str">
        <f>CONCATENATE(AK1426,AO1426,AP1426)</f>
        <v>This covers none of weekly support cost.</v>
      </c>
      <c r="D1428" s="337" t="str">
        <f>BF$1200</f>
        <v>$45 to go for weekly support.</v>
      </c>
      <c r="E1428" s="338"/>
      <c r="F1428" s="1"/>
      <c r="AC1428" s="56" t="s">
        <v>880</v>
      </c>
      <c r="AI1428" s="154">
        <f>MIN(D1426,AE1422)</f>
        <v>0</v>
      </c>
      <c r="AJ1428" s="56">
        <f>ROUND(AI1428,2)</f>
        <v>0</v>
      </c>
      <c r="AK1428" s="56" t="str">
        <f>CONCATENATE(AC1428,AJ1428)</f>
        <v>contribution per exchange: $0</v>
      </c>
    </row>
    <row r="1429" spans="1:56" ht="13.95" hidden="1" customHeight="1" x14ac:dyDescent="0.25">
      <c r="A1429" s="336"/>
      <c r="B1429" s="337"/>
      <c r="C1429" s="337"/>
      <c r="D1429" s="337"/>
      <c r="E1429" s="338"/>
      <c r="F1429" s="1"/>
    </row>
    <row r="1430" spans="1:56" ht="4.95" hidden="1" customHeight="1" thickBot="1" x14ac:dyDescent="0.3">
      <c r="A1430" s="338"/>
      <c r="B1430" s="340"/>
      <c r="C1430" s="341"/>
      <c r="D1430" s="338"/>
      <c r="E1430" s="338"/>
      <c r="F1430" s="1"/>
      <c r="AC1430" s="334"/>
      <c r="AJ1430" s="437"/>
      <c r="BB1430" s="56"/>
    </row>
    <row r="1431" spans="1:56" ht="16.8" hidden="1" thickTop="1" thickBot="1" x14ac:dyDescent="0.3">
      <c r="A1431" s="347">
        <f>IF(C1431="",0,1+A1421)</f>
        <v>24</v>
      </c>
      <c r="B1431" s="348" t="s">
        <v>906</v>
      </c>
      <c r="C1431" s="349" t="str">
        <f>AM1431</f>
        <v>FIRST NAME</v>
      </c>
      <c r="D1431" s="350" t="str">
        <f>AQ1431</f>
        <v>LAST NAME</v>
      </c>
      <c r="E1431" s="338"/>
      <c r="F1431" s="1"/>
      <c r="AC1431" s="333" t="str">
        <f>IF(NOT(C1431=AM1431),C1431,"")</f>
        <v/>
      </c>
      <c r="AH1431" s="333" t="str">
        <f>IF(NOT(D1431=AQ1431),D1431,"")</f>
        <v/>
      </c>
      <c r="AM1431" s="351" t="s">
        <v>853</v>
      </c>
      <c r="AQ1431" s="351" t="s">
        <v>107</v>
      </c>
      <c r="BB1431" s="56"/>
    </row>
    <row r="1432" spans="1:56" ht="15" hidden="1" thickTop="1" thickBot="1" x14ac:dyDescent="0.3">
      <c r="A1432" s="336"/>
      <c r="B1432" s="338" t="s">
        <v>856</v>
      </c>
      <c r="C1432" s="353"/>
      <c r="D1432" s="5"/>
      <c r="E1432" s="338"/>
      <c r="F1432" s="1"/>
      <c r="AC1432" s="56">
        <f>IF(C1432="",0,1)</f>
        <v>0</v>
      </c>
      <c r="AE1432" s="56">
        <f>IF($AC$1202=1,AC$1197,0)</f>
        <v>0</v>
      </c>
      <c r="BB1432" s="56"/>
    </row>
    <row r="1433" spans="1:56" ht="13.95" hidden="1" customHeight="1" thickTop="1" thickBot="1" x14ac:dyDescent="0.3">
      <c r="A1433" s="336"/>
      <c r="B1433" s="354" t="s">
        <v>859</v>
      </c>
      <c r="C1433" s="353"/>
      <c r="D1433" s="355" t="str">
        <f>AS1433</f>
        <v>AWARENESS OF ISSUE</v>
      </c>
      <c r="E1433" s="338"/>
      <c r="F1433" s="1"/>
      <c r="AM1433" s="356"/>
      <c r="AN1433" s="356"/>
      <c r="AO1433" s="356"/>
      <c r="AP1433" s="356"/>
      <c r="AS1433" s="56" t="str">
        <f>AS1423</f>
        <v>AWARENESS OF ISSUE</v>
      </c>
      <c r="BB1433" s="56"/>
    </row>
    <row r="1434" spans="1:56" ht="13.95" hidden="1" customHeight="1" thickTop="1" thickBot="1" x14ac:dyDescent="0.3">
      <c r="A1434" s="336"/>
      <c r="B1434" s="348" t="s">
        <v>863</v>
      </c>
      <c r="C1434" s="357" t="s">
        <v>864</v>
      </c>
      <c r="D1434" s="357" t="s">
        <v>865</v>
      </c>
      <c r="E1434" s="338"/>
      <c r="F1434" s="1"/>
      <c r="BB1434" s="56"/>
    </row>
    <row r="1435" spans="1:56" ht="13.95" hidden="1" customHeight="1" thickTop="1" thickBot="1" x14ac:dyDescent="0.3">
      <c r="A1435" s="336"/>
      <c r="B1435" s="337" t="s">
        <v>868</v>
      </c>
      <c r="C1435" s="358" t="str">
        <f>AM1435</f>
        <v>YYYY-MM-DD</v>
      </c>
      <c r="D1435" s="358" t="str">
        <f>AM1435</f>
        <v>YYYY-MM-DD</v>
      </c>
      <c r="E1435" s="338"/>
      <c r="F1435" s="1"/>
      <c r="AH1435" s="616" t="str">
        <f>IF(NOT(D1435=AQ1435),D1435,"")</f>
        <v>YYYY-MM-DD</v>
      </c>
      <c r="AI1435" s="616"/>
      <c r="AM1435" s="351" t="s">
        <v>869</v>
      </c>
      <c r="AQ1435" s="351"/>
      <c r="BB1435" s="56"/>
    </row>
    <row r="1436" spans="1:56" ht="13.95" hidden="1" customHeight="1" thickTop="1" thickBot="1" x14ac:dyDescent="0.3">
      <c r="A1436" s="336"/>
      <c r="B1436" s="337" t="s">
        <v>874</v>
      </c>
      <c r="C1436" s="360"/>
      <c r="D1436" s="361" t="str">
        <f>AC1436</f>
        <v/>
      </c>
      <c r="E1436" s="338"/>
      <c r="F1436" s="1"/>
      <c r="AC1436" s="58" t="str">
        <f>IF(AND(AC$1196&gt;0,C1436=BN$1201),BM$1201,IF(AND(AC$1196&gt;0,C1436=BN$1202),BM$1202,IF(AND(AC$1196&gt;0,C1436=BN$1203),BM$1203,IF(AND(AC$1196&gt;0,C1436=BN$1204),BM$1204,IF(AND(AC$1196&gt;0,C1436=BN$1205),BM$1205,"")))))</f>
        <v/>
      </c>
      <c r="AI1436" s="626">
        <f>AV1437/AL$1197</f>
        <v>0</v>
      </c>
      <c r="AJ1436" s="626"/>
      <c r="AK1436" s="56" t="s">
        <v>875</v>
      </c>
      <c r="AO1436" s="11" t="str">
        <f>IF(AI1436=0,"none",(AI1436*100))</f>
        <v>none</v>
      </c>
      <c r="AP1436" s="56" t="str">
        <f>IF(AO1436="none"," of weekly support cost.","% of weekly support cost.")</f>
        <v xml:space="preserve"> of weekly support cost.</v>
      </c>
      <c r="BB1436" s="56"/>
    </row>
    <row r="1437" spans="1:56" ht="13.95" hidden="1" customHeight="1" thickTop="1" thickBot="1" x14ac:dyDescent="0.3">
      <c r="A1437" s="336"/>
      <c r="B1437" s="337" t="s">
        <v>877</v>
      </c>
      <c r="C1437" s="362"/>
      <c r="D1437" s="337" t="str">
        <f>IF(NOT(AV1437&gt;0),"",AC1437)</f>
        <v/>
      </c>
      <c r="E1437" s="338"/>
      <c r="F1437" s="1"/>
      <c r="AC1437" s="263" t="str">
        <f>CONCATENATE(AO1437,AT1437)</f>
        <v>Weekly contribution: $0.00</v>
      </c>
      <c r="AO1437" s="56" t="s">
        <v>878</v>
      </c>
      <c r="AT1437" s="263" t="str">
        <f>DOLLAR(AV1437)</f>
        <v>$0.00</v>
      </c>
      <c r="AV1437" s="338">
        <f>IF(AND(D1436=BM$1205,C1437=B$2043),D$2043,IF(AND(D1436=BM$1205,C1437=B$2044),D$2044,IF(AND(D1436=BM$1205,C1437=B$2045),D$2045,IF(AND(D1436=BM$1205,C1437=B$2046),D$2046,IF(AND(D1436=BM$1205,C1437=B$2047),D$2047,IF(AND(D1436=BM$1205,C1437=B$2048),D$2048,0))))))</f>
        <v>0</v>
      </c>
      <c r="AX1437" s="11" t="str">
        <f>DOLLAR(AZ1437)</f>
        <v>$45.00</v>
      </c>
      <c r="AZ1437" s="363">
        <f>$AJ$1197-AV1437</f>
        <v>45</v>
      </c>
      <c r="BB1437" s="56"/>
      <c r="BD1437" s="322">
        <f>AV1437</f>
        <v>0</v>
      </c>
    </row>
    <row r="1438" spans="1:56" ht="13.95" hidden="1" customHeight="1" thickTop="1" x14ac:dyDescent="0.25">
      <c r="A1438" s="336"/>
      <c r="B1438" s="337"/>
      <c r="C1438" s="337" t="str">
        <f>CONCATENATE(AK1436,AO1436,AP1436)</f>
        <v>This covers none of weekly support cost.</v>
      </c>
      <c r="D1438" s="337" t="str">
        <f>BF$1200</f>
        <v>$45 to go for weekly support.</v>
      </c>
      <c r="E1438" s="338"/>
      <c r="F1438" s="1"/>
      <c r="AC1438" s="56" t="s">
        <v>880</v>
      </c>
      <c r="AI1438" s="154">
        <f>MIN(D1436,AE1432)</f>
        <v>0</v>
      </c>
      <c r="AJ1438" s="56">
        <f>ROUND(AI1438,2)</f>
        <v>0</v>
      </c>
      <c r="AK1438" s="56" t="str">
        <f>CONCATENATE(AC1438,AJ1438)</f>
        <v>contribution per exchange: $0</v>
      </c>
    </row>
    <row r="1439" spans="1:56" ht="13.95" hidden="1" customHeight="1" x14ac:dyDescent="0.25">
      <c r="A1439" s="336"/>
      <c r="B1439" s="337"/>
      <c r="C1439" s="337"/>
      <c r="D1439" s="337"/>
      <c r="E1439" s="338"/>
      <c r="F1439" s="1"/>
    </row>
    <row r="1440" spans="1:56" ht="4.95" hidden="1" customHeight="1" x14ac:dyDescent="0.25">
      <c r="A1440" s="338"/>
      <c r="B1440" s="340"/>
      <c r="C1440" s="341"/>
      <c r="D1440" s="338"/>
      <c r="E1440" s="338"/>
      <c r="F1440" s="1"/>
      <c r="BB1440" s="56"/>
    </row>
    <row r="1441" spans="1:54" ht="30" hidden="1" customHeight="1" x14ac:dyDescent="0.25">
      <c r="A1441" s="340"/>
      <c r="B1441" s="340"/>
      <c r="C1441" s="341"/>
      <c r="D1441" s="338"/>
      <c r="E1441" s="338"/>
      <c r="F1441" s="338"/>
      <c r="BB1441" s="56"/>
    </row>
    <row r="1442" spans="1:54" ht="45" hidden="1" customHeight="1" x14ac:dyDescent="0.25">
      <c r="A1442" s="340"/>
      <c r="B1442" s="339"/>
      <c r="C1442" s="613"/>
      <c r="D1442" s="613"/>
      <c r="E1442" s="338"/>
      <c r="F1442" s="338"/>
      <c r="BB1442" s="56"/>
    </row>
    <row r="1443" spans="1:54" ht="18" hidden="1" customHeight="1" x14ac:dyDescent="0.25">
      <c r="A1443" s="340"/>
      <c r="B1443" s="340"/>
      <c r="C1443" s="341"/>
      <c r="D1443" s="338"/>
      <c r="E1443" s="338"/>
      <c r="F1443" s="338"/>
      <c r="BB1443" s="56"/>
    </row>
    <row r="1444" spans="1:54" ht="18" hidden="1" customHeight="1" x14ac:dyDescent="0.25">
      <c r="A1444" s="340"/>
      <c r="B1444" s="340"/>
      <c r="C1444" s="341"/>
      <c r="D1444" s="338"/>
      <c r="E1444" s="338"/>
      <c r="F1444" s="338"/>
      <c r="BB1444" s="56"/>
    </row>
    <row r="1445" spans="1:54" ht="18" hidden="1" customHeight="1" x14ac:dyDescent="0.25">
      <c r="A1445" s="340"/>
      <c r="B1445" s="340"/>
      <c r="C1445" s="341"/>
      <c r="D1445" s="338"/>
      <c r="E1445" s="338"/>
      <c r="F1445" s="338"/>
      <c r="BB1445" s="56"/>
    </row>
    <row r="1446" spans="1:54" ht="18" hidden="1" customHeight="1" x14ac:dyDescent="0.25">
      <c r="A1446" s="340"/>
      <c r="B1446" s="340"/>
      <c r="C1446" s="341"/>
      <c r="D1446" s="338"/>
      <c r="E1446" s="338"/>
      <c r="F1446" s="338"/>
      <c r="BB1446" s="56"/>
    </row>
    <row r="1447" spans="1:54" ht="18" hidden="1" customHeight="1" x14ac:dyDescent="0.25">
      <c r="A1447" s="340"/>
      <c r="B1447" s="340"/>
      <c r="C1447" s="341"/>
      <c r="D1447" s="338"/>
      <c r="E1447" s="338"/>
      <c r="F1447" s="338"/>
      <c r="BB1447" s="56"/>
    </row>
    <row r="1448" spans="1:54" ht="18" hidden="1" customHeight="1" x14ac:dyDescent="0.25">
      <c r="A1448" s="340"/>
      <c r="B1448" s="340"/>
      <c r="C1448" s="341"/>
      <c r="D1448" s="338"/>
      <c r="E1448" s="338"/>
      <c r="F1448" s="338"/>
      <c r="BB1448" s="56"/>
    </row>
    <row r="1449" spans="1:54" ht="18" hidden="1" customHeight="1" x14ac:dyDescent="0.25">
      <c r="A1449" s="340"/>
      <c r="B1449" s="340"/>
      <c r="C1449" s="341"/>
      <c r="D1449" s="338"/>
      <c r="E1449" s="338"/>
      <c r="F1449" s="338"/>
      <c r="BB1449" s="56"/>
    </row>
    <row r="1450" spans="1:54" ht="18" hidden="1" customHeight="1" x14ac:dyDescent="0.25">
      <c r="A1450" s="340"/>
      <c r="B1450" s="340"/>
      <c r="C1450" s="341"/>
      <c r="D1450" s="338"/>
      <c r="E1450" s="338"/>
      <c r="F1450" s="338"/>
      <c r="BB1450" s="56"/>
    </row>
    <row r="1451" spans="1:54" ht="18" hidden="1" customHeight="1" x14ac:dyDescent="0.25">
      <c r="A1451" s="340"/>
      <c r="B1451" s="340"/>
      <c r="C1451" s="341"/>
      <c r="D1451" s="338"/>
      <c r="E1451" s="338"/>
      <c r="F1451" s="338"/>
      <c r="AI1451" s="340" t="s">
        <v>907</v>
      </c>
      <c r="BB1451" s="56"/>
    </row>
    <row r="1452" spans="1:54" ht="18" hidden="1" customHeight="1" x14ac:dyDescent="0.25">
      <c r="A1452" s="340"/>
      <c r="B1452" s="340"/>
      <c r="C1452" s="341"/>
      <c r="D1452" s="338"/>
      <c r="E1452" s="338"/>
      <c r="F1452" s="338"/>
      <c r="AI1452" s="340" t="s">
        <v>907</v>
      </c>
      <c r="BB1452" s="56"/>
    </row>
    <row r="1453" spans="1:54" ht="18" hidden="1" customHeight="1" x14ac:dyDescent="0.25">
      <c r="A1453" s="340"/>
      <c r="B1453" s="340"/>
      <c r="C1453" s="341"/>
      <c r="D1453" s="338"/>
      <c r="E1453" s="338"/>
      <c r="F1453" s="338"/>
      <c r="AI1453" s="364" t="s">
        <v>908</v>
      </c>
      <c r="BB1453" s="56"/>
    </row>
    <row r="1454" spans="1:54" ht="18" hidden="1" customHeight="1" x14ac:dyDescent="0.25">
      <c r="A1454" s="340"/>
      <c r="B1454" s="364"/>
      <c r="C1454" s="341"/>
      <c r="D1454" s="338"/>
      <c r="E1454" s="338"/>
      <c r="F1454" s="338"/>
      <c r="BB1454" s="56"/>
    </row>
    <row r="1455" spans="1:54" ht="18" hidden="1" customHeight="1" x14ac:dyDescent="0.25">
      <c r="A1455" s="340"/>
      <c r="B1455" s="340"/>
      <c r="C1455" s="341"/>
      <c r="D1455" s="338"/>
      <c r="E1455" s="338"/>
      <c r="F1455" s="338"/>
      <c r="BB1455" s="56"/>
    </row>
    <row r="1456" spans="1:54" ht="18" hidden="1" customHeight="1" x14ac:dyDescent="0.25">
      <c r="A1456" s="340"/>
      <c r="B1456" s="340"/>
      <c r="C1456" s="341"/>
      <c r="D1456" s="338"/>
      <c r="E1456" s="338"/>
      <c r="F1456" s="338"/>
      <c r="BB1456" s="56"/>
    </row>
    <row r="1457" spans="1:86" ht="18" hidden="1" customHeight="1" x14ac:dyDescent="0.25">
      <c r="A1457" s="340"/>
      <c r="B1457" s="340"/>
      <c r="C1457" s="341"/>
      <c r="D1457" s="338"/>
      <c r="E1457" s="338"/>
      <c r="F1457" s="338"/>
      <c r="BB1457" s="56"/>
    </row>
    <row r="1458" spans="1:86" ht="18" hidden="1" customHeight="1" x14ac:dyDescent="0.25">
      <c r="A1458" s="340"/>
      <c r="B1458" s="340"/>
      <c r="C1458" s="341"/>
      <c r="D1458" s="338"/>
      <c r="E1458" s="338"/>
      <c r="F1458" s="338"/>
      <c r="BB1458" s="56"/>
    </row>
    <row r="1459" spans="1:86" ht="18" hidden="1" customHeight="1" x14ac:dyDescent="0.25">
      <c r="A1459" s="340"/>
      <c r="B1459" s="340"/>
      <c r="C1459" s="341"/>
      <c r="D1459" s="338"/>
      <c r="E1459" s="338"/>
      <c r="F1459" s="338"/>
      <c r="BB1459" s="56"/>
    </row>
    <row r="1460" spans="1:86" ht="18" hidden="1" customHeight="1" x14ac:dyDescent="0.25">
      <c r="A1460" s="340"/>
      <c r="B1460" s="340"/>
      <c r="C1460" s="341"/>
      <c r="D1460" s="338"/>
      <c r="E1460" s="338"/>
      <c r="F1460" s="338"/>
      <c r="BB1460" s="56"/>
    </row>
    <row r="1461" spans="1:86" ht="18" hidden="1" customHeight="1" x14ac:dyDescent="0.25">
      <c r="A1461" s="340"/>
      <c r="B1461" s="340"/>
      <c r="C1461" s="341"/>
      <c r="D1461" s="338"/>
      <c r="E1461" s="338"/>
      <c r="F1461" s="338"/>
      <c r="BB1461" s="56"/>
    </row>
    <row r="1462" spans="1:86" ht="18" hidden="1" customHeight="1" x14ac:dyDescent="0.25">
      <c r="A1462" s="340"/>
      <c r="B1462" s="340"/>
      <c r="C1462" s="341"/>
      <c r="D1462" s="338"/>
      <c r="E1462" s="338"/>
      <c r="F1462" s="338"/>
      <c r="BB1462" s="56"/>
    </row>
    <row r="1463" spans="1:86" ht="18" hidden="1" customHeight="1" x14ac:dyDescent="0.25">
      <c r="A1463" s="340"/>
      <c r="B1463" s="340"/>
      <c r="C1463" s="341"/>
      <c r="D1463" s="338"/>
      <c r="E1463" s="338"/>
      <c r="F1463" s="338"/>
      <c r="BB1463" s="56"/>
    </row>
    <row r="1464" spans="1:86" ht="18" hidden="1" customHeight="1" x14ac:dyDescent="0.25">
      <c r="A1464" s="340"/>
      <c r="B1464" s="340"/>
      <c r="C1464" s="341"/>
      <c r="D1464" s="338"/>
      <c r="E1464" s="338"/>
      <c r="F1464" s="338"/>
      <c r="BB1464" s="56"/>
    </row>
    <row r="1465" spans="1:86" ht="18" hidden="1" customHeight="1" x14ac:dyDescent="0.25">
      <c r="A1465" s="340"/>
      <c r="B1465" s="340"/>
      <c r="C1465" s="341"/>
      <c r="D1465" s="338"/>
      <c r="E1465" s="338"/>
      <c r="F1465" s="338"/>
      <c r="BB1465" s="56"/>
    </row>
    <row r="1466" spans="1:86" ht="18" hidden="1" customHeight="1" x14ac:dyDescent="0.25">
      <c r="A1466" s="340"/>
      <c r="B1466" s="340"/>
      <c r="C1466" s="341"/>
      <c r="D1466" s="338"/>
      <c r="E1466" s="338"/>
      <c r="F1466" s="338"/>
      <c r="BB1466" s="56"/>
      <c r="CH1466" s="371"/>
    </row>
    <row r="1467" spans="1:86" ht="18" hidden="1" customHeight="1" x14ac:dyDescent="0.25">
      <c r="A1467" s="340"/>
      <c r="B1467" s="340"/>
      <c r="C1467" s="341"/>
      <c r="D1467" s="338"/>
      <c r="E1467" s="338"/>
      <c r="F1467" s="338"/>
      <c r="BB1467" s="56"/>
    </row>
    <row r="1468" spans="1:86" ht="18" hidden="1" customHeight="1" x14ac:dyDescent="0.25">
      <c r="A1468" s="340"/>
      <c r="B1468" s="340"/>
      <c r="C1468" s="341"/>
      <c r="D1468" s="338"/>
      <c r="E1468" s="338"/>
      <c r="F1468" s="338"/>
      <c r="BB1468" s="56"/>
    </row>
    <row r="1469" spans="1:86" ht="18" hidden="1" customHeight="1" x14ac:dyDescent="0.25">
      <c r="A1469" s="340"/>
      <c r="B1469" s="340"/>
      <c r="C1469" s="341"/>
      <c r="D1469" s="338"/>
      <c r="E1469" s="338"/>
      <c r="F1469" s="338"/>
      <c r="BB1469" s="56"/>
    </row>
    <row r="1470" spans="1:86" ht="18" hidden="1" customHeight="1" x14ac:dyDescent="0.25">
      <c r="A1470" s="340"/>
      <c r="B1470" s="340"/>
      <c r="C1470" s="341"/>
      <c r="D1470" s="338"/>
      <c r="E1470" s="338"/>
      <c r="F1470" s="338"/>
      <c r="BB1470" s="56"/>
    </row>
    <row r="1471" spans="1:86" ht="18" hidden="1" customHeight="1" x14ac:dyDescent="0.25">
      <c r="A1471" s="340"/>
      <c r="B1471" s="340"/>
      <c r="C1471" s="341"/>
      <c r="D1471" s="338"/>
      <c r="E1471" s="338"/>
      <c r="F1471" s="338"/>
      <c r="BB1471" s="56"/>
    </row>
    <row r="1472" spans="1:86" ht="18" hidden="1" customHeight="1" x14ac:dyDescent="0.25">
      <c r="A1472" s="340"/>
      <c r="B1472" s="340"/>
      <c r="C1472" s="341"/>
      <c r="D1472" s="338"/>
      <c r="E1472" s="338"/>
      <c r="F1472" s="338"/>
      <c r="BB1472" s="56"/>
      <c r="CH1472" s="56" t="s">
        <v>931</v>
      </c>
    </row>
    <row r="1473" spans="1:87" ht="18" hidden="1" customHeight="1" x14ac:dyDescent="0.25">
      <c r="A1473" s="340"/>
      <c r="B1473" s="340"/>
      <c r="C1473" s="341"/>
      <c r="D1473" s="338"/>
      <c r="E1473" s="338"/>
      <c r="F1473" s="338"/>
      <c r="BB1473" s="56"/>
      <c r="CH1473" s="56" t="s">
        <v>931</v>
      </c>
    </row>
    <row r="1474" spans="1:87" ht="18" hidden="1" customHeight="1" x14ac:dyDescent="0.25">
      <c r="A1474" s="340"/>
      <c r="B1474" s="340"/>
      <c r="C1474" s="341"/>
      <c r="D1474" s="338"/>
      <c r="E1474" s="338"/>
      <c r="F1474" s="338"/>
      <c r="BB1474" s="56"/>
    </row>
    <row r="1475" spans="1:87" ht="18" hidden="1" customHeight="1" x14ac:dyDescent="0.25">
      <c r="A1475" s="340"/>
      <c r="B1475" s="340"/>
      <c r="C1475" s="341"/>
      <c r="D1475" s="338"/>
      <c r="E1475" s="338"/>
      <c r="F1475" s="338"/>
      <c r="BB1475" s="56"/>
    </row>
    <row r="1476" spans="1:87" ht="30" hidden="1" customHeight="1" x14ac:dyDescent="0.25">
      <c r="A1476" s="340"/>
      <c r="B1476" s="365" t="s">
        <v>27</v>
      </c>
      <c r="C1476" s="366"/>
      <c r="D1476" s="366"/>
      <c r="E1476" s="366"/>
      <c r="F1476" s="366"/>
      <c r="BB1476" s="56"/>
    </row>
    <row r="1477" spans="1:87" ht="64.95" hidden="1" customHeight="1" x14ac:dyDescent="0.25">
      <c r="A1477" s="340"/>
      <c r="B1477" s="630" t="s">
        <v>626</v>
      </c>
      <c r="C1477" s="630"/>
      <c r="D1477" s="630"/>
      <c r="E1477" s="367"/>
      <c r="F1477" s="368"/>
      <c r="BB1477" s="56"/>
    </row>
    <row r="1478" spans="1:87" s="371" customFormat="1" ht="30" hidden="1" customHeight="1" x14ac:dyDescent="0.25">
      <c r="A1478" s="340"/>
      <c r="B1478" s="631" t="s">
        <v>909</v>
      </c>
      <c r="C1478" s="631"/>
      <c r="D1478" s="631"/>
      <c r="E1478" s="369"/>
      <c r="F1478" s="369"/>
      <c r="G1478" s="370"/>
      <c r="H1478" s="370"/>
      <c r="I1478" s="370"/>
      <c r="J1478" s="370"/>
      <c r="K1478" s="370"/>
      <c r="L1478" s="370"/>
      <c r="M1478" s="370"/>
      <c r="N1478" s="370"/>
      <c r="O1478" s="370"/>
      <c r="P1478" s="370"/>
      <c r="Q1478" s="370"/>
      <c r="R1478" s="370"/>
      <c r="S1478" s="370"/>
      <c r="T1478" s="370"/>
      <c r="U1478" s="370"/>
      <c r="V1478" s="370"/>
      <c r="W1478" s="370"/>
      <c r="X1478" s="370"/>
      <c r="Y1478" s="370"/>
      <c r="Z1478" s="370"/>
      <c r="AJ1478" s="371" t="s">
        <v>627</v>
      </c>
      <c r="CH1478" s="56"/>
    </row>
    <row r="1479" spans="1:87" ht="28.05" hidden="1" customHeight="1" x14ac:dyDescent="0.25">
      <c r="A1479" s="340"/>
      <c r="B1479" s="632" t="s">
        <v>910</v>
      </c>
      <c r="C1479" s="632"/>
      <c r="D1479" s="632"/>
      <c r="E1479" s="338"/>
      <c r="F1479" s="338"/>
      <c r="BB1479" s="56"/>
    </row>
    <row r="1480" spans="1:87" ht="4.95" hidden="1" customHeight="1" x14ac:dyDescent="0.25">
      <c r="A1480" s="340"/>
      <c r="B1480" s="338"/>
      <c r="C1480" s="338"/>
      <c r="D1480" s="338"/>
      <c r="E1480" s="338"/>
      <c r="F1480" s="338"/>
      <c r="AJ1480" s="56" t="s">
        <v>911</v>
      </c>
    </row>
    <row r="1481" spans="1:87" ht="25.05" hidden="1" customHeight="1" x14ac:dyDescent="0.25">
      <c r="A1481" s="340"/>
      <c r="B1481" s="372" t="s">
        <v>912</v>
      </c>
      <c r="C1481" s="372"/>
      <c r="D1481" s="373" t="str">
        <f>AJ1481</f>
        <v>Accumulative total: $5</v>
      </c>
      <c r="E1481" s="338"/>
      <c r="F1481" s="338"/>
      <c r="AD1481" s="60">
        <f>SUM(AE1481:AG1481)</f>
        <v>5</v>
      </c>
      <c r="AE1481" s="56">
        <f>IF(B1482=CI$1483,BY$1483,0)</f>
        <v>0</v>
      </c>
      <c r="AF1481" s="56">
        <f>IF(C1482=CI$1484,BY$1484,0)</f>
        <v>5</v>
      </c>
      <c r="AG1481" s="56">
        <f>IF(C1482=CI$1485,BY$1485,0)</f>
        <v>0</v>
      </c>
      <c r="AJ1481" s="56" t="str">
        <f>CONCATENATE(AS1481,AT1481)</f>
        <v>Accumulative total: $5</v>
      </c>
      <c r="AS1481" s="374" t="s">
        <v>913</v>
      </c>
      <c r="AT1481" s="56" t="str">
        <f>DOLLAR(AU1481,0)</f>
        <v>$5</v>
      </c>
      <c r="AU1481" s="56">
        <f>AD1481+AK1480</f>
        <v>5</v>
      </c>
    </row>
    <row r="1482" spans="1:87" ht="15" hidden="1" customHeight="1" x14ac:dyDescent="0.3">
      <c r="A1482" s="340"/>
      <c r="B1482" s="375" t="s">
        <v>914</v>
      </c>
      <c r="C1482" s="629" t="s">
        <v>915</v>
      </c>
      <c r="D1482" s="629"/>
      <c r="E1482" s="338"/>
      <c r="F1482" s="338"/>
      <c r="AC1482" s="376" t="s">
        <v>916</v>
      </c>
      <c r="AD1482" s="376"/>
      <c r="AE1482" s="376"/>
      <c r="AF1482" s="376"/>
      <c r="AG1482" s="376"/>
      <c r="AH1482" s="376"/>
      <c r="AI1482" s="376"/>
      <c r="AJ1482" s="376"/>
      <c r="BB1482" s="56"/>
      <c r="BN1482" s="56" t="s">
        <v>916</v>
      </c>
      <c r="CB1482" s="56" t="s">
        <v>917</v>
      </c>
    </row>
    <row r="1483" spans="1:87" ht="15" hidden="1" customHeight="1" thickBot="1" x14ac:dyDescent="0.3">
      <c r="A1483" s="340"/>
      <c r="B1483" s="377" t="s">
        <v>918</v>
      </c>
      <c r="C1483" s="627" t="str">
        <f>AC1483</f>
        <v>click to go to N1</v>
      </c>
      <c r="D1483" s="627"/>
      <c r="E1483" s="338"/>
      <c r="F1483" s="338"/>
      <c r="AC1483" s="56" t="str">
        <f>IF(SUM(AD1484,AD1485,AD1486,AD1487,AD1488,AC1489,AD1489,AE1489)&lt;8,"click to go to N1",AI1483)</f>
        <v>click to go to N1</v>
      </c>
      <c r="AI1483" s="56" t="str">
        <f>CONCATENATE(AO1483,AQ1483,AT1483)</f>
        <v>Go to Employer 1  tab &gt;&gt;</v>
      </c>
      <c r="AO1483" s="56" t="s">
        <v>919</v>
      </c>
      <c r="AQ1483" s="56" t="str">
        <f>IF(C1484="","Employer 1 ",C1484)</f>
        <v xml:space="preserve">Employer 1 </v>
      </c>
      <c r="AT1483" s="56" t="s">
        <v>920</v>
      </c>
      <c r="BB1483" s="56" t="s">
        <v>912</v>
      </c>
      <c r="BE1483" s="378">
        <v>1</v>
      </c>
      <c r="BF1483" s="378" t="s">
        <v>912</v>
      </c>
      <c r="BG1483" s="378"/>
      <c r="BH1483" s="378" t="str">
        <f>IF(B1481=BF1484,"",CONCATENATE(BF$1483,BE1483))</f>
        <v>Employer 1</v>
      </c>
      <c r="BI1483" s="378"/>
      <c r="BJ1483" s="378" t="str">
        <f>CONCATENATE(BF$1483,BE1483)</f>
        <v>Employer 1</v>
      </c>
      <c r="BK1483" s="378"/>
      <c r="BO1483" s="56" t="s">
        <v>921</v>
      </c>
      <c r="BX1483" s="262" t="s">
        <v>922</v>
      </c>
      <c r="BY1483" s="107">
        <v>0</v>
      </c>
      <c r="BZ1483" s="56" t="s">
        <v>923</v>
      </c>
      <c r="CA1483" s="262" t="s">
        <v>924</v>
      </c>
      <c r="CI1483" s="56" t="str">
        <f>CONCATENATE(BO1483,BX1483,BZ1483,CA1483)</f>
        <v>Send notification yourself [DIY FREE]</v>
      </c>
    </row>
    <row r="1484" spans="1:87" ht="16.95" hidden="1" customHeight="1" thickTop="1" thickBot="1" x14ac:dyDescent="0.3">
      <c r="A1484" s="340"/>
      <c r="B1484" s="338" t="s">
        <v>925</v>
      </c>
      <c r="C1484" s="379"/>
      <c r="D1484" s="380"/>
      <c r="E1484" s="338"/>
      <c r="F1484" s="338"/>
      <c r="AD1484" s="56">
        <f t="shared" ref="AD1484:AD1489" si="54">IF(C1484&lt;&gt;"",1,0)</f>
        <v>0</v>
      </c>
      <c r="BB1484" s="56" t="s">
        <v>926</v>
      </c>
      <c r="BE1484" s="378">
        <v>2</v>
      </c>
      <c r="BF1484" s="378" t="str">
        <f>IF(B1481=BJ1483,BF1485,CONCATENATE(BF$1483,BE1483))</f>
        <v>Employer 1</v>
      </c>
      <c r="BG1484" s="378"/>
      <c r="BH1484" s="378" t="str">
        <f>CONCATENATE(BF$1483,BE1484)</f>
        <v>Employer 2</v>
      </c>
      <c r="BI1484" s="378"/>
      <c r="BJ1484" s="378" t="str">
        <f>CONCATENATE(BF$1483,BE1484)</f>
        <v>Employer 2</v>
      </c>
      <c r="BK1484" s="378"/>
      <c r="BO1484" s="56" t="s">
        <v>927</v>
      </c>
      <c r="BX1484" s="56" t="s">
        <v>922</v>
      </c>
      <c r="BY1484" s="107">
        <v>5</v>
      </c>
      <c r="BZ1484" s="374" t="str">
        <f>DOLLAR(BY1484,0)</f>
        <v>$5</v>
      </c>
      <c r="CA1484" s="56" t="s">
        <v>924</v>
      </c>
      <c r="CB1484" s="56" t="str">
        <f>IF(CB$1482="Y",CONCATENATE(CC1484,CE1484,CF1484,CG1484,CH1472),"")</f>
        <v>. Only $1 if done by Jan 1st.</v>
      </c>
      <c r="CC1484" s="56" t="s">
        <v>928</v>
      </c>
      <c r="CD1484" s="107">
        <f>BY1484/5</f>
        <v>1</v>
      </c>
      <c r="CE1484" s="374" t="str">
        <f>DOLLAR(CD1484,0)</f>
        <v>$1</v>
      </c>
      <c r="CF1484" s="56" t="s">
        <v>929</v>
      </c>
      <c r="CG1484" s="56" t="s">
        <v>930</v>
      </c>
      <c r="CI1484" s="56" t="str">
        <f>CONCATENATE(BO1484,BX1484,BZ1484,CA1484,CB1484)</f>
        <v>We send notification on your behalf [$5]. Only $1 if done by Jan 1st.</v>
      </c>
    </row>
    <row r="1485" spans="1:87" ht="16.95" hidden="1" customHeight="1" thickTop="1" thickBot="1" x14ac:dyDescent="0.3">
      <c r="A1485" s="340"/>
      <c r="B1485" s="338" t="s">
        <v>932</v>
      </c>
      <c r="C1485" s="379"/>
      <c r="D1485" s="380"/>
      <c r="E1485" s="338"/>
      <c r="F1485" s="338"/>
      <c r="AD1485" s="56">
        <f t="shared" si="54"/>
        <v>0</v>
      </c>
      <c r="BB1485" s="56" t="s">
        <v>933</v>
      </c>
      <c r="BE1485" s="378">
        <v>3</v>
      </c>
      <c r="BF1485" s="378" t="str">
        <f>CONCATENATE(BF$1483,BE1484)</f>
        <v>Employer 2</v>
      </c>
      <c r="BG1485" s="378"/>
      <c r="BH1485" s="378" t="str">
        <f>CONCATENATE(BF$1483,BE1485)</f>
        <v>Employer 3</v>
      </c>
      <c r="BI1485" s="378"/>
      <c r="BJ1485" s="378" t="str">
        <f>CONCATENATE(BF$1483,BE1485)</f>
        <v>Employer 3</v>
      </c>
      <c r="BK1485" s="378"/>
      <c r="BO1485" s="56" t="s">
        <v>934</v>
      </c>
      <c r="BX1485" s="56" t="s">
        <v>922</v>
      </c>
      <c r="BY1485" s="107">
        <v>15</v>
      </c>
      <c r="BZ1485" s="374" t="str">
        <f>DOLLAR(BY1485,0)</f>
        <v>$15</v>
      </c>
      <c r="CA1485" s="56" t="s">
        <v>924</v>
      </c>
      <c r="CB1485" s="56" t="str">
        <f>IF(CB$1482="Y",CONCATENATE(CC1485,CE1485,CF1485,CG1485,CH1473),"")</f>
        <v>. Only $3 if done by Jan 1st.</v>
      </c>
      <c r="CC1485" s="56" t="s">
        <v>928</v>
      </c>
      <c r="CD1485" s="107">
        <f>BY1485/5</f>
        <v>3</v>
      </c>
      <c r="CE1485" s="374" t="str">
        <f>DOLLAR(CD1485,0)</f>
        <v>$3</v>
      </c>
      <c r="CF1485" s="56" t="s">
        <v>929</v>
      </c>
      <c r="CG1485" s="56" t="str">
        <f>CG1484</f>
        <v>Jan 1st</v>
      </c>
      <c r="CI1485" s="56" t="str">
        <f>CONCATENATE(BO1485,BX1485,BZ1485,CA1485,CB1485)</f>
        <v>We qualify then notify them [$15]. Only $3 if done by Jan 1st.</v>
      </c>
    </row>
    <row r="1486" spans="1:87" ht="16.95" hidden="1" customHeight="1" thickTop="1" thickBot="1" x14ac:dyDescent="0.3">
      <c r="A1486" s="340"/>
      <c r="B1486" s="338" t="s">
        <v>935</v>
      </c>
      <c r="C1486" s="379"/>
      <c r="D1486" s="380"/>
      <c r="E1486" s="338"/>
      <c r="F1486" s="338"/>
      <c r="AD1486" s="56">
        <f t="shared" si="54"/>
        <v>0</v>
      </c>
      <c r="BB1486" s="56"/>
      <c r="BE1486" s="378">
        <v>4</v>
      </c>
      <c r="BF1486" s="378" t="str">
        <f>CONCATENATE(BF$1483,BE1485)</f>
        <v>Employer 3</v>
      </c>
      <c r="BG1486" s="378"/>
      <c r="BH1486" s="378" t="str">
        <f>CONCATENATE(BF$1483,BE1486)</f>
        <v>Employer 4</v>
      </c>
      <c r="BI1486" s="378"/>
      <c r="BJ1486" s="378" t="str">
        <f>CONCATENATE(BF$1483,BE1486)</f>
        <v>Employer 4</v>
      </c>
      <c r="BK1486" s="378"/>
    </row>
    <row r="1487" spans="1:87" ht="16.95" hidden="1" customHeight="1" thickTop="1" thickBot="1" x14ac:dyDescent="0.3">
      <c r="A1487" s="340"/>
      <c r="B1487" s="338" t="s">
        <v>936</v>
      </c>
      <c r="C1487" s="379"/>
      <c r="D1487" s="379"/>
      <c r="E1487" s="338"/>
      <c r="F1487" s="338"/>
      <c r="AD1487" s="56">
        <f t="shared" si="54"/>
        <v>0</v>
      </c>
      <c r="BE1487" s="378"/>
      <c r="BF1487" s="378" t="str">
        <f>CONCATENATE(BF$1483,BE1486)</f>
        <v>Employer 4</v>
      </c>
      <c r="BG1487" s="378"/>
      <c r="BH1487" s="378" t="str">
        <f>CONCATENATE(BF$1488,BE1483)</f>
        <v>Housing 1</v>
      </c>
      <c r="BI1487" s="378"/>
      <c r="BJ1487" s="378" t="str">
        <f>CONCATENATE(BF$1488,BE1483)</f>
        <v>Housing 1</v>
      </c>
      <c r="BK1487" s="378"/>
    </row>
    <row r="1488" spans="1:87" ht="16.95" hidden="1" customHeight="1" thickTop="1" thickBot="1" x14ac:dyDescent="0.3">
      <c r="A1488" s="340"/>
      <c r="B1488" s="338" t="s">
        <v>937</v>
      </c>
      <c r="C1488" s="383"/>
      <c r="D1488" s="383"/>
      <c r="E1488" s="338"/>
      <c r="F1488" s="338"/>
      <c r="AD1488" s="56">
        <f t="shared" si="54"/>
        <v>0</v>
      </c>
      <c r="BE1488" s="378"/>
      <c r="BF1488" s="378" t="s">
        <v>926</v>
      </c>
      <c r="BG1488" s="378"/>
      <c r="BH1488" s="378" t="str">
        <f>CONCATENATE(BF$1488,BE1484)</f>
        <v>Housing 2</v>
      </c>
      <c r="BI1488" s="378"/>
      <c r="BJ1488" s="378" t="str">
        <f>CONCATENATE(BF$1488,BE1484)</f>
        <v>Housing 2</v>
      </c>
      <c r="BK1488" s="378"/>
    </row>
    <row r="1489" spans="1:63" ht="16.95" hidden="1" customHeight="1" thickTop="1" thickBot="1" x14ac:dyDescent="0.3">
      <c r="A1489" s="340"/>
      <c r="B1489" s="382"/>
      <c r="C1489" s="383"/>
      <c r="D1489" s="383"/>
      <c r="E1489" s="338"/>
      <c r="F1489" s="338"/>
      <c r="AC1489" s="56">
        <f>IF(B1489&lt;&gt;"",1,0)</f>
        <v>0</v>
      </c>
      <c r="AD1489" s="56">
        <f t="shared" si="54"/>
        <v>0</v>
      </c>
      <c r="AE1489" s="56">
        <f>IF(D1489&lt;&gt;"",1,0)</f>
        <v>0</v>
      </c>
      <c r="BE1489" s="378"/>
      <c r="BF1489" s="378" t="str">
        <f>CONCATENATE(BF$1488,BE1483)</f>
        <v>Housing 1</v>
      </c>
      <c r="BG1489" s="378"/>
      <c r="BH1489" s="378" t="str">
        <f>CONCATENATE(BF$1488,BE1485)</f>
        <v>Housing 3</v>
      </c>
      <c r="BI1489" s="378"/>
      <c r="BJ1489" s="378" t="str">
        <f>CONCATENATE(BF$1488,BE1485)</f>
        <v>Housing 3</v>
      </c>
      <c r="BK1489" s="378"/>
    </row>
    <row r="1490" spans="1:63" hidden="1" x14ac:dyDescent="0.25">
      <c r="A1490" s="340"/>
      <c r="B1490" s="338"/>
      <c r="C1490" s="338"/>
      <c r="D1490" s="338"/>
      <c r="E1490" s="338"/>
      <c r="F1490" s="338"/>
      <c r="BE1490" s="378"/>
      <c r="BF1490" s="378" t="str">
        <f>CONCATENATE(BF$1488,BE1484)</f>
        <v>Housing 2</v>
      </c>
      <c r="BG1490" s="378"/>
      <c r="BH1490" s="378" t="str">
        <f>CONCATENATE(BF$1488,BE1486)</f>
        <v>Housing 4</v>
      </c>
      <c r="BI1490" s="378"/>
      <c r="BJ1490" s="378" t="str">
        <f>CONCATENATE(BF$1488,BE1486)</f>
        <v>Housing 4</v>
      </c>
      <c r="BK1490" s="378"/>
    </row>
    <row r="1491" spans="1:63" ht="25.05" hidden="1" customHeight="1" x14ac:dyDescent="0.25">
      <c r="A1491" s="340"/>
      <c r="B1491" s="372" t="s">
        <v>912</v>
      </c>
      <c r="C1491" s="372"/>
      <c r="D1491" s="373" t="str">
        <f>AJ1491</f>
        <v>Accumulative total: $10</v>
      </c>
      <c r="E1491" s="338"/>
      <c r="F1491" s="338"/>
      <c r="AD1491" s="60">
        <f>SUM(AE1491:AG1491)</f>
        <v>5</v>
      </c>
      <c r="AE1491" s="56">
        <f>IF(B1492=CI$1483,BY$1483,0)</f>
        <v>0</v>
      </c>
      <c r="AF1491" s="56">
        <f>IF(C1492=CI$1484,BY$1484,0)</f>
        <v>5</v>
      </c>
      <c r="AG1491" s="56">
        <f>IF(C1492=CI$1485,BY$1485,0)</f>
        <v>0</v>
      </c>
      <c r="AJ1491" s="56" t="str">
        <f>CONCATENATE(AS1491,AT1491)</f>
        <v>Accumulative total: $10</v>
      </c>
      <c r="AS1491" s="374" t="s">
        <v>913</v>
      </c>
      <c r="AT1491" s="56" t="str">
        <f>DOLLAR(AU1491,0)</f>
        <v>$10</v>
      </c>
      <c r="AU1491" s="56">
        <f>AD1491+AU1481</f>
        <v>10</v>
      </c>
      <c r="BE1491" s="378"/>
      <c r="BF1491" s="378" t="str">
        <f>CONCATENATE(BF$1488,BE1485)</f>
        <v>Housing 3</v>
      </c>
      <c r="BG1491" s="378"/>
      <c r="BH1491" s="378" t="str">
        <f>CONCATENATE(BF$1493,BE1483)</f>
        <v>Debt collector 1</v>
      </c>
      <c r="BI1491" s="378"/>
      <c r="BJ1491" s="378" t="str">
        <f>CONCATENATE(BF$1493,BE1483)</f>
        <v>Debt collector 1</v>
      </c>
      <c r="BK1491" s="378"/>
    </row>
    <row r="1492" spans="1:63" ht="15.6" hidden="1" x14ac:dyDescent="0.3">
      <c r="A1492" s="340"/>
      <c r="B1492" s="375" t="s">
        <v>914</v>
      </c>
      <c r="C1492" s="629" t="s">
        <v>915</v>
      </c>
      <c r="D1492" s="629"/>
      <c r="E1492" s="338"/>
      <c r="F1492" s="338"/>
      <c r="AC1492" s="376" t="s">
        <v>916</v>
      </c>
      <c r="AD1492" s="376"/>
      <c r="AE1492" s="376"/>
      <c r="AF1492" s="376"/>
      <c r="AG1492" s="376"/>
      <c r="AH1492" s="376"/>
      <c r="AI1492" s="376"/>
      <c r="AJ1492" s="376"/>
      <c r="BE1492" s="378"/>
      <c r="BF1492" s="378" t="str">
        <f>CONCATENATE(BF$1488,BE1486)</f>
        <v>Housing 4</v>
      </c>
      <c r="BG1492" s="378"/>
      <c r="BH1492" s="378" t="str">
        <f>CONCATENATE(BF$1493,BE1484)</f>
        <v>Debt collector 2</v>
      </c>
      <c r="BI1492" s="378"/>
      <c r="BJ1492" s="378" t="str">
        <f>CONCATENATE(BF$1493,BE1484)</f>
        <v>Debt collector 2</v>
      </c>
      <c r="BK1492" s="378"/>
    </row>
    <row r="1493" spans="1:63" ht="14.4" hidden="1" thickBot="1" x14ac:dyDescent="0.3">
      <c r="A1493" s="340"/>
      <c r="B1493" s="377" t="s">
        <v>938</v>
      </c>
      <c r="C1493" s="627" t="str">
        <f>AC1493</f>
        <v>click to go to N2</v>
      </c>
      <c r="D1493" s="627"/>
      <c r="E1493" s="338"/>
      <c r="F1493" s="338"/>
      <c r="AC1493" s="56" t="str">
        <f>IF(SUM(AD1494,AD1495,AD1496,AD1497,AD1498,AC1499,AD1499,AE1499)&lt;8,"click to go to N2",AI1493)</f>
        <v>click to go to N2</v>
      </c>
      <c r="AI1493" s="56" t="str">
        <f>CONCATENATE(AO1493,AQ1493,AT1493)</f>
        <v>Go to Employer 1  tab &gt;&gt;</v>
      </c>
      <c r="AO1493" s="56" t="s">
        <v>919</v>
      </c>
      <c r="AQ1493" s="56" t="str">
        <f>IF(C1494="","Employer 1 ",C1494)</f>
        <v xml:space="preserve">Employer 1 </v>
      </c>
      <c r="AT1493" s="56" t="s">
        <v>920</v>
      </c>
      <c r="BE1493" s="378"/>
      <c r="BF1493" s="378" t="s">
        <v>933</v>
      </c>
      <c r="BG1493" s="378"/>
      <c r="BH1493" s="378" t="str">
        <f>CONCATENATE(BF$1493,BE1485)</f>
        <v>Debt collector 3</v>
      </c>
      <c r="BI1493" s="378"/>
      <c r="BJ1493" s="378" t="str">
        <f>CONCATENATE(BF$1493,BE1485)</f>
        <v>Debt collector 3</v>
      </c>
      <c r="BK1493" s="378"/>
    </row>
    <row r="1494" spans="1:63" ht="16.95" hidden="1" customHeight="1" thickTop="1" thickBot="1" x14ac:dyDescent="0.3">
      <c r="A1494" s="340"/>
      <c r="B1494" s="338" t="s">
        <v>925</v>
      </c>
      <c r="C1494" s="379"/>
      <c r="D1494" s="380"/>
      <c r="E1494" s="338"/>
      <c r="F1494" s="338"/>
      <c r="AD1494" s="56">
        <f t="shared" ref="AD1494:AD1499" si="55">IF(C1494&lt;&gt;"",1,0)</f>
        <v>0</v>
      </c>
      <c r="BE1494" s="378"/>
      <c r="BF1494" s="378" t="str">
        <f>CONCATENATE(BF$1493,BE1483)</f>
        <v>Debt collector 1</v>
      </c>
      <c r="BG1494" s="378"/>
      <c r="BH1494" s="378" t="str">
        <f>CONCATENATE(BF$1493,BE1486)</f>
        <v>Debt collector 4</v>
      </c>
      <c r="BI1494" s="378"/>
      <c r="BJ1494" s="378" t="str">
        <f>CONCATENATE(BF$1493,BE1486)</f>
        <v>Debt collector 4</v>
      </c>
      <c r="BK1494" s="378"/>
    </row>
    <row r="1495" spans="1:63" ht="16.95" hidden="1" customHeight="1" thickTop="1" thickBot="1" x14ac:dyDescent="0.3">
      <c r="A1495" s="340"/>
      <c r="B1495" s="338" t="s">
        <v>932</v>
      </c>
      <c r="C1495" s="379"/>
      <c r="D1495" s="380"/>
      <c r="E1495" s="338"/>
      <c r="F1495" s="338"/>
      <c r="AD1495" s="56">
        <f t="shared" si="55"/>
        <v>0</v>
      </c>
      <c r="BE1495" s="378"/>
      <c r="BF1495" s="378" t="str">
        <f>CONCATENATE(BF$1493,BE1484)</f>
        <v>Debt collector 2</v>
      </c>
      <c r="BG1495" s="378"/>
      <c r="BH1495" s="378"/>
      <c r="BI1495" s="378"/>
      <c r="BJ1495" s="378"/>
      <c r="BK1495" s="378"/>
    </row>
    <row r="1496" spans="1:63" ht="16.95" hidden="1" customHeight="1" thickTop="1" thickBot="1" x14ac:dyDescent="0.3">
      <c r="A1496" s="340"/>
      <c r="B1496" s="338" t="s">
        <v>935</v>
      </c>
      <c r="C1496" s="379"/>
      <c r="D1496" s="380"/>
      <c r="E1496" s="338"/>
      <c r="F1496" s="338"/>
      <c r="AD1496" s="56">
        <f t="shared" si="55"/>
        <v>0</v>
      </c>
      <c r="BE1496" s="378"/>
      <c r="BF1496" s="378" t="str">
        <f>CONCATENATE(BF$1493,BE1485)</f>
        <v>Debt collector 3</v>
      </c>
      <c r="BG1496" s="378"/>
      <c r="BH1496" s="378"/>
      <c r="BI1496" s="378"/>
      <c r="BJ1496" s="378"/>
      <c r="BK1496" s="378"/>
    </row>
    <row r="1497" spans="1:63" ht="16.95" hidden="1" customHeight="1" thickTop="1" thickBot="1" x14ac:dyDescent="0.3">
      <c r="A1497" s="340"/>
      <c r="B1497" s="338" t="s">
        <v>936</v>
      </c>
      <c r="C1497" s="628"/>
      <c r="D1497" s="628"/>
      <c r="E1497" s="338"/>
      <c r="F1497" s="338"/>
      <c r="AD1497" s="56">
        <f t="shared" si="55"/>
        <v>0</v>
      </c>
      <c r="BE1497" s="378"/>
      <c r="BF1497" s="378" t="str">
        <f>CONCATENATE(BF$1493,BE1486)</f>
        <v>Debt collector 4</v>
      </c>
      <c r="BG1497" s="378"/>
      <c r="BH1497" s="378"/>
      <c r="BI1497" s="378"/>
      <c r="BJ1497" s="378"/>
      <c r="BK1497" s="378"/>
    </row>
    <row r="1498" spans="1:63" ht="16.95" hidden="1" customHeight="1" thickTop="1" thickBot="1" x14ac:dyDescent="0.3">
      <c r="A1498" s="340"/>
      <c r="B1498" s="338" t="s">
        <v>937</v>
      </c>
      <c r="C1498" s="383"/>
      <c r="D1498" s="383"/>
      <c r="E1498" s="338"/>
      <c r="F1498" s="338"/>
      <c r="AD1498" s="56">
        <f t="shared" si="55"/>
        <v>0</v>
      </c>
    </row>
    <row r="1499" spans="1:63" ht="16.95" hidden="1" customHeight="1" thickTop="1" thickBot="1" x14ac:dyDescent="0.3">
      <c r="A1499" s="340"/>
      <c r="B1499" s="382"/>
      <c r="C1499" s="383"/>
      <c r="D1499" s="383"/>
      <c r="E1499" s="338"/>
      <c r="F1499" s="338"/>
      <c r="AC1499" s="56">
        <f>IF(B1499&lt;&gt;"",1,0)</f>
        <v>0</v>
      </c>
      <c r="AD1499" s="56">
        <f t="shared" si="55"/>
        <v>0</v>
      </c>
      <c r="AE1499" s="56">
        <f>IF(D1499&lt;&gt;"",1,0)</f>
        <v>0</v>
      </c>
    </row>
    <row r="1500" spans="1:63" hidden="1" x14ac:dyDescent="0.25">
      <c r="A1500" s="340"/>
      <c r="B1500" s="338"/>
      <c r="C1500" s="338"/>
      <c r="D1500" s="338"/>
      <c r="E1500" s="338"/>
      <c r="F1500" s="338"/>
    </row>
    <row r="1501" spans="1:63" ht="25.05" hidden="1" customHeight="1" x14ac:dyDescent="0.25">
      <c r="A1501" s="340"/>
      <c r="B1501" s="372" t="s">
        <v>926</v>
      </c>
      <c r="C1501" s="372"/>
      <c r="D1501" s="373" t="str">
        <f>AJ1501</f>
        <v>Accumulative total: $10</v>
      </c>
      <c r="E1501" s="338"/>
      <c r="F1501" s="338"/>
      <c r="AD1501" s="60">
        <f>SUM(AE1501:AG1501)</f>
        <v>0</v>
      </c>
      <c r="AE1501" s="56">
        <f>IF(B1502=CI$1483,BY$1483,0)</f>
        <v>0</v>
      </c>
      <c r="AF1501" s="56">
        <f>IF(C1502=CI$1484,BY$1484,0)</f>
        <v>0</v>
      </c>
      <c r="AG1501" s="56">
        <f>IF(C1502=CI$1485,BY$1485,0)</f>
        <v>0</v>
      </c>
      <c r="AJ1501" s="56" t="str">
        <f>CONCATENATE(AS1501,AT1501)</f>
        <v>Accumulative total: $10</v>
      </c>
      <c r="AS1501" s="374" t="s">
        <v>913</v>
      </c>
      <c r="AT1501" s="56" t="str">
        <f>DOLLAR(AU1501,0)</f>
        <v>$10</v>
      </c>
      <c r="AU1501" s="56">
        <f>AD1501+AU1491</f>
        <v>10</v>
      </c>
    </row>
    <row r="1502" spans="1:63" ht="15.6" hidden="1" x14ac:dyDescent="0.3">
      <c r="A1502" s="340"/>
      <c r="B1502" s="375" t="s">
        <v>914</v>
      </c>
      <c r="C1502" s="629" t="str">
        <f>AC1502</f>
        <v>PICK AN OPTION BEST FOR YOU</v>
      </c>
      <c r="D1502" s="629"/>
      <c r="E1502" s="338"/>
      <c r="F1502" s="338"/>
      <c r="AC1502" s="376" t="s">
        <v>916</v>
      </c>
      <c r="AD1502" s="376"/>
      <c r="AE1502" s="376"/>
      <c r="AF1502" s="376"/>
      <c r="AG1502" s="376"/>
      <c r="AH1502" s="376"/>
      <c r="AI1502" s="376"/>
      <c r="AJ1502" s="376"/>
    </row>
    <row r="1503" spans="1:63" ht="14.4" hidden="1" thickBot="1" x14ac:dyDescent="0.3">
      <c r="A1503" s="340"/>
      <c r="B1503" s="377" t="s">
        <v>939</v>
      </c>
      <c r="C1503" s="627" t="str">
        <f>AC1503</f>
        <v>click to go to N3</v>
      </c>
      <c r="D1503" s="627"/>
      <c r="E1503" s="338"/>
      <c r="F1503" s="338"/>
      <c r="AC1503" s="56" t="str">
        <f>IF(SUM(AD1504,AD1505,AD1506,AD1507,AD1508,AC1509,AD1509,AE1509)&lt;8,"click to go to N3",AI1503)</f>
        <v>click to go to N3</v>
      </c>
      <c r="AI1503" s="56" t="str">
        <f>CONCATENATE(AO1503,AQ1503,AT1503)</f>
        <v>Go to Employer 1  tab &gt;&gt;</v>
      </c>
      <c r="AO1503" s="56" t="s">
        <v>919</v>
      </c>
      <c r="AQ1503" s="56" t="str">
        <f>IF(C1504="","Employer 1 ",C1504)</f>
        <v xml:space="preserve">Employer 1 </v>
      </c>
      <c r="AT1503" s="56" t="s">
        <v>920</v>
      </c>
    </row>
    <row r="1504" spans="1:63" ht="16.95" hidden="1" customHeight="1" thickTop="1" thickBot="1" x14ac:dyDescent="0.3">
      <c r="A1504" s="340"/>
      <c r="B1504" s="338" t="s">
        <v>925</v>
      </c>
      <c r="C1504" s="379"/>
      <c r="D1504" s="380"/>
      <c r="E1504" s="338"/>
      <c r="F1504" s="338"/>
      <c r="AD1504" s="56">
        <f t="shared" ref="AD1504:AD1509" si="56">IF(C1504&lt;&gt;"",1,0)</f>
        <v>0</v>
      </c>
    </row>
    <row r="1505" spans="1:80" ht="16.95" hidden="1" customHeight="1" thickTop="1" thickBot="1" x14ac:dyDescent="0.3">
      <c r="A1505" s="340"/>
      <c r="B1505" s="338" t="s">
        <v>932</v>
      </c>
      <c r="C1505" s="379"/>
      <c r="D1505" s="380"/>
      <c r="E1505" s="338"/>
      <c r="F1505" s="338"/>
      <c r="AD1505" s="56">
        <f t="shared" si="56"/>
        <v>0</v>
      </c>
    </row>
    <row r="1506" spans="1:80" ht="16.95" hidden="1" customHeight="1" thickTop="1" thickBot="1" x14ac:dyDescent="0.3">
      <c r="A1506" s="340"/>
      <c r="B1506" s="338" t="s">
        <v>935</v>
      </c>
      <c r="C1506" s="379"/>
      <c r="D1506" s="380"/>
      <c r="E1506" s="338"/>
      <c r="F1506" s="338"/>
      <c r="AD1506" s="56">
        <f t="shared" si="56"/>
        <v>0</v>
      </c>
    </row>
    <row r="1507" spans="1:80" ht="16.95" hidden="1" customHeight="1" thickTop="1" thickBot="1" x14ac:dyDescent="0.3">
      <c r="A1507" s="340"/>
      <c r="B1507" s="338" t="s">
        <v>936</v>
      </c>
      <c r="C1507" s="628"/>
      <c r="D1507" s="628"/>
      <c r="E1507" s="338"/>
      <c r="F1507" s="338"/>
      <c r="AD1507" s="56">
        <f t="shared" si="56"/>
        <v>0</v>
      </c>
    </row>
    <row r="1508" spans="1:80" ht="16.95" hidden="1" customHeight="1" thickTop="1" thickBot="1" x14ac:dyDescent="0.3">
      <c r="A1508" s="340"/>
      <c r="B1508" s="338" t="s">
        <v>937</v>
      </c>
      <c r="C1508" s="383"/>
      <c r="D1508" s="383"/>
      <c r="E1508" s="338"/>
      <c r="F1508" s="338"/>
      <c r="AD1508" s="56">
        <f t="shared" si="56"/>
        <v>0</v>
      </c>
    </row>
    <row r="1509" spans="1:80" ht="16.95" hidden="1" customHeight="1" thickTop="1" thickBot="1" x14ac:dyDescent="0.3">
      <c r="A1509" s="340"/>
      <c r="B1509" s="382"/>
      <c r="C1509" s="383"/>
      <c r="D1509" s="383"/>
      <c r="E1509" s="338"/>
      <c r="F1509" s="338"/>
      <c r="AC1509" s="56">
        <f>IF(B1509&lt;&gt;"",1,0)</f>
        <v>0</v>
      </c>
      <c r="AD1509" s="56">
        <f t="shared" si="56"/>
        <v>0</v>
      </c>
      <c r="AE1509" s="56">
        <f>IF(D1509&lt;&gt;"",1,0)</f>
        <v>0</v>
      </c>
    </row>
    <row r="1510" spans="1:80" hidden="1" x14ac:dyDescent="0.25">
      <c r="A1510" s="340"/>
      <c r="B1510" s="338"/>
      <c r="C1510" s="338"/>
      <c r="D1510" s="338"/>
      <c r="E1510" s="338"/>
      <c r="F1510" s="338"/>
    </row>
    <row r="1511" spans="1:80" ht="25.05" hidden="1" customHeight="1" x14ac:dyDescent="0.25">
      <c r="A1511" s="340"/>
      <c r="B1511" s="372" t="s">
        <v>926</v>
      </c>
      <c r="C1511" s="372"/>
      <c r="D1511" s="373" t="str">
        <f>AJ1511</f>
        <v>Accumulative total: $10</v>
      </c>
      <c r="E1511" s="338"/>
      <c r="F1511" s="338"/>
      <c r="AD1511" s="60">
        <f>SUM(AE1511:AG1511)</f>
        <v>0</v>
      </c>
      <c r="AE1511" s="56">
        <f>IF(B1512=CI$1483,BY$1483,0)</f>
        <v>0</v>
      </c>
      <c r="AF1511" s="56">
        <f>IF(C1512=CI$1484,BY$1484,0)</f>
        <v>0</v>
      </c>
      <c r="AG1511" s="56">
        <f>IF(C1512=CI$1485,BY$1485,0)</f>
        <v>0</v>
      </c>
      <c r="AJ1511" s="56" t="str">
        <f>CONCATENATE(AS1511,AT1511)</f>
        <v>Accumulative total: $10</v>
      </c>
      <c r="AS1511" s="374" t="s">
        <v>913</v>
      </c>
      <c r="AT1511" s="56" t="str">
        <f>DOLLAR(AU1511,0)</f>
        <v>$10</v>
      </c>
      <c r="AU1511" s="56">
        <f>AD1511+AU1501</f>
        <v>10</v>
      </c>
    </row>
    <row r="1512" spans="1:80" ht="15" hidden="1" customHeight="1" x14ac:dyDescent="0.3">
      <c r="A1512" s="340"/>
      <c r="B1512" s="375" t="s">
        <v>914</v>
      </c>
      <c r="C1512" s="629" t="str">
        <f>AC1512</f>
        <v>PICK AN OPTION BEST FOR YOU</v>
      </c>
      <c r="D1512" s="629"/>
      <c r="E1512" s="338"/>
      <c r="F1512" s="338"/>
      <c r="AC1512" s="376" t="s">
        <v>916</v>
      </c>
      <c r="AD1512" s="376"/>
      <c r="AE1512" s="376"/>
      <c r="AF1512" s="376"/>
      <c r="AG1512" s="376"/>
      <c r="AH1512" s="376"/>
      <c r="AI1512" s="376"/>
      <c r="AJ1512" s="376"/>
    </row>
    <row r="1513" spans="1:80" ht="15" hidden="1" customHeight="1" thickBot="1" x14ac:dyDescent="0.3">
      <c r="A1513" s="340"/>
      <c r="B1513" s="377" t="s">
        <v>940</v>
      </c>
      <c r="C1513" s="627" t="str">
        <f>AC1513</f>
        <v>click to go to AI04</v>
      </c>
      <c r="D1513" s="627"/>
      <c r="E1513" s="338"/>
      <c r="F1513" s="338"/>
      <c r="AC1513" s="56" t="str">
        <f>IF(SUM(AD1514,AD1515,AD1516,AD1517,AD1518,AC1519,AD1519,AE1519)&lt;8,"click to go to AI04",AI1513)</f>
        <v>click to go to AI04</v>
      </c>
      <c r="AI1513" s="56" t="str">
        <f>CONCATENATE(AO1513,AQ1513,AT1513)</f>
        <v>Go to Employer 1  tab &gt;&gt;</v>
      </c>
      <c r="AO1513" s="56" t="s">
        <v>919</v>
      </c>
      <c r="AQ1513" s="56" t="str">
        <f>IF(C1514="","Employer 1 ",C1514)</f>
        <v xml:space="preserve">Employer 1 </v>
      </c>
      <c r="AT1513" s="56" t="s">
        <v>920</v>
      </c>
      <c r="BX1513" s="262" t="s">
        <v>922</v>
      </c>
      <c r="BY1513" s="56">
        <v>0</v>
      </c>
      <c r="BZ1513" s="56" t="s">
        <v>923</v>
      </c>
      <c r="CA1513" s="262" t="s">
        <v>924</v>
      </c>
      <c r="CB1513" s="56" t="str">
        <f>CONCATENATE(BO1513,BX1513,BZ1513,CA1513)</f>
        <v>[DIY FREE]</v>
      </c>
    </row>
    <row r="1514" spans="1:80" ht="16.95" hidden="1" customHeight="1" thickTop="1" thickBot="1" x14ac:dyDescent="0.3">
      <c r="A1514" s="340"/>
      <c r="B1514" s="338" t="s">
        <v>925</v>
      </c>
      <c r="C1514" s="379"/>
      <c r="D1514" s="380"/>
      <c r="E1514" s="338"/>
      <c r="F1514" s="338"/>
      <c r="AD1514" s="56">
        <f t="shared" ref="AD1514:AD1519" si="57">IF(C1514&lt;&gt;"",1,0)</f>
        <v>0</v>
      </c>
      <c r="BX1514" s="56" t="s">
        <v>922</v>
      </c>
      <c r="BY1514" s="56">
        <v>5</v>
      </c>
      <c r="BZ1514" s="374" t="str">
        <f>DOLLAR(BY1514,0)</f>
        <v>$5</v>
      </c>
      <c r="CA1514" s="56" t="s">
        <v>924</v>
      </c>
      <c r="CB1514" s="56" t="str">
        <f>CONCATENATE(BO1514,BX1514,BZ1514,CA1514)</f>
        <v>[$5]</v>
      </c>
    </row>
    <row r="1515" spans="1:80" ht="16.95" hidden="1" customHeight="1" thickTop="1" thickBot="1" x14ac:dyDescent="0.3">
      <c r="A1515" s="340"/>
      <c r="B1515" s="338" t="s">
        <v>932</v>
      </c>
      <c r="C1515" s="379"/>
      <c r="D1515" s="380"/>
      <c r="E1515" s="338"/>
      <c r="F1515" s="338"/>
      <c r="AD1515" s="56">
        <f t="shared" si="57"/>
        <v>0</v>
      </c>
      <c r="BX1515" s="56" t="s">
        <v>922</v>
      </c>
      <c r="BY1515" s="56">
        <v>15</v>
      </c>
      <c r="BZ1515" s="374" t="str">
        <f>DOLLAR(BY1515,0)</f>
        <v>$15</v>
      </c>
      <c r="CA1515" s="56" t="s">
        <v>924</v>
      </c>
      <c r="CB1515" s="56" t="str">
        <f>CONCATENATE(BO1515,BX1515,BZ1515,CA1515)</f>
        <v>[$15]</v>
      </c>
    </row>
    <row r="1516" spans="1:80" ht="16.95" hidden="1" customHeight="1" thickTop="1" thickBot="1" x14ac:dyDescent="0.3">
      <c r="A1516" s="340"/>
      <c r="B1516" s="338" t="s">
        <v>935</v>
      </c>
      <c r="C1516" s="379"/>
      <c r="D1516" s="380"/>
      <c r="E1516" s="338"/>
      <c r="F1516" s="338"/>
      <c r="AD1516" s="56">
        <f t="shared" si="57"/>
        <v>0</v>
      </c>
    </row>
    <row r="1517" spans="1:80" ht="16.95" hidden="1" customHeight="1" thickTop="1" thickBot="1" x14ac:dyDescent="0.3">
      <c r="A1517" s="340"/>
      <c r="B1517" s="338" t="s">
        <v>936</v>
      </c>
      <c r="C1517" s="628"/>
      <c r="D1517" s="628"/>
      <c r="E1517" s="338"/>
      <c r="F1517" s="338"/>
      <c r="AD1517" s="56">
        <f t="shared" si="57"/>
        <v>0</v>
      </c>
    </row>
    <row r="1518" spans="1:80" ht="16.95" hidden="1" customHeight="1" thickTop="1" thickBot="1" x14ac:dyDescent="0.3">
      <c r="A1518" s="340"/>
      <c r="B1518" s="338" t="s">
        <v>937</v>
      </c>
      <c r="C1518" s="383"/>
      <c r="D1518" s="383"/>
      <c r="E1518" s="338"/>
      <c r="F1518" s="338"/>
      <c r="AD1518" s="56">
        <f t="shared" si="57"/>
        <v>0</v>
      </c>
    </row>
    <row r="1519" spans="1:80" ht="16.95" hidden="1" customHeight="1" thickTop="1" thickBot="1" x14ac:dyDescent="0.3">
      <c r="A1519" s="340"/>
      <c r="B1519" s="382"/>
      <c r="C1519" s="383"/>
      <c r="D1519" s="383"/>
      <c r="E1519" s="338"/>
      <c r="F1519" s="338"/>
      <c r="AC1519" s="56">
        <f>IF(B1519&lt;&gt;"",1,0)</f>
        <v>0</v>
      </c>
      <c r="AD1519" s="56">
        <f t="shared" si="57"/>
        <v>0</v>
      </c>
      <c r="AE1519" s="56">
        <f>IF(D1519&lt;&gt;"",1,0)</f>
        <v>0</v>
      </c>
    </row>
    <row r="1520" spans="1:80" hidden="1" x14ac:dyDescent="0.25">
      <c r="A1520" s="340"/>
      <c r="B1520" s="338"/>
      <c r="C1520" s="338"/>
      <c r="D1520" s="338"/>
      <c r="E1520" s="338"/>
      <c r="F1520" s="338"/>
    </row>
    <row r="1521" spans="1:47" ht="25.05" hidden="1" customHeight="1" x14ac:dyDescent="0.25">
      <c r="A1521" s="340"/>
      <c r="B1521" s="372" t="s">
        <v>933</v>
      </c>
      <c r="C1521" s="372"/>
      <c r="D1521" s="373" t="str">
        <f>AJ1521</f>
        <v>Accumulative total: $10</v>
      </c>
      <c r="E1521" s="338"/>
      <c r="F1521" s="338"/>
      <c r="AD1521" s="60">
        <f>SUM(AE1521:AG1521)</f>
        <v>0</v>
      </c>
      <c r="AE1521" s="56">
        <f>IF(B1522=CI$1483,BY$1483,0)</f>
        <v>0</v>
      </c>
      <c r="AF1521" s="56">
        <f>IF(C1522=CI$1484,BY$1484,0)</f>
        <v>0</v>
      </c>
      <c r="AG1521" s="56">
        <f>IF(C1522=CI$1485,BY$1485,0)</f>
        <v>0</v>
      </c>
      <c r="AJ1521" s="56" t="str">
        <f>CONCATENATE(AS1521,AT1521)</f>
        <v>Accumulative total: $10</v>
      </c>
      <c r="AS1521" s="374" t="s">
        <v>913</v>
      </c>
      <c r="AT1521" s="56" t="str">
        <f>DOLLAR(AU1521,0)</f>
        <v>$10</v>
      </c>
      <c r="AU1521" s="56">
        <f>AD1521+AU1511</f>
        <v>10</v>
      </c>
    </row>
    <row r="1522" spans="1:47" ht="15.6" hidden="1" x14ac:dyDescent="0.3">
      <c r="A1522" s="340"/>
      <c r="B1522" s="375" t="s">
        <v>914</v>
      </c>
      <c r="C1522" s="629" t="str">
        <f>AC1522</f>
        <v>PICK AN OPTION BEST FOR YOU</v>
      </c>
      <c r="D1522" s="629"/>
      <c r="E1522" s="338"/>
      <c r="F1522" s="338"/>
      <c r="AC1522" s="376" t="s">
        <v>916</v>
      </c>
      <c r="AD1522" s="376"/>
      <c r="AE1522" s="376"/>
      <c r="AF1522" s="376"/>
      <c r="AG1522" s="376"/>
      <c r="AH1522" s="376"/>
      <c r="AI1522" s="376"/>
      <c r="AJ1522" s="376"/>
    </row>
    <row r="1523" spans="1:47" ht="14.4" hidden="1" thickBot="1" x14ac:dyDescent="0.3">
      <c r="A1523" s="340"/>
      <c r="B1523" s="377" t="s">
        <v>941</v>
      </c>
      <c r="C1523" s="627" t="str">
        <f>AC1523</f>
        <v>click to go to AI05</v>
      </c>
      <c r="D1523" s="627"/>
      <c r="E1523" s="338"/>
      <c r="F1523" s="338"/>
      <c r="AC1523" s="56" t="str">
        <f>IF(SUM(AD1524,AD1525,AD1526,AD1527,AD1528,AC1529,AD1529,AE1529)&lt;8,"click to go to AI05",AI1523)</f>
        <v>click to go to AI05</v>
      </c>
      <c r="AI1523" s="56" t="str">
        <f>CONCATENATE(AO1523,AQ1523,AT1523)</f>
        <v>Go to Employer 1  tab &gt;&gt;</v>
      </c>
      <c r="AO1523" s="56" t="s">
        <v>919</v>
      </c>
      <c r="AQ1523" s="56" t="str">
        <f>IF(C1524="","Employer 1 ",C1524)</f>
        <v xml:space="preserve">Employer 1 </v>
      </c>
      <c r="AT1523" s="56" t="s">
        <v>920</v>
      </c>
    </row>
    <row r="1524" spans="1:47" ht="16.95" hidden="1" customHeight="1" thickTop="1" thickBot="1" x14ac:dyDescent="0.3">
      <c r="A1524" s="340"/>
      <c r="B1524" s="338" t="s">
        <v>925</v>
      </c>
      <c r="C1524" s="379"/>
      <c r="D1524" s="380"/>
      <c r="E1524" s="338"/>
      <c r="F1524" s="338"/>
      <c r="AD1524" s="56">
        <f t="shared" ref="AD1524:AD1529" si="58">IF(C1524&lt;&gt;"",1,0)</f>
        <v>0</v>
      </c>
    </row>
    <row r="1525" spans="1:47" ht="16.95" hidden="1" customHeight="1" thickTop="1" thickBot="1" x14ac:dyDescent="0.3">
      <c r="A1525" s="340"/>
      <c r="B1525" s="338" t="s">
        <v>932</v>
      </c>
      <c r="C1525" s="379"/>
      <c r="D1525" s="380"/>
      <c r="E1525" s="338"/>
      <c r="F1525" s="338"/>
      <c r="AD1525" s="56">
        <f t="shared" si="58"/>
        <v>0</v>
      </c>
    </row>
    <row r="1526" spans="1:47" ht="16.95" hidden="1" customHeight="1" thickTop="1" thickBot="1" x14ac:dyDescent="0.3">
      <c r="A1526" s="340"/>
      <c r="B1526" s="338" t="s">
        <v>935</v>
      </c>
      <c r="C1526" s="379"/>
      <c r="D1526" s="380"/>
      <c r="E1526" s="338"/>
      <c r="F1526" s="338"/>
      <c r="AD1526" s="56">
        <f t="shared" si="58"/>
        <v>0</v>
      </c>
    </row>
    <row r="1527" spans="1:47" ht="16.95" hidden="1" customHeight="1" thickTop="1" thickBot="1" x14ac:dyDescent="0.3">
      <c r="A1527" s="340"/>
      <c r="B1527" s="338" t="s">
        <v>936</v>
      </c>
      <c r="C1527" s="628"/>
      <c r="D1527" s="628"/>
      <c r="E1527" s="338"/>
      <c r="F1527" s="338"/>
      <c r="AD1527" s="56">
        <f t="shared" si="58"/>
        <v>0</v>
      </c>
    </row>
    <row r="1528" spans="1:47" ht="16.95" hidden="1" customHeight="1" thickTop="1" thickBot="1" x14ac:dyDescent="0.3">
      <c r="A1528" s="340"/>
      <c r="B1528" s="338" t="s">
        <v>937</v>
      </c>
      <c r="C1528" s="383"/>
      <c r="D1528" s="383"/>
      <c r="E1528" s="338"/>
      <c r="F1528" s="338"/>
      <c r="AD1528" s="56">
        <f t="shared" si="58"/>
        <v>0</v>
      </c>
    </row>
    <row r="1529" spans="1:47" ht="16.95" hidden="1" customHeight="1" thickTop="1" thickBot="1" x14ac:dyDescent="0.3">
      <c r="A1529" s="340"/>
      <c r="B1529" s="382"/>
      <c r="C1529" s="383"/>
      <c r="D1529" s="383"/>
      <c r="E1529" s="338"/>
      <c r="F1529" s="338"/>
      <c r="AC1529" s="56">
        <f>IF(B1529&lt;&gt;"",1,0)</f>
        <v>0</v>
      </c>
      <c r="AD1529" s="56">
        <f t="shared" si="58"/>
        <v>0</v>
      </c>
      <c r="AE1529" s="56">
        <f>IF(D1529&lt;&gt;"",1,0)</f>
        <v>0</v>
      </c>
    </row>
    <row r="1530" spans="1:47" hidden="1" x14ac:dyDescent="0.25">
      <c r="A1530" s="340"/>
      <c r="B1530" s="338"/>
      <c r="C1530" s="338"/>
      <c r="D1530" s="338"/>
      <c r="E1530" s="338"/>
      <c r="F1530" s="338"/>
    </row>
    <row r="1531" spans="1:47" ht="25.05" hidden="1" customHeight="1" x14ac:dyDescent="0.25">
      <c r="A1531" s="340"/>
      <c r="B1531" s="372" t="s">
        <v>933</v>
      </c>
      <c r="C1531" s="372"/>
      <c r="D1531" s="373" t="str">
        <f>AJ1531</f>
        <v>Accumulative total: $10</v>
      </c>
      <c r="E1531" s="338"/>
      <c r="F1531" s="338"/>
      <c r="AD1531" s="60">
        <f>SUM(AE1531:AG1531)</f>
        <v>0</v>
      </c>
      <c r="AE1531" s="56">
        <f>IF(B1532=CI$1483,BY$1483,0)</f>
        <v>0</v>
      </c>
      <c r="AF1531" s="56">
        <f>IF(C1532=CI$1484,BY$1484,0)</f>
        <v>0</v>
      </c>
      <c r="AG1531" s="56">
        <f>IF(C1532=CI$1485,BY$1485,0)</f>
        <v>0</v>
      </c>
      <c r="AJ1531" s="56" t="str">
        <f>CONCATENATE(AS1531,AT1531)</f>
        <v>Accumulative total: $10</v>
      </c>
      <c r="AS1531" s="374" t="s">
        <v>913</v>
      </c>
      <c r="AT1531" s="56" t="str">
        <f>DOLLAR(AU1531,0)</f>
        <v>$10</v>
      </c>
      <c r="AU1531" s="56">
        <f>AD1531+AU1521</f>
        <v>10</v>
      </c>
    </row>
    <row r="1532" spans="1:47" ht="15.6" hidden="1" x14ac:dyDescent="0.3">
      <c r="A1532" s="340"/>
      <c r="B1532" s="375" t="s">
        <v>914</v>
      </c>
      <c r="C1532" s="629" t="str">
        <f>AC1532</f>
        <v>PICK AN OPTION BEST FOR YOU</v>
      </c>
      <c r="D1532" s="629"/>
      <c r="E1532" s="338"/>
      <c r="F1532" s="338"/>
      <c r="AC1532" s="376" t="s">
        <v>916</v>
      </c>
      <c r="AD1532" s="376"/>
      <c r="AE1532" s="376"/>
      <c r="AF1532" s="376"/>
      <c r="AG1532" s="376"/>
      <c r="AH1532" s="376"/>
      <c r="AI1532" s="376"/>
      <c r="AJ1532" s="376"/>
    </row>
    <row r="1533" spans="1:47" ht="14.4" hidden="1" thickBot="1" x14ac:dyDescent="0.3">
      <c r="A1533" s="340"/>
      <c r="B1533" s="377" t="s">
        <v>942</v>
      </c>
      <c r="C1533" s="627" t="str">
        <f>AC1533</f>
        <v>click to go to AI06</v>
      </c>
      <c r="D1533" s="627"/>
      <c r="E1533" s="338"/>
      <c r="F1533" s="338"/>
      <c r="AC1533" s="56" t="str">
        <f>IF(SUM(AD1534,AD1535,AD1536,AD1537,AD1538,AC1539,AD1539,AE1539)&lt;8,"click to go to AI06",AI1533)</f>
        <v>click to go to AI06</v>
      </c>
      <c r="AI1533" s="56" t="str">
        <f>CONCATENATE(AO1533,AQ1533,AT1533)</f>
        <v>Go to Employer 1  tab &gt;&gt;</v>
      </c>
      <c r="AO1533" s="56" t="s">
        <v>919</v>
      </c>
      <c r="AQ1533" s="56" t="str">
        <f>IF(C1534="","Employer 1 ",C1534)</f>
        <v xml:space="preserve">Employer 1 </v>
      </c>
      <c r="AT1533" s="56" t="s">
        <v>920</v>
      </c>
    </row>
    <row r="1534" spans="1:47" ht="16.95" hidden="1" customHeight="1" thickTop="1" thickBot="1" x14ac:dyDescent="0.3">
      <c r="A1534" s="340"/>
      <c r="B1534" s="338" t="s">
        <v>925</v>
      </c>
      <c r="C1534" s="379"/>
      <c r="D1534" s="380"/>
      <c r="E1534" s="338"/>
      <c r="F1534" s="338"/>
      <c r="AD1534" s="56">
        <f t="shared" ref="AD1534:AD1539" si="59">IF(C1534&lt;&gt;"",1,0)</f>
        <v>0</v>
      </c>
    </row>
    <row r="1535" spans="1:47" ht="16.95" hidden="1" customHeight="1" thickTop="1" thickBot="1" x14ac:dyDescent="0.3">
      <c r="A1535" s="340"/>
      <c r="B1535" s="338" t="s">
        <v>932</v>
      </c>
      <c r="C1535" s="379"/>
      <c r="D1535" s="380"/>
      <c r="E1535" s="338"/>
      <c r="F1535" s="338"/>
      <c r="AD1535" s="56">
        <f t="shared" si="59"/>
        <v>0</v>
      </c>
    </row>
    <row r="1536" spans="1:47" ht="16.95" hidden="1" customHeight="1" thickTop="1" thickBot="1" x14ac:dyDescent="0.3">
      <c r="A1536" s="340"/>
      <c r="B1536" s="338" t="s">
        <v>935</v>
      </c>
      <c r="C1536" s="379"/>
      <c r="D1536" s="380"/>
      <c r="E1536" s="338"/>
      <c r="F1536" s="338"/>
      <c r="AD1536" s="56">
        <f t="shared" si="59"/>
        <v>0</v>
      </c>
    </row>
    <row r="1537" spans="1:54" ht="16.95" hidden="1" customHeight="1" thickTop="1" thickBot="1" x14ac:dyDescent="0.3">
      <c r="A1537" s="340"/>
      <c r="B1537" s="338" t="s">
        <v>936</v>
      </c>
      <c r="C1537" s="628"/>
      <c r="D1537" s="628"/>
      <c r="E1537" s="338"/>
      <c r="F1537" s="338"/>
      <c r="AD1537" s="56">
        <f t="shared" si="59"/>
        <v>0</v>
      </c>
    </row>
    <row r="1538" spans="1:54" ht="16.95" hidden="1" customHeight="1" thickTop="1" thickBot="1" x14ac:dyDescent="0.3">
      <c r="A1538" s="340"/>
      <c r="B1538" s="338" t="s">
        <v>937</v>
      </c>
      <c r="C1538" s="383"/>
      <c r="D1538" s="383"/>
      <c r="E1538" s="338"/>
      <c r="F1538" s="338"/>
      <c r="AD1538" s="56">
        <f t="shared" si="59"/>
        <v>0</v>
      </c>
    </row>
    <row r="1539" spans="1:54" ht="16.95" hidden="1" customHeight="1" thickTop="1" thickBot="1" x14ac:dyDescent="0.3">
      <c r="A1539" s="340"/>
      <c r="B1539" s="382"/>
      <c r="C1539" s="383"/>
      <c r="D1539" s="383"/>
      <c r="E1539" s="338"/>
      <c r="F1539" s="338"/>
      <c r="AC1539" s="56">
        <f>IF(B1539&lt;&gt;"",1,0)</f>
        <v>0</v>
      </c>
      <c r="AD1539" s="56">
        <f t="shared" si="59"/>
        <v>0</v>
      </c>
      <c r="AE1539" s="56">
        <f>IF(D1539&lt;&gt;"",1,0)</f>
        <v>0</v>
      </c>
    </row>
    <row r="1540" spans="1:54" hidden="1" x14ac:dyDescent="0.25">
      <c r="A1540" s="340"/>
      <c r="B1540" s="338"/>
      <c r="C1540" s="338"/>
      <c r="D1540" s="338"/>
      <c r="E1540" s="338"/>
      <c r="F1540" s="338"/>
    </row>
    <row r="1541" spans="1:54" hidden="1" x14ac:dyDescent="0.25">
      <c r="A1541" s="340"/>
      <c r="B1541" s="338"/>
      <c r="C1541" s="338"/>
      <c r="D1541" s="338"/>
      <c r="E1541" s="338"/>
      <c r="F1541" s="338"/>
    </row>
    <row r="1542" spans="1:54" ht="15" hidden="1" customHeight="1" x14ac:dyDescent="0.25">
      <c r="A1542" s="340"/>
      <c r="B1542" s="338"/>
      <c r="C1542" s="384"/>
      <c r="D1542" s="384"/>
      <c r="E1542" s="338"/>
      <c r="F1542" s="338"/>
    </row>
    <row r="1543" spans="1:54" hidden="1" x14ac:dyDescent="0.25">
      <c r="A1543" s="340"/>
      <c r="B1543" s="338"/>
      <c r="C1543" s="338"/>
      <c r="D1543" s="338"/>
      <c r="E1543" s="338"/>
      <c r="F1543" s="338"/>
    </row>
    <row r="1544" spans="1:54" hidden="1" x14ac:dyDescent="0.25">
      <c r="A1544" s="340"/>
      <c r="B1544" s="338"/>
      <c r="C1544" s="338"/>
      <c r="D1544" s="338"/>
      <c r="E1544" s="338"/>
      <c r="F1544" s="338"/>
    </row>
    <row r="1545" spans="1:54" hidden="1" x14ac:dyDescent="0.25">
      <c r="A1545" s="340"/>
      <c r="B1545" s="338"/>
      <c r="C1545" s="338"/>
      <c r="D1545" s="338"/>
      <c r="E1545" s="338"/>
      <c r="F1545" s="338"/>
    </row>
    <row r="1546" spans="1:54" hidden="1" x14ac:dyDescent="0.25">
      <c r="A1546" s="340"/>
      <c r="B1546" s="338"/>
      <c r="C1546" s="338"/>
      <c r="D1546" s="338"/>
      <c r="E1546" s="338"/>
      <c r="F1546" s="338"/>
    </row>
    <row r="1547" spans="1:54" hidden="1" x14ac:dyDescent="0.25">
      <c r="A1547" s="340"/>
      <c r="B1547" s="338"/>
      <c r="C1547" s="338"/>
      <c r="D1547" s="338"/>
      <c r="E1547" s="338"/>
      <c r="F1547" s="338"/>
    </row>
    <row r="1548" spans="1:54" ht="30" hidden="1" customHeight="1" x14ac:dyDescent="0.25">
      <c r="A1548" s="340"/>
      <c r="B1548" s="338"/>
      <c r="C1548" s="338"/>
      <c r="D1548" s="338"/>
      <c r="E1548" s="338"/>
      <c r="F1548" s="338"/>
    </row>
    <row r="1549" spans="1:54" ht="10.050000000000001" hidden="1" customHeight="1" x14ac:dyDescent="0.25">
      <c r="A1549" s="340"/>
      <c r="B1549" s="385"/>
      <c r="C1549" s="338"/>
      <c r="D1549" s="338"/>
      <c r="E1549" s="338"/>
      <c r="F1549" s="338"/>
    </row>
    <row r="1550" spans="1:54" ht="30" hidden="1" customHeight="1" x14ac:dyDescent="0.25">
      <c r="A1550" s="45" t="s">
        <v>99</v>
      </c>
      <c r="B1550" s="46" t="s">
        <v>943</v>
      </c>
      <c r="C1550" s="45"/>
      <c r="D1550" s="45"/>
      <c r="E1550" s="45"/>
      <c r="F1550" s="45"/>
      <c r="BB1550" s="56"/>
    </row>
    <row r="1551" spans="1:54" ht="17.399999999999999" hidden="1" x14ac:dyDescent="0.25">
      <c r="A1551" s="48"/>
      <c r="B1551" s="531"/>
      <c r="C1551" s="531"/>
      <c r="D1551" s="531"/>
      <c r="E1551" s="49"/>
      <c r="F1551" s="108"/>
      <c r="BB1551" s="56"/>
    </row>
    <row r="1552" spans="1:54" hidden="1" x14ac:dyDescent="0.25">
      <c r="A1552" s="386"/>
      <c r="B1552" s="386"/>
      <c r="C1552" s="386"/>
      <c r="D1552" s="386"/>
      <c r="E1552" s="386"/>
      <c r="F1552" s="1"/>
      <c r="AC1552" s="56" t="s">
        <v>265</v>
      </c>
      <c r="AE1552" s="56" t="s">
        <v>944</v>
      </c>
      <c r="AJ1552" s="56">
        <v>200</v>
      </c>
      <c r="BB1552" s="56"/>
    </row>
    <row r="1553" spans="1:54" hidden="1" x14ac:dyDescent="0.25">
      <c r="A1553" s="386"/>
      <c r="B1553" s="250" t="s">
        <v>945</v>
      </c>
      <c r="C1553" s="250" t="s">
        <v>946</v>
      </c>
      <c r="D1553" s="250" t="s">
        <v>947</v>
      </c>
      <c r="E1553" s="386"/>
      <c r="F1553" s="1"/>
      <c r="BB1553" s="56"/>
    </row>
    <row r="1554" spans="1:54" hidden="1" x14ac:dyDescent="0.25">
      <c r="A1554" s="386"/>
      <c r="B1554" s="5"/>
      <c r="C1554" s="5"/>
      <c r="D1554" s="5"/>
      <c r="E1554" s="386"/>
      <c r="F1554" s="1"/>
      <c r="BB1554" s="56"/>
    </row>
    <row r="1555" spans="1:54" hidden="1" x14ac:dyDescent="0.25">
      <c r="A1555" s="386"/>
      <c r="B1555" s="387" t="s">
        <v>948</v>
      </c>
      <c r="C1555" s="387" t="str">
        <f>CONCATENATE(AD1555,AE1555)</f>
        <v>0 hours</v>
      </c>
      <c r="D1555" s="164"/>
      <c r="E1555" s="386"/>
      <c r="F1555" s="1"/>
      <c r="AD1555" s="56">
        <f>ROUND($AX$440,0)</f>
        <v>0</v>
      </c>
      <c r="AE1555" s="56" t="str">
        <f>AL440</f>
        <v xml:space="preserve"> hours</v>
      </c>
      <c r="BB1555" s="56"/>
    </row>
    <row r="1556" spans="1:54" ht="14.4" hidden="1" x14ac:dyDescent="0.3">
      <c r="A1556" s="386"/>
      <c r="B1556" s="388" t="str">
        <f>CONCATENATE(AE1556,AB1556,AC1556)</f>
        <v>Min. rate $10</v>
      </c>
      <c r="C1556" s="388" t="str">
        <f>CONCATENATE(AL1556,AB1556,AI1556)</f>
        <v xml:space="preserve"> low bid  $0</v>
      </c>
      <c r="D1556" s="388" t="str">
        <f>CONCATENATE(AO1556,AU1556,AQ1556)</f>
        <v>10% down to start</v>
      </c>
      <c r="E1556" s="386"/>
      <c r="F1556" s="1"/>
      <c r="AB1556" s="56" t="s">
        <v>949</v>
      </c>
      <c r="AC1556" s="633">
        <v>10</v>
      </c>
      <c r="AD1556" s="527"/>
      <c r="AE1556" s="360" t="s">
        <v>950</v>
      </c>
      <c r="AI1556" s="633">
        <f>AD1555*AC1556</f>
        <v>0</v>
      </c>
      <c r="AJ1556" s="527"/>
      <c r="AK1556" s="527"/>
      <c r="AL1556" s="56" t="s">
        <v>951</v>
      </c>
      <c r="AO1556" s="532">
        <f>$BH$297*100</f>
        <v>10</v>
      </c>
      <c r="AP1556" s="527"/>
      <c r="AQ1556" s="56" t="s">
        <v>952</v>
      </c>
      <c r="BB1556" s="56"/>
    </row>
    <row r="1557" spans="1:54" ht="14.4" hidden="1" x14ac:dyDescent="0.3">
      <c r="A1557" s="386"/>
      <c r="B1557" s="388" t="str">
        <f>CONCATENATE(AE1557,AB1557,AC1557)</f>
        <v>Max. rate $25</v>
      </c>
      <c r="C1557" s="388" t="str">
        <f>CONCATENATE(AL1557,AB1557,AI1557)</f>
        <v xml:space="preserve"> high bid  $0</v>
      </c>
      <c r="D1557" s="388" t="str">
        <f>CONCATENATE(AQ1557,AB1557,AO1557)</f>
        <v>minimum to start:  $0</v>
      </c>
      <c r="E1557" s="386"/>
      <c r="F1557" s="1"/>
      <c r="AB1557" s="56" t="s">
        <v>949</v>
      </c>
      <c r="AC1557" s="633">
        <v>25</v>
      </c>
      <c r="AD1557" s="527"/>
      <c r="AE1557" s="360" t="s">
        <v>953</v>
      </c>
      <c r="AI1557" s="633">
        <f>AD1555*AC1557</f>
        <v>0</v>
      </c>
      <c r="AJ1557" s="527"/>
      <c r="AK1557" s="527"/>
      <c r="AL1557" s="56" t="s">
        <v>954</v>
      </c>
      <c r="AO1557" s="566">
        <f>AI1556*(AO1556*0.01)</f>
        <v>0</v>
      </c>
      <c r="AP1557" s="609"/>
      <c r="AQ1557" s="56" t="s">
        <v>955</v>
      </c>
      <c r="BB1557" s="56"/>
    </row>
    <row r="1558" spans="1:54" hidden="1" x14ac:dyDescent="0.25">
      <c r="A1558" s="386"/>
      <c r="B1558" s="386"/>
      <c r="C1558" s="386"/>
      <c r="D1558" s="386"/>
      <c r="E1558" s="386"/>
      <c r="F1558" s="1"/>
      <c r="BB1558" s="56"/>
    </row>
    <row r="1559" spans="1:54" hidden="1" x14ac:dyDescent="0.25">
      <c r="A1559" s="386"/>
      <c r="B1559" s="250" t="s">
        <v>945</v>
      </c>
      <c r="C1559" s="250" t="s">
        <v>946</v>
      </c>
      <c r="D1559" s="250" t="s">
        <v>947</v>
      </c>
      <c r="E1559" s="386"/>
      <c r="F1559" s="1"/>
      <c r="BB1559" s="56"/>
    </row>
    <row r="1560" spans="1:54" hidden="1" x14ac:dyDescent="0.25">
      <c r="A1560" s="386"/>
      <c r="B1560" s="5"/>
      <c r="C1560" s="5"/>
      <c r="D1560" s="5"/>
      <c r="E1560" s="386"/>
      <c r="F1560" s="1"/>
      <c r="BB1560" s="56"/>
    </row>
    <row r="1561" spans="1:54" hidden="1" x14ac:dyDescent="0.25">
      <c r="A1561" s="386"/>
      <c r="B1561" s="387" t="s">
        <v>948</v>
      </c>
      <c r="C1561" s="387" t="str">
        <f>CONCATENATE(AD1561,AE1561)</f>
        <v>0 hours</v>
      </c>
      <c r="D1561" s="164"/>
      <c r="E1561" s="386"/>
      <c r="F1561" s="1"/>
      <c r="AD1561" s="56">
        <f>ROUND($AX$440,0)</f>
        <v>0</v>
      </c>
      <c r="AE1561" s="56" t="str">
        <f>AE1555</f>
        <v xml:space="preserve"> hours</v>
      </c>
      <c r="BB1561" s="56"/>
    </row>
    <row r="1562" spans="1:54" ht="14.4" hidden="1" x14ac:dyDescent="0.3">
      <c r="A1562" s="386"/>
      <c r="B1562" s="388" t="str">
        <f>CONCATENATE(AE1562,AB1562,AC1562)</f>
        <v>Min. rate $10</v>
      </c>
      <c r="C1562" s="388" t="str">
        <f>CONCATENATE(AL1562,AB1562,AI1562)</f>
        <v xml:space="preserve"> low bid  $0</v>
      </c>
      <c r="D1562" s="388" t="str">
        <f>CONCATENATE(AO1562,AU1562,AQ1562)</f>
        <v>10% down to start</v>
      </c>
      <c r="E1562" s="386"/>
      <c r="F1562" s="1"/>
      <c r="AB1562" s="56" t="s">
        <v>949</v>
      </c>
      <c r="AC1562" s="633">
        <v>10</v>
      </c>
      <c r="AD1562" s="527"/>
      <c r="AE1562" s="360" t="s">
        <v>950</v>
      </c>
      <c r="AI1562" s="633">
        <f>AD1561*AC1562</f>
        <v>0</v>
      </c>
      <c r="AJ1562" s="527"/>
      <c r="AK1562" s="527"/>
      <c r="AL1562" s="56" t="s">
        <v>951</v>
      </c>
      <c r="AO1562" s="532">
        <f>$BH$297*100</f>
        <v>10</v>
      </c>
      <c r="AP1562" s="527"/>
      <c r="AQ1562" s="56" t="s">
        <v>952</v>
      </c>
      <c r="BB1562" s="56"/>
    </row>
    <row r="1563" spans="1:54" ht="14.4" hidden="1" x14ac:dyDescent="0.3">
      <c r="A1563" s="386"/>
      <c r="B1563" s="388" t="str">
        <f>CONCATENATE(AE1563,AB1563,AC1563)</f>
        <v>Max. rate $25</v>
      </c>
      <c r="C1563" s="388" t="str">
        <f>CONCATENATE(AL1563,AB1563,AI1563)</f>
        <v xml:space="preserve"> high bid  $0</v>
      </c>
      <c r="D1563" s="388" t="str">
        <f>CONCATENATE(AQ1563,AB1563,AO1563)</f>
        <v>minimum to start:  $0</v>
      </c>
      <c r="E1563" s="386"/>
      <c r="F1563" s="1"/>
      <c r="AB1563" s="56" t="s">
        <v>949</v>
      </c>
      <c r="AC1563" s="633">
        <v>25</v>
      </c>
      <c r="AD1563" s="527"/>
      <c r="AE1563" s="360" t="s">
        <v>953</v>
      </c>
      <c r="AI1563" s="633">
        <f>AD1561*AC1563</f>
        <v>0</v>
      </c>
      <c r="AJ1563" s="527"/>
      <c r="AK1563" s="527"/>
      <c r="AL1563" s="56" t="s">
        <v>954</v>
      </c>
      <c r="AO1563" s="566">
        <f>AI1562*(AO1562*0.01)</f>
        <v>0</v>
      </c>
      <c r="AP1563" s="609"/>
      <c r="AQ1563" s="56" t="s">
        <v>955</v>
      </c>
      <c r="BB1563" s="56"/>
    </row>
    <row r="1564" spans="1:54" hidden="1" x14ac:dyDescent="0.25">
      <c r="A1564" s="386"/>
      <c r="B1564" s="386"/>
      <c r="C1564" s="386"/>
      <c r="D1564" s="386"/>
      <c r="E1564" s="386"/>
      <c r="F1564" s="1"/>
      <c r="BB1564" s="56"/>
    </row>
    <row r="1565" spans="1:54" hidden="1" x14ac:dyDescent="0.25">
      <c r="A1565" s="386"/>
      <c r="B1565" s="250" t="s">
        <v>945</v>
      </c>
      <c r="C1565" s="250" t="s">
        <v>946</v>
      </c>
      <c r="D1565" s="250" t="s">
        <v>947</v>
      </c>
      <c r="E1565" s="386"/>
      <c r="F1565" s="1"/>
      <c r="BB1565" s="56"/>
    </row>
    <row r="1566" spans="1:54" hidden="1" x14ac:dyDescent="0.25">
      <c r="A1566" s="386"/>
      <c r="B1566" s="5"/>
      <c r="C1566" s="5"/>
      <c r="D1566" s="5"/>
      <c r="E1566" s="386"/>
      <c r="F1566" s="1"/>
      <c r="BB1566" s="56"/>
    </row>
    <row r="1567" spans="1:54" hidden="1" x14ac:dyDescent="0.25">
      <c r="A1567" s="386"/>
      <c r="B1567" s="387" t="s">
        <v>948</v>
      </c>
      <c r="C1567" s="387" t="str">
        <f>CONCATENATE(AD1567,AE1567)</f>
        <v>0 hours</v>
      </c>
      <c r="D1567" s="164"/>
      <c r="E1567" s="386"/>
      <c r="F1567" s="1"/>
      <c r="AD1567" s="56">
        <f>ROUND($AX$440,0)</f>
        <v>0</v>
      </c>
      <c r="AE1567" s="56" t="str">
        <f>AE1561</f>
        <v xml:space="preserve"> hours</v>
      </c>
      <c r="BB1567" s="56"/>
    </row>
    <row r="1568" spans="1:54" ht="14.4" hidden="1" x14ac:dyDescent="0.3">
      <c r="A1568" s="386"/>
      <c r="B1568" s="388" t="str">
        <f>CONCATENATE(AE1568,AB1568,AC1568)</f>
        <v>Min. rate $40</v>
      </c>
      <c r="C1568" s="388" t="str">
        <f>CONCATENATE(AL1568,AB1568,AI1568)</f>
        <v xml:space="preserve"> low bid  $0</v>
      </c>
      <c r="D1568" s="388" t="str">
        <f>CONCATENATE(AO1568,AU1568,AQ1568)</f>
        <v>10% down to start</v>
      </c>
      <c r="E1568" s="386"/>
      <c r="F1568" s="1"/>
      <c r="AB1568" s="56" t="s">
        <v>949</v>
      </c>
      <c r="AC1568" s="633">
        <v>40</v>
      </c>
      <c r="AD1568" s="527"/>
      <c r="AE1568" s="360" t="s">
        <v>950</v>
      </c>
      <c r="AI1568" s="633">
        <f>AD1567*AC1568</f>
        <v>0</v>
      </c>
      <c r="AJ1568" s="527"/>
      <c r="AK1568" s="527"/>
      <c r="AL1568" s="56" t="s">
        <v>951</v>
      </c>
      <c r="AO1568" s="532">
        <f>$BH$297*100</f>
        <v>10</v>
      </c>
      <c r="AP1568" s="527"/>
      <c r="AQ1568" s="56" t="s">
        <v>952</v>
      </c>
      <c r="BB1568" s="56"/>
    </row>
    <row r="1569" spans="1:54" ht="14.4" hidden="1" x14ac:dyDescent="0.3">
      <c r="A1569" s="386"/>
      <c r="B1569" s="388" t="str">
        <f>CONCATENATE(AE1569,AB1569,AC1569)</f>
        <v>Max. rate $55</v>
      </c>
      <c r="C1569" s="388" t="str">
        <f>CONCATENATE(AL1569,AB1569,AI1569)</f>
        <v xml:space="preserve"> high bid  $0</v>
      </c>
      <c r="D1569" s="388" t="str">
        <f>CONCATENATE(AQ1569,AB1569,AO1569)</f>
        <v>minimum to start:  $0</v>
      </c>
      <c r="E1569" s="386"/>
      <c r="F1569" s="1"/>
      <c r="AB1569" s="56" t="s">
        <v>949</v>
      </c>
      <c r="AC1569" s="633">
        <v>55</v>
      </c>
      <c r="AD1569" s="527"/>
      <c r="AE1569" s="360" t="s">
        <v>953</v>
      </c>
      <c r="AI1569" s="633">
        <f>AD1567*AC1569</f>
        <v>0</v>
      </c>
      <c r="AJ1569" s="527"/>
      <c r="AK1569" s="527"/>
      <c r="AL1569" s="56" t="s">
        <v>954</v>
      </c>
      <c r="AO1569" s="566">
        <f>AI1568*(AO1568*0.01)</f>
        <v>0</v>
      </c>
      <c r="AP1569" s="609"/>
      <c r="AQ1569" s="56" t="s">
        <v>955</v>
      </c>
      <c r="BB1569" s="56"/>
    </row>
    <row r="1570" spans="1:54" hidden="1" x14ac:dyDescent="0.25">
      <c r="A1570" s="386"/>
      <c r="B1570" s="386"/>
      <c r="C1570" s="386"/>
      <c r="D1570" s="386"/>
      <c r="E1570" s="386"/>
      <c r="F1570" s="1"/>
      <c r="BB1570" s="56"/>
    </row>
    <row r="1571" spans="1:54" hidden="1" x14ac:dyDescent="0.25">
      <c r="A1571" s="386"/>
      <c r="B1571" s="250" t="s">
        <v>945</v>
      </c>
      <c r="C1571" s="250" t="s">
        <v>946</v>
      </c>
      <c r="D1571" s="250" t="s">
        <v>947</v>
      </c>
      <c r="E1571" s="386"/>
      <c r="F1571" s="1"/>
      <c r="BB1571" s="56"/>
    </row>
    <row r="1572" spans="1:54" hidden="1" x14ac:dyDescent="0.25">
      <c r="A1572" s="386"/>
      <c r="B1572" s="5"/>
      <c r="C1572" s="5"/>
      <c r="D1572" s="5"/>
      <c r="E1572" s="386"/>
      <c r="F1572" s="1"/>
      <c r="BB1572" s="56"/>
    </row>
    <row r="1573" spans="1:54" hidden="1" x14ac:dyDescent="0.25">
      <c r="A1573" s="386"/>
      <c r="B1573" s="387" t="s">
        <v>948</v>
      </c>
      <c r="C1573" s="387" t="str">
        <f>CONCATENATE(AD1573,AE1573)</f>
        <v>0 hours</v>
      </c>
      <c r="D1573" s="164"/>
      <c r="E1573" s="386"/>
      <c r="F1573" s="1"/>
      <c r="AD1573" s="56">
        <f>ROUND($AX$440,0)</f>
        <v>0</v>
      </c>
      <c r="AE1573" s="56" t="str">
        <f>AE1567</f>
        <v xml:space="preserve"> hours</v>
      </c>
      <c r="BB1573" s="56"/>
    </row>
    <row r="1574" spans="1:54" ht="14.4" hidden="1" x14ac:dyDescent="0.3">
      <c r="A1574" s="386"/>
      <c r="B1574" s="388" t="str">
        <f>CONCATENATE(AE1574,AB1574,AC1574)</f>
        <v>Min. rate $70</v>
      </c>
      <c r="C1574" s="388" t="str">
        <f>CONCATENATE(AL1574,AB1574,AI1574)</f>
        <v xml:space="preserve"> low bid  $0</v>
      </c>
      <c r="D1574" s="388" t="str">
        <f>CONCATENATE(AO1574,AU1574,AQ1574)</f>
        <v>10% down to start</v>
      </c>
      <c r="E1574" s="386"/>
      <c r="F1574" s="1"/>
      <c r="AB1574" s="56" t="s">
        <v>949</v>
      </c>
      <c r="AC1574" s="633">
        <v>70</v>
      </c>
      <c r="AD1574" s="527"/>
      <c r="AE1574" s="360" t="s">
        <v>950</v>
      </c>
      <c r="AI1574" s="633">
        <f>AD1573*AC1574</f>
        <v>0</v>
      </c>
      <c r="AJ1574" s="527"/>
      <c r="AK1574" s="527"/>
      <c r="AL1574" s="56" t="s">
        <v>951</v>
      </c>
      <c r="AO1574" s="532">
        <f>$BH$297*100</f>
        <v>10</v>
      </c>
      <c r="AP1574" s="527"/>
      <c r="AQ1574" s="56" t="s">
        <v>952</v>
      </c>
      <c r="BB1574" s="56"/>
    </row>
    <row r="1575" spans="1:54" ht="14.4" hidden="1" x14ac:dyDescent="0.3">
      <c r="A1575" s="386"/>
      <c r="B1575" s="388" t="str">
        <f>CONCATENATE(AE1575,AB1575,AC1575)</f>
        <v>Max. rate $85</v>
      </c>
      <c r="C1575" s="388" t="str">
        <f>CONCATENATE(AL1575,AB1575,AI1575)</f>
        <v xml:space="preserve"> high bid  $0</v>
      </c>
      <c r="D1575" s="388" t="str">
        <f>CONCATENATE(AQ1575,AB1575,AO1575)</f>
        <v>minimum to start:  $0</v>
      </c>
      <c r="E1575" s="386"/>
      <c r="F1575" s="1"/>
      <c r="AB1575" s="56" t="s">
        <v>949</v>
      </c>
      <c r="AC1575" s="633">
        <v>85</v>
      </c>
      <c r="AD1575" s="527"/>
      <c r="AE1575" s="360" t="s">
        <v>953</v>
      </c>
      <c r="AI1575" s="633">
        <f>AD1573*AC1575</f>
        <v>0</v>
      </c>
      <c r="AJ1575" s="527"/>
      <c r="AK1575" s="527"/>
      <c r="AL1575" s="56" t="s">
        <v>954</v>
      </c>
      <c r="AO1575" s="566">
        <f>AI1574*(AO1574*0.01)</f>
        <v>0</v>
      </c>
      <c r="AP1575" s="609"/>
      <c r="AQ1575" s="56" t="s">
        <v>955</v>
      </c>
      <c r="BB1575" s="56"/>
    </row>
    <row r="1576" spans="1:54" hidden="1" x14ac:dyDescent="0.25">
      <c r="A1576" s="386"/>
      <c r="B1576" s="386"/>
      <c r="C1576" s="386"/>
      <c r="D1576" s="386"/>
      <c r="E1576" s="386"/>
      <c r="F1576" s="1"/>
      <c r="BB1576" s="56"/>
    </row>
    <row r="1577" spans="1:54" hidden="1" x14ac:dyDescent="0.25">
      <c r="A1577" s="386"/>
      <c r="B1577" s="250" t="s">
        <v>945</v>
      </c>
      <c r="C1577" s="250" t="s">
        <v>946</v>
      </c>
      <c r="D1577" s="250" t="s">
        <v>947</v>
      </c>
      <c r="E1577" s="386"/>
      <c r="F1577" s="1"/>
      <c r="BB1577" s="56"/>
    </row>
    <row r="1578" spans="1:54" hidden="1" x14ac:dyDescent="0.25">
      <c r="A1578" s="386"/>
      <c r="B1578" s="5"/>
      <c r="C1578" s="5"/>
      <c r="D1578" s="5"/>
      <c r="E1578" s="386"/>
      <c r="F1578" s="1"/>
      <c r="BB1578" s="56"/>
    </row>
    <row r="1579" spans="1:54" hidden="1" x14ac:dyDescent="0.25">
      <c r="A1579" s="386"/>
      <c r="B1579" s="387" t="s">
        <v>948</v>
      </c>
      <c r="C1579" s="387" t="str">
        <f>CONCATENATE(AD1579,AE1579)</f>
        <v>0 hours</v>
      </c>
      <c r="D1579" s="164"/>
      <c r="E1579" s="386"/>
      <c r="F1579" s="1"/>
      <c r="AD1579" s="56">
        <f>ROUND($AX$440,0)</f>
        <v>0</v>
      </c>
      <c r="AE1579" s="56" t="str">
        <f>AE1573</f>
        <v xml:space="preserve"> hours</v>
      </c>
      <c r="BB1579" s="56"/>
    </row>
    <row r="1580" spans="1:54" ht="14.4" hidden="1" x14ac:dyDescent="0.3">
      <c r="A1580" s="386"/>
      <c r="B1580" s="388" t="str">
        <f>CONCATENATE(AE1580,AB1580,AC1580)</f>
        <v>Min. rate $100</v>
      </c>
      <c r="C1580" s="388" t="str">
        <f>CONCATENATE(AL1580,AB1580,AI1580)</f>
        <v xml:space="preserve"> low bid  $0</v>
      </c>
      <c r="D1580" s="388" t="str">
        <f>CONCATENATE(AO1580,AU1580,AQ1580)</f>
        <v>10% down to start</v>
      </c>
      <c r="E1580" s="386"/>
      <c r="F1580" s="1"/>
      <c r="AB1580" s="56" t="s">
        <v>949</v>
      </c>
      <c r="AC1580" s="633">
        <v>100</v>
      </c>
      <c r="AD1580" s="527"/>
      <c r="AE1580" s="360" t="s">
        <v>950</v>
      </c>
      <c r="AI1580" s="633">
        <f>AD1579*AC1580</f>
        <v>0</v>
      </c>
      <c r="AJ1580" s="527"/>
      <c r="AK1580" s="527"/>
      <c r="AL1580" s="56" t="s">
        <v>951</v>
      </c>
      <c r="AO1580" s="532">
        <f>$BH$297*100</f>
        <v>10</v>
      </c>
      <c r="AP1580" s="527"/>
      <c r="AQ1580" s="56" t="s">
        <v>952</v>
      </c>
      <c r="BB1580" s="56"/>
    </row>
    <row r="1581" spans="1:54" ht="14.4" hidden="1" x14ac:dyDescent="0.3">
      <c r="A1581" s="386"/>
      <c r="B1581" s="388" t="str">
        <f>CONCATENATE(AE1581,AB1581,AC1581)</f>
        <v>Max. rate $115</v>
      </c>
      <c r="C1581" s="388" t="str">
        <f>CONCATENATE(AL1581,AB1581,AI1581)</f>
        <v xml:space="preserve"> high bid  $0</v>
      </c>
      <c r="D1581" s="388" t="str">
        <f>CONCATENATE(AQ1581,AB1581,AO1581)</f>
        <v>minimum to start:  $0</v>
      </c>
      <c r="E1581" s="386"/>
      <c r="F1581" s="1"/>
      <c r="AB1581" s="56" t="s">
        <v>949</v>
      </c>
      <c r="AC1581" s="633">
        <v>115</v>
      </c>
      <c r="AD1581" s="527"/>
      <c r="AE1581" s="360" t="s">
        <v>953</v>
      </c>
      <c r="AI1581" s="633">
        <f>AD1579*AC1581</f>
        <v>0</v>
      </c>
      <c r="AJ1581" s="527"/>
      <c r="AK1581" s="527"/>
      <c r="AL1581" s="56" t="s">
        <v>954</v>
      </c>
      <c r="AO1581" s="566">
        <f>AI1580*(AO1580*0.01)</f>
        <v>0</v>
      </c>
      <c r="AP1581" s="609"/>
      <c r="AQ1581" s="56" t="s">
        <v>955</v>
      </c>
      <c r="BB1581" s="56"/>
    </row>
    <row r="1582" spans="1:54" hidden="1" x14ac:dyDescent="0.25">
      <c r="A1582" s="386"/>
      <c r="B1582" s="386"/>
      <c r="C1582" s="386"/>
      <c r="D1582" s="386"/>
      <c r="E1582" s="386"/>
      <c r="F1582" s="1"/>
      <c r="BB1582" s="56"/>
    </row>
    <row r="1583" spans="1:54" hidden="1" x14ac:dyDescent="0.25">
      <c r="A1583" s="386"/>
      <c r="B1583" s="386"/>
      <c r="C1583" s="386"/>
      <c r="D1583" s="386"/>
      <c r="E1583" s="386"/>
      <c r="F1583" s="1"/>
      <c r="BB1583" s="56"/>
    </row>
    <row r="1584" spans="1:54" hidden="1" x14ac:dyDescent="0.25">
      <c r="A1584" s="386"/>
      <c r="B1584" s="386"/>
      <c r="C1584" s="386"/>
      <c r="D1584" s="386"/>
      <c r="E1584" s="386"/>
      <c r="F1584" s="1"/>
      <c r="BB1584" s="56"/>
    </row>
    <row r="1585" spans="1:56" hidden="1" x14ac:dyDescent="0.25">
      <c r="A1585" s="386"/>
      <c r="B1585" s="386"/>
      <c r="C1585" s="386"/>
      <c r="D1585" s="386"/>
      <c r="E1585" s="386"/>
      <c r="F1585" s="1"/>
      <c r="BB1585" s="56"/>
    </row>
    <row r="1586" spans="1:56" hidden="1" x14ac:dyDescent="0.25">
      <c r="A1586" s="386"/>
      <c r="B1586" s="386"/>
      <c r="C1586" s="386"/>
      <c r="D1586" s="386"/>
      <c r="E1586" s="386"/>
      <c r="F1586" s="1"/>
      <c r="BB1586" s="56"/>
    </row>
    <row r="1587" spans="1:56" hidden="1" x14ac:dyDescent="0.25">
      <c r="A1587" s="386"/>
      <c r="B1587" s="386"/>
      <c r="C1587" s="386"/>
      <c r="D1587" s="386"/>
      <c r="E1587" s="386"/>
      <c r="F1587" s="1"/>
    </row>
    <row r="1588" spans="1:56" hidden="1" x14ac:dyDescent="0.25">
      <c r="A1588" s="386"/>
      <c r="B1588" s="386"/>
      <c r="C1588" s="386"/>
      <c r="D1588" s="386"/>
      <c r="E1588" s="386"/>
      <c r="F1588" s="1"/>
    </row>
    <row r="1589" spans="1:56" hidden="1" x14ac:dyDescent="0.25">
      <c r="A1589" s="386"/>
      <c r="B1589" s="386"/>
      <c r="C1589" s="386"/>
      <c r="D1589" s="386"/>
      <c r="E1589" s="386"/>
      <c r="F1589" s="1"/>
    </row>
    <row r="1590" spans="1:56" hidden="1" x14ac:dyDescent="0.25">
      <c r="A1590" s="386"/>
      <c r="B1590" s="386"/>
      <c r="C1590" s="386"/>
      <c r="D1590" s="386"/>
      <c r="E1590" s="386"/>
      <c r="F1590" s="1"/>
    </row>
    <row r="1591" spans="1:56" hidden="1" x14ac:dyDescent="0.25">
      <c r="A1591" s="386"/>
      <c r="B1591" s="386"/>
      <c r="C1591" s="386"/>
      <c r="D1591" s="386"/>
      <c r="E1591" s="386"/>
      <c r="F1591" s="1"/>
    </row>
    <row r="1592" spans="1:56" hidden="1" x14ac:dyDescent="0.25">
      <c r="A1592" s="386"/>
      <c r="B1592" s="386"/>
      <c r="C1592" s="386"/>
      <c r="D1592" s="386"/>
      <c r="E1592" s="386"/>
      <c r="F1592" s="1"/>
    </row>
    <row r="1593" spans="1:56" hidden="1" x14ac:dyDescent="0.25">
      <c r="A1593" s="386"/>
      <c r="B1593" s="386"/>
      <c r="C1593" s="386"/>
      <c r="D1593" s="386"/>
      <c r="E1593" s="386"/>
      <c r="F1593" s="1"/>
    </row>
    <row r="1594" spans="1:56" hidden="1" x14ac:dyDescent="0.25">
      <c r="A1594" s="386"/>
      <c r="B1594" s="386"/>
      <c r="C1594" s="386"/>
      <c r="D1594" s="386"/>
      <c r="E1594" s="386"/>
      <c r="F1594" s="1"/>
    </row>
    <row r="1595" spans="1:56" hidden="1" x14ac:dyDescent="0.25">
      <c r="A1595" s="386"/>
      <c r="B1595" s="386"/>
      <c r="C1595" s="386"/>
      <c r="D1595" s="386"/>
      <c r="E1595" s="386"/>
      <c r="F1595" s="1"/>
    </row>
    <row r="1596" spans="1:56" hidden="1" x14ac:dyDescent="0.25">
      <c r="A1596" s="386"/>
      <c r="B1596" s="386"/>
      <c r="C1596" s="386"/>
      <c r="D1596" s="386"/>
      <c r="E1596" s="386"/>
      <c r="F1596" s="1"/>
    </row>
    <row r="1597" spans="1:56" ht="30" customHeight="1" x14ac:dyDescent="0.25">
      <c r="A1597" s="46" t="s">
        <v>96</v>
      </c>
      <c r="B1597" s="46" t="s">
        <v>956</v>
      </c>
      <c r="C1597" s="46"/>
      <c r="D1597" s="45"/>
      <c r="E1597" s="475"/>
      <c r="F1597" s="475" t="s">
        <v>1541</v>
      </c>
      <c r="BB1597" s="56"/>
    </row>
    <row r="1598" spans="1:56" ht="17.399999999999999" customHeight="1" x14ac:dyDescent="0.25">
      <c r="A1598" s="48"/>
      <c r="B1598" s="531" t="s">
        <v>957</v>
      </c>
      <c r="C1598" s="531"/>
      <c r="D1598" s="531"/>
      <c r="E1598" s="531"/>
      <c r="F1598" s="108"/>
      <c r="BB1598" s="56"/>
    </row>
    <row r="1599" spans="1:56" ht="6" customHeight="1" x14ac:dyDescent="0.25">
      <c r="A1599" s="57"/>
      <c r="B1599" s="57"/>
      <c r="C1599" s="57"/>
      <c r="D1599" s="57"/>
      <c r="E1599" s="57"/>
      <c r="F1599" s="1"/>
    </row>
    <row r="1600" spans="1:56" ht="6" customHeight="1" x14ac:dyDescent="0.25">
      <c r="A1600" s="57"/>
      <c r="B1600" s="57"/>
      <c r="C1600" s="57"/>
      <c r="D1600" s="57"/>
      <c r="E1600" s="57"/>
      <c r="F1600" s="1"/>
      <c r="AC1600" s="390" t="str">
        <f>IF(B1603=AF1601,AR1601,IF(B1603=AF1602,AR1602,IF(B1603=AF1603,AR1603,IF(B1603=AF1604,AR1604,IF(B1603=AF1605,AR1605,"")))))</f>
        <v>of 2.2 million applied to various estimated rates of wrongful conviction</v>
      </c>
      <c r="AD1600" s="390"/>
      <c r="AE1600" s="390"/>
      <c r="AF1600" s="390"/>
      <c r="AG1600" s="390"/>
      <c r="AH1600" s="391"/>
      <c r="AI1600" s="391"/>
      <c r="AJ1600" s="391"/>
      <c r="AK1600" s="391"/>
      <c r="AL1600" s="390"/>
      <c r="AM1600" s="390"/>
      <c r="AN1600" s="390"/>
      <c r="AO1600" s="390"/>
      <c r="AP1600" s="390"/>
      <c r="AQ1600" s="390"/>
      <c r="AR1600" s="390"/>
      <c r="AU1600" s="56" t="s">
        <v>958</v>
      </c>
      <c r="AX1600" s="392" t="str">
        <f>IF(B1603=AF1601,AI1601,IF(B1603=AF1602,AI1602,IF(B1603=AF1603,AI1603,IF(B1603=AF1604,AI1604,IF(B1603=AF1605,AI1605,"")))))</f>
        <v>prison population</v>
      </c>
      <c r="BD1600" s="56" t="s">
        <v>959</v>
      </c>
    </row>
    <row r="1601" spans="1:84" ht="14.4" x14ac:dyDescent="0.3">
      <c r="A1601" s="57"/>
      <c r="B1601" s="393">
        <v>2783</v>
      </c>
      <c r="C1601" s="394" t="s">
        <v>960</v>
      </c>
      <c r="D1601" s="57"/>
      <c r="E1601" s="57"/>
      <c r="F1601" s="1"/>
      <c r="AC1601" s="634">
        <v>20000000</v>
      </c>
      <c r="AD1601" s="527"/>
      <c r="AE1601" s="527"/>
      <c r="AF1601" s="56" t="s">
        <v>961</v>
      </c>
      <c r="AI1601" s="56" t="s">
        <v>962</v>
      </c>
      <c r="AK1601" s="395" t="s">
        <v>963</v>
      </c>
      <c r="AL1601" s="396">
        <f>AC1601/1000000</f>
        <v>20</v>
      </c>
      <c r="AM1601" s="56" t="s">
        <v>964</v>
      </c>
      <c r="AO1601" s="397" t="s">
        <v>965</v>
      </c>
      <c r="AQ1601" s="262" t="s">
        <v>966</v>
      </c>
      <c r="AR1601" s="56" t="str">
        <f>CONCATENATE(AK1601,AL1601,AM1601,AO1601)</f>
        <v>of 20 million applied to various estimated rates of wrongful conviction</v>
      </c>
      <c r="BB1601" s="56"/>
    </row>
    <row r="1602" spans="1:84" ht="14.4" x14ac:dyDescent="0.3">
      <c r="A1602" s="57"/>
      <c r="B1602" s="57"/>
      <c r="C1602" s="57"/>
      <c r="D1602" s="57"/>
      <c r="E1602" s="57"/>
      <c r="F1602" s="1"/>
      <c r="AC1602" s="634">
        <v>9700000</v>
      </c>
      <c r="AD1602" s="527"/>
      <c r="AE1602" s="527"/>
      <c r="AF1602" s="56" t="s">
        <v>967</v>
      </c>
      <c r="AI1602" s="56" t="s">
        <v>968</v>
      </c>
      <c r="AK1602" s="395" t="s">
        <v>963</v>
      </c>
      <c r="AL1602" s="398">
        <f>AC1602/1000000</f>
        <v>9.6999999999999993</v>
      </c>
      <c r="AM1602" s="56" t="s">
        <v>964</v>
      </c>
      <c r="AO1602" s="397" t="s">
        <v>965</v>
      </c>
      <c r="AQ1602" s="262" t="s">
        <v>966</v>
      </c>
      <c r="AR1602" s="56" t="str">
        <f>CONCATENATE(AK1602,AL1602,AM1602,AO1602)</f>
        <v>of 9.7 million applied to various estimated rates of wrongful conviction</v>
      </c>
      <c r="BB1602" s="56"/>
    </row>
    <row r="1603" spans="1:84" ht="14.4" x14ac:dyDescent="0.3">
      <c r="A1603" s="57"/>
      <c r="B1603" s="399" t="s">
        <v>972</v>
      </c>
      <c r="C1603" s="394" t="str">
        <f>AC1600</f>
        <v>of 2.2 million applied to various estimated rates of wrongful conviction</v>
      </c>
      <c r="D1603" s="57"/>
      <c r="E1603" s="57"/>
      <c r="F1603" s="1"/>
      <c r="AC1603" s="634">
        <v>6900000</v>
      </c>
      <c r="AD1603" s="527"/>
      <c r="AE1603" s="527"/>
      <c r="AF1603" s="56" t="s">
        <v>970</v>
      </c>
      <c r="AI1603" s="56" t="s">
        <v>971</v>
      </c>
      <c r="AK1603" s="395" t="s">
        <v>963</v>
      </c>
      <c r="AL1603" s="398">
        <f>AC1603/1000000</f>
        <v>6.9</v>
      </c>
      <c r="AM1603" s="56" t="s">
        <v>964</v>
      </c>
      <c r="AO1603" s="397" t="s">
        <v>965</v>
      </c>
      <c r="AQ1603" s="262" t="s">
        <v>966</v>
      </c>
      <c r="AR1603" s="56" t="str">
        <f>CONCATENATE(AK1603,AL1603,AM1603,AO1603)</f>
        <v>of 6.9 million applied to various estimated rates of wrongful conviction</v>
      </c>
      <c r="BB1603" s="56"/>
    </row>
    <row r="1604" spans="1:84" ht="14.4" x14ac:dyDescent="0.3">
      <c r="A1604" s="57"/>
      <c r="B1604" s="57"/>
      <c r="C1604" s="57"/>
      <c r="D1604" s="57"/>
      <c r="E1604" s="57"/>
      <c r="F1604" s="1"/>
      <c r="AC1604" s="634">
        <v>2200000</v>
      </c>
      <c r="AD1604" s="527"/>
      <c r="AE1604" s="527"/>
      <c r="AF1604" s="56" t="s">
        <v>972</v>
      </c>
      <c r="AI1604" s="56" t="s">
        <v>973</v>
      </c>
      <c r="AK1604" s="395" t="s">
        <v>963</v>
      </c>
      <c r="AL1604" s="398">
        <f>AC1604/1000000</f>
        <v>2.2000000000000002</v>
      </c>
      <c r="AM1604" s="56" t="s">
        <v>964</v>
      </c>
      <c r="AO1604" s="397" t="s">
        <v>965</v>
      </c>
      <c r="AQ1604" s="262" t="s">
        <v>966</v>
      </c>
      <c r="AR1604" s="56" t="str">
        <f>CONCATENATE(AK1604,AL1604,AM1604,AO1604)</f>
        <v>of 2.2 million applied to various estimated rates of wrongful conviction</v>
      </c>
      <c r="BB1604" s="56"/>
    </row>
    <row r="1605" spans="1:84" ht="14.4" x14ac:dyDescent="0.3">
      <c r="A1605" s="57"/>
      <c r="B1605" s="57" t="s">
        <v>974</v>
      </c>
      <c r="C1605" s="57"/>
      <c r="D1605" s="57"/>
      <c r="E1605" s="57"/>
      <c r="F1605" s="1"/>
      <c r="AC1605" s="635">
        <v>917771</v>
      </c>
      <c r="AD1605" s="636"/>
      <c r="AE1605" s="636"/>
      <c r="AF1605" s="56" t="s">
        <v>969</v>
      </c>
      <c r="AI1605" s="56" t="s">
        <v>975</v>
      </c>
      <c r="AK1605" s="395" t="s">
        <v>963</v>
      </c>
      <c r="AL1605" s="398">
        <f>AC1605/1000000</f>
        <v>0.917771</v>
      </c>
      <c r="AM1605" s="56" t="s">
        <v>964</v>
      </c>
      <c r="AO1605" s="397" t="s">
        <v>965</v>
      </c>
      <c r="AQ1605" s="262">
        <v>0.9</v>
      </c>
      <c r="AR1605" s="56" t="str">
        <f>CONCATENATE(AK1605,AQ1605,AM1605,AO1605)</f>
        <v>of 0.9 million applied to various estimated rates of wrongful conviction</v>
      </c>
      <c r="BB1605" s="56"/>
    </row>
    <row r="1606" spans="1:84" x14ac:dyDescent="0.25">
      <c r="A1606" s="57"/>
      <c r="B1606" s="57"/>
      <c r="C1606" s="57"/>
      <c r="D1606" s="57"/>
      <c r="E1606" s="57"/>
      <c r="F1606" s="1"/>
    </row>
    <row r="1607" spans="1:84" ht="14.4" x14ac:dyDescent="0.3">
      <c r="A1607" s="400">
        <v>1</v>
      </c>
      <c r="B1607" s="401" t="str">
        <f>AM1607</f>
        <v>0.0016% to 1.95%</v>
      </c>
      <c r="C1607" s="637" t="str">
        <f>IF(OR($B$1601="",$B$1603=""),"",BO1607)</f>
        <v>applied to prison population totals 35 to 42,900. This represents over 100% to 6.49% cleared cases.</v>
      </c>
      <c r="D1607" s="637"/>
      <c r="E1607" s="57"/>
      <c r="F1607" s="1"/>
      <c r="AC1607" s="638">
        <v>1.5999999999999999E-5</v>
      </c>
      <c r="AD1607" s="639"/>
      <c r="AE1607" s="640">
        <v>1.95E-2</v>
      </c>
      <c r="AF1607" s="641"/>
      <c r="AH1607" s="646" t="str">
        <f>TEXT(AC1607,"0.0000%")</f>
        <v>0.0016%</v>
      </c>
      <c r="AI1607" s="609"/>
      <c r="AJ1607" s="646" t="str">
        <f>TEXT(AE1607,"0.00%")</f>
        <v>1.95%</v>
      </c>
      <c r="AK1607" s="609"/>
      <c r="AM1607" s="56" t="str">
        <f>CONCATENATE(AH1607," to ",AJ1607)</f>
        <v>0.0016% to 1.95%</v>
      </c>
      <c r="AR1607" s="56" t="str">
        <f>CONCATENATE($AU$1600,$AX$1600,$BD$1600,$BF$1600)</f>
        <v xml:space="preserve">applied to prison population totals </v>
      </c>
      <c r="BB1607" s="411">
        <f>ROUND(BB1608,0)</f>
        <v>35</v>
      </c>
      <c r="BC1607" s="56" t="s">
        <v>976</v>
      </c>
      <c r="BD1607" s="634" t="str">
        <f>TEXT(ROUND(BD1608,0),"00,000")</f>
        <v>42,900</v>
      </c>
      <c r="BE1607" s="647"/>
      <c r="BF1607" s="647"/>
      <c r="BG1607" s="56" t="s">
        <v>977</v>
      </c>
      <c r="BH1607" s="403" t="str">
        <f>IF($B$1601&gt;BB1607,"over 100%",TEXT($B$1601/BB1607,"00.00%"))</f>
        <v>over 100%</v>
      </c>
      <c r="BI1607" s="56" t="s">
        <v>976</v>
      </c>
      <c r="BJ1607" s="403" t="str">
        <f>IF(B1603=AF1605,TEXT(($B$1601*0.47)/BD1607,"0.00%"),TEXT($B$1601/BD1607,"0.00%"))</f>
        <v>6.49%</v>
      </c>
      <c r="BK1607" s="56" t="s">
        <v>978</v>
      </c>
      <c r="BO1607" s="390" t="str">
        <f>CONCATENATE(AR1607,BB1607,BC1607,BD1607,BG1607,BH1607,BI1607,BJ1607,BK1607)</f>
        <v>applied to prison population totals 35 to 42,900. This represents over 100% to 6.49% cleared cases.</v>
      </c>
      <c r="BP1607" s="390"/>
      <c r="BQ1607" s="390"/>
      <c r="BR1607" s="390"/>
      <c r="BS1607" s="390"/>
      <c r="BT1607" s="390"/>
      <c r="BU1607" s="390"/>
      <c r="BV1607" s="390"/>
      <c r="BW1607" s="390"/>
      <c r="BX1607" s="390"/>
      <c r="BY1607" s="390"/>
      <c r="BZ1607" s="390"/>
      <c r="CA1607" s="390"/>
      <c r="CB1607" s="390"/>
      <c r="CC1607" s="390"/>
      <c r="CD1607" s="390"/>
      <c r="CE1607" s="390"/>
      <c r="CF1607" s="390"/>
    </row>
    <row r="1608" spans="1:84" ht="14.4" x14ac:dyDescent="0.3">
      <c r="A1608" s="400"/>
      <c r="B1608" s="404" t="s">
        <v>979</v>
      </c>
      <c r="C1608" s="637"/>
      <c r="D1608" s="637"/>
      <c r="E1608" s="57"/>
      <c r="F1608" s="1"/>
      <c r="BB1608" s="16">
        <f>IF($B$1603=$AF$1601,AC$1601*AC1607,IF($B$1603=$AF$1602,AC1607*AC$1602,IF($B$1603=$AF$1603,AC1607*AC$1603,IF($B$1603=$AF$1604,AC1607*AC$1604,IF($B$1603=$AF$1605,AC1607*AC$1605,"")))))</f>
        <v>35.199999999999996</v>
      </c>
      <c r="BD1608" s="642">
        <f>IF($B$1603=$AF$1601,AC$1601*AE1607,IF($B$1603=$AF$1602,AE1607*AC$1602,IF($B$1603=$AF$1603,AE1607*AC$1603,IF($B$1603=$AF$1604,AE1607*AC$1604,IF($B$1603=$AF$1605,AE1607*AC$1605,"")))))</f>
        <v>42900</v>
      </c>
      <c r="BE1608" s="643"/>
      <c r="BF1608" s="643"/>
    </row>
    <row r="1609" spans="1:84" ht="9" customHeight="1" x14ac:dyDescent="0.3">
      <c r="A1609" s="400"/>
      <c r="B1609" s="405"/>
      <c r="C1609" s="405"/>
      <c r="D1609" s="405"/>
      <c r="E1609" s="57"/>
      <c r="F1609" s="1"/>
      <c r="BD1609" s="16"/>
      <c r="BE1609" s="80"/>
      <c r="BF1609" s="80"/>
    </row>
    <row r="1610" spans="1:84" ht="14.4" customHeight="1" x14ac:dyDescent="0.3">
      <c r="A1610" s="400">
        <v>2</v>
      </c>
      <c r="B1610" s="401" t="str">
        <f>AM1610</f>
        <v>0.016% to 0.062%</v>
      </c>
      <c r="C1610" s="637" t="str">
        <f>IF(OR($B$1601="",$B$1603=""),"",BO1610)</f>
        <v>applied to prison population totals 352 to 1,364. This represents over 100% to over 100% cleared cases.</v>
      </c>
      <c r="D1610" s="637"/>
      <c r="E1610" s="57"/>
      <c r="F1610" s="1"/>
      <c r="AC1610" s="644">
        <v>1.6000000000000001E-4</v>
      </c>
      <c r="AD1610" s="645"/>
      <c r="AE1610" s="640">
        <v>6.2E-4</v>
      </c>
      <c r="AF1610" s="641"/>
      <c r="AH1610" s="646" t="str">
        <f>TEXT(AC1610,"0.000%")</f>
        <v>0.016%</v>
      </c>
      <c r="AI1610" s="609"/>
      <c r="AJ1610" s="646" t="str">
        <f>TEXT(AE1610,"0.000%")</f>
        <v>0.062%</v>
      </c>
      <c r="AK1610" s="609"/>
      <c r="AM1610" s="56" t="str">
        <f>CONCATENATE(AH1610," to ",AJ1610)</f>
        <v>0.016% to 0.062%</v>
      </c>
      <c r="AR1610" s="56" t="str">
        <f>CONCATENATE($AU$1600,$AX$1600,$BD$1600,$BF$1600)</f>
        <v xml:space="preserve">applied to prison population totals </v>
      </c>
      <c r="BB1610" s="411">
        <f>ROUND(BB1611,0)</f>
        <v>352</v>
      </c>
      <c r="BC1610" s="56" t="s">
        <v>976</v>
      </c>
      <c r="BD1610" s="650" t="str">
        <f>IF(BD1611&lt;1000,TEXT(BD1611,"000"),TEXT(ROUND(BD1611,0),"0,000"))</f>
        <v>1,364</v>
      </c>
      <c r="BE1610" s="651"/>
      <c r="BF1610" s="651"/>
      <c r="BG1610" s="56" t="s">
        <v>977</v>
      </c>
      <c r="BH1610" s="403" t="str">
        <f>IF($B$1601&gt;BB1610,"over 100%",TEXT($B$1601/BB1610,"00.00%"))</f>
        <v>over 100%</v>
      </c>
      <c r="BI1610" s="56" t="s">
        <v>976</v>
      </c>
      <c r="BJ1610" s="403" t="str">
        <f>IF(B1601&gt;BD1611,"over 100%",TEXT($B$1601/BD1610,"0.00%"))</f>
        <v>over 100%</v>
      </c>
      <c r="BK1610" s="56" t="s">
        <v>978</v>
      </c>
      <c r="BO1610" s="390" t="str">
        <f>CONCATENATE(AR1610,BB1610,BC1610,BD1610,BG1610,BH1610,BI1610,BJ1610,BK1610)</f>
        <v>applied to prison population totals 352 to 1,364. This represents over 100% to over 100% cleared cases.</v>
      </c>
      <c r="BP1610" s="390"/>
      <c r="BQ1610" s="390"/>
      <c r="BR1610" s="390"/>
      <c r="BS1610" s="390"/>
      <c r="BT1610" s="390"/>
      <c r="BU1610" s="390"/>
      <c r="BV1610" s="390"/>
      <c r="BW1610" s="390"/>
      <c r="BX1610" s="390"/>
      <c r="BY1610" s="390"/>
      <c r="BZ1610" s="390"/>
      <c r="CA1610" s="390"/>
      <c r="CB1610" s="390"/>
      <c r="CC1610" s="390"/>
      <c r="CD1610" s="390"/>
      <c r="CE1610" s="390"/>
      <c r="CF1610" s="390"/>
    </row>
    <row r="1611" spans="1:84" ht="14.4" x14ac:dyDescent="0.3">
      <c r="A1611" s="404"/>
      <c r="B1611" s="404" t="s">
        <v>980</v>
      </c>
      <c r="C1611" s="637"/>
      <c r="D1611" s="637"/>
      <c r="E1611" s="404"/>
      <c r="F1611" s="1"/>
      <c r="BB1611" s="406">
        <f>IF($B$1603=$AF$1601,AC$1601*AC1610,IF($B$1603=$AF$1602,AC1610*AC$1602,IF($B$1603=$AF$1603,AC1610*AC$1603,IF($B$1603=$AF$1604,AC1610*AC$1604,IF($B$1603=$AF$1605,AC1610*AC$1605,"")))))</f>
        <v>352.00000000000006</v>
      </c>
      <c r="BD1611" s="642">
        <f>IF($B$1603=$AF$1601,AC$1601*AE1610,IF($B$1603=$AF$1602,AE1610*AC$1602,IF($B$1603=$AF$1603,AE1610*AC$1603,IF($B$1603=$AF$1604,AE1610*AC$1604,IF($B$1603=$AF$1605,AE1610*AC$1605,"")))))</f>
        <v>1364</v>
      </c>
      <c r="BE1611" s="643"/>
      <c r="BF1611" s="643"/>
    </row>
    <row r="1612" spans="1:84" ht="9" customHeight="1" x14ac:dyDescent="0.3">
      <c r="A1612" s="400"/>
      <c r="B1612" s="57"/>
      <c r="C1612" s="57"/>
      <c r="D1612" s="57"/>
      <c r="E1612" s="57"/>
      <c r="F1612" s="1"/>
      <c r="BD1612" s="16"/>
      <c r="BE1612" s="80"/>
      <c r="BF1612" s="80"/>
    </row>
    <row r="1613" spans="1:84" ht="14.4" customHeight="1" x14ac:dyDescent="0.3">
      <c r="A1613" s="400">
        <v>3</v>
      </c>
      <c r="B1613" s="401" t="str">
        <f>AM1613</f>
        <v>0.027%</v>
      </c>
      <c r="C1613" s="637" t="str">
        <f>IF(OR($B$1601="",$B$1603=""),"",BO1613)</f>
        <v>applied to prison population totals 594. This represents over 100% cleared cases.</v>
      </c>
      <c r="D1613" s="637"/>
      <c r="E1613" s="57"/>
      <c r="F1613" s="1"/>
      <c r="AC1613" s="644">
        <v>2.7E-4</v>
      </c>
      <c r="AD1613" s="645"/>
      <c r="AH1613" s="646" t="str">
        <f>TEXT(AC1613,"0.000%")</f>
        <v>0.027%</v>
      </c>
      <c r="AI1613" s="609"/>
      <c r="AM1613" s="56" t="str">
        <f>CONCATENATE(AH1613,AJ1613)</f>
        <v>0.027%</v>
      </c>
      <c r="AR1613" s="56" t="str">
        <f>CONCATENATE($AU$1600,$AX$1600,$BD$1600,$BF$1600)</f>
        <v xml:space="preserve">applied to prison population totals </v>
      </c>
      <c r="BB1613" s="411">
        <f>ROUND(BB1614,0)</f>
        <v>594</v>
      </c>
      <c r="BD1613" s="634"/>
      <c r="BE1613" s="647"/>
      <c r="BF1613" s="647"/>
      <c r="BG1613" s="56" t="s">
        <v>977</v>
      </c>
      <c r="BH1613" s="403" t="str">
        <f>IF($B$1601&gt;BB1613,"over 100%",TEXT($B$1601/BB1613,"00.00%"))</f>
        <v>over 100%</v>
      </c>
      <c r="BJ1613" s="403"/>
      <c r="BK1613" s="56" t="s">
        <v>978</v>
      </c>
      <c r="BO1613" s="390" t="str">
        <f>CONCATENATE(AR1613,BB1613,BC1613,BD1613,BG1613,BH1613,BI1613,BJ1613,BK1613)</f>
        <v>applied to prison population totals 594. This represents over 100% cleared cases.</v>
      </c>
      <c r="BP1613" s="390"/>
      <c r="BQ1613" s="390"/>
      <c r="BR1613" s="390"/>
      <c r="BS1613" s="390"/>
      <c r="BT1613" s="390"/>
      <c r="BU1613" s="390"/>
      <c r="BV1613" s="390"/>
      <c r="BW1613" s="390"/>
      <c r="BX1613" s="390"/>
      <c r="BY1613" s="390"/>
      <c r="BZ1613" s="390"/>
      <c r="CA1613" s="390"/>
      <c r="CB1613" s="390"/>
      <c r="CC1613" s="390"/>
      <c r="CD1613" s="390"/>
      <c r="CE1613" s="390"/>
      <c r="CF1613" s="390"/>
    </row>
    <row r="1614" spans="1:84" ht="14.4" x14ac:dyDescent="0.3">
      <c r="A1614" s="404"/>
      <c r="B1614" s="404" t="s">
        <v>981</v>
      </c>
      <c r="C1614" s="637"/>
      <c r="D1614" s="637"/>
      <c r="E1614" s="57"/>
      <c r="F1614" s="1"/>
      <c r="AC1614" s="407"/>
      <c r="AD1614" s="408"/>
      <c r="AH1614" s="409"/>
      <c r="AI1614" s="410"/>
      <c r="BB1614" s="406">
        <f>IF($B$1603=$AF$1601,AC$1601*AC1613,IF($B$1603=$AF$1602,AC1613*AC$1602,IF($B$1603=$AF$1603,AC1613*AC$1603,IF($B$1603=$AF$1604,AC1613*AC$1604,IF($B$1603=$AF$1605,AC1613*AC$1605,"")))))</f>
        <v>594</v>
      </c>
      <c r="BD1614" s="648"/>
      <c r="BE1614" s="649"/>
      <c r="BF1614" s="649"/>
    </row>
    <row r="1615" spans="1:84" ht="9" customHeight="1" x14ac:dyDescent="0.25">
      <c r="A1615" s="400"/>
      <c r="B1615" s="57"/>
      <c r="C1615" s="57"/>
      <c r="D1615" s="57"/>
      <c r="E1615" s="57"/>
      <c r="F1615" s="1"/>
    </row>
    <row r="1616" spans="1:84" ht="14.4" customHeight="1" x14ac:dyDescent="0.3">
      <c r="A1616" s="400">
        <v>4</v>
      </c>
      <c r="B1616" s="401" t="str">
        <f>AM1616</f>
        <v>0.5% to 1%</v>
      </c>
      <c r="C1616" s="637" t="str">
        <f>IF(OR($B$1601="",$B$1603=""),"",BO1616)</f>
        <v>applied to prison population totals 11,000 to 22,000. This represents 25.30% to over 100% cleared cases.</v>
      </c>
      <c r="D1616" s="637"/>
      <c r="E1616" s="57"/>
      <c r="F1616" s="1"/>
      <c r="AC1616" s="412">
        <v>5.0000000000000001E-3</v>
      </c>
      <c r="AD1616" s="154"/>
      <c r="AE1616" s="412">
        <v>0.01</v>
      </c>
      <c r="AH1616" s="646" t="str">
        <f>TEXT(AC1616,"0.0%")</f>
        <v>0.5%</v>
      </c>
      <c r="AI1616" s="609"/>
      <c r="AJ1616" s="646" t="str">
        <f>TEXT(AE1616,"0%")</f>
        <v>1%</v>
      </c>
      <c r="AK1616" s="609"/>
      <c r="AM1616" s="56" t="str">
        <f>CONCATENATE(AH1616," to ",AJ1616)</f>
        <v>0.5% to 1%</v>
      </c>
      <c r="AR1616" s="56" t="str">
        <f>CONCATENATE($AU$1600,$AX$1600,$BD$1600,$BF$1600)</f>
        <v xml:space="preserve">applied to prison population totals </v>
      </c>
      <c r="BB1616" s="411" t="str">
        <f>TEXT(BB1617,"00,000")</f>
        <v>11,000</v>
      </c>
      <c r="BC1616" s="56" t="s">
        <v>976</v>
      </c>
      <c r="BD1616" s="634" t="str">
        <f>TEXT(ROUND(BD1617,0),"00,000")</f>
        <v>22,000</v>
      </c>
      <c r="BE1616" s="647"/>
      <c r="BF1616" s="647"/>
      <c r="BG1616" s="56" t="s">
        <v>977</v>
      </c>
      <c r="BH1616" s="403" t="str">
        <f>IF($B$1601&gt;BB1616,"over 100%",TEXT($B$1601/BB1616,"00.00%"))</f>
        <v>25.30%</v>
      </c>
      <c r="BI1616" s="56" t="s">
        <v>976</v>
      </c>
      <c r="BJ1616" s="403" t="str">
        <f>IF(B1607&gt;BD1617,"over 100%",TEXT($B$1601/BD1616,"0.00%"))</f>
        <v>over 100%</v>
      </c>
      <c r="BK1616" s="56" t="s">
        <v>978</v>
      </c>
      <c r="BO1616" s="390" t="str">
        <f>CONCATENATE(AR1616,BB1616,BC1616,BD1616,BG1616,BH1616,BI1616,BJ1616,BK1616)</f>
        <v>applied to prison population totals 11,000 to 22,000. This represents 25.30% to over 100% cleared cases.</v>
      </c>
      <c r="BP1616" s="390"/>
      <c r="BQ1616" s="390"/>
      <c r="BR1616" s="390"/>
      <c r="BS1616" s="390"/>
      <c r="BT1616" s="390"/>
      <c r="BU1616" s="390"/>
      <c r="BV1616" s="390"/>
      <c r="BW1616" s="390"/>
      <c r="BX1616" s="390"/>
      <c r="BY1616" s="390"/>
      <c r="BZ1616" s="390"/>
      <c r="CA1616" s="390"/>
      <c r="CB1616" s="390"/>
      <c r="CC1616" s="390"/>
      <c r="CD1616" s="390"/>
      <c r="CE1616" s="390"/>
      <c r="CF1616" s="390"/>
    </row>
    <row r="1617" spans="1:84" ht="14.4" x14ac:dyDescent="0.3">
      <c r="A1617" s="404"/>
      <c r="B1617" s="404" t="s">
        <v>982</v>
      </c>
      <c r="C1617" s="637"/>
      <c r="D1617" s="637"/>
      <c r="E1617" s="57"/>
      <c r="F1617" s="1"/>
      <c r="AE1617" s="412"/>
      <c r="AH1617" s="409"/>
      <c r="AI1617" s="410"/>
      <c r="BB1617" s="406">
        <f>IF($B$1603=$AF$1601,AC$1601*AC1616,IF($B$1603=$AF$1602,AC1616*AC$1602,IF($B$1603=$AF$1603,AC1616*AC$1603,IF($B$1603=$AF$1604,AC1616*AC$1604,IF($B$1603=$AF$1605,AC1616*AC$1605,"")))))</f>
        <v>11000</v>
      </c>
      <c r="BD1617" s="642">
        <f>IF($B$1603=$AF$1601,AC$1601*AE1616,IF($B$1603=$AF$1602,AE1616*AC$1602,IF($B$1603=$AF$1603,AE1616*AC$1603,IF($B$1603=$AF$1604,AE1616*AC$1604,IF($B$1603=$AF$1605,AE1616*AC$1605,"")))))</f>
        <v>22000</v>
      </c>
      <c r="BE1617" s="643"/>
      <c r="BF1617" s="643"/>
    </row>
    <row r="1618" spans="1:84" ht="9" customHeight="1" x14ac:dyDescent="0.25">
      <c r="A1618" s="400"/>
      <c r="B1618" s="57"/>
      <c r="C1618" s="57"/>
      <c r="D1618" s="57"/>
      <c r="E1618" s="57"/>
      <c r="F1618" s="1"/>
      <c r="AE1618" s="412"/>
    </row>
    <row r="1619" spans="1:84" ht="14.4" customHeight="1" x14ac:dyDescent="0.3">
      <c r="A1619" s="400">
        <v>5</v>
      </c>
      <c r="B1619" s="401" t="str">
        <f>AM1619</f>
        <v>0.5% to 3%</v>
      </c>
      <c r="C1619" s="637" t="str">
        <f>IF(OR($B$1601="",$B$1603=""),"",BO1619)</f>
        <v>applied to prison population totals 11,000 to 66,000. This represents 25.30% to over 100% cleared cases.</v>
      </c>
      <c r="D1619" s="637"/>
      <c r="E1619" s="57"/>
      <c r="F1619" s="1"/>
      <c r="AC1619" s="412">
        <v>5.0000000000000001E-3</v>
      </c>
      <c r="AE1619" s="412">
        <v>0.03</v>
      </c>
      <c r="AH1619" s="646" t="str">
        <f>TEXT(AC1619,"0.0%")</f>
        <v>0.5%</v>
      </c>
      <c r="AI1619" s="609"/>
      <c r="AJ1619" s="646" t="str">
        <f>TEXT(AE1619,"0%")</f>
        <v>3%</v>
      </c>
      <c r="AK1619" s="609"/>
      <c r="AM1619" s="56" t="str">
        <f>CONCATENATE(AH1619," to ",AJ1619)</f>
        <v>0.5% to 3%</v>
      </c>
      <c r="AR1619" s="56" t="str">
        <f>CONCATENATE($AU$1600,$AX$1600,$BD$1600,$BF$1600)</f>
        <v xml:space="preserve">applied to prison population totals </v>
      </c>
      <c r="BB1619" s="411" t="str">
        <f>TEXT(BB1620,"00,000")</f>
        <v>11,000</v>
      </c>
      <c r="BC1619" s="56" t="s">
        <v>976</v>
      </c>
      <c r="BD1619" s="634" t="str">
        <f>TEXT(ROUND(BD1620,0),"00,000")</f>
        <v>66,000</v>
      </c>
      <c r="BE1619" s="647"/>
      <c r="BF1619" s="647"/>
      <c r="BG1619" s="56" t="s">
        <v>977</v>
      </c>
      <c r="BH1619" s="403" t="str">
        <f>IF($B$1601&gt;BB1619,"over 100%",TEXT($B$1601/BB1619,"00.00%"))</f>
        <v>25.30%</v>
      </c>
      <c r="BI1619" s="56" t="s">
        <v>976</v>
      </c>
      <c r="BJ1619" s="403" t="str">
        <f>IF(B1610&gt;BD1620,"over 100%",TEXT($B$1601/BD1619,"0.00%"))</f>
        <v>over 100%</v>
      </c>
      <c r="BK1619" s="56" t="s">
        <v>978</v>
      </c>
      <c r="BO1619" s="390" t="str">
        <f>CONCATENATE(AR1619,BB1619,BC1619,BD1619,BG1619,BH1619,BI1619,BJ1619,BK1619)</f>
        <v>applied to prison population totals 11,000 to 66,000. This represents 25.30% to over 100% cleared cases.</v>
      </c>
      <c r="BP1619" s="390"/>
      <c r="BQ1619" s="390"/>
      <c r="BR1619" s="390"/>
      <c r="BS1619" s="390"/>
      <c r="BT1619" s="390"/>
      <c r="BU1619" s="390"/>
      <c r="BV1619" s="390"/>
      <c r="BW1619" s="390"/>
      <c r="BX1619" s="390"/>
      <c r="BY1619" s="390"/>
      <c r="BZ1619" s="390"/>
      <c r="CA1619" s="390"/>
      <c r="CB1619" s="390"/>
      <c r="CC1619" s="390"/>
      <c r="CD1619" s="390"/>
      <c r="CE1619" s="390"/>
      <c r="CF1619" s="390"/>
    </row>
    <row r="1620" spans="1:84" ht="14.4" x14ac:dyDescent="0.3">
      <c r="A1620" s="404"/>
      <c r="B1620" s="404" t="s">
        <v>983</v>
      </c>
      <c r="C1620" s="637"/>
      <c r="D1620" s="637"/>
      <c r="E1620" s="57"/>
      <c r="F1620" s="1"/>
      <c r="AC1620" s="412"/>
      <c r="AE1620" s="412"/>
      <c r="AH1620" s="409"/>
      <c r="AI1620" s="410"/>
      <c r="BB1620" s="406">
        <f>IF($B$1603=$AF$1601,AC$1601*AC1619,IF($B$1603=$AF$1602,AC1619*AC$1602,IF($B$1603=$AF$1603,AC1619*AC$1603,IF($B$1603=$AF$1604,AC1619*AC$1604,IF($B$1603=$AF$1605,AC1619*AC$1605,"")))))</f>
        <v>11000</v>
      </c>
      <c r="BD1620" s="642">
        <f>IF($B$1603=$AF$1601,AC$1601*AE1619,IF($B$1603=$AF$1602,AE1619*AC$1602,IF($B$1603=$AF$1603,AE1619*AC$1603,IF($B$1603=$AF$1604,AE1619*AC$1604,IF($B$1603=$AF$1605,AE1619*AC$1605,"")))))</f>
        <v>66000</v>
      </c>
      <c r="BE1620" s="643"/>
      <c r="BF1620" s="643"/>
    </row>
    <row r="1621" spans="1:84" ht="9" customHeight="1" x14ac:dyDescent="0.25">
      <c r="A1621" s="400"/>
      <c r="B1621" s="57"/>
      <c r="C1621" s="57"/>
      <c r="D1621" s="57"/>
      <c r="E1621" s="57"/>
      <c r="F1621" s="1"/>
      <c r="AC1621" s="412"/>
      <c r="AE1621" s="412"/>
    </row>
    <row r="1622" spans="1:84" ht="14.4" customHeight="1" x14ac:dyDescent="0.3">
      <c r="A1622" s="400">
        <v>6</v>
      </c>
      <c r="B1622" s="401" t="str">
        <f>AM1622</f>
        <v>2.3%</v>
      </c>
      <c r="C1622" s="637" t="str">
        <f>IF(OR($B$1601="",$B$1603=""),"",BO1622)</f>
        <v>applied to prison population totals 50,600. This represents 5.50% cleared cases.</v>
      </c>
      <c r="D1622" s="637"/>
      <c r="E1622" s="57"/>
      <c r="F1622" s="1"/>
      <c r="AC1622" s="412">
        <v>2.3E-2</v>
      </c>
      <c r="AE1622" s="412"/>
      <c r="AH1622" s="646" t="str">
        <f>TEXT(AC1622,"0.0%")</f>
        <v>2.3%</v>
      </c>
      <c r="AI1622" s="609"/>
      <c r="AM1622" s="56" t="str">
        <f>CONCATENATE(AH1622,AJ1622)</f>
        <v>2.3%</v>
      </c>
      <c r="AR1622" s="56" t="str">
        <f>CONCATENATE($AU$1600,$AX$1600,$BD$1600,$BF$1600)</f>
        <v xml:space="preserve">applied to prison population totals </v>
      </c>
      <c r="BB1622" s="411" t="str">
        <f>TEXT(BB1623,"00,000")</f>
        <v>50,600</v>
      </c>
      <c r="BG1622" s="56" t="s">
        <v>977</v>
      </c>
      <c r="BH1622" s="403" t="str">
        <f>IF($B$1601&gt;BB1622,"over 100%",TEXT($B$1601/BB1622,"0.00%"))</f>
        <v>5.50%</v>
      </c>
      <c r="BK1622" s="56" t="s">
        <v>978</v>
      </c>
      <c r="BO1622" s="390" t="str">
        <f>CONCATENATE(AR1622,BB1622,BC1622,BD1622,BG1622,BH1622,BI1622,BJ1622,BK1622)</f>
        <v>applied to prison population totals 50,600. This represents 5.50% cleared cases.</v>
      </c>
      <c r="BP1622" s="390"/>
      <c r="BQ1622" s="390"/>
      <c r="BR1622" s="390"/>
      <c r="BS1622" s="390"/>
      <c r="BT1622" s="390"/>
      <c r="BU1622" s="390"/>
      <c r="BV1622" s="390"/>
      <c r="BW1622" s="390"/>
      <c r="BX1622" s="390"/>
      <c r="BY1622" s="390"/>
      <c r="BZ1622" s="390"/>
      <c r="CA1622" s="390"/>
      <c r="CB1622" s="390"/>
      <c r="CC1622" s="390"/>
      <c r="CD1622" s="390"/>
      <c r="CE1622" s="390"/>
      <c r="CF1622" s="390"/>
    </row>
    <row r="1623" spans="1:84" ht="14.4" x14ac:dyDescent="0.3">
      <c r="A1623" s="404"/>
      <c r="B1623" s="404" t="s">
        <v>984</v>
      </c>
      <c r="C1623" s="637"/>
      <c r="D1623" s="637"/>
      <c r="E1623" s="57"/>
      <c r="F1623" s="1"/>
      <c r="AC1623" s="412"/>
      <c r="AE1623" s="412"/>
      <c r="AH1623" s="409"/>
      <c r="AI1623" s="410"/>
      <c r="BB1623" s="406">
        <f>IF($B$1603=$AF$1601,AC$1601*AC1622,IF($B$1603=$AF$1602,AC1622*AC$1602,IF($B$1603=$AF$1603,AC1622*AC$1603,IF($B$1603=$AF$1604,AC1622*AC$1604,IF($B$1603=$AF$1605,AC1622*AC$1605,"")))))</f>
        <v>50600</v>
      </c>
    </row>
    <row r="1624" spans="1:84" ht="9" customHeight="1" x14ac:dyDescent="0.25">
      <c r="A1624" s="400"/>
      <c r="B1624" s="57"/>
      <c r="C1624" s="57"/>
      <c r="D1624" s="57"/>
      <c r="E1624" s="57"/>
      <c r="F1624" s="1"/>
      <c r="AC1624" s="412"/>
      <c r="AE1624" s="412"/>
    </row>
    <row r="1625" spans="1:84" ht="14.4" customHeight="1" x14ac:dyDescent="0.3">
      <c r="A1625" s="400">
        <v>7</v>
      </c>
      <c r="B1625" s="401" t="str">
        <f>AM1625</f>
        <v>3.3% to 5.0%</v>
      </c>
      <c r="C1625" s="637" t="str">
        <f>IF(OR($B$1601="",$B$1603=""),"",BO1625)</f>
        <v>applied to prison population totals 72,600 to 110,000. This represents 3.83% to 2.53% cleared cases.</v>
      </c>
      <c r="D1625" s="637"/>
      <c r="E1625" s="57"/>
      <c r="F1625" s="1"/>
      <c r="AC1625" s="412">
        <v>3.3000000000000002E-2</v>
      </c>
      <c r="AE1625" s="412">
        <v>0.05</v>
      </c>
      <c r="AH1625" s="646" t="str">
        <f>TEXT(AC1625,"0.0%")</f>
        <v>3.3%</v>
      </c>
      <c r="AI1625" s="609"/>
      <c r="AJ1625" s="646" t="str">
        <f>TEXT(AE1625,"0.0%")</f>
        <v>5.0%</v>
      </c>
      <c r="AK1625" s="609"/>
      <c r="AM1625" s="56" t="str">
        <f>CONCATENATE(AH1625," to ",AJ1625)</f>
        <v>3.3% to 5.0%</v>
      </c>
      <c r="AR1625" s="56" t="str">
        <f>CONCATENATE($AU$1600,$AX$1600,$BD$1600,$BF$1600)</f>
        <v xml:space="preserve">applied to prison population totals </v>
      </c>
      <c r="BB1625" s="411" t="str">
        <f>TEXT(BB1626,"00,000")</f>
        <v>72,600</v>
      </c>
      <c r="BC1625" s="56" t="s">
        <v>976</v>
      </c>
      <c r="BD1625" s="634" t="str">
        <f>TEXT(ROUND(BD1626,0),"00,000")</f>
        <v>110,000</v>
      </c>
      <c r="BE1625" s="647"/>
      <c r="BF1625" s="647"/>
      <c r="BG1625" s="56" t="s">
        <v>977</v>
      </c>
      <c r="BH1625" s="403" t="str">
        <f>IF($B$1601&gt;BB1625,"over 100%",TEXT($B$1601/BB1625,"0.00%"))</f>
        <v>3.83%</v>
      </c>
      <c r="BI1625" s="56" t="s">
        <v>976</v>
      </c>
      <c r="BJ1625" s="403" t="str">
        <f>IF($B$1601&gt;BD1625,"over 100%",TEXT($B$1601/BD1625,"0.00%"))</f>
        <v>2.53%</v>
      </c>
      <c r="BK1625" s="56" t="s">
        <v>978</v>
      </c>
      <c r="BO1625" s="390" t="str">
        <f>CONCATENATE(AR1625,BB1625,BC1625,BD1625,BG1625,BH1625,BI1625,BJ1625,BK1625)</f>
        <v>applied to prison population totals 72,600 to 110,000. This represents 3.83% to 2.53% cleared cases.</v>
      </c>
      <c r="BP1625" s="390"/>
      <c r="BQ1625" s="390"/>
      <c r="BR1625" s="390"/>
      <c r="BS1625" s="390"/>
      <c r="BT1625" s="390"/>
      <c r="BU1625" s="390"/>
      <c r="BV1625" s="390"/>
      <c r="BW1625" s="390"/>
      <c r="BX1625" s="390"/>
      <c r="BY1625" s="390"/>
      <c r="BZ1625" s="390"/>
      <c r="CA1625" s="390"/>
      <c r="CB1625" s="390"/>
      <c r="CC1625" s="390"/>
      <c r="CD1625" s="390"/>
      <c r="CE1625" s="390"/>
      <c r="CF1625" s="390"/>
    </row>
    <row r="1626" spans="1:84" ht="14.4" x14ac:dyDescent="0.3">
      <c r="A1626" s="404"/>
      <c r="B1626" s="404" t="s">
        <v>985</v>
      </c>
      <c r="C1626" s="637"/>
      <c r="D1626" s="637"/>
      <c r="E1626" s="57"/>
      <c r="F1626" s="1"/>
      <c r="AC1626" s="412"/>
      <c r="AE1626" s="412"/>
      <c r="AH1626" s="409"/>
      <c r="AI1626" s="410"/>
      <c r="BB1626" s="406">
        <f>IF($B$1603=$AF$1601,AC$1601*AC1625,IF($B$1603=$AF$1602,AC1625*AC$1602,IF($B$1603=$AF$1603,AC1625*AC$1603,IF($B$1603=$AF$1604,AC1625*AC$1604,IF($B$1603=$AF$1605,AC1625*AC$1605,"")))))</f>
        <v>72600</v>
      </c>
      <c r="BD1626" s="642">
        <f>IF($B$1603=$AF$1601,AC$1601*AE1625,IF($B$1603=$AF$1602,AE1625*AC$1602,IF($B$1603=$AF$1603,AE1625*AC$1603,IF($B$1603=$AF$1604,AE1625*AC$1604,IF($B$1603=$AF$1605,AE1625*AC$1605,"")))))</f>
        <v>110000</v>
      </c>
      <c r="BE1626" s="643"/>
      <c r="BF1626" s="643"/>
    </row>
    <row r="1627" spans="1:84" ht="9" customHeight="1" x14ac:dyDescent="0.25">
      <c r="A1627" s="400"/>
      <c r="B1627" s="57"/>
      <c r="C1627" s="57"/>
      <c r="D1627" s="57"/>
      <c r="E1627" s="57"/>
      <c r="F1627" s="1"/>
      <c r="AC1627" s="412"/>
      <c r="AE1627" s="412"/>
    </row>
    <row r="1628" spans="1:84" ht="14.4" customHeight="1" x14ac:dyDescent="0.3">
      <c r="A1628" s="400">
        <v>8</v>
      </c>
      <c r="B1628" s="401" t="str">
        <f>AM1628</f>
        <v>4.1%</v>
      </c>
      <c r="C1628" s="637" t="str">
        <f>IF(OR($B$1601="",$B$1603=""),"",BO1628)</f>
        <v>applied to prison population totals 90,200. This represents 3.09% cleared cases.</v>
      </c>
      <c r="D1628" s="637"/>
      <c r="E1628" s="57"/>
      <c r="F1628" s="1"/>
      <c r="AC1628" s="412">
        <v>4.1000000000000002E-2</v>
      </c>
      <c r="AE1628" s="412"/>
      <c r="AH1628" s="646" t="str">
        <f>TEXT(AC1628,"0.0%")</f>
        <v>4.1%</v>
      </c>
      <c r="AI1628" s="609"/>
      <c r="AM1628" s="56" t="str">
        <f>CONCATENATE(AH1628,AJ1628)</f>
        <v>4.1%</v>
      </c>
      <c r="AR1628" s="56" t="str">
        <f>CONCATENATE($AU$1600,$AX$1600,$BD$1600,$BF$1600)</f>
        <v xml:space="preserve">applied to prison population totals </v>
      </c>
      <c r="BB1628" s="411" t="str">
        <f>TEXT(BB1629,"00,000")</f>
        <v>90,200</v>
      </c>
      <c r="BG1628" s="56" t="s">
        <v>977</v>
      </c>
      <c r="BH1628" s="403" t="str">
        <f>IF($B$1601&gt;BB1628,"over 100%",TEXT($B$1601/BB1628,"0.00%"))</f>
        <v>3.09%</v>
      </c>
      <c r="BK1628" s="56" t="s">
        <v>978</v>
      </c>
      <c r="BO1628" s="390" t="str">
        <f>CONCATENATE(AR1628,BB1628,BC1628,BD1628,BG1628,BH1628,BI1628,BJ1628,BK1628)</f>
        <v>applied to prison population totals 90,200. This represents 3.09% cleared cases.</v>
      </c>
      <c r="BP1628" s="390"/>
      <c r="BQ1628" s="390"/>
      <c r="BR1628" s="390"/>
      <c r="BS1628" s="390"/>
      <c r="BT1628" s="390"/>
      <c r="BU1628" s="390"/>
      <c r="BV1628" s="390"/>
      <c r="BW1628" s="390"/>
      <c r="BX1628" s="390"/>
      <c r="BY1628" s="390"/>
      <c r="BZ1628" s="390"/>
      <c r="CA1628" s="390"/>
      <c r="CB1628" s="390"/>
      <c r="CC1628" s="390"/>
      <c r="CD1628" s="390"/>
      <c r="CE1628" s="390"/>
      <c r="CF1628" s="390"/>
    </row>
    <row r="1629" spans="1:84" ht="14.4" x14ac:dyDescent="0.3">
      <c r="A1629" s="404"/>
      <c r="B1629" s="404" t="s">
        <v>986</v>
      </c>
      <c r="C1629" s="637"/>
      <c r="D1629" s="637"/>
      <c r="E1629" s="57"/>
      <c r="F1629" s="1"/>
      <c r="AC1629" s="412"/>
      <c r="AE1629" s="412"/>
      <c r="AH1629" s="409"/>
      <c r="AI1629" s="410"/>
      <c r="BB1629" s="406">
        <f>IF($B$1603=$AF$1601,AC$1601*AC1628,IF($B$1603=$AF$1602,AC1628*AC$1602,IF($B$1603=$AF$1603,AC1628*AC$1603,IF($B$1603=$AF$1604,AC1628*AC$1604,IF($B$1603=$AF$1605,AC1628*AC$1605,"")))))</f>
        <v>90200</v>
      </c>
    </row>
    <row r="1630" spans="1:84" ht="9" customHeight="1" x14ac:dyDescent="0.25">
      <c r="A1630" s="400"/>
      <c r="B1630" s="57"/>
      <c r="C1630" s="57"/>
      <c r="D1630" s="57"/>
      <c r="E1630" s="57"/>
      <c r="F1630" s="1"/>
      <c r="AC1630" s="412"/>
      <c r="AE1630" s="412"/>
    </row>
    <row r="1631" spans="1:84" ht="14.4" customHeight="1" x14ac:dyDescent="0.3">
      <c r="A1631" s="400">
        <v>9</v>
      </c>
      <c r="B1631" s="401" t="str">
        <f>AM1631</f>
        <v>5% to 15.4%</v>
      </c>
      <c r="C1631" s="637" t="str">
        <f>IF(OR($B$1601="",$B$1603=""),"",BO1631)</f>
        <v>applied to prison population totals 110,000 to 338,800. This represents 2.53% to 0.82% cleared cases.</v>
      </c>
      <c r="D1631" s="637"/>
      <c r="E1631" s="57"/>
      <c r="F1631" s="1"/>
      <c r="AC1631" s="412">
        <v>0.05</v>
      </c>
      <c r="AE1631" s="412">
        <v>0.154</v>
      </c>
      <c r="AH1631" s="646" t="str">
        <f>TEXT(AC1631,"0%")</f>
        <v>5%</v>
      </c>
      <c r="AI1631" s="609"/>
      <c r="AJ1631" s="646" t="str">
        <f>TEXT(AE1631,"0.0%")</f>
        <v>15.4%</v>
      </c>
      <c r="AK1631" s="609"/>
      <c r="AM1631" s="56" t="str">
        <f>CONCATENATE(AH1631," to ",AJ1631)</f>
        <v>5% to 15.4%</v>
      </c>
      <c r="AR1631" s="56" t="str">
        <f>CONCATENATE($AU$1600,$AX$1600,$BD$1600,$BF$1600)</f>
        <v xml:space="preserve">applied to prison population totals </v>
      </c>
      <c r="BB1631" s="411" t="str">
        <f>TEXT(BB1632,"00,000")</f>
        <v>110,000</v>
      </c>
      <c r="BC1631" s="56" t="s">
        <v>976</v>
      </c>
      <c r="BD1631" s="634" t="str">
        <f>TEXT(ROUND(BD1632,0),"00,000")</f>
        <v>338,800</v>
      </c>
      <c r="BE1631" s="647"/>
      <c r="BF1631" s="647"/>
      <c r="BG1631" s="56" t="s">
        <v>977</v>
      </c>
      <c r="BH1631" s="403" t="str">
        <f>IF($B$1601&gt;BB1631,"over 100%",TEXT($B$1601/BB1631,"0.00%"))</f>
        <v>2.53%</v>
      </c>
      <c r="BI1631" s="56" t="s">
        <v>976</v>
      </c>
      <c r="BJ1631" s="403" t="str">
        <f>IF($B$1601&gt;BD1631,"over 100%",TEXT($B$1601/BD1631,"0.00%"))</f>
        <v>0.82%</v>
      </c>
      <c r="BK1631" s="56" t="s">
        <v>978</v>
      </c>
      <c r="BO1631" s="390" t="str">
        <f>CONCATENATE(AR1631,BB1631,BC1631,BD1631,BG1631,BH1631,BI1631,BJ1631,BK1631)</f>
        <v>applied to prison population totals 110,000 to 338,800. This represents 2.53% to 0.82% cleared cases.</v>
      </c>
      <c r="BP1631" s="390"/>
      <c r="BQ1631" s="390"/>
      <c r="BR1631" s="390"/>
      <c r="BS1631" s="390"/>
      <c r="BT1631" s="390"/>
      <c r="BU1631" s="390"/>
      <c r="BV1631" s="390"/>
      <c r="BW1631" s="390"/>
      <c r="BX1631" s="390"/>
      <c r="BY1631" s="390"/>
      <c r="BZ1631" s="390"/>
      <c r="CA1631" s="390"/>
      <c r="CB1631" s="390"/>
      <c r="CC1631" s="390"/>
      <c r="CD1631" s="390"/>
      <c r="CE1631" s="390"/>
      <c r="CF1631" s="390"/>
    </row>
    <row r="1632" spans="1:84" ht="14.4" x14ac:dyDescent="0.3">
      <c r="A1632" s="404"/>
      <c r="B1632" s="404" t="s">
        <v>987</v>
      </c>
      <c r="C1632" s="637"/>
      <c r="D1632" s="637"/>
      <c r="E1632" s="57"/>
      <c r="F1632" s="1"/>
      <c r="AC1632" s="412"/>
      <c r="AE1632" s="412"/>
      <c r="AH1632" s="409"/>
      <c r="AI1632" s="410"/>
      <c r="BB1632" s="406">
        <f>IF($B$1603=$AF$1601,AC$1601*AC1631,IF($B$1603=$AF$1602,AC1631*AC$1602,IF($B$1603=$AF$1603,AC1631*AC$1603,IF($B$1603=$AF$1604,AC1631*AC$1604,IF($B$1603=$AF$1605,AC1631*AC$1605,"")))))</f>
        <v>110000</v>
      </c>
      <c r="BD1632" s="642">
        <f>IF($B$1603=$AF$1601,AC$1601*AE1631,IF($B$1603=$AF$1602,AE1631*AC$1602,IF($B$1603=$AF$1603,AE1631*AC$1603,IF($B$1603=$AF$1604,AE1631*AC$1604,IF($B$1603=$AF$1605,AE1631*AC$1605,"")))))</f>
        <v>338800</v>
      </c>
      <c r="BE1632" s="643"/>
      <c r="BF1632" s="643"/>
      <c r="BG1632" s="403"/>
    </row>
    <row r="1633" spans="1:84" ht="9" customHeight="1" x14ac:dyDescent="0.25">
      <c r="A1633" s="400"/>
      <c r="B1633" s="57"/>
      <c r="C1633" s="57"/>
      <c r="D1633" s="57"/>
      <c r="E1633" s="57"/>
      <c r="F1633" s="1"/>
      <c r="AC1633" s="412"/>
      <c r="AE1633" s="412"/>
    </row>
    <row r="1634" spans="1:84" ht="14.4" customHeight="1" x14ac:dyDescent="0.3">
      <c r="A1634" s="400">
        <v>10</v>
      </c>
      <c r="B1634" s="401" t="str">
        <f>AM1634</f>
        <v>6%</v>
      </c>
      <c r="C1634" s="637" t="str">
        <f>IF(OR($B$1601="",$B$1603=""),"",BO1634)</f>
        <v>applied to prison population totals 132,000. This represents 2.11% cleared cases.</v>
      </c>
      <c r="D1634" s="637"/>
      <c r="E1634" s="57"/>
      <c r="F1634" s="1"/>
      <c r="AC1634" s="412">
        <v>0.06</v>
      </c>
      <c r="AE1634" s="412"/>
      <c r="AH1634" s="646" t="str">
        <f>TEXT(AC1634,"0%")</f>
        <v>6%</v>
      </c>
      <c r="AI1634" s="609"/>
      <c r="AM1634" s="56" t="str">
        <f>CONCATENATE(AH1634,AJ1634)</f>
        <v>6%</v>
      </c>
      <c r="AR1634" s="56" t="str">
        <f>CONCATENATE($AU$1600,$AX$1600,$BD$1600,$BF$1600)</f>
        <v xml:space="preserve">applied to prison population totals </v>
      </c>
      <c r="BB1634" s="411" t="str">
        <f>TEXT(BB1635,"00,000")</f>
        <v>132,000</v>
      </c>
      <c r="BG1634" s="56" t="s">
        <v>977</v>
      </c>
      <c r="BH1634" s="403" t="str">
        <f>IF($B$1601&gt;BB1634,"over 100%",TEXT($B$1601/BB1634,"0.00%"))</f>
        <v>2.11%</v>
      </c>
      <c r="BK1634" s="56" t="s">
        <v>978</v>
      </c>
      <c r="BO1634" s="390" t="str">
        <f>CONCATENATE(AR1634,BB1634,BC1634,BD1634,BG1634,BH1634,BI1634,BJ1634,BK1634)</f>
        <v>applied to prison population totals 132,000. This represents 2.11% cleared cases.</v>
      </c>
      <c r="BP1634" s="390"/>
      <c r="BQ1634" s="390"/>
      <c r="BR1634" s="390"/>
      <c r="BS1634" s="390"/>
      <c r="BT1634" s="390"/>
      <c r="BU1634" s="390"/>
      <c r="BV1634" s="390"/>
      <c r="BW1634" s="390"/>
      <c r="BX1634" s="390"/>
      <c r="BY1634" s="390"/>
      <c r="BZ1634" s="390"/>
      <c r="CA1634" s="390"/>
      <c r="CB1634" s="390"/>
      <c r="CC1634" s="390"/>
      <c r="CD1634" s="390"/>
      <c r="CE1634" s="390"/>
      <c r="CF1634" s="390"/>
    </row>
    <row r="1635" spans="1:84" ht="14.4" x14ac:dyDescent="0.3">
      <c r="A1635" s="404"/>
      <c r="B1635" s="404" t="s">
        <v>988</v>
      </c>
      <c r="C1635" s="637"/>
      <c r="D1635" s="637"/>
      <c r="E1635" s="57"/>
      <c r="F1635" s="1"/>
      <c r="AC1635" s="412"/>
      <c r="AE1635" s="412"/>
      <c r="AH1635" s="409"/>
      <c r="AI1635" s="410"/>
      <c r="BB1635" s="406">
        <f>IF($B$1603=$AF$1601,AC$1601*AC1634,IF($B$1603=$AF$1602,AC1634*AC$1602,IF($B$1603=$AF$1603,AC1634*AC$1603,IF($B$1603=$AF$1604,AC1634*AC$1604,IF($B$1603=$AF$1605,AC1634*AC$1605,"")))))</f>
        <v>132000</v>
      </c>
    </row>
    <row r="1636" spans="1:84" ht="9" customHeight="1" x14ac:dyDescent="0.25">
      <c r="A1636" s="400"/>
      <c r="B1636" s="57"/>
      <c r="C1636" s="57"/>
      <c r="D1636" s="57"/>
      <c r="E1636" s="57"/>
      <c r="F1636" s="1"/>
      <c r="AC1636" s="412"/>
      <c r="AE1636" s="412"/>
    </row>
    <row r="1637" spans="1:84" ht="14.4" customHeight="1" x14ac:dyDescent="0.3">
      <c r="A1637" s="400">
        <v>11</v>
      </c>
      <c r="B1637" s="401" t="str">
        <f>AM1637</f>
        <v>11.60%</v>
      </c>
      <c r="C1637" s="637" t="str">
        <f>IF(OR($B$1601="",$B$1603=""),"",BO1637)</f>
        <v>applied to prison population totals 255,200. This represents 1.09% cleared cases.</v>
      </c>
      <c r="D1637" s="637"/>
      <c r="E1637" s="57"/>
      <c r="F1637" s="1"/>
      <c r="AC1637" s="412">
        <v>0.11600000000000001</v>
      </c>
      <c r="AE1637" s="412"/>
      <c r="AH1637" s="646" t="str">
        <f>TEXT(AC1637,"0.00%")</f>
        <v>11.60%</v>
      </c>
      <c r="AI1637" s="609"/>
      <c r="AM1637" s="56" t="str">
        <f>CONCATENATE(AH1637,AJ1637)</f>
        <v>11.60%</v>
      </c>
      <c r="AR1637" s="56" t="str">
        <f>CONCATENATE($AU$1600,$AX$1600,$BD$1600,$BF$1600)</f>
        <v xml:space="preserve">applied to prison population totals </v>
      </c>
      <c r="BB1637" s="411" t="str">
        <f>TEXT(BB1638,"00,000")</f>
        <v>255,200</v>
      </c>
      <c r="BG1637" s="56" t="s">
        <v>977</v>
      </c>
      <c r="BH1637" s="403" t="str">
        <f>IF($B$1601&gt;BB1637,"over 100%",TEXT($B$1601/BB1637,"0.00%"))</f>
        <v>1.09%</v>
      </c>
      <c r="BK1637" s="56" t="s">
        <v>978</v>
      </c>
      <c r="BO1637" s="390" t="str">
        <f>CONCATENATE(AR1637,BB1637,BC1637,BD1637,BG1637,BH1637,BI1637,BJ1637,BK1637)</f>
        <v>applied to prison population totals 255,200. This represents 1.09% cleared cases.</v>
      </c>
      <c r="BP1637" s="390"/>
      <c r="BQ1637" s="390"/>
      <c r="BR1637" s="390"/>
      <c r="BS1637" s="390"/>
      <c r="BT1637" s="390"/>
      <c r="BU1637" s="390"/>
      <c r="BV1637" s="390"/>
      <c r="BW1637" s="390"/>
      <c r="BX1637" s="390"/>
      <c r="BY1637" s="390"/>
      <c r="BZ1637" s="390"/>
      <c r="CA1637" s="390"/>
      <c r="CB1637" s="390"/>
      <c r="CC1637" s="390"/>
      <c r="CD1637" s="390"/>
      <c r="CE1637" s="390"/>
      <c r="CF1637" s="390"/>
    </row>
    <row r="1638" spans="1:84" ht="14.4" x14ac:dyDescent="0.3">
      <c r="A1638" s="404"/>
      <c r="B1638" s="404" t="s">
        <v>989</v>
      </c>
      <c r="C1638" s="637"/>
      <c r="D1638" s="637"/>
      <c r="E1638" s="57"/>
      <c r="F1638" s="1"/>
      <c r="AH1638" s="409"/>
      <c r="AI1638" s="410"/>
      <c r="BB1638" s="406">
        <f>IF($B$1603=$AF$1601,AC$1601*AC1637,IF($B$1603=$AF$1602,AC1637*AC$1602,IF($B$1603=$AF$1603,AC1637*AC$1603,IF($B$1603=$AF$1604,AC1637*AC$1604,IF($B$1603=$AF$1605,AC1637*AC$1605,"")))))</f>
        <v>255200</v>
      </c>
    </row>
    <row r="1639" spans="1:84" ht="9" customHeight="1" x14ac:dyDescent="0.25">
      <c r="A1639" s="57"/>
      <c r="B1639" s="57"/>
      <c r="C1639" s="57"/>
      <c r="D1639" s="57"/>
      <c r="E1639" s="57"/>
      <c r="F1639" s="1"/>
    </row>
    <row r="1640" spans="1:84" ht="14.4" customHeight="1" x14ac:dyDescent="0.3">
      <c r="A1640" s="400">
        <v>12</v>
      </c>
      <c r="B1640" s="401" t="str">
        <f>AM1640</f>
        <v>15.4%</v>
      </c>
      <c r="C1640" s="637" t="str">
        <f>IF(OR($B$1601="",$B$1603=""),"",BO1640)</f>
        <v>applied to prison population totals 338,800. This represents 0.82% cleared cases.</v>
      </c>
      <c r="D1640" s="637"/>
      <c r="E1640" s="57"/>
      <c r="F1640" s="1"/>
      <c r="AC1640" s="412">
        <v>0.154</v>
      </c>
      <c r="AD1640" s="412"/>
      <c r="AH1640" s="646" t="str">
        <f>TEXT(AC1640,"0.0%")</f>
        <v>15.4%</v>
      </c>
      <c r="AI1640" s="609"/>
      <c r="AM1640" s="56" t="str">
        <f>CONCATENATE(AH1640,AJ1640)</f>
        <v>15.4%</v>
      </c>
      <c r="AR1640" s="56" t="str">
        <f>CONCATENATE($AU$1600,$AX$1600,$BD$1600,$BF$1600)</f>
        <v xml:space="preserve">applied to prison population totals </v>
      </c>
      <c r="BB1640" s="411" t="str">
        <f>TEXT(BB1641,"00,000")</f>
        <v>338,800</v>
      </c>
      <c r="BG1640" s="56" t="s">
        <v>977</v>
      </c>
      <c r="BH1640" s="403" t="str">
        <f>IF($B$1601&gt;BB1640,"over 100%",TEXT($B$1601/BB1640,"0.00%"))</f>
        <v>0.82%</v>
      </c>
      <c r="BK1640" s="56" t="s">
        <v>978</v>
      </c>
      <c r="BO1640" s="390" t="str">
        <f>CONCATENATE(AR1640,BB1640,BC1640,BD1640,BG1640,BH1640,BI1640,BJ1640,BK1640)</f>
        <v>applied to prison population totals 338,800. This represents 0.82% cleared cases.</v>
      </c>
      <c r="BP1640" s="390"/>
      <c r="BQ1640" s="390"/>
      <c r="BR1640" s="390"/>
      <c r="BS1640" s="390"/>
      <c r="BT1640" s="390"/>
      <c r="BU1640" s="390"/>
      <c r="BV1640" s="390"/>
      <c r="BW1640" s="390"/>
      <c r="BX1640" s="390"/>
      <c r="BY1640" s="390"/>
      <c r="BZ1640" s="390"/>
      <c r="CA1640" s="390"/>
      <c r="CB1640" s="390"/>
      <c r="CC1640" s="390"/>
      <c r="CD1640" s="390"/>
      <c r="CE1640" s="390"/>
      <c r="CF1640" s="390"/>
    </row>
    <row r="1641" spans="1:84" x14ac:dyDescent="0.25">
      <c r="A1641" s="404"/>
      <c r="B1641" s="404" t="s">
        <v>990</v>
      </c>
      <c r="C1641" s="637"/>
      <c r="D1641" s="637"/>
      <c r="E1641" s="57"/>
      <c r="F1641" s="1"/>
      <c r="BB1641" s="406">
        <f>IF($B$1603=$AF$1601,AC$1601*AC1640,IF($B$1603=$AF$1602,AC1640*AC$1602,IF($B$1603=$AF$1603,AC1640*AC$1603,IF($B$1603=$AF$1604,AC1640*AC$1604,IF($B$1603=$AF$1605,AC1640*AC$1605,"")))))</f>
        <v>338800</v>
      </c>
    </row>
    <row r="1642" spans="1:84" ht="15" customHeight="1" x14ac:dyDescent="0.25">
      <c r="A1642" s="57"/>
      <c r="B1642" s="57"/>
      <c r="C1642" s="57"/>
      <c r="D1642" s="57"/>
      <c r="E1642" s="57"/>
      <c r="F1642" s="1"/>
    </row>
    <row r="1643" spans="1:84" ht="19.95" customHeight="1" x14ac:dyDescent="0.25">
      <c r="A1643" s="652" t="s">
        <v>1539</v>
      </c>
      <c r="B1643" s="652"/>
      <c r="C1643" s="652"/>
      <c r="D1643" s="652"/>
      <c r="E1643" s="652"/>
      <c r="F1643" s="1"/>
    </row>
    <row r="1644" spans="1:84" ht="19.95" customHeight="1" x14ac:dyDescent="0.25">
      <c r="A1644" s="652"/>
      <c r="B1644" s="652"/>
      <c r="C1644" s="652"/>
      <c r="D1644" s="652"/>
      <c r="E1644" s="652"/>
      <c r="F1644" s="1"/>
    </row>
    <row r="1645" spans="1:84" ht="19.95" customHeight="1" x14ac:dyDescent="0.25">
      <c r="A1645" s="652"/>
      <c r="B1645" s="652"/>
      <c r="C1645" s="652"/>
      <c r="D1645" s="652"/>
      <c r="E1645" s="652"/>
      <c r="F1645" s="1"/>
    </row>
    <row r="1646" spans="1:84" ht="10.050000000000001" customHeight="1" x14ac:dyDescent="0.25">
      <c r="A1646" s="483"/>
      <c r="B1646" s="483"/>
      <c r="C1646" s="483"/>
      <c r="D1646" s="483"/>
      <c r="E1646" s="483"/>
      <c r="F1646" s="1"/>
    </row>
    <row r="1647" spans="1:84" s="5" customFormat="1" x14ac:dyDescent="0.25">
      <c r="BB1647" s="413"/>
    </row>
    <row r="1648" spans="1:84" s="5" customFormat="1" x14ac:dyDescent="0.25">
      <c r="BB1648" s="413"/>
    </row>
    <row r="1649" spans="54:54" s="5" customFormat="1" x14ac:dyDescent="0.25">
      <c r="BB1649" s="413"/>
    </row>
    <row r="1650" spans="54:54" s="5" customFormat="1" x14ac:dyDescent="0.25">
      <c r="BB1650" s="413"/>
    </row>
    <row r="1651" spans="54:54" s="5" customFormat="1" x14ac:dyDescent="0.25">
      <c r="BB1651" s="413"/>
    </row>
    <row r="1652" spans="54:54" s="5" customFormat="1" x14ac:dyDescent="0.25">
      <c r="BB1652" s="413"/>
    </row>
    <row r="1653" spans="54:54" s="5" customFormat="1" x14ac:dyDescent="0.25">
      <c r="BB1653" s="413"/>
    </row>
    <row r="1654" spans="54:54" s="5" customFormat="1" x14ac:dyDescent="0.25">
      <c r="BB1654" s="413"/>
    </row>
    <row r="1655" spans="54:54" s="5" customFormat="1" x14ac:dyDescent="0.25">
      <c r="BB1655" s="413"/>
    </row>
    <row r="1656" spans="54:54" s="5" customFormat="1" x14ac:dyDescent="0.25">
      <c r="BB1656" s="413"/>
    </row>
    <row r="1657" spans="54:54" s="5" customFormat="1" x14ac:dyDescent="0.25">
      <c r="BB1657" s="413"/>
    </row>
    <row r="1658" spans="54:54" s="5" customFormat="1" x14ac:dyDescent="0.25">
      <c r="BB1658" s="413"/>
    </row>
    <row r="1659" spans="54:54" s="5" customFormat="1" x14ac:dyDescent="0.25">
      <c r="BB1659" s="413"/>
    </row>
    <row r="1660" spans="54:54" s="5" customFormat="1" x14ac:dyDescent="0.25">
      <c r="BB1660" s="413"/>
    </row>
    <row r="1661" spans="54:54" s="5" customFormat="1" x14ac:dyDescent="0.25">
      <c r="BB1661" s="413"/>
    </row>
    <row r="1662" spans="54:54" s="5" customFormat="1" x14ac:dyDescent="0.25">
      <c r="BB1662" s="413"/>
    </row>
    <row r="1663" spans="54:54" s="5" customFormat="1" x14ac:dyDescent="0.25">
      <c r="BB1663" s="413"/>
    </row>
    <row r="1664" spans="54:54" s="5" customFormat="1" x14ac:dyDescent="0.25">
      <c r="BB1664" s="413"/>
    </row>
    <row r="1665" spans="54:54" s="5" customFormat="1" x14ac:dyDescent="0.25">
      <c r="BB1665" s="413"/>
    </row>
    <row r="1666" spans="54:54" s="5" customFormat="1" x14ac:dyDescent="0.25">
      <c r="BB1666" s="413"/>
    </row>
    <row r="1667" spans="54:54" s="5" customFormat="1" x14ac:dyDescent="0.25">
      <c r="BB1667" s="413"/>
    </row>
    <row r="1668" spans="54:54" s="5" customFormat="1" x14ac:dyDescent="0.25">
      <c r="BB1668" s="413"/>
    </row>
    <row r="1669" spans="54:54" s="5" customFormat="1" x14ac:dyDescent="0.25">
      <c r="BB1669" s="413"/>
    </row>
    <row r="1670" spans="54:54" s="5" customFormat="1" x14ac:dyDescent="0.25">
      <c r="BB1670" s="413"/>
    </row>
    <row r="1671" spans="54:54" s="5" customFormat="1" x14ac:dyDescent="0.25">
      <c r="BB1671" s="413"/>
    </row>
    <row r="1672" spans="54:54" s="5" customFormat="1" x14ac:dyDescent="0.25">
      <c r="BB1672" s="413"/>
    </row>
    <row r="1673" spans="54:54" s="5" customFormat="1" x14ac:dyDescent="0.25">
      <c r="BB1673" s="413"/>
    </row>
    <row r="1674" spans="54:54" s="5" customFormat="1" x14ac:dyDescent="0.25">
      <c r="BB1674" s="413"/>
    </row>
    <row r="1675" spans="54:54" s="5" customFormat="1" x14ac:dyDescent="0.25">
      <c r="BB1675" s="413"/>
    </row>
    <row r="1676" spans="54:54" s="5" customFormat="1" x14ac:dyDescent="0.25">
      <c r="BB1676" s="413"/>
    </row>
    <row r="1677" spans="54:54" s="5" customFormat="1" x14ac:dyDescent="0.25">
      <c r="BB1677" s="413"/>
    </row>
    <row r="1678" spans="54:54" s="5" customFormat="1" x14ac:dyDescent="0.25">
      <c r="BB1678" s="413"/>
    </row>
    <row r="1679" spans="54:54" s="5" customFormat="1" x14ac:dyDescent="0.25">
      <c r="BB1679" s="413"/>
    </row>
    <row r="1680" spans="54:54" s="5" customFormat="1" x14ac:dyDescent="0.25">
      <c r="BB1680" s="413"/>
    </row>
    <row r="1681" spans="1:54" s="5" customFormat="1" x14ac:dyDescent="0.25">
      <c r="BB1681" s="413"/>
    </row>
    <row r="1682" spans="1:54" s="5" customFormat="1" x14ac:dyDescent="0.25">
      <c r="BB1682" s="413"/>
    </row>
    <row r="1683" spans="1:54" s="5" customFormat="1" x14ac:dyDescent="0.25">
      <c r="BB1683" s="413"/>
    </row>
    <row r="1684" spans="1:54" s="5" customFormat="1" x14ac:dyDescent="0.25">
      <c r="BB1684" s="413"/>
    </row>
    <row r="1685" spans="1:54" s="5" customFormat="1" x14ac:dyDescent="0.25">
      <c r="BB1685" s="413"/>
    </row>
    <row r="1686" spans="1:54" s="5" customFormat="1" x14ac:dyDescent="0.25">
      <c r="BB1686" s="413"/>
    </row>
    <row r="1687" spans="1:54" s="5" customFormat="1" x14ac:dyDescent="0.25">
      <c r="BB1687" s="413"/>
    </row>
    <row r="1688" spans="1:54" s="5" customFormat="1" x14ac:dyDescent="0.25">
      <c r="BB1688" s="413"/>
    </row>
    <row r="1689" spans="1:54" s="5" customFormat="1" x14ac:dyDescent="0.25">
      <c r="BB1689" s="413"/>
    </row>
    <row r="1690" spans="1:54" s="5" customFormat="1" x14ac:dyDescent="0.25">
      <c r="BB1690" s="413"/>
    </row>
    <row r="1691" spans="1:54" s="5" customFormat="1" x14ac:dyDescent="0.25">
      <c r="BB1691" s="413"/>
    </row>
    <row r="1692" spans="1:54" s="5" customFormat="1" x14ac:dyDescent="0.25">
      <c r="AC1692" s="413" t="s">
        <v>991</v>
      </c>
      <c r="BB1692" s="413"/>
    </row>
    <row r="1693" spans="1:54" s="5" customFormat="1" x14ac:dyDescent="0.25">
      <c r="AC1693" s="414" t="s">
        <v>25</v>
      </c>
      <c r="BB1693" s="413"/>
    </row>
    <row r="1694" spans="1:54" s="5" customFormat="1" x14ac:dyDescent="0.25">
      <c r="AC1694" s="414" t="s">
        <v>59</v>
      </c>
      <c r="BB1694" s="413"/>
    </row>
    <row r="1695" spans="1:54" s="5" customFormat="1" ht="14.4" thickBot="1" x14ac:dyDescent="0.3">
      <c r="AC1695" s="414" t="s">
        <v>63</v>
      </c>
      <c r="BB1695" s="413"/>
    </row>
    <row r="1696" spans="1:54" s="5" customFormat="1" x14ac:dyDescent="0.25">
      <c r="A1696" s="415"/>
      <c r="B1696" s="416"/>
      <c r="C1696" s="416"/>
      <c r="D1696" s="416"/>
      <c r="E1696" s="416"/>
      <c r="F1696" s="417"/>
      <c r="AC1696" s="414" t="s">
        <v>64</v>
      </c>
      <c r="BB1696" s="413"/>
    </row>
    <row r="1697" spans="1:54" s="5" customFormat="1" x14ac:dyDescent="0.25">
      <c r="A1697" s="418"/>
      <c r="F1697" s="419"/>
      <c r="AC1697" s="414" t="s">
        <v>992</v>
      </c>
      <c r="BB1697" s="413"/>
    </row>
    <row r="1698" spans="1:54" s="5" customFormat="1" x14ac:dyDescent="0.25">
      <c r="A1698" s="418"/>
      <c r="F1698" s="419"/>
      <c r="AC1698" s="414" t="s">
        <v>993</v>
      </c>
      <c r="BB1698" s="413"/>
    </row>
    <row r="1699" spans="1:54" s="5" customFormat="1" x14ac:dyDescent="0.25">
      <c r="A1699" s="418"/>
      <c r="F1699" s="419"/>
      <c r="BB1699" s="413"/>
    </row>
    <row r="1700" spans="1:54" s="5" customFormat="1" x14ac:dyDescent="0.25">
      <c r="A1700" s="418"/>
      <c r="F1700" s="419"/>
      <c r="BB1700" s="413"/>
    </row>
    <row r="1701" spans="1:54" s="5" customFormat="1" x14ac:dyDescent="0.25">
      <c r="A1701" s="418"/>
      <c r="F1701" s="419"/>
      <c r="AC1701" s="5" t="s">
        <v>994</v>
      </c>
      <c r="BB1701" s="413"/>
    </row>
    <row r="1702" spans="1:54" s="5" customFormat="1" x14ac:dyDescent="0.25">
      <c r="A1702" s="418"/>
      <c r="F1702" s="419"/>
      <c r="BB1702" s="413"/>
    </row>
    <row r="1703" spans="1:54" s="5" customFormat="1" x14ac:dyDescent="0.25">
      <c r="A1703" s="418"/>
      <c r="F1703" s="419"/>
      <c r="BB1703" s="413"/>
    </row>
    <row r="1704" spans="1:54" s="5" customFormat="1" x14ac:dyDescent="0.25">
      <c r="A1704" s="418"/>
      <c r="F1704" s="419"/>
      <c r="AC1704" s="5" t="s">
        <v>995</v>
      </c>
      <c r="BB1704" s="413"/>
    </row>
    <row r="1705" spans="1:54" s="5" customFormat="1" x14ac:dyDescent="0.25">
      <c r="A1705" s="418"/>
      <c r="F1705" s="419"/>
      <c r="BB1705" s="413"/>
    </row>
    <row r="1706" spans="1:54" s="5" customFormat="1" x14ac:dyDescent="0.25">
      <c r="A1706" s="418"/>
      <c r="F1706" s="419"/>
      <c r="BB1706" s="413"/>
    </row>
    <row r="1707" spans="1:54" s="5" customFormat="1" x14ac:dyDescent="0.25">
      <c r="A1707" s="418"/>
      <c r="F1707" s="419"/>
      <c r="AC1707" s="5" t="s">
        <v>996</v>
      </c>
      <c r="BB1707" s="413"/>
    </row>
    <row r="1708" spans="1:54" s="5" customFormat="1" x14ac:dyDescent="0.25">
      <c r="A1708" s="418"/>
      <c r="F1708" s="419"/>
      <c r="BB1708" s="413"/>
    </row>
    <row r="1709" spans="1:54" s="5" customFormat="1" x14ac:dyDescent="0.25">
      <c r="A1709" s="418"/>
      <c r="F1709" s="419"/>
      <c r="BB1709" s="413"/>
    </row>
    <row r="1710" spans="1:54" s="5" customFormat="1" x14ac:dyDescent="0.25">
      <c r="A1710" s="418"/>
      <c r="F1710" s="419"/>
      <c r="BB1710" s="413"/>
    </row>
    <row r="1711" spans="1:54" s="5" customFormat="1" x14ac:dyDescent="0.25">
      <c r="A1711" s="418"/>
      <c r="F1711" s="419"/>
      <c r="BB1711" s="413"/>
    </row>
    <row r="1712" spans="1:54" s="5" customFormat="1" x14ac:dyDescent="0.25">
      <c r="A1712" s="418"/>
      <c r="F1712" s="419"/>
      <c r="BB1712" s="413"/>
    </row>
    <row r="1713" spans="1:54" s="5" customFormat="1" x14ac:dyDescent="0.25">
      <c r="A1713" s="418"/>
      <c r="F1713" s="419"/>
      <c r="BB1713" s="413"/>
    </row>
    <row r="1714" spans="1:54" s="5" customFormat="1" x14ac:dyDescent="0.25">
      <c r="A1714" s="418"/>
      <c r="F1714" s="419"/>
      <c r="BB1714" s="413"/>
    </row>
    <row r="1715" spans="1:54" s="5" customFormat="1" x14ac:dyDescent="0.25">
      <c r="A1715" s="418"/>
      <c r="F1715" s="419"/>
      <c r="BB1715" s="413"/>
    </row>
    <row r="1716" spans="1:54" s="5" customFormat="1" x14ac:dyDescent="0.25">
      <c r="A1716" s="418"/>
      <c r="F1716" s="419"/>
      <c r="BB1716" s="413"/>
    </row>
    <row r="1717" spans="1:54" s="5" customFormat="1" x14ac:dyDescent="0.25">
      <c r="A1717" s="418"/>
      <c r="F1717" s="419"/>
      <c r="BB1717" s="413"/>
    </row>
    <row r="1718" spans="1:54" s="5" customFormat="1" x14ac:dyDescent="0.25">
      <c r="A1718" s="418"/>
      <c r="F1718" s="419"/>
      <c r="BB1718" s="413"/>
    </row>
    <row r="1719" spans="1:54" s="5" customFormat="1" x14ac:dyDescent="0.25">
      <c r="A1719" s="418"/>
      <c r="F1719" s="419"/>
      <c r="BB1719" s="413"/>
    </row>
    <row r="1720" spans="1:54" s="5" customFormat="1" x14ac:dyDescent="0.25">
      <c r="A1720" s="418"/>
      <c r="F1720" s="419"/>
      <c r="BB1720" s="413"/>
    </row>
    <row r="1721" spans="1:54" s="5" customFormat="1" x14ac:dyDescent="0.25">
      <c r="A1721" s="418"/>
      <c r="F1721" s="419"/>
      <c r="BB1721" s="413"/>
    </row>
    <row r="1722" spans="1:54" s="5" customFormat="1" x14ac:dyDescent="0.25">
      <c r="A1722" s="418"/>
      <c r="F1722" s="419"/>
      <c r="BB1722" s="413"/>
    </row>
    <row r="1723" spans="1:54" s="5" customFormat="1" x14ac:dyDescent="0.25">
      <c r="A1723" s="418"/>
      <c r="F1723" s="419"/>
      <c r="BB1723" s="413"/>
    </row>
    <row r="1724" spans="1:54" s="5" customFormat="1" x14ac:dyDescent="0.25">
      <c r="A1724" s="418"/>
      <c r="F1724" s="419"/>
      <c r="BB1724" s="413"/>
    </row>
    <row r="1725" spans="1:54" s="5" customFormat="1" x14ac:dyDescent="0.25">
      <c r="A1725" s="418"/>
      <c r="F1725" s="419"/>
      <c r="BB1725" s="413"/>
    </row>
    <row r="1726" spans="1:54" s="5" customFormat="1" x14ac:dyDescent="0.25">
      <c r="A1726" s="418"/>
      <c r="F1726" s="419"/>
      <c r="BB1726" s="413"/>
    </row>
    <row r="1727" spans="1:54" s="5" customFormat="1" x14ac:dyDescent="0.25">
      <c r="A1727" s="418"/>
      <c r="F1727" s="419"/>
      <c r="BB1727" s="413"/>
    </row>
    <row r="1728" spans="1:54" s="5" customFormat="1" x14ac:dyDescent="0.25">
      <c r="A1728" s="418"/>
      <c r="F1728" s="419"/>
      <c r="BB1728" s="413"/>
    </row>
    <row r="1729" spans="1:54" s="5" customFormat="1" x14ac:dyDescent="0.25">
      <c r="A1729" s="418"/>
      <c r="F1729" s="419"/>
      <c r="BB1729" s="413"/>
    </row>
    <row r="1730" spans="1:54" s="5" customFormat="1" x14ac:dyDescent="0.25">
      <c r="A1730" s="418"/>
      <c r="F1730" s="419"/>
      <c r="BB1730" s="413"/>
    </row>
    <row r="1731" spans="1:54" s="5" customFormat="1" x14ac:dyDescent="0.25">
      <c r="A1731" s="418"/>
      <c r="F1731" s="419"/>
      <c r="BB1731" s="413"/>
    </row>
    <row r="1732" spans="1:54" s="5" customFormat="1" x14ac:dyDescent="0.25">
      <c r="A1732" s="418"/>
      <c r="F1732" s="419"/>
      <c r="BB1732" s="413"/>
    </row>
    <row r="1733" spans="1:54" s="5" customFormat="1" x14ac:dyDescent="0.25">
      <c r="A1733" s="418"/>
      <c r="F1733" s="419"/>
      <c r="BB1733" s="413"/>
    </row>
    <row r="1734" spans="1:54" s="5" customFormat="1" x14ac:dyDescent="0.25">
      <c r="A1734" s="418"/>
      <c r="F1734" s="419"/>
      <c r="BB1734" s="413"/>
    </row>
    <row r="1735" spans="1:54" s="5" customFormat="1" x14ac:dyDescent="0.25">
      <c r="A1735" s="418"/>
      <c r="F1735" s="419"/>
      <c r="BB1735" s="413"/>
    </row>
    <row r="1736" spans="1:54" s="5" customFormat="1" x14ac:dyDescent="0.25">
      <c r="A1736" s="418"/>
      <c r="F1736" s="419"/>
      <c r="BB1736" s="413"/>
    </row>
    <row r="1737" spans="1:54" s="5" customFormat="1" x14ac:dyDescent="0.25">
      <c r="A1737" s="418"/>
      <c r="F1737" s="419"/>
      <c r="BB1737" s="413"/>
    </row>
    <row r="1738" spans="1:54" s="5" customFormat="1" x14ac:dyDescent="0.25">
      <c r="A1738" s="418"/>
      <c r="F1738" s="419"/>
      <c r="BB1738" s="413"/>
    </row>
    <row r="1739" spans="1:54" s="5" customFormat="1" x14ac:dyDescent="0.25">
      <c r="A1739" s="418"/>
      <c r="F1739" s="419"/>
      <c r="BB1739" s="413"/>
    </row>
    <row r="1740" spans="1:54" s="5" customFormat="1" x14ac:dyDescent="0.25">
      <c r="A1740" s="418"/>
      <c r="F1740" s="419"/>
      <c r="BB1740" s="413"/>
    </row>
    <row r="1741" spans="1:54" s="5" customFormat="1" x14ac:dyDescent="0.25">
      <c r="A1741" s="418"/>
      <c r="F1741" s="419"/>
      <c r="BB1741" s="413"/>
    </row>
    <row r="1742" spans="1:54" s="5" customFormat="1" x14ac:dyDescent="0.25">
      <c r="A1742" s="418"/>
      <c r="F1742" s="419"/>
      <c r="BB1742" s="413"/>
    </row>
    <row r="1743" spans="1:54" s="5" customFormat="1" x14ac:dyDescent="0.25">
      <c r="A1743" s="418"/>
      <c r="F1743" s="419"/>
      <c r="BB1743" s="413"/>
    </row>
    <row r="1744" spans="1:54" s="5" customFormat="1" ht="14.4" thickBot="1" x14ac:dyDescent="0.3">
      <c r="A1744" s="420"/>
      <c r="B1744" s="421"/>
      <c r="C1744" s="421"/>
      <c r="D1744" s="421"/>
      <c r="E1744" s="421"/>
      <c r="F1744" s="422"/>
      <c r="BB1744" s="413"/>
    </row>
    <row r="1745" spans="54:54" s="5" customFormat="1" x14ac:dyDescent="0.25">
      <c r="BB1745" s="413"/>
    </row>
    <row r="1746" spans="54:54" s="5" customFormat="1" x14ac:dyDescent="0.25">
      <c r="BB1746" s="413"/>
    </row>
    <row r="1747" spans="54:54" s="5" customFormat="1" x14ac:dyDescent="0.25">
      <c r="BB1747" s="413"/>
    </row>
    <row r="1748" spans="54:54" s="5" customFormat="1" x14ac:dyDescent="0.25">
      <c r="BB1748" s="413"/>
    </row>
    <row r="1749" spans="54:54" s="5" customFormat="1" x14ac:dyDescent="0.25">
      <c r="BB1749" s="413"/>
    </row>
    <row r="1750" spans="54:54" s="5" customFormat="1" x14ac:dyDescent="0.25">
      <c r="BB1750" s="413"/>
    </row>
    <row r="1751" spans="54:54" s="5" customFormat="1" x14ac:dyDescent="0.25">
      <c r="BB1751" s="413"/>
    </row>
    <row r="1752" spans="54:54" s="5" customFormat="1" x14ac:dyDescent="0.25">
      <c r="BB1752" s="413"/>
    </row>
    <row r="1753" spans="54:54" s="5" customFormat="1" x14ac:dyDescent="0.25">
      <c r="BB1753" s="413"/>
    </row>
    <row r="1754" spans="54:54" s="5" customFormat="1" x14ac:dyDescent="0.25">
      <c r="BB1754" s="413"/>
    </row>
    <row r="1755" spans="54:54" s="5" customFormat="1" x14ac:dyDescent="0.25">
      <c r="BB1755" s="413"/>
    </row>
    <row r="1756" spans="54:54" s="5" customFormat="1" x14ac:dyDescent="0.25">
      <c r="BB1756" s="413"/>
    </row>
    <row r="1757" spans="54:54" s="5" customFormat="1" x14ac:dyDescent="0.25">
      <c r="BB1757" s="413"/>
    </row>
    <row r="1758" spans="54:54" s="5" customFormat="1" x14ac:dyDescent="0.25">
      <c r="BB1758" s="413"/>
    </row>
    <row r="1759" spans="54:54" s="5" customFormat="1" x14ac:dyDescent="0.25">
      <c r="BB1759" s="413"/>
    </row>
    <row r="1760" spans="54:54" s="5" customFormat="1" x14ac:dyDescent="0.25">
      <c r="BB1760" s="413"/>
    </row>
    <row r="1761" spans="54:54" s="5" customFormat="1" x14ac:dyDescent="0.25">
      <c r="BB1761" s="413"/>
    </row>
    <row r="1762" spans="54:54" s="5" customFormat="1" x14ac:dyDescent="0.25">
      <c r="BB1762" s="413"/>
    </row>
    <row r="1763" spans="54:54" s="5" customFormat="1" x14ac:dyDescent="0.25">
      <c r="BB1763" s="413"/>
    </row>
    <row r="1764" spans="54:54" s="5" customFormat="1" x14ac:dyDescent="0.25">
      <c r="BB1764" s="413"/>
    </row>
    <row r="1765" spans="54:54" s="5" customFormat="1" x14ac:dyDescent="0.25">
      <c r="BB1765" s="413"/>
    </row>
    <row r="1766" spans="54:54" s="5" customFormat="1" x14ac:dyDescent="0.25">
      <c r="BB1766" s="413"/>
    </row>
    <row r="1767" spans="54:54" s="5" customFormat="1" x14ac:dyDescent="0.25">
      <c r="BB1767" s="413"/>
    </row>
    <row r="1768" spans="54:54" s="5" customFormat="1" x14ac:dyDescent="0.25">
      <c r="BB1768" s="413"/>
    </row>
    <row r="1769" spans="54:54" s="5" customFormat="1" x14ac:dyDescent="0.25">
      <c r="BB1769" s="413"/>
    </row>
    <row r="1770" spans="54:54" s="5" customFormat="1" x14ac:dyDescent="0.25">
      <c r="BB1770" s="413"/>
    </row>
    <row r="1771" spans="54:54" s="5" customFormat="1" x14ac:dyDescent="0.25">
      <c r="BB1771" s="413"/>
    </row>
    <row r="1772" spans="54:54" s="5" customFormat="1" x14ac:dyDescent="0.25">
      <c r="BB1772" s="413"/>
    </row>
    <row r="1773" spans="54:54" s="5" customFormat="1" x14ac:dyDescent="0.25">
      <c r="BB1773" s="413"/>
    </row>
    <row r="1774" spans="54:54" s="5" customFormat="1" x14ac:dyDescent="0.25">
      <c r="BB1774" s="413"/>
    </row>
    <row r="1775" spans="54:54" s="5" customFormat="1" x14ac:dyDescent="0.25">
      <c r="BB1775" s="413"/>
    </row>
    <row r="1776" spans="54:54" s="5" customFormat="1" x14ac:dyDescent="0.25">
      <c r="BB1776" s="413"/>
    </row>
    <row r="1777" spans="54:54" s="5" customFormat="1" x14ac:dyDescent="0.25">
      <c r="BB1777" s="413"/>
    </row>
    <row r="1778" spans="54:54" s="5" customFormat="1" x14ac:dyDescent="0.25">
      <c r="BB1778" s="413"/>
    </row>
    <row r="1779" spans="54:54" s="5" customFormat="1" x14ac:dyDescent="0.25">
      <c r="BB1779" s="413"/>
    </row>
    <row r="1780" spans="54:54" s="5" customFormat="1" x14ac:dyDescent="0.25">
      <c r="BB1780" s="413"/>
    </row>
    <row r="1781" spans="54:54" s="5" customFormat="1" x14ac:dyDescent="0.25">
      <c r="BB1781" s="413"/>
    </row>
    <row r="1782" spans="54:54" s="5" customFormat="1" x14ac:dyDescent="0.25">
      <c r="BB1782" s="413"/>
    </row>
    <row r="1783" spans="54:54" s="5" customFormat="1" x14ac:dyDescent="0.25">
      <c r="BB1783" s="413"/>
    </row>
    <row r="1784" spans="54:54" s="5" customFormat="1" x14ac:dyDescent="0.25">
      <c r="BB1784" s="413"/>
    </row>
    <row r="1785" spans="54:54" s="5" customFormat="1" x14ac:dyDescent="0.25">
      <c r="BB1785" s="413"/>
    </row>
    <row r="1786" spans="54:54" s="5" customFormat="1" x14ac:dyDescent="0.25">
      <c r="BB1786" s="413"/>
    </row>
    <row r="1787" spans="54:54" s="5" customFormat="1" x14ac:dyDescent="0.25">
      <c r="BB1787" s="413"/>
    </row>
    <row r="1788" spans="54:54" s="5" customFormat="1" x14ac:dyDescent="0.25">
      <c r="BB1788" s="413"/>
    </row>
    <row r="1789" spans="54:54" s="5" customFormat="1" x14ac:dyDescent="0.25">
      <c r="BB1789" s="413"/>
    </row>
    <row r="1790" spans="54:54" s="5" customFormat="1" x14ac:dyDescent="0.25">
      <c r="BB1790" s="413"/>
    </row>
    <row r="1791" spans="54:54" s="5" customFormat="1" x14ac:dyDescent="0.25">
      <c r="BB1791" s="413"/>
    </row>
    <row r="1792" spans="54:54" s="5" customFormat="1" x14ac:dyDescent="0.25">
      <c r="BB1792" s="413"/>
    </row>
    <row r="1793" spans="2:54" s="5" customFormat="1" x14ac:dyDescent="0.25">
      <c r="BB1793" s="413"/>
    </row>
    <row r="1794" spans="2:54" s="5" customFormat="1" hidden="1" x14ac:dyDescent="0.25">
      <c r="BB1794" s="413"/>
    </row>
    <row r="1795" spans="2:54" s="5" customFormat="1" hidden="1" x14ac:dyDescent="0.25">
      <c r="BB1795" s="413"/>
    </row>
    <row r="1796" spans="2:54" s="5" customFormat="1" hidden="1" x14ac:dyDescent="0.25">
      <c r="B1796" s="56"/>
      <c r="C1796" s="56" t="s">
        <v>997</v>
      </c>
      <c r="D1796" s="56" t="s">
        <v>998</v>
      </c>
      <c r="BB1796" s="413"/>
    </row>
    <row r="1797" spans="2:54" s="5" customFormat="1" hidden="1" x14ac:dyDescent="0.25">
      <c r="B1797" s="371"/>
      <c r="C1797" s="56"/>
      <c r="D1797" s="56"/>
      <c r="BB1797" s="413"/>
    </row>
    <row r="1798" spans="2:54" s="5" customFormat="1" hidden="1" x14ac:dyDescent="0.25">
      <c r="B1798" s="343">
        <v>43395</v>
      </c>
      <c r="C1798" s="371">
        <f>$AJ$909</f>
        <v>0</v>
      </c>
      <c r="D1798" s="371">
        <v>44</v>
      </c>
      <c r="G1798" s="370">
        <f>$AF$1039</f>
        <v>0</v>
      </c>
      <c r="H1798" s="370"/>
      <c r="I1798" s="370"/>
      <c r="J1798" s="370"/>
      <c r="K1798" s="370"/>
      <c r="L1798" s="370"/>
      <c r="M1798" s="370"/>
      <c r="N1798" s="370"/>
      <c r="O1798" s="370"/>
      <c r="P1798" s="370"/>
      <c r="Q1798" s="370"/>
      <c r="R1798" s="370"/>
      <c r="S1798" s="370"/>
      <c r="T1798" s="370"/>
      <c r="U1798" s="370"/>
      <c r="V1798" s="370"/>
      <c r="W1798" s="370"/>
      <c r="X1798" s="370"/>
      <c r="Y1798" s="370"/>
      <c r="Z1798" s="370"/>
      <c r="BB1798" s="413"/>
    </row>
    <row r="1799" spans="2:54" s="5" customFormat="1" hidden="1" x14ac:dyDescent="0.25">
      <c r="B1799" s="371"/>
      <c r="C1799" s="345"/>
      <c r="D1799" s="345"/>
      <c r="BB1799" s="413"/>
    </row>
    <row r="1800" spans="2:54" s="5" customFormat="1" hidden="1" x14ac:dyDescent="0.25">
      <c r="B1800" s="343">
        <f>B1798+14</f>
        <v>43409</v>
      </c>
      <c r="C1800" s="371">
        <v>25</v>
      </c>
      <c r="D1800" s="371">
        <v>33</v>
      </c>
      <c r="BB1800" s="413"/>
    </row>
    <row r="1801" spans="2:54" s="5" customFormat="1" hidden="1" x14ac:dyDescent="0.25">
      <c r="B1801" s="371"/>
      <c r="C1801" s="423" t="e">
        <f>C1800/C1798</f>
        <v>#DIV/0!</v>
      </c>
      <c r="D1801" s="423">
        <f>(D1798/D1800)</f>
        <v>1.3333333333333333</v>
      </c>
      <c r="BB1801" s="413"/>
    </row>
    <row r="1802" spans="2:54" s="5" customFormat="1" hidden="1" x14ac:dyDescent="0.25">
      <c r="B1802" s="370"/>
      <c r="C1802" s="370"/>
      <c r="D1802" s="370"/>
      <c r="BB1802" s="413"/>
    </row>
    <row r="1803" spans="2:54" s="5" customFormat="1" hidden="1" x14ac:dyDescent="0.25">
      <c r="B1803" s="370"/>
      <c r="C1803" s="370"/>
      <c r="D1803" s="370"/>
      <c r="BB1803" s="413"/>
    </row>
    <row r="1804" spans="2:54" s="5" customFormat="1" hidden="1" x14ac:dyDescent="0.25">
      <c r="B1804" s="370"/>
      <c r="BB1804" s="413"/>
    </row>
    <row r="1805" spans="2:54" s="5" customFormat="1" hidden="1" x14ac:dyDescent="0.25">
      <c r="B1805" s="370"/>
      <c r="BB1805" s="413"/>
    </row>
    <row r="1806" spans="2:54" s="5" customFormat="1" hidden="1" x14ac:dyDescent="0.25">
      <c r="B1806" s="370"/>
      <c r="BB1806" s="413"/>
    </row>
    <row r="1807" spans="2:54" s="5" customFormat="1" hidden="1" x14ac:dyDescent="0.25">
      <c r="B1807" s="370"/>
      <c r="BB1807" s="413"/>
    </row>
    <row r="1808" spans="2:54" s="5" customFormat="1" hidden="1" x14ac:dyDescent="0.25">
      <c r="B1808" s="370"/>
      <c r="BB1808" s="413"/>
    </row>
    <row r="1809" spans="2:54" s="5" customFormat="1" hidden="1" x14ac:dyDescent="0.25">
      <c r="B1809" s="370"/>
      <c r="BB1809" s="413"/>
    </row>
    <row r="1810" spans="2:54" s="5" customFormat="1" hidden="1" x14ac:dyDescent="0.25">
      <c r="B1810" s="370"/>
      <c r="BB1810" s="413"/>
    </row>
    <row r="1811" spans="2:54" s="5" customFormat="1" hidden="1" x14ac:dyDescent="0.25">
      <c r="B1811" s="370"/>
      <c r="BB1811" s="413"/>
    </row>
    <row r="1812" spans="2:54" s="5" customFormat="1" hidden="1" x14ac:dyDescent="0.25">
      <c r="B1812" s="370"/>
      <c r="BB1812" s="413"/>
    </row>
    <row r="1813" spans="2:54" s="5" customFormat="1" hidden="1" x14ac:dyDescent="0.25">
      <c r="B1813" s="370"/>
      <c r="BB1813" s="413"/>
    </row>
    <row r="1814" spans="2:54" s="5" customFormat="1" hidden="1" x14ac:dyDescent="0.25">
      <c r="B1814" s="370"/>
      <c r="BB1814" s="413"/>
    </row>
    <row r="1815" spans="2:54" s="5" customFormat="1" hidden="1" x14ac:dyDescent="0.25">
      <c r="B1815" s="370"/>
      <c r="BB1815" s="413"/>
    </row>
    <row r="1816" spans="2:54" s="5" customFormat="1" hidden="1" x14ac:dyDescent="0.25">
      <c r="B1816" s="370"/>
      <c r="BB1816" s="413"/>
    </row>
    <row r="1817" spans="2:54" s="5" customFormat="1" hidden="1" x14ac:dyDescent="0.25">
      <c r="B1817" s="370"/>
      <c r="BB1817" s="413"/>
    </row>
    <row r="1818" spans="2:54" s="5" customFormat="1" hidden="1" x14ac:dyDescent="0.25">
      <c r="BB1818" s="413"/>
    </row>
    <row r="1819" spans="2:54" s="5" customFormat="1" hidden="1" x14ac:dyDescent="0.25">
      <c r="BB1819" s="413"/>
    </row>
    <row r="1820" spans="2:54" s="5" customFormat="1" hidden="1" x14ac:dyDescent="0.25">
      <c r="BB1820" s="413"/>
    </row>
    <row r="1821" spans="2:54" s="5" customFormat="1" hidden="1" x14ac:dyDescent="0.25">
      <c r="BB1821" s="413"/>
    </row>
    <row r="1822" spans="2:54" s="5" customFormat="1" hidden="1" x14ac:dyDescent="0.25">
      <c r="BB1822" s="413"/>
    </row>
    <row r="1823" spans="2:54" s="5" customFormat="1" hidden="1" x14ac:dyDescent="0.25">
      <c r="BB1823" s="413"/>
    </row>
    <row r="1824" spans="2:54" s="5" customFormat="1" hidden="1" x14ac:dyDescent="0.25">
      <c r="BB1824" s="413"/>
    </row>
    <row r="1825" spans="54:54" s="5" customFormat="1" hidden="1" x14ac:dyDescent="0.25">
      <c r="BB1825" s="413"/>
    </row>
    <row r="1826" spans="54:54" s="5" customFormat="1" hidden="1" x14ac:dyDescent="0.25">
      <c r="BB1826" s="413"/>
    </row>
    <row r="1827" spans="54:54" s="5" customFormat="1" hidden="1" x14ac:dyDescent="0.25">
      <c r="BB1827" s="413"/>
    </row>
    <row r="1828" spans="54:54" s="5" customFormat="1" hidden="1" x14ac:dyDescent="0.25">
      <c r="BB1828" s="413"/>
    </row>
    <row r="1829" spans="54:54" s="5" customFormat="1" hidden="1" x14ac:dyDescent="0.25">
      <c r="BB1829" s="413"/>
    </row>
    <row r="1830" spans="54:54" s="5" customFormat="1" hidden="1" x14ac:dyDescent="0.25">
      <c r="BB1830" s="413"/>
    </row>
    <row r="1831" spans="54:54" s="5" customFormat="1" hidden="1" x14ac:dyDescent="0.25">
      <c r="BB1831" s="413"/>
    </row>
    <row r="1832" spans="54:54" s="5" customFormat="1" hidden="1" x14ac:dyDescent="0.25">
      <c r="BB1832" s="413"/>
    </row>
    <row r="1833" spans="54:54" s="5" customFormat="1" hidden="1" x14ac:dyDescent="0.25">
      <c r="BB1833" s="413"/>
    </row>
    <row r="1834" spans="54:54" s="5" customFormat="1" hidden="1" x14ac:dyDescent="0.25">
      <c r="BB1834" s="413"/>
    </row>
    <row r="1835" spans="54:54" s="5" customFormat="1" hidden="1" x14ac:dyDescent="0.25">
      <c r="BB1835" s="413"/>
    </row>
    <row r="1836" spans="54:54" s="5" customFormat="1" hidden="1" x14ac:dyDescent="0.25">
      <c r="BB1836" s="413"/>
    </row>
    <row r="1837" spans="54:54" s="5" customFormat="1" hidden="1" x14ac:dyDescent="0.25">
      <c r="BB1837" s="413"/>
    </row>
    <row r="1838" spans="54:54" s="5" customFormat="1" hidden="1" x14ac:dyDescent="0.25">
      <c r="BB1838" s="413"/>
    </row>
    <row r="1839" spans="54:54" s="5" customFormat="1" hidden="1" x14ac:dyDescent="0.25">
      <c r="BB1839" s="413"/>
    </row>
    <row r="1840" spans="54:54" s="5" customFormat="1" hidden="1" x14ac:dyDescent="0.25">
      <c r="BB1840" s="413"/>
    </row>
    <row r="1841" spans="1:77" s="5" customFormat="1" hidden="1" x14ac:dyDescent="0.25">
      <c r="BB1841" s="413"/>
    </row>
    <row r="1842" spans="1:77" s="5" customFormat="1" ht="14.4" hidden="1" thickBot="1" x14ac:dyDescent="0.3">
      <c r="A1842" s="424"/>
      <c r="B1842" s="424"/>
      <c r="C1842" s="424"/>
      <c r="D1842" s="424"/>
      <c r="E1842" s="424"/>
      <c r="F1842" s="424"/>
      <c r="BB1842" s="413"/>
    </row>
    <row r="1843" spans="1:77" ht="14.4" hidden="1" thickTop="1" x14ac:dyDescent="0.25"/>
    <row r="1844" spans="1:77" hidden="1" x14ac:dyDescent="0.25">
      <c r="BY1844" s="56">
        <v>1</v>
      </c>
    </row>
    <row r="1845" spans="1:77" ht="14.4" hidden="1" x14ac:dyDescent="0.3">
      <c r="B1845" s="56" t="s">
        <v>999</v>
      </c>
      <c r="D1845" s="77" t="s">
        <v>139</v>
      </c>
      <c r="BY1845" s="56">
        <f>BY1844+1</f>
        <v>2</v>
      </c>
    </row>
    <row r="1846" spans="1:77" ht="14.4" hidden="1" x14ac:dyDescent="0.3">
      <c r="B1846" s="56" t="s">
        <v>1000</v>
      </c>
      <c r="D1846" s="77" t="s">
        <v>1001</v>
      </c>
      <c r="BY1846" s="486">
        <f t="shared" ref="BY1846:BY1904" si="60">BY1845+1</f>
        <v>3</v>
      </c>
    </row>
    <row r="1847" spans="1:77" ht="14.4" hidden="1" x14ac:dyDescent="0.3">
      <c r="B1847" s="28" t="s">
        <v>138</v>
      </c>
      <c r="D1847" s="77" t="s">
        <v>1002</v>
      </c>
      <c r="BY1847" s="486">
        <f t="shared" si="60"/>
        <v>4</v>
      </c>
    </row>
    <row r="1848" spans="1:77" ht="14.4" hidden="1" x14ac:dyDescent="0.3">
      <c r="B1848" s="56" t="s">
        <v>1003</v>
      </c>
      <c r="D1848" s="77" t="s">
        <v>1004</v>
      </c>
      <c r="BY1848" s="486">
        <f t="shared" si="60"/>
        <v>5</v>
      </c>
    </row>
    <row r="1849" spans="1:77" ht="14.4" hidden="1" x14ac:dyDescent="0.3">
      <c r="B1849" s="28" t="s">
        <v>1005</v>
      </c>
      <c r="D1849" s="77" t="s">
        <v>1006</v>
      </c>
      <c r="BY1849" s="486">
        <f t="shared" si="60"/>
        <v>6</v>
      </c>
    </row>
    <row r="1850" spans="1:77" ht="14.4" hidden="1" x14ac:dyDescent="0.3">
      <c r="B1850" s="28"/>
      <c r="D1850" s="77" t="s">
        <v>1007</v>
      </c>
      <c r="BY1850" s="486">
        <f t="shared" si="60"/>
        <v>7</v>
      </c>
    </row>
    <row r="1851" spans="1:77" hidden="1" x14ac:dyDescent="0.25">
      <c r="BY1851" s="486">
        <f t="shared" si="60"/>
        <v>8</v>
      </c>
    </row>
    <row r="1852" spans="1:77" hidden="1" x14ac:dyDescent="0.25">
      <c r="BY1852" s="486">
        <f t="shared" si="60"/>
        <v>9</v>
      </c>
    </row>
    <row r="1853" spans="1:77" hidden="1" x14ac:dyDescent="0.25">
      <c r="B1853" s="56" t="s">
        <v>185</v>
      </c>
      <c r="BY1853" s="486">
        <f t="shared" si="60"/>
        <v>10</v>
      </c>
    </row>
    <row r="1854" spans="1:77" hidden="1" x14ac:dyDescent="0.25">
      <c r="B1854" s="56" t="s">
        <v>240</v>
      </c>
      <c r="BY1854" s="486">
        <f t="shared" si="60"/>
        <v>11</v>
      </c>
    </row>
    <row r="1855" spans="1:77" hidden="1" x14ac:dyDescent="0.25">
      <c r="B1855" s="56" t="s">
        <v>1008</v>
      </c>
      <c r="BY1855" s="486">
        <f t="shared" si="60"/>
        <v>12</v>
      </c>
    </row>
    <row r="1856" spans="1:77" hidden="1" x14ac:dyDescent="0.25">
      <c r="B1856" s="56" t="s">
        <v>188</v>
      </c>
      <c r="BY1856" s="486">
        <f t="shared" si="60"/>
        <v>13</v>
      </c>
    </row>
    <row r="1857" spans="2:77" hidden="1" x14ac:dyDescent="0.25">
      <c r="BY1857" s="486">
        <f t="shared" si="60"/>
        <v>14</v>
      </c>
    </row>
    <row r="1858" spans="2:77" hidden="1" x14ac:dyDescent="0.25">
      <c r="BY1858" s="486">
        <f t="shared" si="60"/>
        <v>15</v>
      </c>
    </row>
    <row r="1859" spans="2:77" ht="14.4" hidden="1" x14ac:dyDescent="0.3">
      <c r="B1859" s="425" t="s">
        <v>1009</v>
      </c>
      <c r="BY1859" s="486">
        <f t="shared" si="60"/>
        <v>16</v>
      </c>
    </row>
    <row r="1860" spans="2:77" ht="14.4" hidden="1" x14ac:dyDescent="0.3">
      <c r="B1860" s="425" t="s">
        <v>1010</v>
      </c>
      <c r="BY1860" s="486">
        <f t="shared" si="60"/>
        <v>17</v>
      </c>
    </row>
    <row r="1861" spans="2:77" ht="14.4" hidden="1" x14ac:dyDescent="0.3">
      <c r="B1861" s="425" t="s">
        <v>1011</v>
      </c>
      <c r="BY1861" s="486">
        <f t="shared" si="60"/>
        <v>18</v>
      </c>
    </row>
    <row r="1862" spans="2:77" ht="14.4" hidden="1" x14ac:dyDescent="0.3">
      <c r="B1862" s="425" t="s">
        <v>242</v>
      </c>
      <c r="D1862" s="425" t="s">
        <v>1012</v>
      </c>
      <c r="BY1862" s="486">
        <f t="shared" si="60"/>
        <v>19</v>
      </c>
    </row>
    <row r="1863" spans="2:77" ht="14.4" hidden="1" x14ac:dyDescent="0.3">
      <c r="B1863" s="425" t="s">
        <v>1013</v>
      </c>
      <c r="BY1863" s="486">
        <f t="shared" si="60"/>
        <v>20</v>
      </c>
    </row>
    <row r="1864" spans="2:77" hidden="1" x14ac:dyDescent="0.25">
      <c r="BY1864" s="486">
        <f t="shared" si="60"/>
        <v>21</v>
      </c>
    </row>
    <row r="1865" spans="2:77" hidden="1" x14ac:dyDescent="0.25">
      <c r="BY1865" s="486">
        <f t="shared" si="60"/>
        <v>22</v>
      </c>
    </row>
    <row r="1866" spans="2:77" hidden="1" x14ac:dyDescent="0.25">
      <c r="BY1866" s="486">
        <f t="shared" si="60"/>
        <v>23</v>
      </c>
    </row>
    <row r="1867" spans="2:77" hidden="1" x14ac:dyDescent="0.25">
      <c r="BY1867" s="486">
        <f t="shared" si="60"/>
        <v>24</v>
      </c>
    </row>
    <row r="1868" spans="2:77" hidden="1" x14ac:dyDescent="0.25">
      <c r="BY1868" s="486">
        <f t="shared" si="60"/>
        <v>25</v>
      </c>
    </row>
    <row r="1869" spans="2:77" ht="14.4" hidden="1" x14ac:dyDescent="0.3">
      <c r="B1869" s="80"/>
      <c r="BY1869" s="486">
        <f t="shared" si="60"/>
        <v>26</v>
      </c>
    </row>
    <row r="1870" spans="2:77" ht="15" hidden="1" x14ac:dyDescent="0.25">
      <c r="B1870" s="426" t="s">
        <v>1014</v>
      </c>
      <c r="BY1870" s="486">
        <f t="shared" si="60"/>
        <v>27</v>
      </c>
    </row>
    <row r="1871" spans="2:77" hidden="1" x14ac:dyDescent="0.25">
      <c r="B1871" s="56" t="s">
        <v>323</v>
      </c>
      <c r="E1871" s="56">
        <v>0</v>
      </c>
      <c r="BY1871" s="486">
        <f t="shared" si="60"/>
        <v>28</v>
      </c>
    </row>
    <row r="1872" spans="2:77" hidden="1" x14ac:dyDescent="0.25">
      <c r="B1872" s="56" t="s">
        <v>340</v>
      </c>
      <c r="E1872" s="56">
        <v>1</v>
      </c>
      <c r="BY1872" s="486">
        <f t="shared" si="60"/>
        <v>29</v>
      </c>
    </row>
    <row r="1873" spans="2:77" hidden="1" x14ac:dyDescent="0.25">
      <c r="B1873" s="56" t="s">
        <v>373</v>
      </c>
      <c r="E1873" s="56">
        <v>2</v>
      </c>
      <c r="BY1873" s="486">
        <f t="shared" si="60"/>
        <v>30</v>
      </c>
    </row>
    <row r="1874" spans="2:77" hidden="1" x14ac:dyDescent="0.25">
      <c r="B1874" s="56" t="s">
        <v>331</v>
      </c>
      <c r="C1874" s="60"/>
      <c r="D1874" s="60"/>
      <c r="E1874" s="60">
        <v>4</v>
      </c>
      <c r="F1874" s="60"/>
      <c r="BY1874" s="486">
        <f t="shared" si="60"/>
        <v>31</v>
      </c>
    </row>
    <row r="1875" spans="2:77" hidden="1" x14ac:dyDescent="0.25">
      <c r="C1875" s="60"/>
      <c r="D1875" s="60"/>
      <c r="E1875" s="60"/>
      <c r="F1875" s="60"/>
      <c r="BY1875" s="486">
        <f t="shared" si="60"/>
        <v>32</v>
      </c>
    </row>
    <row r="1876" spans="2:77" ht="15" hidden="1" x14ac:dyDescent="0.25">
      <c r="B1876" s="426" t="s">
        <v>1015</v>
      </c>
      <c r="C1876" s="60"/>
      <c r="D1876" s="60"/>
      <c r="E1876" s="60"/>
      <c r="F1876" s="60"/>
      <c r="BY1876" s="486">
        <f t="shared" si="60"/>
        <v>33</v>
      </c>
    </row>
    <row r="1877" spans="2:77" hidden="1" x14ac:dyDescent="0.25">
      <c r="B1877" s="56" t="s">
        <v>388</v>
      </c>
      <c r="E1877" s="112">
        <f t="shared" ref="E1877:E1882" si="61">AC1877</f>
        <v>0.25000000000000006</v>
      </c>
      <c r="F1877" s="112"/>
      <c r="G1877" s="5">
        <f>G1878-0.1</f>
        <v>0.50000000000000011</v>
      </c>
      <c r="AA1877" s="112"/>
      <c r="AB1877" s="112">
        <f t="shared" ref="AB1877:AD1880" si="62">AB1878-0.05</f>
        <v>0.49999999999999983</v>
      </c>
      <c r="AC1877" s="112">
        <f t="shared" si="62"/>
        <v>0.25000000000000006</v>
      </c>
      <c r="AD1877" s="112">
        <f t="shared" si="62"/>
        <v>0</v>
      </c>
      <c r="AE1877" s="112">
        <f>AE1878-0.2</f>
        <v>0</v>
      </c>
      <c r="BB1877" s="56"/>
      <c r="BY1877" s="486">
        <f t="shared" si="60"/>
        <v>34</v>
      </c>
    </row>
    <row r="1878" spans="2:77" hidden="1" x14ac:dyDescent="0.25">
      <c r="B1878" s="56" t="s">
        <v>351</v>
      </c>
      <c r="E1878" s="112">
        <f t="shared" si="61"/>
        <v>0.30000000000000004</v>
      </c>
      <c r="F1878" s="112"/>
      <c r="G1878" s="5">
        <f>G1879-0.1</f>
        <v>0.60000000000000009</v>
      </c>
      <c r="AA1878" s="112"/>
      <c r="AB1878" s="112">
        <f t="shared" si="62"/>
        <v>0.54999999999999982</v>
      </c>
      <c r="AC1878" s="112">
        <f t="shared" si="62"/>
        <v>0.30000000000000004</v>
      </c>
      <c r="AD1878" s="112">
        <f t="shared" si="62"/>
        <v>5.0000000000000017E-2</v>
      </c>
      <c r="AE1878" s="112">
        <f>AE1879-0.2</f>
        <v>0.20000000000000007</v>
      </c>
      <c r="BB1878" s="56"/>
      <c r="BY1878" s="486">
        <f t="shared" si="60"/>
        <v>35</v>
      </c>
    </row>
    <row r="1879" spans="2:77" hidden="1" x14ac:dyDescent="0.25">
      <c r="B1879" s="56" t="s">
        <v>358</v>
      </c>
      <c r="E1879" s="112">
        <f t="shared" si="61"/>
        <v>0.35000000000000003</v>
      </c>
      <c r="F1879" s="112"/>
      <c r="G1879" s="5">
        <f>G1880-0.1</f>
        <v>0.70000000000000007</v>
      </c>
      <c r="AA1879" s="112"/>
      <c r="AB1879" s="112">
        <f t="shared" si="62"/>
        <v>0.59999999999999987</v>
      </c>
      <c r="AC1879" s="112">
        <f t="shared" si="62"/>
        <v>0.35000000000000003</v>
      </c>
      <c r="AD1879" s="112">
        <f t="shared" si="62"/>
        <v>0.10000000000000002</v>
      </c>
      <c r="AE1879" s="112">
        <f>AE1880-0.2</f>
        <v>0.40000000000000008</v>
      </c>
      <c r="BB1879" s="56"/>
      <c r="BY1879" s="486">
        <f t="shared" si="60"/>
        <v>36</v>
      </c>
    </row>
    <row r="1880" spans="2:77" hidden="1" x14ac:dyDescent="0.25">
      <c r="B1880" s="56" t="s">
        <v>423</v>
      </c>
      <c r="E1880" s="112">
        <f t="shared" si="61"/>
        <v>0.4</v>
      </c>
      <c r="F1880" s="112"/>
      <c r="G1880" s="5">
        <f>G1881-0.1</f>
        <v>0.8</v>
      </c>
      <c r="AA1880" s="112"/>
      <c r="AB1880" s="112">
        <f t="shared" si="62"/>
        <v>0.64999999999999991</v>
      </c>
      <c r="AC1880" s="112">
        <f t="shared" si="62"/>
        <v>0.4</v>
      </c>
      <c r="AD1880" s="112">
        <f t="shared" si="62"/>
        <v>0.15000000000000002</v>
      </c>
      <c r="AE1880" s="112">
        <f>AE1881-0.2</f>
        <v>0.60000000000000009</v>
      </c>
      <c r="BB1880" s="56"/>
      <c r="BY1880" s="486">
        <f t="shared" si="60"/>
        <v>37</v>
      </c>
    </row>
    <row r="1881" spans="2:77" hidden="1" x14ac:dyDescent="0.25">
      <c r="B1881" s="56" t="s">
        <v>347</v>
      </c>
      <c r="E1881" s="112">
        <f t="shared" si="61"/>
        <v>0.45</v>
      </c>
      <c r="F1881" s="112"/>
      <c r="G1881" s="5">
        <f>G1882-0.1</f>
        <v>0.9</v>
      </c>
      <c r="AA1881" s="112"/>
      <c r="AB1881" s="112">
        <f>AB1882-0.05</f>
        <v>0.7</v>
      </c>
      <c r="AC1881" s="112">
        <f>AC1882-0.05</f>
        <v>0.45</v>
      </c>
      <c r="AD1881" s="112">
        <f>AD1882-0.05</f>
        <v>0.2</v>
      </c>
      <c r="AE1881" s="112">
        <f>AE1882-0.2</f>
        <v>0.8</v>
      </c>
      <c r="BB1881" s="56"/>
      <c r="BY1881" s="486">
        <f t="shared" si="60"/>
        <v>38</v>
      </c>
    </row>
    <row r="1882" spans="2:77" hidden="1" x14ac:dyDescent="0.25">
      <c r="B1882" s="56" t="s">
        <v>332</v>
      </c>
      <c r="E1882" s="112">
        <f t="shared" si="61"/>
        <v>0.5</v>
      </c>
      <c r="F1882" s="112"/>
      <c r="G1882" s="5">
        <v>1</v>
      </c>
      <c r="AA1882" s="112"/>
      <c r="AB1882" s="112">
        <v>0.75</v>
      </c>
      <c r="AC1882" s="56">
        <v>0.5</v>
      </c>
      <c r="AD1882" s="112">
        <v>0.25</v>
      </c>
      <c r="AE1882" s="112">
        <v>1</v>
      </c>
      <c r="BB1882" s="56"/>
      <c r="BY1882" s="486">
        <f t="shared" si="60"/>
        <v>39</v>
      </c>
    </row>
    <row r="1883" spans="2:77" hidden="1" x14ac:dyDescent="0.25">
      <c r="C1883" s="60"/>
      <c r="D1883" s="60"/>
      <c r="BB1883" s="56"/>
      <c r="BY1883" s="486">
        <f t="shared" si="60"/>
        <v>40</v>
      </c>
    </row>
    <row r="1884" spans="2:77" ht="15" hidden="1" x14ac:dyDescent="0.25">
      <c r="B1884" s="426" t="s">
        <v>1016</v>
      </c>
      <c r="BB1884" s="56"/>
      <c r="BY1884" s="486">
        <f t="shared" si="60"/>
        <v>41</v>
      </c>
    </row>
    <row r="1885" spans="2:77" hidden="1" x14ac:dyDescent="0.25">
      <c r="B1885" s="56" t="s">
        <v>1017</v>
      </c>
      <c r="E1885" s="112">
        <v>-2</v>
      </c>
      <c r="F1885" s="112"/>
      <c r="BB1885" s="56"/>
      <c r="BY1885" s="486">
        <f t="shared" si="60"/>
        <v>42</v>
      </c>
    </row>
    <row r="1886" spans="2:77" hidden="1" x14ac:dyDescent="0.25">
      <c r="B1886" s="56" t="s">
        <v>1018</v>
      </c>
      <c r="E1886" s="112">
        <v>-1</v>
      </c>
      <c r="F1886" s="112"/>
      <c r="BB1886" s="56"/>
      <c r="BY1886" s="486">
        <f t="shared" si="60"/>
        <v>43</v>
      </c>
    </row>
    <row r="1887" spans="2:77" hidden="1" x14ac:dyDescent="0.25">
      <c r="B1887" s="56" t="s">
        <v>1019</v>
      </c>
      <c r="E1887" s="112">
        <v>-0.5</v>
      </c>
      <c r="F1887" s="112"/>
      <c r="BB1887" s="56"/>
      <c r="BY1887" s="486">
        <f t="shared" si="60"/>
        <v>44</v>
      </c>
    </row>
    <row r="1888" spans="2:77" hidden="1" x14ac:dyDescent="0.25">
      <c r="B1888" s="56" t="s">
        <v>1020</v>
      </c>
      <c r="E1888" s="112">
        <v>-0.25</v>
      </c>
      <c r="F1888" s="112"/>
      <c r="BB1888" s="56"/>
      <c r="BY1888" s="486">
        <f t="shared" si="60"/>
        <v>45</v>
      </c>
    </row>
    <row r="1889" spans="2:77" hidden="1" x14ac:dyDescent="0.25">
      <c r="B1889" s="56" t="s">
        <v>1021</v>
      </c>
      <c r="E1889" s="112">
        <v>0</v>
      </c>
      <c r="F1889" s="112"/>
      <c r="BB1889" s="56"/>
      <c r="BY1889" s="486">
        <f t="shared" si="60"/>
        <v>46</v>
      </c>
    </row>
    <row r="1890" spans="2:77" hidden="1" x14ac:dyDescent="0.25">
      <c r="B1890" s="56" t="s">
        <v>1022</v>
      </c>
      <c r="E1890" s="112">
        <v>0.25</v>
      </c>
      <c r="F1890" s="112"/>
      <c r="BB1890" s="56"/>
      <c r="BY1890" s="486">
        <f t="shared" si="60"/>
        <v>47</v>
      </c>
    </row>
    <row r="1891" spans="2:77" hidden="1" x14ac:dyDescent="0.25">
      <c r="B1891" s="56" t="s">
        <v>1023</v>
      </c>
      <c r="E1891" s="112">
        <v>0.5</v>
      </c>
      <c r="F1891" s="112"/>
      <c r="BB1891" s="56"/>
      <c r="BY1891" s="486">
        <f t="shared" si="60"/>
        <v>48</v>
      </c>
    </row>
    <row r="1892" spans="2:77" hidden="1" x14ac:dyDescent="0.25">
      <c r="B1892" s="56" t="s">
        <v>341</v>
      </c>
      <c r="E1892" s="112">
        <v>1</v>
      </c>
      <c r="F1892" s="112"/>
      <c r="BB1892" s="56"/>
      <c r="BY1892" s="486">
        <f t="shared" si="60"/>
        <v>49</v>
      </c>
    </row>
    <row r="1893" spans="2:77" hidden="1" x14ac:dyDescent="0.25">
      <c r="BY1893" s="486">
        <f t="shared" si="60"/>
        <v>50</v>
      </c>
    </row>
    <row r="1894" spans="2:77" hidden="1" x14ac:dyDescent="0.25">
      <c r="BY1894" s="486">
        <f t="shared" si="60"/>
        <v>51</v>
      </c>
    </row>
    <row r="1895" spans="2:77" ht="15.6" hidden="1" x14ac:dyDescent="0.3">
      <c r="B1895" s="426" t="s">
        <v>1024</v>
      </c>
      <c r="D1895" s="427" t="s">
        <v>1025</v>
      </c>
      <c r="BB1895" s="56"/>
      <c r="BY1895" s="486">
        <f t="shared" si="60"/>
        <v>52</v>
      </c>
    </row>
    <row r="1896" spans="2:77" ht="14.4" hidden="1" x14ac:dyDescent="0.3">
      <c r="B1896" s="56" t="s">
        <v>264</v>
      </c>
      <c r="D1896" s="77" t="s">
        <v>1026</v>
      </c>
      <c r="G1896" s="5">
        <v>0.12</v>
      </c>
      <c r="AC1896" s="56" t="str">
        <f>B1896</f>
        <v>By URL below, searchable text  (best)</v>
      </c>
      <c r="AD1896" s="56" t="str">
        <f>B1897</f>
        <v>By URL below, audio/visual recording  (great)</v>
      </c>
      <c r="AE1896" s="56" t="str">
        <f>B1898</f>
        <v>By URL below, image only  (good)</v>
      </c>
      <c r="AF1896" s="56" t="str">
        <f>B1899</f>
        <v>By email below  (fair)</v>
      </c>
      <c r="AG1896" s="56" t="str">
        <f>B1900</f>
        <v>Not at this time  (poor)</v>
      </c>
      <c r="AH1896" s="56" t="str">
        <f>B1901</f>
        <v>Not applicable  (okay)</v>
      </c>
      <c r="BB1896" s="56"/>
      <c r="BY1896" s="486">
        <f t="shared" si="60"/>
        <v>53</v>
      </c>
    </row>
    <row r="1897" spans="2:77" ht="14.4" hidden="1" x14ac:dyDescent="0.3">
      <c r="B1897" s="56" t="s">
        <v>1027</v>
      </c>
      <c r="D1897" s="77" t="s">
        <v>1028</v>
      </c>
      <c r="G1897" s="5">
        <v>0.25</v>
      </c>
      <c r="BB1897" s="56"/>
      <c r="BY1897" s="486">
        <f t="shared" si="60"/>
        <v>54</v>
      </c>
    </row>
    <row r="1898" spans="2:77" ht="14.4" hidden="1" x14ac:dyDescent="0.3">
      <c r="B1898" s="56" t="s">
        <v>276</v>
      </c>
      <c r="D1898" s="77" t="s">
        <v>1029</v>
      </c>
      <c r="G1898" s="5">
        <v>0.5</v>
      </c>
      <c r="BB1898" s="56"/>
      <c r="BY1898" s="486">
        <f t="shared" si="60"/>
        <v>55</v>
      </c>
    </row>
    <row r="1899" spans="2:77" ht="14.4" hidden="1" x14ac:dyDescent="0.3">
      <c r="B1899" s="56" t="s">
        <v>1030</v>
      </c>
      <c r="D1899" s="77" t="s">
        <v>1031</v>
      </c>
      <c r="G1899" s="5">
        <v>1</v>
      </c>
      <c r="BB1899" s="56"/>
      <c r="BY1899" s="486">
        <f t="shared" si="60"/>
        <v>56</v>
      </c>
    </row>
    <row r="1900" spans="2:77" ht="14.4" hidden="1" x14ac:dyDescent="0.3">
      <c r="B1900" s="56" t="s">
        <v>1032</v>
      </c>
      <c r="D1900" s="77" t="s">
        <v>270</v>
      </c>
      <c r="G1900" s="5">
        <v>0</v>
      </c>
      <c r="BB1900" s="56"/>
      <c r="BY1900" s="486">
        <f t="shared" si="60"/>
        <v>57</v>
      </c>
    </row>
    <row r="1901" spans="2:77" hidden="1" x14ac:dyDescent="0.25">
      <c r="B1901" s="56" t="s">
        <v>1033</v>
      </c>
      <c r="D1901" s="56" t="s">
        <v>1034</v>
      </c>
      <c r="BB1901" s="56"/>
      <c r="BY1901" s="486">
        <f t="shared" si="60"/>
        <v>58</v>
      </c>
    </row>
    <row r="1902" spans="2:77" hidden="1" x14ac:dyDescent="0.25">
      <c r="BY1902" s="486">
        <f t="shared" si="60"/>
        <v>59</v>
      </c>
    </row>
    <row r="1903" spans="2:77" hidden="1" x14ac:dyDescent="0.25">
      <c r="BY1903" s="486">
        <f t="shared" si="60"/>
        <v>60</v>
      </c>
    </row>
    <row r="1904" spans="2:77" hidden="1" x14ac:dyDescent="0.25">
      <c r="B1904" s="56" t="s">
        <v>11</v>
      </c>
      <c r="BB1904" s="56"/>
      <c r="BY1904" s="486">
        <f t="shared" si="60"/>
        <v>61</v>
      </c>
    </row>
    <row r="1905" spans="2:54" hidden="1" x14ac:dyDescent="0.25">
      <c r="B1905" s="56" t="s">
        <v>1035</v>
      </c>
      <c r="BB1905" s="56"/>
    </row>
    <row r="1906" spans="2:54" hidden="1" x14ac:dyDescent="0.25">
      <c r="B1906" s="56" t="s">
        <v>1036</v>
      </c>
      <c r="BB1906" s="56"/>
    </row>
    <row r="1907" spans="2:54" hidden="1" x14ac:dyDescent="0.25"/>
    <row r="1908" spans="2:54" ht="14.4" hidden="1" x14ac:dyDescent="0.3">
      <c r="B1908" s="77" t="s">
        <v>512</v>
      </c>
      <c r="BB1908" s="56"/>
    </row>
    <row r="1909" spans="2:54" ht="14.4" hidden="1" x14ac:dyDescent="0.3">
      <c r="B1909" s="77" t="s">
        <v>503</v>
      </c>
      <c r="BB1909" s="56"/>
    </row>
    <row r="1910" spans="2:54" ht="14.4" hidden="1" x14ac:dyDescent="0.3">
      <c r="B1910" s="77" t="s">
        <v>485</v>
      </c>
      <c r="BB1910" s="56"/>
    </row>
    <row r="1911" spans="2:54" hidden="1" x14ac:dyDescent="0.25"/>
    <row r="1912" spans="2:54" ht="14.4" hidden="1" x14ac:dyDescent="0.3">
      <c r="B1912" s="77" t="s">
        <v>506</v>
      </c>
      <c r="BB1912" s="56"/>
    </row>
    <row r="1913" spans="2:54" ht="14.4" hidden="1" x14ac:dyDescent="0.3">
      <c r="B1913" s="77" t="s">
        <v>494</v>
      </c>
      <c r="BB1913" s="56"/>
    </row>
    <row r="1914" spans="2:54" ht="14.4" hidden="1" x14ac:dyDescent="0.3">
      <c r="B1914" s="77" t="s">
        <v>487</v>
      </c>
      <c r="BB1914" s="56"/>
    </row>
    <row r="1915" spans="2:54" hidden="1" x14ac:dyDescent="0.25"/>
    <row r="1916" spans="2:54" hidden="1" x14ac:dyDescent="0.25"/>
    <row r="1917" spans="2:54" ht="14.4" hidden="1" x14ac:dyDescent="0.3">
      <c r="B1917" s="427" t="s">
        <v>1037</v>
      </c>
    </row>
    <row r="1918" spans="2:54" ht="14.4" hidden="1" x14ac:dyDescent="0.3">
      <c r="B1918" s="77" t="s">
        <v>568</v>
      </c>
    </row>
    <row r="1919" spans="2:54" ht="14.4" hidden="1" x14ac:dyDescent="0.3">
      <c r="B1919" s="77" t="s">
        <v>563</v>
      </c>
    </row>
    <row r="1920" spans="2:54" ht="14.4" hidden="1" x14ac:dyDescent="0.3">
      <c r="B1920" s="77" t="s">
        <v>565</v>
      </c>
    </row>
    <row r="1921" spans="2:2" ht="14.4" hidden="1" x14ac:dyDescent="0.3">
      <c r="B1921" s="77" t="s">
        <v>560</v>
      </c>
    </row>
    <row r="1922" spans="2:2" ht="14.4" hidden="1" x14ac:dyDescent="0.3">
      <c r="B1922" s="77" t="s">
        <v>1038</v>
      </c>
    </row>
    <row r="1923" spans="2:2" hidden="1" x14ac:dyDescent="0.25"/>
    <row r="1924" spans="2:2" hidden="1" x14ac:dyDescent="0.25"/>
    <row r="1925" spans="2:2" ht="14.4" hidden="1" x14ac:dyDescent="0.3">
      <c r="B1925" s="427" t="s">
        <v>1039</v>
      </c>
    </row>
    <row r="1926" spans="2:2" ht="14.4" hidden="1" x14ac:dyDescent="0.3">
      <c r="B1926" s="77" t="s">
        <v>583</v>
      </c>
    </row>
    <row r="1927" spans="2:2" ht="14.4" hidden="1" x14ac:dyDescent="0.3">
      <c r="B1927" s="77" t="s">
        <v>1040</v>
      </c>
    </row>
    <row r="1928" spans="2:2" ht="14.4" hidden="1" x14ac:dyDescent="0.3">
      <c r="B1928" s="77" t="s">
        <v>1041</v>
      </c>
    </row>
    <row r="1929" spans="2:2" ht="14.4" hidden="1" x14ac:dyDescent="0.3">
      <c r="B1929" s="77" t="s">
        <v>575</v>
      </c>
    </row>
    <row r="1930" spans="2:2" ht="14.4" hidden="1" x14ac:dyDescent="0.3">
      <c r="B1930" s="77" t="s">
        <v>578</v>
      </c>
    </row>
    <row r="1931" spans="2:2" ht="14.4" hidden="1" x14ac:dyDescent="0.3">
      <c r="B1931" s="77" t="s">
        <v>1042</v>
      </c>
    </row>
    <row r="1932" spans="2:2" ht="14.4" hidden="1" x14ac:dyDescent="0.3">
      <c r="B1932" s="77" t="s">
        <v>580</v>
      </c>
    </row>
    <row r="1933" spans="2:2" ht="14.4" hidden="1" x14ac:dyDescent="0.3">
      <c r="B1933" s="77"/>
    </row>
    <row r="1934" spans="2:2" ht="14.4" hidden="1" x14ac:dyDescent="0.3">
      <c r="B1934" s="77"/>
    </row>
    <row r="1935" spans="2:2" ht="14.4" hidden="1" x14ac:dyDescent="0.3">
      <c r="B1935" s="427" t="s">
        <v>1043</v>
      </c>
    </row>
    <row r="1936" spans="2:2" ht="14.4" hidden="1" x14ac:dyDescent="0.3">
      <c r="B1936" s="77" t="s">
        <v>1044</v>
      </c>
    </row>
    <row r="1937" spans="2:4" ht="14.4" hidden="1" x14ac:dyDescent="0.3">
      <c r="B1937" s="77" t="s">
        <v>473</v>
      </c>
    </row>
    <row r="1938" spans="2:4" ht="14.4" hidden="1" x14ac:dyDescent="0.3">
      <c r="B1938" s="77" t="s">
        <v>471</v>
      </c>
    </row>
    <row r="1939" spans="2:4" ht="14.4" hidden="1" x14ac:dyDescent="0.3">
      <c r="B1939" s="77" t="s">
        <v>1045</v>
      </c>
    </row>
    <row r="1940" spans="2:4" ht="14.4" hidden="1" x14ac:dyDescent="0.3">
      <c r="B1940" s="77" t="s">
        <v>476</v>
      </c>
    </row>
    <row r="1941" spans="2:4" ht="14.4" hidden="1" x14ac:dyDescent="0.3">
      <c r="B1941" s="77" t="s">
        <v>1046</v>
      </c>
    </row>
    <row r="1942" spans="2:4" ht="14.4" hidden="1" x14ac:dyDescent="0.3">
      <c r="B1942" s="77"/>
    </row>
    <row r="1943" spans="2:4" ht="14.4" hidden="1" x14ac:dyDescent="0.3">
      <c r="B1943" s="77"/>
    </row>
    <row r="1944" spans="2:4" ht="14.4" hidden="1" x14ac:dyDescent="0.3">
      <c r="B1944" s="427" t="s">
        <v>1047</v>
      </c>
    </row>
    <row r="1945" spans="2:4" ht="14.4" hidden="1" x14ac:dyDescent="0.3">
      <c r="B1945" s="77" t="s">
        <v>1048</v>
      </c>
      <c r="D1945" s="77" t="str">
        <f>B1484</f>
        <v xml:space="preserve">Entity name: </v>
      </c>
    </row>
    <row r="1946" spans="2:4" ht="14.4" hidden="1" x14ac:dyDescent="0.3">
      <c r="B1946" s="77" t="s">
        <v>1049</v>
      </c>
      <c r="D1946" s="77" t="str">
        <f>B1485</f>
        <v xml:space="preserve">Contact person: </v>
      </c>
    </row>
    <row r="1947" spans="2:4" ht="14.4" hidden="1" x14ac:dyDescent="0.3">
      <c r="B1947" s="77" t="s">
        <v>1050</v>
      </c>
      <c r="D1947" s="77" t="str">
        <f>B1487</f>
        <v xml:space="preserve">Email address: </v>
      </c>
    </row>
    <row r="1948" spans="2:4" ht="14.4" hidden="1" x14ac:dyDescent="0.3">
      <c r="B1948" s="77" t="s">
        <v>1051</v>
      </c>
      <c r="D1948" s="77" t="str">
        <f>B1488</f>
        <v xml:space="preserve">Mailing address: </v>
      </c>
    </row>
    <row r="1949" spans="2:4" ht="14.4" hidden="1" x14ac:dyDescent="0.3">
      <c r="B1949" s="77"/>
      <c r="D1949" s="56" t="str">
        <f>B1488</f>
        <v xml:space="preserve">Mailing address: </v>
      </c>
    </row>
    <row r="1950" spans="2:4" ht="14.4" hidden="1" x14ac:dyDescent="0.3">
      <c r="B1950" s="77"/>
      <c r="D1950" s="56">
        <f>B1489</f>
        <v>0</v>
      </c>
    </row>
    <row r="1951" spans="2:4" ht="14.4" hidden="1" x14ac:dyDescent="0.3">
      <c r="B1951" s="77" t="str">
        <f>CONCATENATE(B1945,D$1945)</f>
        <v xml:space="preserve">no, I don't need to notify any Entity name: </v>
      </c>
      <c r="D1951" s="56">
        <f>B1490</f>
        <v>0</v>
      </c>
    </row>
    <row r="1952" spans="2:4" ht="14.4" hidden="1" x14ac:dyDescent="0.3">
      <c r="B1952" s="77" t="str">
        <f>CONCATENATE(B1946,D$1945)</f>
        <v xml:space="preserve">I have not yet decided if needing to notify any Entity name: </v>
      </c>
    </row>
    <row r="1953" spans="2:2" ht="14.4" hidden="1" x14ac:dyDescent="0.3">
      <c r="B1953" s="77" t="str">
        <f>CONCATENATE(B1947,D$1945)</f>
        <v xml:space="preserve">yes, but I'll let you know when I need to notifiy any Entity name: </v>
      </c>
    </row>
    <row r="1954" spans="2:2" ht="14.4" hidden="1" x14ac:dyDescent="0.3">
      <c r="B1954" s="77" t="str">
        <f>CONCATENATE(B1948,D$1945)</f>
        <v xml:space="preserve">yes, I need you to immediately notify Entity name: </v>
      </c>
    </row>
    <row r="1955" spans="2:2" ht="14.4" hidden="1" x14ac:dyDescent="0.3">
      <c r="B1955" s="77"/>
    </row>
    <row r="1956" spans="2:2" ht="14.4" hidden="1" x14ac:dyDescent="0.3">
      <c r="B1956" s="77" t="str">
        <f>CONCATENATE(B1945,D$1946)</f>
        <v xml:space="preserve">no, I don't need to notify any Contact person: </v>
      </c>
    </row>
    <row r="1957" spans="2:2" ht="14.4" hidden="1" x14ac:dyDescent="0.3">
      <c r="B1957" s="77" t="str">
        <f>CONCATENATE(B1946,D$1946)</f>
        <v xml:space="preserve">I have not yet decided if needing to notify any Contact person: </v>
      </c>
    </row>
    <row r="1958" spans="2:2" ht="14.4" hidden="1" x14ac:dyDescent="0.3">
      <c r="B1958" s="77" t="str">
        <f>CONCATENATE(B1947,D$1946)</f>
        <v xml:space="preserve">yes, but I'll let you know when I need to notifiy any Contact person: </v>
      </c>
    </row>
    <row r="1959" spans="2:2" ht="14.4" hidden="1" x14ac:dyDescent="0.3">
      <c r="B1959" s="77" t="str">
        <f>CONCATENATE(B1948,D$1946)</f>
        <v xml:space="preserve">yes, I need you to immediately notify Contact person: </v>
      </c>
    </row>
    <row r="1960" spans="2:2" ht="14.4" hidden="1" x14ac:dyDescent="0.3">
      <c r="B1960" s="77"/>
    </row>
    <row r="1961" spans="2:2" ht="14.4" hidden="1" x14ac:dyDescent="0.3">
      <c r="B1961" s="77" t="str">
        <f>CONCATENATE(B1945,D$1947)</f>
        <v xml:space="preserve">no, I don't need to notify any Email address: </v>
      </c>
    </row>
    <row r="1962" spans="2:2" ht="14.4" hidden="1" x14ac:dyDescent="0.3">
      <c r="B1962" s="77" t="str">
        <f>CONCATENATE(B1946,D$1947)</f>
        <v xml:space="preserve">I have not yet decided if needing to notify any Email address: </v>
      </c>
    </row>
    <row r="1963" spans="2:2" ht="14.4" hidden="1" x14ac:dyDescent="0.3">
      <c r="B1963" s="77" t="str">
        <f>CONCATENATE(B1947,D$1947)</f>
        <v xml:space="preserve">yes, but I'll let you know when I need to notifiy any Email address: </v>
      </c>
    </row>
    <row r="1964" spans="2:2" ht="14.4" hidden="1" x14ac:dyDescent="0.3">
      <c r="B1964" s="77" t="str">
        <f>CONCATENATE(B1948,D$1947)</f>
        <v xml:space="preserve">yes, I need you to immediately notify Email address: </v>
      </c>
    </row>
    <row r="1965" spans="2:2" ht="14.4" hidden="1" x14ac:dyDescent="0.3">
      <c r="B1965" s="77"/>
    </row>
    <row r="1966" spans="2:2" ht="14.4" hidden="1" x14ac:dyDescent="0.3">
      <c r="B1966" s="77" t="str">
        <f>CONCATENATE(B1945,D$1948)</f>
        <v xml:space="preserve">no, I don't need to notify any Mailing address: </v>
      </c>
    </row>
    <row r="1967" spans="2:2" ht="14.4" hidden="1" x14ac:dyDescent="0.3">
      <c r="B1967" s="77" t="str">
        <f>CONCATENATE(B1946,D$1948)</f>
        <v xml:space="preserve">I have not yet decided if needing to notify any Mailing address: </v>
      </c>
    </row>
    <row r="1968" spans="2:2" ht="14.4" hidden="1" x14ac:dyDescent="0.3">
      <c r="B1968" s="77" t="str">
        <f>CONCATENATE(B1947,D$1948)</f>
        <v xml:space="preserve">yes, but I'll let you know when I need to notifiy any Mailing address: </v>
      </c>
    </row>
    <row r="1969" spans="2:33" ht="14.4" hidden="1" x14ac:dyDescent="0.3">
      <c r="B1969" s="77" t="str">
        <f>CONCATENATE(B1948,D$1948)</f>
        <v xml:space="preserve">yes, I need you to immediately notify Mailing address: </v>
      </c>
    </row>
    <row r="1970" spans="2:33" ht="14.4" hidden="1" x14ac:dyDescent="0.3">
      <c r="B1970" s="77"/>
    </row>
    <row r="1971" spans="2:33" ht="14.4" hidden="1" x14ac:dyDescent="0.3">
      <c r="B1971" s="77" t="str">
        <f>IF(D$1949=0,"",CONCATENATE(B1945,D$1949))</f>
        <v xml:space="preserve">no, I don't need to notify any Mailing address: </v>
      </c>
    </row>
    <row r="1972" spans="2:33" ht="133.19999999999999" hidden="1" customHeight="1" x14ac:dyDescent="0.3">
      <c r="B1972" s="427" t="s">
        <v>1052</v>
      </c>
      <c r="AC1972" s="428" t="str">
        <f>B1973</f>
        <v>no, not at this time</v>
      </c>
      <c r="AD1972" s="429" t="str">
        <f>B1974</f>
        <v>perhaps with more information</v>
      </c>
      <c r="AE1972" s="430" t="str">
        <f>B1975</f>
        <v>perhaps with some help</v>
      </c>
      <c r="AF1972" s="431" t="str">
        <f>B1976</f>
        <v xml:space="preserve">yes, with help affording or handling it </v>
      </c>
      <c r="AG1972" s="432" t="str">
        <f>B1977</f>
        <v>yes, as soon as possible</v>
      </c>
    </row>
    <row r="1973" spans="2:33" ht="14.4" hidden="1" x14ac:dyDescent="0.3">
      <c r="B1973" s="77" t="s">
        <v>1053</v>
      </c>
    </row>
    <row r="1974" spans="2:33" ht="14.4" hidden="1" x14ac:dyDescent="0.3">
      <c r="B1974" s="77" t="s">
        <v>1054</v>
      </c>
    </row>
    <row r="1975" spans="2:33" ht="14.4" hidden="1" x14ac:dyDescent="0.3">
      <c r="B1975" s="77" t="s">
        <v>1055</v>
      </c>
    </row>
    <row r="1976" spans="2:33" ht="14.4" hidden="1" x14ac:dyDescent="0.3">
      <c r="B1976" s="77" t="s">
        <v>1056</v>
      </c>
    </row>
    <row r="1977" spans="2:33" ht="14.4" hidden="1" x14ac:dyDescent="0.3">
      <c r="B1977" s="77" t="s">
        <v>1057</v>
      </c>
    </row>
    <row r="1978" spans="2:33" ht="14.4" hidden="1" x14ac:dyDescent="0.3">
      <c r="B1978" s="77" t="str">
        <f>IF(D$1950=0,"",CONCATENATE(B1947,D$1950))</f>
        <v/>
      </c>
    </row>
    <row r="1979" spans="2:33" ht="14.4" hidden="1" x14ac:dyDescent="0.3">
      <c r="B1979" s="77" t="str">
        <f>IF(D$1950=0,"",CONCATENATE(B1948,D$1950))</f>
        <v/>
      </c>
    </row>
    <row r="1980" spans="2:33" ht="14.4" hidden="1" x14ac:dyDescent="0.3">
      <c r="B1980" s="427" t="s">
        <v>1058</v>
      </c>
    </row>
    <row r="1981" spans="2:33" ht="14.4" hidden="1" x14ac:dyDescent="0.3">
      <c r="B1981" s="77" t="s">
        <v>1059</v>
      </c>
    </row>
    <row r="1982" spans="2:33" ht="14.4" hidden="1" x14ac:dyDescent="0.3">
      <c r="B1982" s="77" t="s">
        <v>1060</v>
      </c>
    </row>
    <row r="1983" spans="2:33" ht="14.4" hidden="1" x14ac:dyDescent="0.3">
      <c r="B1983" s="77" t="s">
        <v>1061</v>
      </c>
    </row>
    <row r="1984" spans="2:33" ht="14.4" hidden="1" x14ac:dyDescent="0.3">
      <c r="B1984" s="77" t="s">
        <v>1062</v>
      </c>
    </row>
    <row r="1985" spans="2:4" ht="14.4" hidden="1" x14ac:dyDescent="0.3">
      <c r="B1985" s="77"/>
    </row>
    <row r="1986" spans="2:4" ht="14.4" hidden="1" x14ac:dyDescent="0.3">
      <c r="B1986" s="77"/>
    </row>
    <row r="1987" spans="2:4" ht="18" hidden="1" x14ac:dyDescent="0.35">
      <c r="B1987" s="433" t="s">
        <v>1063</v>
      </c>
      <c r="C1987" s="77"/>
    </row>
    <row r="1988" spans="2:4" ht="14.4" hidden="1" x14ac:dyDescent="0.3">
      <c r="B1988" s="77" t="s">
        <v>512</v>
      </c>
      <c r="D1988" s="56">
        <v>0</v>
      </c>
    </row>
    <row r="1989" spans="2:4" ht="14.4" hidden="1" x14ac:dyDescent="0.3">
      <c r="B1989" s="77" t="s">
        <v>1064</v>
      </c>
      <c r="D1989" s="56">
        <v>1</v>
      </c>
    </row>
    <row r="1990" spans="2:4" ht="14.4" hidden="1" x14ac:dyDescent="0.3">
      <c r="B1990" s="77" t="s">
        <v>1065</v>
      </c>
      <c r="D1990" s="56">
        <v>2</v>
      </c>
    </row>
    <row r="1991" spans="2:4" ht="14.4" hidden="1" x14ac:dyDescent="0.3">
      <c r="B1991" s="77" t="s">
        <v>234</v>
      </c>
      <c r="D1991" s="56">
        <v>3</v>
      </c>
    </row>
    <row r="1992" spans="2:4" ht="14.4" hidden="1" x14ac:dyDescent="0.3">
      <c r="B1992" s="77"/>
    </row>
    <row r="1993" spans="2:4" ht="14.4" hidden="1" x14ac:dyDescent="0.3">
      <c r="B1993" s="77"/>
    </row>
    <row r="1994" spans="2:4" ht="14.4" hidden="1" x14ac:dyDescent="0.3">
      <c r="C1994" s="427" t="s">
        <v>1066</v>
      </c>
    </row>
    <row r="1995" spans="2:4" ht="14.4" hidden="1" x14ac:dyDescent="0.3">
      <c r="C1995" s="77" t="s">
        <v>512</v>
      </c>
      <c r="D1995" s="77" t="s">
        <v>486</v>
      </c>
    </row>
    <row r="1996" spans="2:4" ht="14.4" hidden="1" x14ac:dyDescent="0.3">
      <c r="C1996" s="77" t="s">
        <v>503</v>
      </c>
      <c r="D1996" s="77" t="s">
        <v>489</v>
      </c>
    </row>
    <row r="1997" spans="2:4" ht="14.4" hidden="1" x14ac:dyDescent="0.3">
      <c r="C1997" s="77" t="s">
        <v>527</v>
      </c>
      <c r="D1997" s="77" t="s">
        <v>491</v>
      </c>
    </row>
    <row r="1998" spans="2:4" ht="14.4" hidden="1" x14ac:dyDescent="0.3">
      <c r="C1998" s="77" t="s">
        <v>485</v>
      </c>
      <c r="D1998" s="77" t="s">
        <v>493</v>
      </c>
    </row>
    <row r="1999" spans="2:4" ht="14.4" hidden="1" x14ac:dyDescent="0.3">
      <c r="D1999" s="77" t="s">
        <v>498</v>
      </c>
    </row>
    <row r="2000" spans="2:4" ht="14.4" hidden="1" x14ac:dyDescent="0.3">
      <c r="D2000" s="77" t="s">
        <v>499</v>
      </c>
    </row>
    <row r="2001" spans="3:4" ht="14.4" hidden="1" x14ac:dyDescent="0.3">
      <c r="C2001" s="427" t="s">
        <v>1067</v>
      </c>
      <c r="D2001" s="77" t="s">
        <v>500</v>
      </c>
    </row>
    <row r="2002" spans="3:4" ht="14.4" hidden="1" x14ac:dyDescent="0.3">
      <c r="C2002" s="77" t="s">
        <v>545</v>
      </c>
      <c r="D2002" s="77" t="s">
        <v>1068</v>
      </c>
    </row>
    <row r="2003" spans="3:4" ht="14.4" hidden="1" x14ac:dyDescent="0.3">
      <c r="C2003" s="77" t="s">
        <v>1069</v>
      </c>
      <c r="D2003" s="77" t="s">
        <v>501</v>
      </c>
    </row>
    <row r="2004" spans="3:4" ht="14.4" hidden="1" x14ac:dyDescent="0.3">
      <c r="C2004" s="77" t="s">
        <v>529</v>
      </c>
      <c r="D2004" s="77" t="s">
        <v>502</v>
      </c>
    </row>
    <row r="2005" spans="3:4" ht="14.4" hidden="1" x14ac:dyDescent="0.3">
      <c r="C2005" s="77" t="s">
        <v>531</v>
      </c>
      <c r="D2005" s="77" t="s">
        <v>504</v>
      </c>
    </row>
    <row r="2006" spans="3:4" ht="14.4" hidden="1" x14ac:dyDescent="0.3">
      <c r="C2006" s="77" t="s">
        <v>1070</v>
      </c>
      <c r="D2006" s="77" t="s">
        <v>505</v>
      </c>
    </row>
    <row r="2007" spans="3:4" ht="14.4" hidden="1" x14ac:dyDescent="0.3">
      <c r="C2007" s="77" t="s">
        <v>534</v>
      </c>
      <c r="D2007" s="77" t="s">
        <v>508</v>
      </c>
    </row>
    <row r="2008" spans="3:4" ht="14.4" hidden="1" x14ac:dyDescent="0.3">
      <c r="C2008" s="77" t="s">
        <v>1071</v>
      </c>
      <c r="D2008" s="77" t="s">
        <v>509</v>
      </c>
    </row>
    <row r="2009" spans="3:4" ht="14.4" hidden="1" x14ac:dyDescent="0.3">
      <c r="C2009" s="77" t="s">
        <v>1072</v>
      </c>
      <c r="D2009" s="77" t="s">
        <v>511</v>
      </c>
    </row>
    <row r="2010" spans="3:4" ht="14.4" hidden="1" x14ac:dyDescent="0.3">
      <c r="D2010" s="77" t="s">
        <v>513</v>
      </c>
    </row>
    <row r="2011" spans="3:4" ht="14.4" hidden="1" x14ac:dyDescent="0.3">
      <c r="D2011" s="77" t="s">
        <v>515</v>
      </c>
    </row>
    <row r="2012" spans="3:4" ht="14.4" hidden="1" x14ac:dyDescent="0.3">
      <c r="D2012" s="77" t="s">
        <v>516</v>
      </c>
    </row>
    <row r="2013" spans="3:4" ht="14.4" hidden="1" x14ac:dyDescent="0.3">
      <c r="D2013" s="77" t="s">
        <v>517</v>
      </c>
    </row>
    <row r="2014" spans="3:4" hidden="1" x14ac:dyDescent="0.25"/>
    <row r="2015" spans="3:4" hidden="1" x14ac:dyDescent="0.25"/>
    <row r="2016" spans="3:4" ht="18" hidden="1" x14ac:dyDescent="0.35">
      <c r="C2016" s="433" t="s">
        <v>1073</v>
      </c>
      <c r="D2016" s="433" t="s">
        <v>1074</v>
      </c>
    </row>
    <row r="2017" spans="3:4" ht="14.4" hidden="1" x14ac:dyDescent="0.3">
      <c r="C2017" s="77" t="s">
        <v>1075</v>
      </c>
      <c r="D2017" s="77" t="s">
        <v>1076</v>
      </c>
    </row>
    <row r="2018" spans="3:4" ht="14.4" hidden="1" x14ac:dyDescent="0.3">
      <c r="C2018" s="434" t="s">
        <v>1077</v>
      </c>
      <c r="D2018" s="77" t="s">
        <v>1078</v>
      </c>
    </row>
    <row r="2019" spans="3:4" ht="14.4" hidden="1" x14ac:dyDescent="0.3">
      <c r="C2019" s="434" t="s">
        <v>1079</v>
      </c>
      <c r="D2019" s="77" t="s">
        <v>1080</v>
      </c>
    </row>
    <row r="2020" spans="3:4" ht="14.4" hidden="1" x14ac:dyDescent="0.3">
      <c r="C2020" s="434" t="s">
        <v>1081</v>
      </c>
      <c r="D2020" s="77" t="s">
        <v>231</v>
      </c>
    </row>
    <row r="2021" spans="3:4" ht="14.4" hidden="1" x14ac:dyDescent="0.3">
      <c r="C2021" s="434" t="s">
        <v>1082</v>
      </c>
      <c r="D2021" s="77" t="s">
        <v>1083</v>
      </c>
    </row>
    <row r="2022" spans="3:4" ht="14.4" hidden="1" x14ac:dyDescent="0.3">
      <c r="C2022" s="434" t="s">
        <v>1084</v>
      </c>
      <c r="D2022" s="77" t="s">
        <v>1085</v>
      </c>
    </row>
    <row r="2023" spans="3:4" ht="14.4" hidden="1" x14ac:dyDescent="0.3">
      <c r="C2023" s="434" t="s">
        <v>1086</v>
      </c>
      <c r="D2023" s="77" t="s">
        <v>1087</v>
      </c>
    </row>
    <row r="2024" spans="3:4" ht="14.4" hidden="1" x14ac:dyDescent="0.3">
      <c r="C2024" s="434" t="s">
        <v>1088</v>
      </c>
      <c r="D2024" s="77" t="s">
        <v>1089</v>
      </c>
    </row>
    <row r="2025" spans="3:4" ht="14.4" hidden="1" x14ac:dyDescent="0.3">
      <c r="C2025" s="434" t="s">
        <v>1090</v>
      </c>
      <c r="D2025" s="77"/>
    </row>
    <row r="2026" spans="3:4" ht="14.4" hidden="1" x14ac:dyDescent="0.3">
      <c r="C2026" s="434" t="s">
        <v>1091</v>
      </c>
      <c r="D2026" s="77"/>
    </row>
    <row r="2027" spans="3:4" ht="14.4" hidden="1" x14ac:dyDescent="0.3">
      <c r="C2027" s="77" t="s">
        <v>244</v>
      </c>
      <c r="D2027" s="77"/>
    </row>
    <row r="2028" spans="3:4" ht="14.4" hidden="1" x14ac:dyDescent="0.3">
      <c r="C2028" s="77" t="s">
        <v>1092</v>
      </c>
    </row>
    <row r="2029" spans="3:4" ht="14.4" hidden="1" x14ac:dyDescent="0.3">
      <c r="C2029" s="77" t="s">
        <v>1093</v>
      </c>
    </row>
    <row r="2030" spans="3:4" ht="14.4" hidden="1" x14ac:dyDescent="0.3">
      <c r="C2030" s="77" t="s">
        <v>1094</v>
      </c>
    </row>
    <row r="2031" spans="3:4" ht="14.4" hidden="1" x14ac:dyDescent="0.3">
      <c r="C2031" s="77" t="s">
        <v>1095</v>
      </c>
    </row>
    <row r="2032" spans="3:4" ht="14.4" hidden="1" x14ac:dyDescent="0.3">
      <c r="C2032" s="77" t="s">
        <v>1096</v>
      </c>
    </row>
    <row r="2033" spans="2:4" ht="14.4" hidden="1" x14ac:dyDescent="0.3">
      <c r="C2033" s="77" t="s">
        <v>224</v>
      </c>
    </row>
    <row r="2034" spans="2:4" ht="14.4" hidden="1" x14ac:dyDescent="0.3">
      <c r="C2034" s="77" t="s">
        <v>1097</v>
      </c>
    </row>
    <row r="2035" spans="2:4" ht="14.4" hidden="1" x14ac:dyDescent="0.3">
      <c r="C2035" s="435" t="s">
        <v>1098</v>
      </c>
    </row>
    <row r="2036" spans="2:4" ht="14.4" hidden="1" x14ac:dyDescent="0.3">
      <c r="C2036" s="435" t="s">
        <v>1099</v>
      </c>
      <c r="D2036" s="77"/>
    </row>
    <row r="2037" spans="2:4" ht="14.4" hidden="1" x14ac:dyDescent="0.3">
      <c r="C2037" s="435" t="s">
        <v>1100</v>
      </c>
    </row>
    <row r="2038" spans="2:4" ht="14.4" hidden="1" x14ac:dyDescent="0.3">
      <c r="C2038" s="77" t="s">
        <v>1101</v>
      </c>
    </row>
    <row r="2039" spans="2:4" hidden="1" x14ac:dyDescent="0.25"/>
    <row r="2040" spans="2:4" hidden="1" x14ac:dyDescent="0.25">
      <c r="B2040" s="56" t="s">
        <v>1102</v>
      </c>
    </row>
    <row r="2041" spans="2:4" ht="14.4" hidden="1" x14ac:dyDescent="0.3">
      <c r="B2041" s="77"/>
    </row>
    <row r="2042" spans="2:4" ht="14.4" hidden="1" x14ac:dyDescent="0.3">
      <c r="B2042" s="77"/>
      <c r="C2042" s="60" t="s">
        <v>1103</v>
      </c>
      <c r="D2042" s="56">
        <v>1</v>
      </c>
    </row>
    <row r="2043" spans="2:4" ht="14.4" hidden="1" x14ac:dyDescent="0.3">
      <c r="B2043" s="80" t="s">
        <v>1104</v>
      </c>
      <c r="C2043" s="56">
        <v>0</v>
      </c>
      <c r="D2043" s="56">
        <f t="shared" ref="D2043:D2048" si="63">C2043+D$2042</f>
        <v>1</v>
      </c>
    </row>
    <row r="2044" spans="2:4" ht="14.4" hidden="1" x14ac:dyDescent="0.3">
      <c r="B2044" s="80" t="s">
        <v>1105</v>
      </c>
      <c r="C2044" s="56">
        <v>2</v>
      </c>
      <c r="D2044" s="56">
        <f t="shared" si="63"/>
        <v>3</v>
      </c>
    </row>
    <row r="2045" spans="2:4" ht="14.4" hidden="1" x14ac:dyDescent="0.3">
      <c r="B2045" s="80" t="s">
        <v>1106</v>
      </c>
      <c r="C2045" s="56">
        <v>4</v>
      </c>
      <c r="D2045" s="56">
        <f t="shared" si="63"/>
        <v>5</v>
      </c>
    </row>
    <row r="2046" spans="2:4" ht="14.4" hidden="1" x14ac:dyDescent="0.3">
      <c r="B2046" s="80" t="s">
        <v>1107</v>
      </c>
      <c r="C2046" s="56">
        <v>8</v>
      </c>
      <c r="D2046" s="56">
        <f t="shared" si="63"/>
        <v>9</v>
      </c>
    </row>
    <row r="2047" spans="2:4" ht="14.4" hidden="1" x14ac:dyDescent="0.3">
      <c r="B2047" s="80" t="s">
        <v>1108</v>
      </c>
      <c r="C2047" s="56">
        <v>14</v>
      </c>
      <c r="D2047" s="56">
        <f t="shared" si="63"/>
        <v>15</v>
      </c>
    </row>
    <row r="2048" spans="2:4" ht="14.4" hidden="1" x14ac:dyDescent="0.3">
      <c r="B2048" s="77" t="s">
        <v>1109</v>
      </c>
      <c r="C2048" s="56">
        <f>44</f>
        <v>44</v>
      </c>
      <c r="D2048" s="56">
        <f t="shared" si="63"/>
        <v>45</v>
      </c>
    </row>
    <row r="2049" spans="2:2" ht="14.4" hidden="1" x14ac:dyDescent="0.3">
      <c r="B2049" s="77"/>
    </row>
    <row r="2050" spans="2:2" ht="14.4" hidden="1" x14ac:dyDescent="0.3">
      <c r="B2050" s="77"/>
    </row>
    <row r="2051" spans="2:2" ht="14.4" hidden="1" x14ac:dyDescent="0.3">
      <c r="B2051" s="77"/>
    </row>
    <row r="2052" spans="2:2" ht="14.4" hidden="1" x14ac:dyDescent="0.3">
      <c r="B2052" s="77"/>
    </row>
    <row r="2053" spans="2:2" ht="14.4" hidden="1" x14ac:dyDescent="0.3">
      <c r="B2053" s="77"/>
    </row>
    <row r="2054" spans="2:2" ht="14.4" hidden="1" x14ac:dyDescent="0.3">
      <c r="B2054" s="77"/>
    </row>
    <row r="2055" spans="2:2" ht="14.4" hidden="1" x14ac:dyDescent="0.3">
      <c r="B2055" s="77"/>
    </row>
    <row r="2056" spans="2:2" ht="14.4" hidden="1" x14ac:dyDescent="0.3">
      <c r="B2056" s="77"/>
    </row>
    <row r="2057" spans="2:2" ht="14.4" hidden="1" x14ac:dyDescent="0.3">
      <c r="B2057" s="77"/>
    </row>
    <row r="2058" spans="2:2" ht="14.4" hidden="1" x14ac:dyDescent="0.3">
      <c r="B2058" s="77"/>
    </row>
    <row r="2059" spans="2:2" ht="14.4" hidden="1" x14ac:dyDescent="0.3">
      <c r="B2059" s="77"/>
    </row>
    <row r="2060" spans="2:2" ht="14.4" hidden="1" x14ac:dyDescent="0.3">
      <c r="B2060" s="77"/>
    </row>
    <row r="2061" spans="2:2" ht="14.4" hidden="1" x14ac:dyDescent="0.3">
      <c r="B2061" s="77"/>
    </row>
    <row r="2062" spans="2:2" ht="14.4" hidden="1" x14ac:dyDescent="0.3">
      <c r="B2062" s="77"/>
    </row>
    <row r="2063" spans="2:2" ht="14.4" hidden="1" x14ac:dyDescent="0.3">
      <c r="B2063" s="77"/>
    </row>
    <row r="2064" spans="2:2"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spans="54:54" hidden="1" x14ac:dyDescent="0.25"/>
    <row r="2130" spans="54:54" hidden="1" x14ac:dyDescent="0.25"/>
    <row r="2131" spans="54:54" hidden="1" x14ac:dyDescent="0.25"/>
    <row r="2132" spans="54:54" hidden="1" x14ac:dyDescent="0.25"/>
    <row r="2133" spans="54:54" hidden="1" x14ac:dyDescent="0.25"/>
    <row r="2134" spans="54:54" hidden="1" x14ac:dyDescent="0.25"/>
    <row r="2135" spans="54:54" hidden="1" x14ac:dyDescent="0.25"/>
    <row r="2136" spans="54:54" hidden="1" x14ac:dyDescent="0.25"/>
    <row r="2137" spans="54:54" hidden="1" x14ac:dyDescent="0.25"/>
    <row r="2138" spans="54:54" hidden="1" x14ac:dyDescent="0.25"/>
    <row r="2139" spans="54:54" hidden="1" x14ac:dyDescent="0.25">
      <c r="BB2139" s="56"/>
    </row>
    <row r="2140" spans="54:54" hidden="1" x14ac:dyDescent="0.25"/>
    <row r="2141" spans="54:54" hidden="1" x14ac:dyDescent="0.25"/>
    <row r="2142" spans="54:54" hidden="1" x14ac:dyDescent="0.25"/>
    <row r="2143" spans="54:54" hidden="1" x14ac:dyDescent="0.25"/>
    <row r="2144" spans="54:54" hidden="1" x14ac:dyDescent="0.25"/>
    <row r="2145" spans="3:73" hidden="1" x14ac:dyDescent="0.25"/>
    <row r="2146" spans="3:73" hidden="1" x14ac:dyDescent="0.25">
      <c r="C2146" s="56" t="s">
        <v>1110</v>
      </c>
    </row>
    <row r="2147" spans="3:73" hidden="1" x14ac:dyDescent="0.25"/>
    <row r="2148" spans="3:73" hidden="1" x14ac:dyDescent="0.25"/>
    <row r="2149" spans="3:73" hidden="1" x14ac:dyDescent="0.25"/>
    <row r="2150" spans="3:73" hidden="1" x14ac:dyDescent="0.25"/>
    <row r="2151" spans="3:73" hidden="1" x14ac:dyDescent="0.25">
      <c r="AE2151" s="56" t="str">
        <f ca="1">CONCATENATE(AE$2159,AM$2159,AN$2159,B$2171,AE$2161)</f>
        <v>Since your conviction occurred 121 years ago, California prevents employers and others from running a criminal background check that far back.</v>
      </c>
    </row>
    <row r="2152" spans="3:73" hidden="1" x14ac:dyDescent="0.25">
      <c r="AE2152" s="56" t="str">
        <f ca="1">CONCATENATE(AE$2159,AM$2159,AN$2159,B$2193,AE$2161)</f>
        <v>Since your conviction occurred 121 years ago, Montana prevents employers and others from running a criminal background check that far back.</v>
      </c>
    </row>
    <row r="2153" spans="3:73" hidden="1" x14ac:dyDescent="0.25"/>
    <row r="2154" spans="3:73" hidden="1" x14ac:dyDescent="0.25"/>
    <row r="2155" spans="3:73" hidden="1" x14ac:dyDescent="0.25">
      <c r="AE2155" s="56" t="str">
        <f ca="1">CONCATENATE(AE2159,AM2159,AN2159,AE2160,AM2160,AO2160)</f>
        <v xml:space="preserve">Since your conviction occurred 121 years ago, and you earn only about $0 per year, </v>
      </c>
    </row>
    <row r="2156" spans="3:73" hidden="1" x14ac:dyDescent="0.25">
      <c r="AE2156" s="56" t="str">
        <f ca="1">CONCATENATE(AE2163,AM2163,AN2163,AE2171,AJ2171,BO2171,B2188,AE2183)</f>
        <v xml:space="preserve"> does not limit how far back and employer can run a background check. Since your conviction occurred 121 years ago, and you earn only about $0 per year, California prevents employers and others from running a criminal background check that far back.Massachusetts</v>
      </c>
    </row>
    <row r="2157" spans="3:73" hidden="1" x14ac:dyDescent="0.25">
      <c r="AC2157" s="57" t="e">
        <f>IF(AND($AD$54=$B2167,$AI$54=$B$2163),AC2167,IF(AND($AD$54=$B2168,$AI$54=$B$2163),AC2168,IF(AND($AD$54=$B2169,$AI$54=$B$2163),AC2169,IF(AND($AD$54=$B2170,$AI$54=$B$2163),AC2170,IF(AND($AD$54=$B2171,$AI$54=$B$2163),AC2171,IF(AND($AD$54=$B2172,$AI$54=$B$2163),AC2172,IF(AND($AD$54=$B2173,$AI$54=$B$2163),AC2173,IF(AND($AD$54=$B2174,$AI$54=$B$2163),AC2174,IF(AND($AD$54=$B2175,$AI$54=$B$2163),AC2175,IF(AND($AD$54=$B2176,$AI$54=$B$2163),AC2176,IF(AND($AD$54=$B2177,$AI$54=$B$2163),AC2177,IF(AND($AD$54=$B2178,$AI$54=$B$2163),AC2178,IF(AND($AD$54=$B2179,$AI$54=$B$2163),AC2179,IF(AND($AD$54=$B2180,$AI$54=$B$2163),AC2180,IF(AND($AD$54=$B2181,$AI$54=$B$2163),AC2181,IF(AND($AD$54=$B2182,$AI$54=$B$2163),AC2182,IF(AND($AD$54=$B2183,$AI$54=$B$2163),AC2183,IF(AND($AD$54=$B2184,$AI$54=$B$2163),AC2184,IF(AND($AD$54=$B2185,$AI$54=$B$2163),AC2185,IF(AND($AD$54=$B2186,$AI$54=$B$2163),AC2186,IF(AND($AD$54=$B2187,$AI$54=$B$2163),AC2187,IF(AND($AD$54=$B2188,$AI$54=$B$2163),AC2188,IF(AND($AD$54=$B2189,$AI$54=$B$2163),AC2189,IF(AND($AD$54=$B2190,$AI$54=$B$2163),AC2190,IF(AND($AD$54=$B2191,$AI$54=$B$2163),AC2191,IF(AND($AD$54=$B2192,$AI$54=$B$2163),AC2192,IF(AND($AD$54=$B2193,$AI$54=$B$2163),AC2193,IF(AND($AD$54=$B2194,$AI$54=$B$2163),AC2194,IF(AND($AD$54=$B2195,$AI$54=$B$2163),AC2195,IF(AND($AD$54=$B2196,$AI$54=$B$2163),AC2196,IF(AND($AD$54=$B2197,$AI$54=$B$2163),AC2197,IF(AND($AD$54=$B2198,$AI$54=$B$2163),AC2198,IF(AND($AD$54=$B2199,$AI$54=$B$2163),AC2199,IF(AND($AD$54=$B2200,$AI$54=$B$2163),AC2200,IF(AND($AD$54=$B2201,$AI$54=$B$2163),AC2201,IF(AND($AD$54=$B2202,$AI$54=$B$2163),AC2202,IF(AND($AD$54=$B2203,$AI$54=$B$2163),AC2203,IF(AND($AD$54=$B2204,$AI$54=$B$2163),AC2204,IF(AND($AD$54=$B2205,$AI$54=$B$2163),AC2205,IF(AND($AD$54=$B2206,$AI$54=$B$2163),AC2206,IF(AND($AD$54=$B2207,$AI$54=$B$2163),AC2207,IF(AND($AD$54=$B2208,$AI$54=$B$2163),AC2208,IF(AND($AD$54=$B2209,$AI$54=$B$2163),AC2209,IF(AND($AD$54=$B2210,$AI$54=$B$2163),AC2210,IF(AND($AD$54=$B2211,$AI$54=$B$2163),AC2211,IF(AND($AD$54=$B2212,$AI$54=$B$2163),AC2212,IF(AND($AD$54=$B2213,$AI$54=$B$2163),AC2213,IF(AND($AD$54=$B2214,$AI$54=$B$2163),AC2214,IF(AND($AD$54=$B2215,$AI$54=$B$2163),AC2215,IF(AND($AD$54=$B2216,$AI$54=$B$2163),AC2216,IF(AND($AD$54=$B2217,$AI$54=$B$2163),AC2217,IF(AND($AD$54=$B2218,$AI$54=$B$2163),AC2218,””))))))))))))))))))))))))))))))))))))))))))))))))))))</f>
        <v>#NAME?</v>
      </c>
      <c r="AD2157" s="57"/>
      <c r="AE2157" s="57"/>
      <c r="AF2157" s="57"/>
      <c r="AG2157" s="57"/>
      <c r="AH2157" s="57"/>
      <c r="AI2157" s="57"/>
      <c r="AJ2157" s="57"/>
      <c r="AK2157" s="57"/>
      <c r="AL2157" s="57"/>
      <c r="AM2157" s="57"/>
      <c r="AN2157" s="57"/>
      <c r="AO2157" s="57"/>
      <c r="AP2157" s="57"/>
      <c r="AQ2157" s="57"/>
      <c r="AR2157" s="57"/>
      <c r="AS2157" s="57"/>
      <c r="AT2157" s="57"/>
      <c r="AU2157" s="57"/>
      <c r="AV2157" s="57"/>
      <c r="AW2157" s="57"/>
      <c r="AX2157" s="57"/>
      <c r="AY2157" s="57"/>
      <c r="AZ2157" s="57"/>
      <c r="BA2157" s="57"/>
      <c r="BB2157" s="436"/>
      <c r="BC2157" s="57"/>
      <c r="BD2157" s="57"/>
      <c r="BE2157" s="57"/>
      <c r="BF2157" s="57"/>
      <c r="BG2157" s="57"/>
      <c r="BH2157" s="57"/>
      <c r="BI2157" s="57"/>
      <c r="BJ2157" s="57"/>
      <c r="BK2157" s="57"/>
      <c r="BL2157" s="57"/>
      <c r="BM2157" s="57"/>
      <c r="BN2157" s="57"/>
      <c r="BO2157" s="57"/>
      <c r="BP2157" s="57"/>
      <c r="BQ2157" s="57"/>
      <c r="BR2157" s="57"/>
      <c r="BS2157" s="57"/>
      <c r="BT2157" s="57"/>
      <c r="BU2157" s="57"/>
    </row>
    <row r="2158" spans="3:73" hidden="1" x14ac:dyDescent="0.25">
      <c r="AC2158" s="56" t="s">
        <v>1111</v>
      </c>
    </row>
    <row r="2159" spans="3:73" hidden="1" x14ac:dyDescent="0.25">
      <c r="AE2159" s="56" t="s">
        <v>1112</v>
      </c>
      <c r="AM2159" s="56">
        <f ca="1">ROUND(D2161,0)</f>
        <v>121</v>
      </c>
      <c r="AN2159" s="56" t="s">
        <v>1113</v>
      </c>
    </row>
    <row r="2160" spans="3:73" hidden="1" x14ac:dyDescent="0.25">
      <c r="AE2160" s="56" t="s">
        <v>1114</v>
      </c>
      <c r="AM2160" s="653">
        <f>B1101</f>
        <v>0</v>
      </c>
      <c r="AN2160" s="653"/>
      <c r="AO2160" s="56" t="s">
        <v>1115</v>
      </c>
    </row>
    <row r="2161" spans="2:92" hidden="1" x14ac:dyDescent="0.25">
      <c r="B2161" s="356">
        <f ca="1">TODAY()</f>
        <v>44336</v>
      </c>
      <c r="C2161" s="356">
        <f>D202</f>
        <v>0</v>
      </c>
      <c r="D2161" s="56">
        <f ca="1">(B2161-C2161)/365.25</f>
        <v>121.38535249828884</v>
      </c>
      <c r="AE2161" s="56" t="s">
        <v>1116</v>
      </c>
    </row>
    <row r="2162" spans="2:92" hidden="1" x14ac:dyDescent="0.25">
      <c r="AE2162" s="56" t="s">
        <v>1117</v>
      </c>
      <c r="AV2162" s="56" t="s">
        <v>1118</v>
      </c>
    </row>
    <row r="2163" spans="2:92" hidden="1" x14ac:dyDescent="0.25">
      <c r="B2163" s="438">
        <f>AI54</f>
        <v>0</v>
      </c>
      <c r="AE2163" s="56" t="s">
        <v>1119</v>
      </c>
      <c r="AV2163" s="56" t="s">
        <v>1120</v>
      </c>
    </row>
    <row r="2164" spans="2:92" hidden="1" x14ac:dyDescent="0.25">
      <c r="AE2164" s="56" t="s">
        <v>1121</v>
      </c>
    </row>
    <row r="2165" spans="2:92" hidden="1" x14ac:dyDescent="0.25">
      <c r="AE2165" s="101" t="s">
        <v>1122</v>
      </c>
    </row>
    <row r="2166" spans="2:92" hidden="1" x14ac:dyDescent="0.25"/>
    <row r="2167" spans="2:92" ht="14.4" hidden="1" x14ac:dyDescent="0.25">
      <c r="B2167" s="439" t="str">
        <f t="shared" ref="B2167:B2174" si="64">B2242</f>
        <v>Alabama</v>
      </c>
      <c r="AC2167" s="56" t="str">
        <f>CONCATENATE(AV$2163,B2167,AE$2163,AE$2164)</f>
        <v xml:space="preserve">Unfortunately, Alabama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68" spans="2:92" ht="14.4" hidden="1" x14ac:dyDescent="0.25">
      <c r="B2168" s="439" t="str">
        <f t="shared" si="64"/>
        <v>Alaska</v>
      </c>
      <c r="AC2168" s="56" t="str">
        <f>CONCATENATE(AV$2163,B2168,AE$2163,AE$2164)</f>
        <v xml:space="preserve">Unfortunately, Alaska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69" spans="2:92" ht="14.4" hidden="1" x14ac:dyDescent="0.25">
      <c r="B2169" s="439" t="str">
        <f t="shared" si="64"/>
        <v>Arizona</v>
      </c>
      <c r="AC2169" s="56" t="str">
        <f>CONCATENATE(AV$2163,B2169,AE$2163,AE$2164)</f>
        <v xml:space="preserve">Unfortunately, Arizona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0" spans="2:92" ht="14.4" hidden="1" x14ac:dyDescent="0.25">
      <c r="B2170" s="439" t="str">
        <f t="shared" si="64"/>
        <v>Arkansas</v>
      </c>
      <c r="AC2170" s="56" t="str">
        <f>CONCATENATE(AV$2163,B2170,AE$2163,AE$2164)</f>
        <v xml:space="preserve">Unfortunately, Arkansas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1" spans="2:92" ht="14.4" hidden="1" x14ac:dyDescent="0.3">
      <c r="B2171" s="439" t="str">
        <f t="shared" si="64"/>
        <v>California</v>
      </c>
      <c r="C2171" s="440">
        <v>0</v>
      </c>
      <c r="D2171" s="441" t="s">
        <v>1123</v>
      </c>
      <c r="AC2171" s="56" t="str">
        <f ca="1">IF($D$2161&gt;7,AE2151,CN2171)</f>
        <v>Since your conviction occurred 121 years ago, California prevents employers and others from running a criminal background check that far back.</v>
      </c>
      <c r="BO2171" s="56" t="str">
        <f ca="1">CONCATENATE($AE$2155,B2171,$AE$2161)</f>
        <v>Since your conviction occurred 121 years ago, and you earn only about $0 per year, California prevents employers and others from running a criminal background check that far back.</v>
      </c>
      <c r="CN2171" s="56" t="str">
        <f>CONCATENATE(B2171,AE2162)</f>
        <v>California cannnot limit how far back and employer can run a background check.</v>
      </c>
    </row>
    <row r="2172" spans="2:92" ht="14.4" hidden="1" x14ac:dyDescent="0.3">
      <c r="B2172" s="439" t="str">
        <f t="shared" si="64"/>
        <v>Colorado</v>
      </c>
      <c r="C2172" s="442">
        <v>75000</v>
      </c>
      <c r="D2172" s="441" t="s">
        <v>1124</v>
      </c>
      <c r="AC2172" s="56" t="str">
        <f ca="1">IF($D$2161&gt;7,BO2172,CN2172)</f>
        <v>Since your conviction occurred 121 years ago, and you earn only about $0 per year, Colorado prevents employers and others from running a criminal background check that far back.</v>
      </c>
      <c r="BO2172" s="56" t="str">
        <f ca="1">CONCATENATE($AE$2155,B2172,$AE$2161)</f>
        <v>Since your conviction occurred 121 years ago, and you earn only about $0 per year, Colorado prevents employers and others from running a criminal background check that far back.</v>
      </c>
      <c r="CN2172" s="56" t="str">
        <f>CONCATENATE(B2172,AE$2162)</f>
        <v>Colorado cannnot limit how far back and employer can run a background check.</v>
      </c>
    </row>
    <row r="2173" spans="2:92" ht="14.4" hidden="1" x14ac:dyDescent="0.3">
      <c r="B2173" s="439" t="str">
        <f t="shared" si="64"/>
        <v>Connecticut</v>
      </c>
      <c r="C2173" s="442"/>
      <c r="D2173" s="441"/>
      <c r="AC2173" s="56" t="str">
        <f t="shared" ref="AC2173:AC2182" si="65">CONCATENATE(AV$2163,B2173,AE$2163,AE$2164)</f>
        <v xml:space="preserve">Unfortunately, Connecticut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4" spans="2:92" ht="14.4" hidden="1" x14ac:dyDescent="0.3">
      <c r="B2174" s="439" t="str">
        <f t="shared" si="64"/>
        <v>Delaware</v>
      </c>
      <c r="C2174" s="442"/>
      <c r="D2174" s="441"/>
      <c r="AC2174" s="56" t="str">
        <f t="shared" si="65"/>
        <v xml:space="preserve">Unfortunately, Delaware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5" spans="2:92" ht="14.4" hidden="1" x14ac:dyDescent="0.3">
      <c r="B2175" s="439" t="s">
        <v>1125</v>
      </c>
      <c r="C2175" s="442"/>
      <c r="D2175" s="441"/>
      <c r="AC2175" s="56" t="str">
        <f t="shared" si="65"/>
        <v xml:space="preserve">Unfortunately, DC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6" spans="2:92" ht="14.4" hidden="1" x14ac:dyDescent="0.3">
      <c r="B2176" s="439" t="str">
        <f t="shared" ref="B2176:B2217" si="66">B2251</f>
        <v>Florida</v>
      </c>
      <c r="C2176" s="442"/>
      <c r="D2176" s="441"/>
      <c r="AC2176" s="56" t="str">
        <f t="shared" si="65"/>
        <v xml:space="preserve">Unfortunately, Florida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7" spans="2:92" ht="14.4" hidden="1" x14ac:dyDescent="0.3">
      <c r="B2177" s="439" t="str">
        <f t="shared" si="66"/>
        <v>Georgia</v>
      </c>
      <c r="C2177" s="442"/>
      <c r="D2177" s="441"/>
      <c r="AC2177" s="56" t="str">
        <f t="shared" si="65"/>
        <v xml:space="preserve">Unfortunately, Georgia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8" spans="2:92" ht="14.4" hidden="1" x14ac:dyDescent="0.3">
      <c r="B2178" s="439" t="str">
        <f t="shared" si="66"/>
        <v>Hawaii</v>
      </c>
      <c r="C2178" s="442"/>
      <c r="D2178" s="441"/>
      <c r="AC2178" s="56" t="str">
        <f t="shared" si="65"/>
        <v xml:space="preserve">Unfortunately, Hawaii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9" spans="2:92" ht="14.4" hidden="1" x14ac:dyDescent="0.3">
      <c r="B2179" s="439" t="str">
        <f t="shared" si="66"/>
        <v>Idaho</v>
      </c>
      <c r="C2179" s="442"/>
      <c r="D2179" s="441"/>
      <c r="AC2179" s="56" t="str">
        <f t="shared" si="65"/>
        <v xml:space="preserve">Unfortunately, Idaho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0" spans="2:92" ht="14.4" hidden="1" x14ac:dyDescent="0.3">
      <c r="B2180" s="439" t="str">
        <f t="shared" si="66"/>
        <v>Illinois</v>
      </c>
      <c r="C2180" s="442"/>
      <c r="D2180" s="441"/>
      <c r="AC2180" s="56" t="str">
        <f t="shared" si="65"/>
        <v xml:space="preserve">Unfortunately, Illinois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1" spans="2:92" ht="14.4" hidden="1" x14ac:dyDescent="0.3">
      <c r="B2181" s="439" t="str">
        <f t="shared" si="66"/>
        <v>Indiana</v>
      </c>
      <c r="C2181" s="442"/>
      <c r="D2181" s="441"/>
      <c r="AC2181" s="56" t="str">
        <f t="shared" si="65"/>
        <v xml:space="preserve">Unfortunately, Indiana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2" spans="2:92" ht="14.4" hidden="1" x14ac:dyDescent="0.3">
      <c r="B2182" s="439" t="str">
        <f t="shared" si="66"/>
        <v>Iowa</v>
      </c>
      <c r="C2182" s="442"/>
      <c r="D2182" s="441"/>
      <c r="AC2182" s="56" t="str">
        <f t="shared" si="65"/>
        <v xml:space="preserve">Unfortunately, Iowa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3" spans="2:92" ht="14.4" hidden="1" x14ac:dyDescent="0.3">
      <c r="B2183" s="439" t="str">
        <f t="shared" si="66"/>
        <v>Kansas</v>
      </c>
      <c r="C2183" s="442">
        <v>20000</v>
      </c>
      <c r="D2183" s="441" t="s">
        <v>1124</v>
      </c>
      <c r="AC2183" s="56" t="str">
        <f ca="1">IF($D$2161&gt;7,BO2183,CN2183)</f>
        <v>Since your conviction occurred 121 years ago, and you earn only about $0 per year, Kansas prevents employers and others from running a criminal background check that far back.</v>
      </c>
      <c r="BO2183" s="56" t="str">
        <f ca="1">CONCATENATE($AE$2155,B2183,$AE$2161)</f>
        <v>Since your conviction occurred 121 years ago, and you earn only about $0 per year, Kansas prevents employers and others from running a criminal background check that far back.</v>
      </c>
      <c r="CN2183" s="56" t="str">
        <f>CONCATENATE(B2183,AE$2162)</f>
        <v>Kansas cannnot limit how far back and employer can run a background check.</v>
      </c>
    </row>
    <row r="2184" spans="2:92" ht="14.4" hidden="1" x14ac:dyDescent="0.3">
      <c r="B2184" s="439" t="str">
        <f t="shared" si="66"/>
        <v>Kentucky</v>
      </c>
      <c r="C2184" s="442"/>
      <c r="D2184" s="441"/>
      <c r="AC2184" s="56" t="str">
        <f>CONCATENATE(AV$2163,B2184,AE$2163,AE$2164)</f>
        <v xml:space="preserve">Unfortunately, Kentucky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5" spans="2:92" ht="14.4" hidden="1" x14ac:dyDescent="0.3">
      <c r="B2185" s="439" t="str">
        <f t="shared" si="66"/>
        <v>Louisiana</v>
      </c>
      <c r="C2185" s="442"/>
      <c r="D2185" s="441"/>
      <c r="AC2185" s="56" t="str">
        <f>CONCATENATE(AV$2163,B2185,AE$2163,AE$2164)</f>
        <v xml:space="preserve">Unfortunately, Louisiana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6" spans="2:92" ht="14.4" hidden="1" x14ac:dyDescent="0.3">
      <c r="B2186" s="439" t="str">
        <f t="shared" si="66"/>
        <v>Maine</v>
      </c>
      <c r="C2186" s="442"/>
      <c r="D2186" s="441"/>
      <c r="AC2186" s="56" t="str">
        <f>CONCATENATE(AV$2163,B2186,AE$2163,AE$2164)</f>
        <v xml:space="preserve">Unfortunately, Maine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7" spans="2:92" ht="14.4" hidden="1" x14ac:dyDescent="0.3">
      <c r="B2187" s="439" t="str">
        <f t="shared" si="66"/>
        <v>Maryland</v>
      </c>
      <c r="C2187" s="442">
        <v>20000</v>
      </c>
      <c r="D2187" s="441" t="s">
        <v>1124</v>
      </c>
      <c r="AC2187" s="56" t="str">
        <f ca="1">IF($D$2161&gt;7,BO2187,CN2187)</f>
        <v>Since your conviction occurred 121 years ago, and you earn only about $0 per year, Maryland prevents employers and others from running a criminal background check that far back.</v>
      </c>
      <c r="BO2187" s="56" t="str">
        <f ca="1">CONCATENATE($AE$2155,B2187,$AE$2161)</f>
        <v>Since your conviction occurred 121 years ago, and you earn only about $0 per year, Maryland prevents employers and others from running a criminal background check that far back.</v>
      </c>
      <c r="CN2187" s="56" t="str">
        <f>CONCATENATE(B2187,AE$2162)</f>
        <v>Maryland cannnot limit how far back and employer can run a background check.</v>
      </c>
    </row>
    <row r="2188" spans="2:92" ht="14.4" hidden="1" x14ac:dyDescent="0.3">
      <c r="B2188" s="439" t="str">
        <f t="shared" si="66"/>
        <v>Massachusetts</v>
      </c>
      <c r="C2188" s="442">
        <v>20000</v>
      </c>
      <c r="D2188" s="441" t="s">
        <v>1124</v>
      </c>
      <c r="AC2188" s="56" t="str">
        <f ca="1">IF($D$2161&gt;7,BO2188,CN2188)</f>
        <v>Since your conviction occurred 121 years ago, and you earn only about $0 per year, Massachusetts prevents employers and others from running a criminal background check that far back.</v>
      </c>
      <c r="BO2188" s="56" t="str">
        <f ca="1">CONCATENATE($AE$2155,B2188,$AE$2161)</f>
        <v>Since your conviction occurred 121 years ago, and you earn only about $0 per year, Massachusetts prevents employers and others from running a criminal background check that far back.</v>
      </c>
      <c r="CN2188" s="56" t="str">
        <f>CONCATENATE(B2188,AE$2162)</f>
        <v>Massachusetts cannnot limit how far back and employer can run a background check.</v>
      </c>
    </row>
    <row r="2189" spans="2:92" ht="14.4" hidden="1" x14ac:dyDescent="0.25">
      <c r="B2189" s="439" t="str">
        <f t="shared" si="66"/>
        <v>Michigan</v>
      </c>
      <c r="AC2189" s="56" t="str">
        <f>CONCATENATE(AV$2163,B2189,AE$2163,AE$2164)</f>
        <v xml:space="preserve">Unfortunately, Michigan does not limit how far back and employer can run a background check. Background screeners must rely on indiscriminate records that fail to distinguish between "reliable evidence-based convictions" and "non-exonerated wrongful convictions"--permitting illicit discrimination. </v>
      </c>
      <c r="BB2189" s="56"/>
    </row>
    <row r="2190" spans="2:92" ht="14.4" hidden="1" x14ac:dyDescent="0.3">
      <c r="B2190" s="439" t="str">
        <f t="shared" si="66"/>
        <v>Minnesota</v>
      </c>
      <c r="C2190" s="440"/>
      <c r="D2190" s="441"/>
      <c r="AC2190" s="56" t="str">
        <f>CONCATENATE(AV$2163,B2190,AE$2163,AE$2164)</f>
        <v xml:space="preserve">Unfortunately, Minnesota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91" spans="2:92" ht="14.4" hidden="1" x14ac:dyDescent="0.3">
      <c r="B2191" s="439" t="str">
        <f t="shared" si="66"/>
        <v>Mississippi</v>
      </c>
      <c r="C2191" s="440"/>
      <c r="D2191" s="441"/>
      <c r="AC2191" s="56" t="str">
        <f>CONCATENATE(AV$2163,B2191,AE$2163,AE$2164)</f>
        <v xml:space="preserve">Unfortunately, Mississippi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92" spans="2:92" ht="14.4" hidden="1" x14ac:dyDescent="0.3">
      <c r="B2192" s="439" t="str">
        <f t="shared" si="66"/>
        <v>Missouri</v>
      </c>
      <c r="C2192" s="440"/>
      <c r="D2192" s="441"/>
      <c r="AC2192" s="56" t="str">
        <f>CONCATENATE(AV$2163,B2192,AE$2163,AE$2164)</f>
        <v xml:space="preserve">Unfortunately, Missouri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93" spans="2:92" ht="14.4" hidden="1" x14ac:dyDescent="0.3">
      <c r="B2193" s="439" t="str">
        <f t="shared" si="66"/>
        <v>Montana</v>
      </c>
      <c r="C2193" s="440">
        <v>0</v>
      </c>
      <c r="D2193" s="441" t="s">
        <v>1123</v>
      </c>
      <c r="AC2193" s="56" t="str">
        <f ca="1">IF($D$2161&gt;7,AE2152,CN2193)</f>
        <v>Since your conviction occurred 121 years ago, Montana prevents employers and others from running a criminal background check that far back.</v>
      </c>
      <c r="BO2193" s="56" t="str">
        <f ca="1">CONCATENATE($AE$2155,B2189,$AE$2161)</f>
        <v>Since your conviction occurred 121 years ago, and you earn only about $0 per year, Michigan prevents employers and others from running a criminal background check that far back.</v>
      </c>
      <c r="CN2193" s="56" t="str">
        <f>CONCATENATE(B2189,AE$2162)</f>
        <v>Michigan cannnot limit how far back and employer can run a background check.</v>
      </c>
    </row>
    <row r="2194" spans="2:92" ht="14.4" hidden="1" x14ac:dyDescent="0.3">
      <c r="B2194" s="439" t="str">
        <f t="shared" si="66"/>
        <v>Nebraska</v>
      </c>
      <c r="C2194" s="440"/>
      <c r="D2194" s="441"/>
      <c r="AC2194" s="56" t="str">
        <f>CONCATENATE(AV$2163,B2194,AE$2163,AE$2164)</f>
        <v xml:space="preserve">Unfortunately, Nebraska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95" spans="2:92" ht="14.4" hidden="1" x14ac:dyDescent="0.3">
      <c r="B2195" s="439" t="str">
        <f t="shared" si="66"/>
        <v>Nevada</v>
      </c>
      <c r="C2195" s="442">
        <v>20000</v>
      </c>
      <c r="D2195" s="441" t="s">
        <v>1124</v>
      </c>
      <c r="AC2195" s="56" t="str">
        <f ca="1">IF($D$2161&gt;7,BO2195,CN2195)</f>
        <v>Since your conviction occurred 121 years ago, and you earn only about $0 per year, Nevada prevents employers and others from running a criminal background check that far back.</v>
      </c>
      <c r="BO2195" s="56" t="str">
        <f ca="1">CONCATENATE($AE$2155,B2195,$AE$2161)</f>
        <v>Since your conviction occurred 121 years ago, and you earn only about $0 per year, Nevada prevents employers and others from running a criminal background check that far back.</v>
      </c>
      <c r="CN2195" s="56" t="str">
        <f>CONCATENATE(B2195,AE$2162)</f>
        <v>Nevada cannnot limit how far back and employer can run a background check.</v>
      </c>
    </row>
    <row r="2196" spans="2:92" ht="14.4" hidden="1" x14ac:dyDescent="0.3">
      <c r="B2196" s="439" t="str">
        <f t="shared" si="66"/>
        <v>New Hampshire</v>
      </c>
      <c r="C2196" s="442">
        <v>20000</v>
      </c>
      <c r="D2196" s="441" t="s">
        <v>1124</v>
      </c>
      <c r="AC2196" s="56" t="str">
        <f ca="1">IF($D$2161&gt;7,BO2196,CN2196)</f>
        <v>Since your conviction occurred 121 years ago, and you earn only about $0 per year, New Hampshire prevents employers and others from running a criminal background check that far back.</v>
      </c>
      <c r="BO2196" s="56" t="str">
        <f ca="1">CONCATENATE($AE$2155,B2196,$AE$2161)</f>
        <v>Since your conviction occurred 121 years ago, and you earn only about $0 per year, New Hampshire prevents employers and others from running a criminal background check that far back.</v>
      </c>
      <c r="CN2196" s="56" t="str">
        <f>CONCATENATE(B2196,AE$2162)</f>
        <v>New Hampshire cannnot limit how far back and employer can run a background check.</v>
      </c>
    </row>
    <row r="2197" spans="2:92" ht="14.4" hidden="1" x14ac:dyDescent="0.3">
      <c r="B2197" s="439" t="str">
        <f t="shared" si="66"/>
        <v>New Jersey</v>
      </c>
      <c r="C2197" s="442"/>
      <c r="D2197" s="441"/>
      <c r="AC2197" s="56" t="str">
        <f>CONCATENATE(AV$2163,B2197,AE$2163,AE$2164)</f>
        <v xml:space="preserve">Unfortunately, New Jersey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98" spans="2:92" ht="14.4" hidden="1" x14ac:dyDescent="0.3">
      <c r="B2198" s="439" t="str">
        <f t="shared" si="66"/>
        <v>New Mexico</v>
      </c>
      <c r="C2198" s="442">
        <v>20000</v>
      </c>
      <c r="D2198" s="441" t="s">
        <v>1124</v>
      </c>
      <c r="AC2198" s="56" t="str">
        <f ca="1">IF($D$2161&gt;7,BO2198,CN2198)</f>
        <v>Since your conviction occurred 121 years ago, and you earn only about $0 per year, New Mexico prevents employers and others from running a criminal background check that far back.</v>
      </c>
      <c r="BO2198" s="56" t="str">
        <f ca="1">CONCATENATE($AE$2155,B2198,$AE$2161)</f>
        <v>Since your conviction occurred 121 years ago, and you earn only about $0 per year, New Mexico prevents employers and others from running a criminal background check that far back.</v>
      </c>
      <c r="CN2198" s="56" t="str">
        <f>CONCATENATE(B2198,AE$2162)</f>
        <v>New Mexico cannnot limit how far back and employer can run a background check.</v>
      </c>
    </row>
    <row r="2199" spans="2:92" ht="14.4" hidden="1" x14ac:dyDescent="0.3">
      <c r="B2199" s="439" t="str">
        <f t="shared" si="66"/>
        <v>New York</v>
      </c>
      <c r="C2199" s="442">
        <v>25000</v>
      </c>
      <c r="D2199" s="441" t="s">
        <v>1124</v>
      </c>
      <c r="AC2199" s="56" t="str">
        <f ca="1">IF($D$2161&gt;7,BO2199,CN2199)</f>
        <v>Since your conviction occurred 121 years ago, and you earn only about $0 per year, New York prevents employers and others from running a criminal background check that far back.</v>
      </c>
      <c r="BO2199" s="56" t="str">
        <f ca="1">CONCATENATE($AE$2155,B2199,$AE$2161)</f>
        <v>Since your conviction occurred 121 years ago, and you earn only about $0 per year, New York prevents employers and others from running a criminal background check that far back.</v>
      </c>
      <c r="CN2199" s="56" t="str">
        <f>CONCATENATE(B2199,AE$2162)</f>
        <v>New York cannnot limit how far back and employer can run a background check.</v>
      </c>
    </row>
    <row r="2200" spans="2:92" ht="14.4" hidden="1" x14ac:dyDescent="0.3">
      <c r="B2200" s="439" t="str">
        <f t="shared" si="66"/>
        <v>North Carolina</v>
      </c>
      <c r="C2200" s="442"/>
      <c r="D2200" s="441"/>
      <c r="AC2200" s="56" t="str">
        <f t="shared" ref="AC2200:AC2209" si="67">CONCATENATE(AV$2163,B2200,AE$2163,AE$2164)</f>
        <v xml:space="preserve">Unfortunately, North Carolina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1" spans="2:92" ht="14.4" hidden="1" x14ac:dyDescent="0.3">
      <c r="B2201" s="439" t="str">
        <f t="shared" si="66"/>
        <v>North Dakota</v>
      </c>
      <c r="C2201" s="442"/>
      <c r="D2201" s="441"/>
      <c r="AC2201" s="56" t="str">
        <f t="shared" si="67"/>
        <v xml:space="preserve">Unfortunately, North Dakota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2" spans="2:92" ht="14.4" hidden="1" x14ac:dyDescent="0.3">
      <c r="B2202" s="439" t="str">
        <f t="shared" si="66"/>
        <v>Ohio</v>
      </c>
      <c r="C2202" s="442"/>
      <c r="D2202" s="441"/>
      <c r="AC2202" s="56" t="str">
        <f t="shared" si="67"/>
        <v xml:space="preserve">Unfortunately, Ohio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3" spans="2:92" ht="14.4" hidden="1" x14ac:dyDescent="0.3">
      <c r="B2203" s="439" t="str">
        <f t="shared" si="66"/>
        <v>Oklahoma</v>
      </c>
      <c r="C2203" s="442"/>
      <c r="D2203" s="441"/>
      <c r="AC2203" s="56" t="str">
        <f t="shared" si="67"/>
        <v xml:space="preserve">Unfortunately, Oklahoma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4" spans="2:92" ht="14.4" hidden="1" x14ac:dyDescent="0.3">
      <c r="B2204" s="439" t="str">
        <f t="shared" si="66"/>
        <v>Oregon</v>
      </c>
      <c r="C2204" s="442"/>
      <c r="D2204" s="441"/>
      <c r="AC2204" s="56" t="str">
        <f t="shared" si="67"/>
        <v xml:space="preserve">Unfortunately, Oregon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5" spans="2:92" ht="14.4" hidden="1" x14ac:dyDescent="0.3">
      <c r="B2205" s="439" t="str">
        <f t="shared" si="66"/>
        <v>Pennsylvania</v>
      </c>
      <c r="C2205" s="442"/>
      <c r="D2205" s="441"/>
      <c r="AC2205" s="56" t="str">
        <f t="shared" si="67"/>
        <v xml:space="preserve">Unfortunately, Pennsylvania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6" spans="2:92" ht="14.4" hidden="1" x14ac:dyDescent="0.3">
      <c r="B2206" s="439" t="str">
        <f t="shared" si="66"/>
        <v>Rhode Island</v>
      </c>
      <c r="C2206" s="442"/>
      <c r="D2206" s="441"/>
      <c r="AC2206" s="56" t="str">
        <f t="shared" si="67"/>
        <v xml:space="preserve">Unfortunately, Rhode Island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7" spans="2:92" ht="14.4" hidden="1" x14ac:dyDescent="0.3">
      <c r="B2207" s="439" t="str">
        <f t="shared" si="66"/>
        <v>South Carolina</v>
      </c>
      <c r="C2207" s="442"/>
      <c r="D2207" s="441"/>
      <c r="AC2207" s="56" t="str">
        <f t="shared" si="67"/>
        <v xml:space="preserve">Unfortunately, South Carolina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8" spans="2:92" ht="14.4" hidden="1" x14ac:dyDescent="0.3">
      <c r="B2208" s="439" t="str">
        <f t="shared" si="66"/>
        <v>South Dakota</v>
      </c>
      <c r="C2208" s="442"/>
      <c r="D2208" s="441"/>
      <c r="AC2208" s="56" t="str">
        <f t="shared" si="67"/>
        <v xml:space="preserve">Unfortunately, South Dakota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9" spans="2:92" ht="14.4" hidden="1" x14ac:dyDescent="0.3">
      <c r="B2209" s="439" t="str">
        <f t="shared" si="66"/>
        <v>Tennessee</v>
      </c>
      <c r="C2209" s="442"/>
      <c r="D2209" s="441"/>
      <c r="AC2209" s="56" t="str">
        <f t="shared" si="67"/>
        <v xml:space="preserve">Unfortunately, Tennessee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0" spans="2:92" ht="14.4" hidden="1" x14ac:dyDescent="0.3">
      <c r="B2210" s="439" t="str">
        <f t="shared" si="66"/>
        <v>Texas</v>
      </c>
      <c r="C2210" s="442">
        <v>75000</v>
      </c>
      <c r="D2210" s="441" t="s">
        <v>1124</v>
      </c>
      <c r="AC2210" s="56" t="str">
        <f ca="1">IF($D$2161&gt;7,BO2210,CN2210)</f>
        <v>Since your conviction occurred 121 years ago, and you earn only about $0 per year, Texas prevents employers and others from running a criminal background check that far back.</v>
      </c>
      <c r="BO2210" s="56" t="str">
        <f ca="1">CONCATENATE($AE$2155,B2210,$AE$2161)</f>
        <v>Since your conviction occurred 121 years ago, and you earn only about $0 per year, Texas prevents employers and others from running a criminal background check that far back.</v>
      </c>
      <c r="CN2210" s="56" t="str">
        <f>CONCATENATE(B2210,AE$2162)</f>
        <v>Texas cannnot limit how far back and employer can run a background check.</v>
      </c>
    </row>
    <row r="2211" spans="2:92" ht="14.4" hidden="1" x14ac:dyDescent="0.3">
      <c r="B2211" s="439" t="str">
        <f t="shared" si="66"/>
        <v>Utah</v>
      </c>
      <c r="C2211" s="442"/>
      <c r="D2211" s="441"/>
      <c r="AC2211" s="56" t="str">
        <f>CONCATENATE(AV$2163,B2211,AE$2163,AE$2164)</f>
        <v xml:space="preserve">Unfortunately, Utah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2" spans="2:92" ht="14.4" hidden="1" x14ac:dyDescent="0.3">
      <c r="B2212" s="439" t="str">
        <f t="shared" si="66"/>
        <v>Vermont</v>
      </c>
      <c r="C2212" s="442"/>
      <c r="D2212" s="441"/>
      <c r="AC2212" s="56" t="str">
        <f>CONCATENATE(AV$2163,B2212,AE$2163,AE$2164)</f>
        <v xml:space="preserve">Unfortunately, Vermont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3" spans="2:92" ht="14.4" hidden="1" x14ac:dyDescent="0.3">
      <c r="B2213" s="439" t="str">
        <f t="shared" si="66"/>
        <v>Virginia</v>
      </c>
      <c r="C2213" s="442"/>
      <c r="D2213" s="441"/>
      <c r="AC2213" s="56" t="str">
        <f>CONCATENATE(AV$2163,B2213,AE$2163,AE$2164)</f>
        <v xml:space="preserve">Unfortunately, Virginia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4" spans="2:92" ht="14.4" hidden="1" x14ac:dyDescent="0.3">
      <c r="B2214" s="439" t="str">
        <f t="shared" si="66"/>
        <v>Washington</v>
      </c>
      <c r="C2214" s="442">
        <v>20000</v>
      </c>
      <c r="D2214" s="441" t="s">
        <v>1124</v>
      </c>
      <c r="AC2214" s="56" t="str">
        <f ca="1">IF($D$2161&gt;7,BO2214,CN2214)</f>
        <v>Since your conviction occurred 121 years ago, and you earn only about $0 per year, Washington prevents employers and others from running a criminal background check that far back.</v>
      </c>
      <c r="BO2214" s="56" t="str">
        <f ca="1">CONCATENATE($AE$2155,B2214,$AE$2161)</f>
        <v>Since your conviction occurred 121 years ago, and you earn only about $0 per year, Washington prevents employers and others from running a criminal background check that far back.</v>
      </c>
      <c r="CN2214" s="56" t="str">
        <f>CONCATENATE(B2214,AE$2162)</f>
        <v>Washington cannnot limit how far back and employer can run a background check.</v>
      </c>
    </row>
    <row r="2215" spans="2:92" ht="14.4" hidden="1" x14ac:dyDescent="0.25">
      <c r="B2215" s="439" t="str">
        <f t="shared" si="66"/>
        <v>West Virginia</v>
      </c>
      <c r="AC2215" s="56" t="str">
        <f>CONCATENATE(AV$2163,B2215,AE$2163,AE$2164)</f>
        <v xml:space="preserve">Unfortunately, West Virginia does not limit how far back and employer can run a background check. Background screeners must rely on indiscriminate records that fail to distinguish between "reliable evidence-based convictions" and "non-exonerated wrongful convictions"--permitting illicit discrimination. </v>
      </c>
      <c r="BO2215" s="56" t="str">
        <f ca="1">CONCATENATE($AE$2155,B2215,$AE$2161)</f>
        <v>Since your conviction occurred 121 years ago, and you earn only about $0 per year, West Virginia prevents employers and others from running a criminal background check that far back.</v>
      </c>
      <c r="CN2215" s="56" t="str">
        <f>CONCATENATE(B2215,AE$2162)</f>
        <v>West Virginia cannnot limit how far back and employer can run a background check.</v>
      </c>
    </row>
    <row r="2216" spans="2:92" ht="14.4" hidden="1" x14ac:dyDescent="0.25">
      <c r="B2216" s="439" t="str">
        <f t="shared" si="66"/>
        <v>Wisconsin</v>
      </c>
      <c r="AC2216" s="56" t="str">
        <f>CONCATENATE(AV$2163,B2216,AE$2163,AE$2164)</f>
        <v xml:space="preserve">Unfortunately, Wisconsin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7" spans="2:92" ht="14.4" hidden="1" x14ac:dyDescent="0.25">
      <c r="B2217" s="439" t="str">
        <f t="shared" si="66"/>
        <v>Wyoming</v>
      </c>
      <c r="AC2217" s="56" t="str">
        <f>CONCATENATE(AV$2163,B2217,AE$2163,AE$2164)</f>
        <v xml:space="preserve">Unfortunately, Wyoming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8" spans="2:92" ht="14.4" hidden="1" x14ac:dyDescent="0.25">
      <c r="B2218" s="443" t="s">
        <v>1126</v>
      </c>
      <c r="AC2218" s="92"/>
      <c r="AD2218" s="92"/>
      <c r="AE2218" s="92"/>
      <c r="AF2218" s="92"/>
      <c r="AG2218" s="92"/>
      <c r="AH2218" s="92"/>
      <c r="AI2218" s="92"/>
      <c r="AJ2218" s="92"/>
      <c r="AK2218" s="92"/>
      <c r="AL2218" s="92"/>
      <c r="AM2218" s="92"/>
      <c r="AN2218" s="92"/>
      <c r="AO2218" s="92"/>
      <c r="AP2218" s="92"/>
      <c r="AQ2218" s="92"/>
      <c r="AR2218" s="92"/>
      <c r="AS2218" s="92"/>
      <c r="AT2218" s="92"/>
      <c r="AU2218" s="92"/>
      <c r="AV2218" s="92"/>
      <c r="AW2218" s="92"/>
    </row>
    <row r="2219" spans="2:92" hidden="1" x14ac:dyDescent="0.25">
      <c r="AC2219" s="92"/>
      <c r="AD2219" s="92"/>
      <c r="AE2219" s="92"/>
      <c r="AF2219" s="92"/>
      <c r="AG2219" s="92"/>
      <c r="AH2219" s="92"/>
      <c r="AI2219" s="92"/>
      <c r="AJ2219" s="92"/>
      <c r="AK2219" s="92"/>
      <c r="AL2219" s="92"/>
      <c r="AM2219" s="92"/>
      <c r="AN2219" s="92"/>
      <c r="AO2219" s="92"/>
      <c r="AP2219" s="92"/>
      <c r="AQ2219" s="92"/>
      <c r="AR2219" s="92"/>
      <c r="AS2219" s="92"/>
      <c r="AT2219" s="92"/>
      <c r="AU2219" s="92"/>
      <c r="AV2219" s="92"/>
      <c r="AW2219" s="92"/>
    </row>
    <row r="2220" spans="2:92" hidden="1" x14ac:dyDescent="0.25"/>
    <row r="2221" spans="2:92" ht="15" hidden="1" x14ac:dyDescent="0.3">
      <c r="B2221" s="444" t="str">
        <f>B1067</f>
        <v>Statute</v>
      </c>
      <c r="D2221" s="489" t="str">
        <f>IF($D$1065=B2242,AB2242,IF($D$1065=B2243,AB2243,IF($D$1065=B2244,AB2244,IF($D$1065=B2245,AB2245,IF($D$1065=B2246,AB2246,IF($D$1065=B2247,AB2247,IF($D$1065=B2248,AB2248,IF($D$1065=B2249,AB2249,IF($D$1065=B2250,AB2250,IF($D$1065=B2251,AB2251,IF($D$1065=B2252,AB2252,IF($D$1065=B2253,AB2253,IF($D$1065=B2254,AB2254,IF($D$1065=B2255,AB2255,IF($D$1065=B2256,AB2256,IF($D$1065=B2257,AB2257,IF($D$1065=B2258,AB2258,IF($D$1065=B2259,AB2259,IF($D$1065=B2260,AB2260,IF($D$1065=B2261,AB2261,IF($D$1065=B2262,AB2262,IF($D$1065=B2263,AB2263,IF($D$1065=B2264,AB2264,IF($D$1065=B2265,AB2265,IF($D$1065=B2266,AB2266,IF($D$1065=B2267,AB2267,IF($D$1065=B2268,AB2268,IF($D$1065=B2269,AB2269,IF($D$1065=B2270,AB2270,IF($D$1065=B2271,AB2271,IF($D$1065=B2272,AB2272,IF($D$1065=B2273,AB2273,IF($D$1065=B2274,AB2274,IF($D$1065=B2275,AB2275,IF($D$1065=B2276,AB2276,IF($D$1065=B2277,AB2277,IF($D$1065=B2278,AB2278,IF($D$1065=B2279,AB2279,IF($D$1065=B2280,AB2280,IF($D$1065=B2281,AB2281,IF($D$1065=B2282,AB2282,IF($D$1065=B2283,AB2283,IF($D$1065=B2284,AB2284,IF($D$1065=B2285,AB2285,IF($D$1065=B2286,AB2286,IF($D$1065=B2287,AB2287,IF($D$1065=B2288,AB2288,IF($D$1065=B2289,AB2289,IF($D$1065=B2290,AB2290,IF($D$1065=B2291,AB2291,IF($D$1065=B2292,AB2292,IF($D$1065=B2293,AB2293,AB2240))))))))))))))))))))))))))))))))))))))))))))))))))))</f>
        <v>Calif. Penal Code §4900 et seq.</v>
      </c>
    </row>
    <row r="2222" spans="2:92" hidden="1" x14ac:dyDescent="0.25">
      <c r="B2222" s="390" t="str">
        <f>B1069</f>
        <v>Eligibility</v>
      </c>
      <c r="D2222" s="490" t="str">
        <f>IF($D$1065=B2242,AO2242,IF($D$1065=B2243,AO2243,IF($D$1065=B2244,AO2244,IF($D$1065=B2245,AO2245,IF($D$1065=B2246,AO2246,IF($D$1065=B2247,AO2247,IF($D$1065=B2248,AO2248,IF($D$1065=B2249,AO2249,IF($D$1065=B2250,AO2250,IF($D$1065=B2251,AO2251,IF($D$1065=B2252,AO2252,IF($D$1065=B2253,AO2253,IF($D$1065=B2254,AO2254,IF($D$1065=B2255,AO2255,IF($D$1065=B2256,AO2256,IF($D$1065=B2257,AO2257,IF($D$1065=B2258,AO2258,IF($D$1065=B2259,AO2259,IF($D$1065=B2260,AO2260,IF($D$1065=B2261,AO2261,IF($D$1065=B2262,AO2262,IF($D$1065=B2263,AO2263,IF($D$1065=B2264,AO2264,IF($D$1065=B2265,AO2265,IF($D$1065=B2266,AO2266,IF($D$1065=B2267,AO2267,IF($D$1065=B2268,AO2268,IF($D$1065=B2269,AO2269,IF($D$1065=B2270,AO2270,IF($D$1065=B2271,AO2271,IF($D$1065=B2272,AO2272,IF($D$1065=B2273,AO2273,IF($D$1065=B2274,AO2274,IF($D$1065=B2275,AO2275,IF($D$1065=B2276,AO2276,IF($D$1065=B2277,AO2277,IF($D$1065=B2278,AO2278,IF($D$1065=B2279,AO2279,IF($D$1065=B2280,AO2280,IF($D$1065=B2281,AO2281,IF($D$1065=B2282,AO2282,IF($D$1065=B2283,AO2283,IF($D$1065=B2284,AO2284,IF($D$1065=B2285,AO2285,IF($D$1065=B2286,AO2286,IF($D$1065=B2287,AO2287,IF($D$1065=B2288,AO2288,IF($D$1065=B2289,AO2289,IF($D$1065=B2290,AO2290,IF($D$1065=B2291,AO2291,IF($D$1065=B2292,AO2292,IF($D$1065=B2293,AO2293,AO2240))))))))))))))))))))))))))))))))))))))))))))))))))))</f>
        <v>Pardon for innocence or being “innocent”; declaration of factual innocence.</v>
      </c>
    </row>
    <row r="2223" spans="2:92" hidden="1" x14ac:dyDescent="0.25">
      <c r="B2223" s="390" t="str">
        <f>B1077</f>
        <v xml:space="preserve">Standard </v>
      </c>
      <c r="D2223" s="490" t="str">
        <f>IF($D$1065=B2242,AS2242,IF($D$1065=B2243,AS2243,IF($D$1065=B2244,AS2244,IF($D$1065=B2245,AS2245,IF($D$1065=B2246,AS2246,IF($D$1065=B2247,AS2247,IF($D$1065=B2248,AS2248,IF($D$1065=B2249,AS2249,IF($D$1065=B2250,AS2250,IF($D$1065=B2251,AS2251,IF($D$1065=B2252,AS2252,IF($D$1065=B2253,AS2253,IF($D$1065=B2254,AS2254,IF($D$1065=B2255,AS2255,IF($D$1065=B2256,AS2256,IF($D$1065=B2257,AS2257,IF($D$1065=B2258,AS2258,IF($D$1065=B2259,AS2259,IF($D$1065=B2260,AS2260,IF($D$1065=B2261,AS2261,IF($D$1065=B2262,AS2262,IF($D$1065=B2263,AS2263,IF($D$1065=B2264,AS2264,IF($D$1065=B2265,AS2265,IF($D$1065=B2266,AS2266,IF($D$1065=B2267,AS2267,IF($D$1065=B2268,AS2268,IF($D$1065=B2269,AS2269,IF($D$1065=B2270,AS2270,IF($D$1065=B2271,AS2271,IF($D$1065=B2272,AS2272,IF($D$1065=B2273,AS2273,IF($D$1065=B2274,AS2274,IF($D$1065=B2275,AS2275,IF($D$1065=B2276,AS2276,IF($D$1065=B2277,AS2277,IF($D$1065=B2278,AS2278,IF($D$1065=B2279,AS2279,IF($D$1065=B2280,AS2280,IF($D$1065=B2281,AS2281,IF($D$1065=B2282,AS2282,IF($D$1065=B2283,AS2283,IF($D$1065=B2284,AS2284,IF($D$1065=B2285,AS2285,IF($D$1065=B2286,AS2286,IF($D$1065=B2287,AS2287,IF($D$1065=B2288,AS2288,IF($D$1065=B2289,AS2289,IF($D$1065=B2290,AS2290,IF($D$1065=B2291,AS2291,IF($D$1065=B2292,AS2292,IF($D$1065=B2293,AS2293,AS2240))))))))))))))))))))))))))))))))))))))))))))))))))))</f>
        <v>Not specified</v>
      </c>
    </row>
    <row r="2224" spans="2:92" hidden="1" x14ac:dyDescent="0.25">
      <c r="B2224" s="390" t="str">
        <f>B1081</f>
        <v xml:space="preserve">Determined </v>
      </c>
      <c r="D2224" s="489" t="str">
        <f>IF($D$1065=B2242,AD2242,IF($D$1065=B2243,AD2243,IF($D$1065=B2244,AD2244,IF($D$1065=B2245,AD2245,IF($D$1065=B2246,AD2246,IF($D$1065=B2247,AD2247,IF($D$1065=B2248,AD2248,IF($D$1065=B2249,AD2249,IF($D$1065=B2250,AD2250,IF($D$1065=B2251,AD2251,IF($D$1065=B2252,AD2252,IF($D$1065=B2253,AD2253,IF($D$1065=B2254,AD2254,IF($D$1065=B2255,AD2255,IF($D$1065=B2256,AD2256,IF($D$1065=B2257,AD2257,IF($D$1065=B2258,AD2258,IF($D$1065=B2259,AD2259,IF($D$1065=B2260,AD2260,IF($D$1065=B2261,AD2261,IF($D$1065=B2262,AD2262,IF($D$1065=B2263,AD2263,IF($D$1065=B2264,AD2264,IF($D$1065=B2265,AD2265,IF($D$1065=B2266,AD2266,IF($D$1065=B2267,AD2267,IF($D$1065=B2268,AD2268,IF($D$1065=B2269,AD2269,IF($D$1065=B2270,AD2270,IF($D$1065=B2271,AD2271,IF($D$1065=B2272,AD2272,IF($D$1065=B2273,AD2273,IF($D$1065=B2274,AD2274,IF($D$1065=B2275,AD2275,IF($D$1065=B2276,AD2276,IF($D$1065=B2277,AD2277,IF($D$1065=B2278,AD2278,IF($D$1065=B2279,AD2279,IF($D$1065=B2280,AD2280,IF($D$1065=B2281,AD2281,IF($D$1065=B2282,AD2282,IF($D$1065=B2283,AD2283,IF($D$1065=B2284,AD2284,IF($D$1065=B2285,AD2285,IF($D$1065=B2286,AD2286,IF($D$1065=B2287,AD2287,IF($D$1065=B2288,AD2288,IF($D$1065=B2289,AD2289,IF($D$1065=B2290,AD2290,IF($D$1065=B2291,AD2291,IF($D$1065=B2292,AD2292,IF($D$1065=B2293,AD2293,AD2240))))))))))))))))))))))))))))))))))))))))))))))))))))</f>
        <v>California Victim Compensation and GovernmentClaims Board makes a recommendation to the legislature</v>
      </c>
    </row>
    <row r="2225" spans="2:45" hidden="1" x14ac:dyDescent="0.25">
      <c r="B2225" s="390" t="str">
        <f>B1084</f>
        <v>Timely filing</v>
      </c>
      <c r="D2225" s="489" t="str">
        <f>IF($D$1065=B2242,AI2242,IF($D$1065=B2243,AI2243,IF($D$1065=B2244,AI2244,IF($D$1065=B2245,AI2245,IF($D$1065=B2246,AI2246,IF($D$1065=B2247,AI2247,IF($D$1065=B2248,AI2248,IF($D$1065=B2249,AI2249,IF($D$1065=B2250,AI2250,IF($D$1065=B2251,AI2251,IF($D$1065=B2252,AI2252,IF($D$1065=B2253,AI2253,IF($D$1065=B2254,AI2254,IF($D$1065=B2255,AI2255,IF($D$1065=B2256,AI2256,IF($D$1065=B2257,AI2257,IF($D$1065=B2258,AI2258,IF($D$1065=B2259,AI2259,IF($D$1065=B2260,AI2260,IF($D$1065=B2261,AI2261,IF($D$1065=B2262,AI2262,IF($D$1065=B2263,AI2263,IF($D$1065=B2264,AI2264,IF($D$1065=B2265,AI2265,IF($D$1065=B2266,AI2266,IF($D$1065=B2267,AI2267,IF($D$1065=B2268,AI2268,IF($D$1065=B2269,AI2269,IF($D$1065=B2270,AI2270,IF($D$1065=B2271,AI2271,IF($D$1065=B2272,AI2272,IF($D$1065=B2273,AI2273,IF($D$1065=B2274,AI2274,IF($D$1065=B2275,AI2275,IF($D$1065=B2276,AI2276,IF($D$1065=B2277,AI2277,IF($D$1065=B2278,AI2278,IF($D$1065=B2279,AI2279,IF($D$1065=B2280,AI2280,IF($D$1065=B2281,AI2281,IF($D$1065=B2282,AI2282,IF($D$1065=B2283,AI2283,IF($D$1065=B2284,AI2284,IF($D$1065=B2285,AI2285,IF($D$1065=B2286,AI2286,IF($D$1065=B2287,AI2287,IF($D$1065=B2288,AI2288,IF($D$1065=B2289,AI2289,IF($D$1065=B2290,AI2290,IF($D$1065=B2291,AI2291,IF($D$1065=B2292,AI2292,IF($D$1065=B2293,AI2293,AI2240))))))))))))))))))))))))))))))))))))))))))))))))))))</f>
        <v>2 years</v>
      </c>
    </row>
    <row r="2226" spans="2:45" hidden="1" x14ac:dyDescent="0.25">
      <c r="B2226" s="390" t="str">
        <f>B1086</f>
        <v xml:space="preserve">Maximum </v>
      </c>
      <c r="D2226" s="490" t="str">
        <f>IF($D$1065=B2242,D2242,IF($D$1065=B2243,D2243,IF($D$1065=B2244,D2244,IF($D$1065=B2245,D2245,IF($D$1065=B2246,D2246,IF($D$1065=B2247,D2247,IF($D$1065=B2248,D2248,IF($D$1065=B2249,D2249,IF($D$1065=B2250,D2250,IF($D$1065=B2251,D2251,IF($D$1065=B2252,D2252,IF($D$1065=B2253,D2253,IF($D$1065=B2254,D2254,IF($D$1065=B2255,D2255,IF($D$1065=B2256,D2256,IF($D$1065=B2257,D2257,IF($D$1065=B2258,D2258,IF($D$1065=B2259,D2259,IF($D$1065=B2260,D2260,IF($D$1065=B2261,D2261,IF($D$1065=B2262,D2262,IF($D$1065=B2263,D2263,IF($D$1065=B2264,D2264,IF($D$1065=B2265,D2265,IF($D$1065=B2266,D2266,IF($D$1065=B2267,D2267,IF($D$1065=B2268,D2268,IF($D$1065=B2269,D2269,IF($D$1065=B2270,D2270,IF($D$1065=B2271,D2271,IF($D$1065=B2272,D2272,IF($D$1065=B2273,D2273,IF($D$1065=B2274,D2274,IF($D$1065=B2275,D2275,IF($D$1065=B2276,D2276,IF($D$1065=B2277,D2277,IF($D$1065=B2278,D2278,IF($D$1065=B2279,D2279,IF($D$1065=B2280,D2280,IF($D$1065=B2281,D2281,IF($D$1065=B2282,D2282,IF($D$1065=B2283,D2283,IF($D$1065=B2284,D2284,IF($D$1065=B2285,D2285,IF($D$1065=B2286,D2286,IF($D$1065=B2287,D2287,IF($D$1065=B2288,D2288,IF($D$1065=B2289,D2289,IF($D$1065=B2290,D2290,IF($D$1065=B2291,D2291,IF($D$1065=B2292,D2292,IF($D$1065=B2293,D2293,D2240))))))))))))))))))))))))))))))))))))))))))))))))))))</f>
        <v/>
      </c>
    </row>
    <row r="2227" spans="2:45" hidden="1" x14ac:dyDescent="0.25">
      <c r="B2227" s="390" t="str">
        <f>B1089</f>
        <v xml:space="preserve">Per year </v>
      </c>
      <c r="D2227" s="490">
        <f>IF($D$1065=B2242,C2242,IF($D$1065=B2243,C2243,IF($D$1065=B2244,C2244,IF($D$1065=B2245,C2245,IF($D$1065=B2246,C2246,IF($D$1065=B2247,C2247,IF($D$1065=B2248,C2248,IF($D$1065=B2249,C2249,IF($D$1065=B2250,C2250,IF($D$1065=B2251,C2251,IF($D$1065=B2252,C2252,IF($D$1065=B2253,C2253,IF($D$1065=B2254,C2254,IF($D$1065=B2255,C2255,IF($D$1065=B2256,C2256,IF($D$1065=B2257,C2257,IF($D$1065=B2258,C2258,IF($D$1065=B2259,C2259,IF($D$1065=B2260,C2260,IF($D$1065=B2261,C2261,IF($D$1065=B2262,C2262,IF($D$1065=B2263,C2263,IF($D$1065=B2264,C2264,IF($D$1065=B2265,C2265,IF($D$1065=B2266,C2266,IF($D$1065=B2267,C2267,IF($D$1065=B2268,C2268,IF($D$1065=B2269,C2269,IF($D$1065=B2270,C2270,IF($D$1065=B2271,C2271,IF($D$1065=B2272,C2272,IF($D$1065=B2273,C2273,IF($D$1065=B2274,C2274,IF($D$1065=B2275,C2275,IF($D$1065=B2276,C2276,IF($D$1065=B2277,C2277,IF($D$1065=B2278,C2278,IF($D$1065=B2279,C2279,IF($D$1065=B2280,C2280,IF($D$1065=B2281,C2281,IF($D$1065=B2282,C2282,IF($D$1065=B2283,C2283,IF($D$1065=B2284,C2290,IF($D$1065=B2285,C2285,IF($D$1065=B2286,C2286,IF($D$1065=B2287,C2287,IF($D$1065=B2288,C2288,IF($D$1065=B2289,C2289,IF($D$1065=B2290,C2290,IF($D$1065=B2291,C2291,IF($D$1065=B2292,C2292,IF($D$1065=B2293,C2293,C2240))))))))))))))))))))))))))))))))))))))))))))))))))))</f>
        <v>51135</v>
      </c>
    </row>
    <row r="2228" spans="2:45" hidden="1" x14ac:dyDescent="0.25">
      <c r="B2228" s="390" t="str">
        <f>B1092</f>
        <v xml:space="preserve">Future civil </v>
      </c>
      <c r="D2228" s="490" t="str">
        <f>IF($D$1065=B2242,AK2242,IF($D$1065=B2243,AK2243,IF($D$1065=B2244,AK2244,IF($D$1065=B2245,AK2245,IF($D$1065=B2246,AK2246,IF($D$1065=B2247,AK2247,IF($D$1065=B2248,AK2248,IF($D$1065=B2249,AK2249,IF($D$1065=B2250,AK2250,IF($D$1065=B2251,AK2251,IF($D$1065=B2252,AK2252,IF($D$1065=B2253,AK2253,IF($D$1065=B2254,AK2254,IF($D$1065=B2255,AK2255,IF($D$1065=B2256,AK2256,IF($D$1065=B2257,AK2257,IF($D$1065=B2258,AK2258,IF($D$1065=B2259,AK2259,IF($D$1065=B2260,AK2260,IF($D$1065=B2261,AK2261,IF($D$1065=B2262,AK2262,IF($D$1065=B2263,AK2263,IF($D$1065=B2264,AK2264,IF($D$1065=B2265,AK2265,IF($D$1065=B2266,AK2266,IF($D$1065=B2267,AK2267,IF($D$1065=B2268,AK2268,IF($D$1065=B2269,AK2269,IF($D$1065=B2270,AK2270,IF($D$1065=B2271,AK2271,IF($D$1065=B2272,AK2272,IF($D$1065=B2273,AK2273,IF($D$1065=B2274,AK2274,IF($D$1065=B2275,AK2275,IF($D$1065=B2276,AK2276,IF($D$1065=B2277,AK2277,IF($D$1065=B2278,AK2278,IF($D$1065=B2279,AK2279,IF($D$1065=B2280,AK2280,IF($D$1065=B2281,AK2281,IF($D$1065=B2282,AK2282,IF($D$1065=B2283,AK2283,IF($D$1065=B2284,AK2284,IF($D$1065=B2285,AK2285,IF($D$1065=B2286,AK2286,IF($D$1065=B2287,AK2287,IF($D$1065=B2288,AK2288,IF($D$1065=B2289,AK2289,IF($D$1065=B2290,AK2290,IF($D$1065=B2291,AK2291,IF($D$1065=B2292,AK2292,IF($D$1065=B2293,AK2293,AK2240))))))))))))))))))))))))))))))))))))))))))))))))))))</f>
        <v>not specified</v>
      </c>
    </row>
    <row r="2229" spans="2:45" hidden="1" x14ac:dyDescent="0.25">
      <c r="B2229" s="390" t="s">
        <v>1549</v>
      </c>
      <c r="D2229" s="490">
        <f>IF($D$1065=B2242,BN2242,IF($D$1065=B2243,BN2243,IF($D$1065=B2244,BN2244,IF($D$1065=B2245,BN2245,IF($D$1065=B2246,BN2246,IF($D$1065=B2247,BN2247,IF($D$1065=B2248,BN2248,IF($D$1065=B2249,BN2249,IF($D$1065=B2250,BN2250,IF($D$1065=B2251,BN2251,IF($D$1065=B2252,BN2252,IF($D$1065=B2253,BN2253,IF($D$1065=B2254,BN2254,IF($D$1065=B2255,BN2255,IF($D$1065=B2256,BN2256,IF($D$1065=B2257,BN2257,IF($D$1065=B2258,BN2258,IF($D$1065=B2259,BN2259,IF($D$1065=B2260,BN2260,IF($D$1065=B2261,BN2261,IF($D$1065=B2262,BN2262,IF($D$1065=B2263,BN2263,IF($D$1065=B2264,BN2264,IF($D$1065=B2265,BN2265,IF($D$1065=B2266,BN2266,IF($D$1065=B2267,BN2267,IF($D$1065=B2268,BN2268,IF($D$1065=B2269,BN2269,IF($D$1065=B2270,BN2270,IF($D$1065=B2271,BN2271,IF($D$1065=B2272,BN2272,IF($D$1065=B2273,BN2273,IF($D$1065=B2274,BN2274,IF($D$1065=B2275,BN2275,IF($D$1065=B2276,BN2276,IF($D$1065=B2277,BN2277,IF($D$1065=B2278,BN2278,IF($D$1065=B2279,BN2279,IF($D$1065=B2280,BN2280,IF($D$1065=B2281,BN2281,IF($D$1065=B2282,BN2282,IF($D$1065=B2283,BN2283,IF($D$1065=B2284,BN2284,IF($D$1065=B2285,BN2285,IF($D$1065=B2286,BN2286,IF($D$1065=B2287,BN2287,IF($D$1065=B2288,BN2288,IF($D$1065=B2289,BN2289,IF($D$1065=B2290,BN2290,IF($D$1065=B2291,BN2291,IF($D$1065=B2292,BN2292,IF($D$1065=B2293,BN2293,BN2240))))))))))))))))))))))))))))))))))))))))))))))))))))</f>
        <v>613620</v>
      </c>
    </row>
    <row r="2230" spans="2:45" hidden="1" x14ac:dyDescent="0.25">
      <c r="D2230" s="371"/>
    </row>
    <row r="2231" spans="2:45" hidden="1" x14ac:dyDescent="0.25">
      <c r="D2231" s="371"/>
    </row>
    <row r="2232" spans="2:45" hidden="1" x14ac:dyDescent="0.25"/>
    <row r="2233" spans="2:45" hidden="1" x14ac:dyDescent="0.25"/>
    <row r="2234" spans="2:45" hidden="1" x14ac:dyDescent="0.25"/>
    <row r="2235" spans="2:45" hidden="1" x14ac:dyDescent="0.25"/>
    <row r="2236" spans="2:45" hidden="1" x14ac:dyDescent="0.25"/>
    <row r="2237" spans="2:45" hidden="1" x14ac:dyDescent="0.25"/>
    <row r="2238" spans="2:45" hidden="1" x14ac:dyDescent="0.25"/>
    <row r="2239" spans="2:45" hidden="1" x14ac:dyDescent="0.25"/>
    <row r="2240" spans="2:45" hidden="1" x14ac:dyDescent="0.25">
      <c r="B2240" s="447"/>
      <c r="C2240" s="56" t="s">
        <v>512</v>
      </c>
      <c r="D2240" s="56" t="s">
        <v>1127</v>
      </c>
      <c r="AB2240" s="448" t="s">
        <v>1128</v>
      </c>
      <c r="AD2240" s="56" t="s">
        <v>1129</v>
      </c>
      <c r="AI2240" s="56" t="s">
        <v>1130</v>
      </c>
      <c r="AO2240" s="56" t="s">
        <v>1130</v>
      </c>
      <c r="AS2240" s="56" t="s">
        <v>1130</v>
      </c>
    </row>
    <row r="2241" spans="1:69" ht="15.6" hidden="1" x14ac:dyDescent="0.3">
      <c r="A2241" s="449" t="s">
        <v>1131</v>
      </c>
      <c r="B2241" s="450" t="s">
        <v>1132</v>
      </c>
      <c r="C2241" s="449" t="s">
        <v>1133</v>
      </c>
      <c r="D2241" s="449" t="s">
        <v>1134</v>
      </c>
      <c r="E2241" s="60" t="s">
        <v>1135</v>
      </c>
      <c r="F2241" s="449"/>
      <c r="G2241" s="5" t="s">
        <v>1136</v>
      </c>
      <c r="AB2241" s="449" t="s">
        <v>799</v>
      </c>
      <c r="AC2241" s="449"/>
      <c r="AD2241" s="449" t="s">
        <v>1137</v>
      </c>
      <c r="AF2241" s="451" t="s">
        <v>1138</v>
      </c>
      <c r="AG2241" s="60" t="s">
        <v>1139</v>
      </c>
      <c r="AK2241" s="60" t="s">
        <v>1140</v>
      </c>
      <c r="AO2241" s="60" t="s">
        <v>1141</v>
      </c>
      <c r="AS2241" s="60" t="s">
        <v>1142</v>
      </c>
      <c r="BG2241" s="452">
        <f>MAX(BG2242:BG2292)</f>
        <v>0</v>
      </c>
      <c r="BH2241" s="437">
        <f>MAX(BH2242:BH2292)</f>
        <v>0</v>
      </c>
      <c r="BI2241" s="322">
        <f>MAX(BI2242:BI2292)</f>
        <v>0</v>
      </c>
      <c r="BJ2241" s="437">
        <f>MAX(BJ2242:BJ2292)</f>
        <v>0</v>
      </c>
      <c r="BK2241" s="453">
        <f>MAX(BK2242:BK2292)</f>
        <v>0</v>
      </c>
      <c r="BN2241" s="56">
        <v>0</v>
      </c>
    </row>
    <row r="2242" spans="1:69" ht="15.6" hidden="1" x14ac:dyDescent="0.3">
      <c r="A2242" s="454" t="s">
        <v>1143</v>
      </c>
      <c r="B2242" s="455" t="s">
        <v>1144</v>
      </c>
      <c r="C2242" s="456">
        <v>50000</v>
      </c>
      <c r="D2242" s="464" t="s">
        <v>966</v>
      </c>
      <c r="E2242" s="56">
        <v>50000</v>
      </c>
      <c r="G2242" s="457"/>
      <c r="H2242" s="457"/>
      <c r="I2242" s="457"/>
      <c r="J2242" s="457"/>
      <c r="K2242" s="457"/>
      <c r="L2242" s="457"/>
      <c r="M2242" s="457"/>
      <c r="N2242" s="457"/>
      <c r="O2242" s="457"/>
      <c r="P2242" s="457"/>
      <c r="Q2242" s="457"/>
      <c r="R2242" s="457"/>
      <c r="S2242" s="457"/>
      <c r="T2242" s="457"/>
      <c r="U2242" s="457"/>
      <c r="V2242" s="457"/>
      <c r="W2242" s="457"/>
      <c r="X2242" s="457"/>
      <c r="Y2242" s="457"/>
      <c r="Z2242" s="457"/>
      <c r="AB2242" s="56" t="s">
        <v>1145</v>
      </c>
      <c r="AC2242" s="262" t="s">
        <v>966</v>
      </c>
      <c r="AD2242" s="56" t="s">
        <v>1146</v>
      </c>
      <c r="AF2242" s="458">
        <v>2</v>
      </c>
      <c r="AG2242" s="56">
        <v>2</v>
      </c>
      <c r="AH2242" s="56" t="s">
        <v>1147</v>
      </c>
      <c r="AI2242" s="56" t="str">
        <f>CONCATENATE(AG2242,AH2242)</f>
        <v>2 years</v>
      </c>
      <c r="AK2242" s="56" t="s">
        <v>1148</v>
      </c>
      <c r="AL2242" s="459"/>
      <c r="AO2242" s="56" t="s">
        <v>1149</v>
      </c>
      <c r="AR2242" s="262" t="s">
        <v>966</v>
      </c>
      <c r="AS2242" s="56" t="s">
        <v>1150</v>
      </c>
      <c r="AW2242" s="262" t="s">
        <v>966</v>
      </c>
      <c r="AX2242" s="56">
        <v>1</v>
      </c>
      <c r="BB2242" s="437" t="e">
        <f t="shared" ref="BB2242:BB2292" ca="1" si="68">MIN(((C2242*$AE$264)+($AE$271*G2242)),D2242)</f>
        <v>#VALUE!</v>
      </c>
      <c r="BF2242" s="460">
        <v>23606</v>
      </c>
      <c r="BG2242" s="452">
        <f t="shared" ref="BG2242:BG2273" si="69">IF($B$208=$B2242,$B$1101,0)</f>
        <v>0</v>
      </c>
      <c r="BH2242" s="452">
        <f>IF(BG2242=0,0,BF2242-BG2242)</f>
        <v>0</v>
      </c>
      <c r="BI2242" s="389">
        <f>BH2242/12</f>
        <v>0</v>
      </c>
      <c r="BJ2242" s="170">
        <f>BH2242/52</f>
        <v>0</v>
      </c>
      <c r="BK2242" s="453">
        <f>IF(BH2242=0,0,BH2242/BF2242)</f>
        <v>0</v>
      </c>
      <c r="BN2242" s="654">
        <f>IF(OR($AC$1063=0,$C$1089=""),0,$C$1089*$C$1065)</f>
        <v>613620</v>
      </c>
      <c r="BO2242" s="609"/>
      <c r="BP2242" s="609"/>
      <c r="BQ2242" s="609"/>
    </row>
    <row r="2243" spans="1:69" ht="15.6" hidden="1" x14ac:dyDescent="0.3">
      <c r="A2243" s="454" t="s">
        <v>1151</v>
      </c>
      <c r="B2243" s="455" t="s">
        <v>1152</v>
      </c>
      <c r="C2243" s="464" t="s">
        <v>966</v>
      </c>
      <c r="D2243" s="464" t="s">
        <v>966</v>
      </c>
      <c r="E2243" s="464" t="s">
        <v>966</v>
      </c>
      <c r="G2243" s="457"/>
      <c r="H2243" s="457"/>
      <c r="I2243" s="457"/>
      <c r="J2243" s="457"/>
      <c r="K2243" s="457"/>
      <c r="L2243" s="457"/>
      <c r="M2243" s="457"/>
      <c r="N2243" s="457"/>
      <c r="O2243" s="457"/>
      <c r="P2243" s="457"/>
      <c r="Q2243" s="457"/>
      <c r="R2243" s="457"/>
      <c r="S2243" s="457"/>
      <c r="T2243" s="457"/>
      <c r="U2243" s="457"/>
      <c r="V2243" s="457"/>
      <c r="W2243" s="457"/>
      <c r="X2243" s="457"/>
      <c r="Y2243" s="457"/>
      <c r="Z2243" s="457"/>
      <c r="AA2243" s="448"/>
      <c r="AB2243" s="448" t="s">
        <v>1128</v>
      </c>
      <c r="AC2243" s="262" t="s">
        <v>966</v>
      </c>
      <c r="AD2243" s="262" t="s">
        <v>966</v>
      </c>
      <c r="AE2243" s="262" t="s">
        <v>966</v>
      </c>
      <c r="AF2243" s="262" t="s">
        <v>966</v>
      </c>
      <c r="AG2243" s="262" t="s">
        <v>966</v>
      </c>
      <c r="AH2243" s="262" t="s">
        <v>966</v>
      </c>
      <c r="AI2243" s="262" t="s">
        <v>966</v>
      </c>
      <c r="AJ2243" s="262" t="s">
        <v>966</v>
      </c>
      <c r="AK2243" s="262" t="s">
        <v>966</v>
      </c>
      <c r="AL2243" s="262" t="s">
        <v>966</v>
      </c>
      <c r="AM2243" s="262" t="s">
        <v>966</v>
      </c>
      <c r="AN2243" s="262" t="s">
        <v>966</v>
      </c>
      <c r="AO2243" s="262" t="s">
        <v>966</v>
      </c>
      <c r="AP2243" s="262" t="s">
        <v>966</v>
      </c>
      <c r="AQ2243" s="262" t="s">
        <v>966</v>
      </c>
      <c r="AR2243" s="262" t="s">
        <v>966</v>
      </c>
      <c r="AS2243" s="262" t="s">
        <v>966</v>
      </c>
      <c r="AT2243" s="262" t="s">
        <v>966</v>
      </c>
      <c r="AU2243" s="262" t="s">
        <v>966</v>
      </c>
      <c r="AV2243" s="262" t="s">
        <v>966</v>
      </c>
      <c r="AW2243" s="262" t="s">
        <v>966</v>
      </c>
      <c r="AX2243" s="485">
        <v>2</v>
      </c>
      <c r="BB2243" s="437" t="e">
        <f t="shared" ca="1" si="68"/>
        <v>#VALUE!</v>
      </c>
      <c r="BF2243" s="460">
        <v>33062</v>
      </c>
      <c r="BG2243" s="452">
        <f t="shared" si="69"/>
        <v>0</v>
      </c>
      <c r="BH2243" s="452">
        <f t="shared" ref="BH2243:BH2292" si="70">IF(BG2243=0,0,BF2243-BG2243)</f>
        <v>0</v>
      </c>
      <c r="BI2243" s="389">
        <f t="shared" ref="BI2243:BI2293" si="71">BH2243/12</f>
        <v>0</v>
      </c>
      <c r="BJ2243" s="170">
        <f t="shared" ref="BJ2243:BJ2293" si="72">BH2243/52</f>
        <v>0</v>
      </c>
      <c r="BK2243" s="453">
        <f t="shared" ref="BK2243:BK2293" si="73">IF(BH2243=0,0,BH2243/BF2243)</f>
        <v>0</v>
      </c>
      <c r="BN2243" s="654"/>
      <c r="BO2243" s="609"/>
      <c r="BP2243" s="609"/>
      <c r="BQ2243" s="609"/>
    </row>
    <row r="2244" spans="1:69" ht="15.6" hidden="1" x14ac:dyDescent="0.3">
      <c r="A2244" s="454" t="s">
        <v>1153</v>
      </c>
      <c r="B2244" s="455" t="s">
        <v>1154</v>
      </c>
      <c r="C2244" s="464" t="s">
        <v>966</v>
      </c>
      <c r="D2244" s="464" t="s">
        <v>966</v>
      </c>
      <c r="E2244" s="464" t="s">
        <v>966</v>
      </c>
      <c r="G2244" s="457"/>
      <c r="H2244" s="457"/>
      <c r="I2244" s="457"/>
      <c r="J2244" s="457"/>
      <c r="K2244" s="457"/>
      <c r="L2244" s="457"/>
      <c r="M2244" s="457"/>
      <c r="N2244" s="457"/>
      <c r="O2244" s="457"/>
      <c r="P2244" s="457"/>
      <c r="Q2244" s="457"/>
      <c r="R2244" s="457"/>
      <c r="S2244" s="457"/>
      <c r="T2244" s="457"/>
      <c r="U2244" s="457"/>
      <c r="V2244" s="457"/>
      <c r="W2244" s="457"/>
      <c r="X2244" s="457"/>
      <c r="Y2244" s="457"/>
      <c r="Z2244" s="457"/>
      <c r="AA2244" s="448"/>
      <c r="AB2244" s="448" t="s">
        <v>1128</v>
      </c>
      <c r="AC2244" s="262" t="s">
        <v>966</v>
      </c>
      <c r="AD2244" s="262" t="s">
        <v>966</v>
      </c>
      <c r="AE2244" s="262" t="s">
        <v>966</v>
      </c>
      <c r="AF2244" s="262" t="s">
        <v>966</v>
      </c>
      <c r="AG2244" s="262" t="s">
        <v>966</v>
      </c>
      <c r="AH2244" s="262" t="s">
        <v>966</v>
      </c>
      <c r="AI2244" s="262" t="s">
        <v>966</v>
      </c>
      <c r="AJ2244" s="262" t="s">
        <v>966</v>
      </c>
      <c r="AK2244" s="262" t="s">
        <v>966</v>
      </c>
      <c r="AL2244" s="262" t="s">
        <v>966</v>
      </c>
      <c r="AM2244" s="262" t="s">
        <v>966</v>
      </c>
      <c r="AN2244" s="262" t="s">
        <v>966</v>
      </c>
      <c r="AO2244" s="262" t="s">
        <v>966</v>
      </c>
      <c r="AP2244" s="262" t="s">
        <v>966</v>
      </c>
      <c r="AQ2244" s="262" t="s">
        <v>966</v>
      </c>
      <c r="AR2244" s="262" t="s">
        <v>966</v>
      </c>
      <c r="AS2244" s="262" t="s">
        <v>966</v>
      </c>
      <c r="AT2244" s="262" t="s">
        <v>966</v>
      </c>
      <c r="AU2244" s="262" t="s">
        <v>966</v>
      </c>
      <c r="AV2244" s="262" t="s">
        <v>966</v>
      </c>
      <c r="AW2244" s="262" t="s">
        <v>966</v>
      </c>
      <c r="AX2244" s="485">
        <v>3</v>
      </c>
      <c r="BB2244" s="437" t="e">
        <f t="shared" ca="1" si="68"/>
        <v>#VALUE!</v>
      </c>
      <c r="BF2244" s="460">
        <v>25715</v>
      </c>
      <c r="BG2244" s="452">
        <f t="shared" si="69"/>
        <v>0</v>
      </c>
      <c r="BH2244" s="452">
        <f t="shared" si="70"/>
        <v>0</v>
      </c>
      <c r="BI2244" s="389">
        <f t="shared" si="71"/>
        <v>0</v>
      </c>
      <c r="BJ2244" s="170">
        <f t="shared" si="72"/>
        <v>0</v>
      </c>
      <c r="BK2244" s="453">
        <f t="shared" si="73"/>
        <v>0</v>
      </c>
      <c r="BN2244" s="654"/>
      <c r="BO2244" s="609"/>
      <c r="BP2244" s="609"/>
      <c r="BQ2244" s="609"/>
    </row>
    <row r="2245" spans="1:69" ht="15.6" hidden="1" x14ac:dyDescent="0.3">
      <c r="A2245" s="454" t="s">
        <v>1155</v>
      </c>
      <c r="B2245" s="455" t="s">
        <v>1156</v>
      </c>
      <c r="C2245" s="464" t="s">
        <v>966</v>
      </c>
      <c r="D2245" s="464" t="s">
        <v>966</v>
      </c>
      <c r="E2245" s="464" t="s">
        <v>966</v>
      </c>
      <c r="G2245" s="457"/>
      <c r="H2245" s="457"/>
      <c r="I2245" s="457"/>
      <c r="J2245" s="457"/>
      <c r="K2245" s="457"/>
      <c r="L2245" s="457"/>
      <c r="M2245" s="457"/>
      <c r="N2245" s="457"/>
      <c r="O2245" s="457"/>
      <c r="P2245" s="457"/>
      <c r="Q2245" s="457"/>
      <c r="R2245" s="457"/>
      <c r="S2245" s="457"/>
      <c r="T2245" s="457"/>
      <c r="U2245" s="457"/>
      <c r="V2245" s="457"/>
      <c r="W2245" s="457"/>
      <c r="X2245" s="457"/>
      <c r="Y2245" s="457"/>
      <c r="Z2245" s="457"/>
      <c r="AA2245" s="448"/>
      <c r="AB2245" s="448" t="s">
        <v>1128</v>
      </c>
      <c r="AC2245" s="262" t="s">
        <v>966</v>
      </c>
      <c r="AD2245" s="262" t="s">
        <v>966</v>
      </c>
      <c r="AE2245" s="262" t="s">
        <v>966</v>
      </c>
      <c r="AF2245" s="262" t="s">
        <v>966</v>
      </c>
      <c r="AG2245" s="262" t="s">
        <v>966</v>
      </c>
      <c r="AH2245" s="262" t="s">
        <v>966</v>
      </c>
      <c r="AI2245" s="262" t="s">
        <v>966</v>
      </c>
      <c r="AJ2245" s="262" t="s">
        <v>966</v>
      </c>
      <c r="AK2245" s="262" t="s">
        <v>966</v>
      </c>
      <c r="AL2245" s="262" t="s">
        <v>966</v>
      </c>
      <c r="AM2245" s="262" t="s">
        <v>966</v>
      </c>
      <c r="AN2245" s="262" t="s">
        <v>966</v>
      </c>
      <c r="AO2245" s="262" t="s">
        <v>966</v>
      </c>
      <c r="AP2245" s="262" t="s">
        <v>966</v>
      </c>
      <c r="AQ2245" s="262" t="s">
        <v>966</v>
      </c>
      <c r="AR2245" s="262" t="s">
        <v>966</v>
      </c>
      <c r="AS2245" s="262" t="s">
        <v>966</v>
      </c>
      <c r="AT2245" s="262" t="s">
        <v>966</v>
      </c>
      <c r="AU2245" s="262" t="s">
        <v>966</v>
      </c>
      <c r="AV2245" s="262" t="s">
        <v>966</v>
      </c>
      <c r="AW2245" s="262" t="s">
        <v>966</v>
      </c>
      <c r="AX2245" s="485">
        <v>4</v>
      </c>
      <c r="BB2245" s="437" t="e">
        <f t="shared" ca="1" si="68"/>
        <v>#VALUE!</v>
      </c>
      <c r="BF2245" s="460">
        <v>22883</v>
      </c>
      <c r="BG2245" s="452">
        <f t="shared" si="69"/>
        <v>0</v>
      </c>
      <c r="BH2245" s="452">
        <f t="shared" si="70"/>
        <v>0</v>
      </c>
      <c r="BI2245" s="389">
        <f t="shared" si="71"/>
        <v>0</v>
      </c>
      <c r="BJ2245" s="170">
        <f t="shared" si="72"/>
        <v>0</v>
      </c>
      <c r="BK2245" s="453">
        <f t="shared" si="73"/>
        <v>0</v>
      </c>
      <c r="BN2245" s="654"/>
      <c r="BO2245" s="609"/>
      <c r="BP2245" s="609"/>
      <c r="BQ2245" s="609"/>
    </row>
    <row r="2246" spans="1:69" ht="15.6" hidden="1" x14ac:dyDescent="0.3">
      <c r="A2246" s="454" t="s">
        <v>1157</v>
      </c>
      <c r="B2246" s="455" t="s">
        <v>1158</v>
      </c>
      <c r="C2246" s="456">
        <f>140*365.25</f>
        <v>51135</v>
      </c>
      <c r="D2246" s="464" t="s">
        <v>966</v>
      </c>
      <c r="G2246" s="457"/>
      <c r="H2246" s="457"/>
      <c r="I2246" s="457"/>
      <c r="J2246" s="457"/>
      <c r="K2246" s="457"/>
      <c r="L2246" s="457"/>
      <c r="M2246" s="457"/>
      <c r="N2246" s="457"/>
      <c r="O2246" s="457"/>
      <c r="P2246" s="457"/>
      <c r="Q2246" s="457"/>
      <c r="R2246" s="457"/>
      <c r="S2246" s="457"/>
      <c r="T2246" s="457"/>
      <c r="U2246" s="457"/>
      <c r="V2246" s="457"/>
      <c r="W2246" s="457"/>
      <c r="X2246" s="457"/>
      <c r="Y2246" s="457"/>
      <c r="Z2246" s="457"/>
      <c r="AB2246" s="56" t="s">
        <v>1159</v>
      </c>
      <c r="AC2246" s="262" t="s">
        <v>966</v>
      </c>
      <c r="AD2246" s="56" t="s">
        <v>1160</v>
      </c>
      <c r="AF2246" s="458">
        <v>2</v>
      </c>
      <c r="AG2246" s="56">
        <v>2</v>
      </c>
      <c r="AH2246" s="56" t="s">
        <v>1147</v>
      </c>
      <c r="AI2246" s="56" t="str">
        <f>CONCATENATE(AG2246,AH2246)</f>
        <v>2 years</v>
      </c>
      <c r="AK2246" s="56" t="s">
        <v>1148</v>
      </c>
      <c r="AO2246" s="56" t="s">
        <v>1161</v>
      </c>
      <c r="AR2246" s="262" t="s">
        <v>966</v>
      </c>
      <c r="AS2246" s="56" t="s">
        <v>1150</v>
      </c>
      <c r="AW2246" s="262" t="s">
        <v>966</v>
      </c>
      <c r="AX2246" s="485">
        <v>5</v>
      </c>
      <c r="BB2246" s="437" t="e">
        <f t="shared" ca="1" si="68"/>
        <v>#VALUE!</v>
      </c>
      <c r="BF2246" s="460">
        <v>30441</v>
      </c>
      <c r="BG2246" s="452">
        <f t="shared" si="69"/>
        <v>0</v>
      </c>
      <c r="BH2246" s="452">
        <f t="shared" si="70"/>
        <v>0</v>
      </c>
      <c r="BI2246" s="389">
        <f t="shared" si="71"/>
        <v>0</v>
      </c>
      <c r="BJ2246" s="170">
        <f t="shared" si="72"/>
        <v>0</v>
      </c>
      <c r="BK2246" s="453">
        <f t="shared" si="73"/>
        <v>0</v>
      </c>
      <c r="BN2246" s="654">
        <f t="shared" ref="BN2246:BN2278" si="74">IF(OR($AC$1063=0,$C$1089=""),0,$C$1089*$C$1065)</f>
        <v>613620</v>
      </c>
      <c r="BO2246" s="609"/>
      <c r="BP2246" s="609"/>
      <c r="BQ2246" s="609"/>
    </row>
    <row r="2247" spans="1:69" ht="15.6" hidden="1" x14ac:dyDescent="0.3">
      <c r="A2247" s="454" t="s">
        <v>1162</v>
      </c>
      <c r="B2247" s="455" t="s">
        <v>1163</v>
      </c>
      <c r="C2247" s="456">
        <v>70000</v>
      </c>
      <c r="D2247" s="464" t="s">
        <v>966</v>
      </c>
      <c r="G2247" s="457">
        <v>25000</v>
      </c>
      <c r="H2247" s="457"/>
      <c r="I2247" s="457"/>
      <c r="J2247" s="457"/>
      <c r="K2247" s="457"/>
      <c r="L2247" s="457"/>
      <c r="M2247" s="457"/>
      <c r="N2247" s="457"/>
      <c r="O2247" s="457"/>
      <c r="P2247" s="457"/>
      <c r="Q2247" s="457"/>
      <c r="R2247" s="457"/>
      <c r="S2247" s="457"/>
      <c r="T2247" s="457"/>
      <c r="U2247" s="457"/>
      <c r="V2247" s="457"/>
      <c r="W2247" s="457"/>
      <c r="X2247" s="457"/>
      <c r="Y2247" s="457"/>
      <c r="Z2247" s="457"/>
      <c r="AB2247" s="56" t="s">
        <v>1164</v>
      </c>
      <c r="AC2247" s="262" t="s">
        <v>966</v>
      </c>
      <c r="AD2247" s="56" t="s">
        <v>1165</v>
      </c>
      <c r="AF2247" s="458">
        <v>2</v>
      </c>
      <c r="AG2247" s="56">
        <v>2</v>
      </c>
      <c r="AH2247" s="56" t="s">
        <v>1147</v>
      </c>
      <c r="AI2247" s="56" t="str">
        <f>CONCATENATE(AG2247,AH2247)</f>
        <v>2 years</v>
      </c>
      <c r="AK2247" s="56" t="s">
        <v>1148</v>
      </c>
      <c r="AO2247" s="448" t="s">
        <v>1166</v>
      </c>
      <c r="AR2247" s="262" t="s">
        <v>966</v>
      </c>
      <c r="AS2247" s="56" t="s">
        <v>1167</v>
      </c>
      <c r="AW2247" s="262" t="s">
        <v>966</v>
      </c>
      <c r="AX2247" s="485">
        <v>6</v>
      </c>
      <c r="BB2247" s="437" t="e">
        <f t="shared" ca="1" si="68"/>
        <v>#VALUE!</v>
      </c>
      <c r="BF2247" s="460">
        <v>32357</v>
      </c>
      <c r="BG2247" s="452">
        <f t="shared" si="69"/>
        <v>0</v>
      </c>
      <c r="BH2247" s="452">
        <f t="shared" si="70"/>
        <v>0</v>
      </c>
      <c r="BI2247" s="389">
        <f t="shared" si="71"/>
        <v>0</v>
      </c>
      <c r="BJ2247" s="170">
        <f t="shared" si="72"/>
        <v>0</v>
      </c>
      <c r="BK2247" s="453">
        <f t="shared" si="73"/>
        <v>0</v>
      </c>
      <c r="BN2247" s="654">
        <f t="shared" si="74"/>
        <v>613620</v>
      </c>
      <c r="BO2247" s="609"/>
      <c r="BP2247" s="609"/>
      <c r="BQ2247" s="609"/>
    </row>
    <row r="2248" spans="1:69" ht="15.6" hidden="1" x14ac:dyDescent="0.3">
      <c r="A2248" s="454" t="s">
        <v>1168</v>
      </c>
      <c r="B2248" s="455" t="s">
        <v>1169</v>
      </c>
      <c r="C2248" s="456">
        <f>ROUND((94449*2),-3)</f>
        <v>189000</v>
      </c>
      <c r="D2248" s="464" t="s">
        <v>966</v>
      </c>
      <c r="G2248" s="457"/>
      <c r="H2248" s="457"/>
      <c r="I2248" s="457"/>
      <c r="J2248" s="457"/>
      <c r="K2248" s="457"/>
      <c r="L2248" s="457"/>
      <c r="M2248" s="457"/>
      <c r="N2248" s="457"/>
      <c r="O2248" s="457"/>
      <c r="P2248" s="457"/>
      <c r="Q2248" s="457"/>
      <c r="R2248" s="457"/>
      <c r="S2248" s="457"/>
      <c r="T2248" s="457"/>
      <c r="U2248" s="457"/>
      <c r="V2248" s="457"/>
      <c r="W2248" s="457"/>
      <c r="X2248" s="457"/>
      <c r="Y2248" s="457"/>
      <c r="Z2248" s="457"/>
      <c r="AB2248" s="56" t="s">
        <v>1170</v>
      </c>
      <c r="AC2248" s="262" t="s">
        <v>966</v>
      </c>
      <c r="AD2248" s="56" t="s">
        <v>1171</v>
      </c>
      <c r="AF2248" s="458">
        <v>2</v>
      </c>
      <c r="AG2248" s="56">
        <v>2</v>
      </c>
      <c r="AH2248" s="56" t="s">
        <v>1147</v>
      </c>
      <c r="AI2248" s="56" t="str">
        <f>CONCATENATE(AG2248,AH2248)</f>
        <v>2 years</v>
      </c>
      <c r="AK2248" s="56" t="s">
        <v>1172</v>
      </c>
      <c r="AO2248" s="56" t="s">
        <v>1173</v>
      </c>
      <c r="AR2248" s="262" t="s">
        <v>966</v>
      </c>
      <c r="AS2248" s="56" t="s">
        <v>1174</v>
      </c>
      <c r="AW2248" s="262" t="s">
        <v>966</v>
      </c>
      <c r="AX2248" s="485">
        <v>7</v>
      </c>
      <c r="BB2248" s="437" t="e">
        <f t="shared" ca="1" si="68"/>
        <v>#VALUE!</v>
      </c>
      <c r="BF2248" s="460">
        <v>39373</v>
      </c>
      <c r="BG2248" s="452">
        <f t="shared" si="69"/>
        <v>0</v>
      </c>
      <c r="BH2248" s="452">
        <f t="shared" si="70"/>
        <v>0</v>
      </c>
      <c r="BI2248" s="389">
        <f t="shared" si="71"/>
        <v>0</v>
      </c>
      <c r="BJ2248" s="170">
        <f t="shared" si="72"/>
        <v>0</v>
      </c>
      <c r="BK2248" s="453">
        <f t="shared" si="73"/>
        <v>0</v>
      </c>
      <c r="BN2248" s="654">
        <f t="shared" si="74"/>
        <v>613620</v>
      </c>
      <c r="BO2248" s="609"/>
      <c r="BP2248" s="609"/>
      <c r="BQ2248" s="609"/>
    </row>
    <row r="2249" spans="1:69" ht="15.6" hidden="1" x14ac:dyDescent="0.3">
      <c r="A2249" s="454" t="s">
        <v>1175</v>
      </c>
      <c r="B2249" s="455" t="s">
        <v>1176</v>
      </c>
      <c r="C2249" s="464" t="s">
        <v>966</v>
      </c>
      <c r="D2249" s="464" t="s">
        <v>966</v>
      </c>
      <c r="E2249" s="464" t="s">
        <v>966</v>
      </c>
      <c r="G2249" s="457"/>
      <c r="H2249" s="457"/>
      <c r="I2249" s="457"/>
      <c r="J2249" s="457"/>
      <c r="K2249" s="457"/>
      <c r="L2249" s="457"/>
      <c r="M2249" s="457"/>
      <c r="N2249" s="457"/>
      <c r="O2249" s="457"/>
      <c r="P2249" s="457"/>
      <c r="Q2249" s="457"/>
      <c r="R2249" s="457"/>
      <c r="S2249" s="457"/>
      <c r="T2249" s="457"/>
      <c r="U2249" s="457"/>
      <c r="V2249" s="457"/>
      <c r="W2249" s="457"/>
      <c r="X2249" s="457"/>
      <c r="Y2249" s="457"/>
      <c r="Z2249" s="457"/>
      <c r="AA2249" s="448"/>
      <c r="AB2249" s="448" t="s">
        <v>1128</v>
      </c>
      <c r="AC2249" s="262" t="s">
        <v>966</v>
      </c>
      <c r="AD2249" s="262" t="s">
        <v>966</v>
      </c>
      <c r="AE2249" s="262" t="s">
        <v>966</v>
      </c>
      <c r="AF2249" s="262" t="s">
        <v>966</v>
      </c>
      <c r="AG2249" s="262" t="s">
        <v>966</v>
      </c>
      <c r="AH2249" s="262" t="s">
        <v>966</v>
      </c>
      <c r="AI2249" s="262" t="s">
        <v>966</v>
      </c>
      <c r="AJ2249" s="262" t="s">
        <v>966</v>
      </c>
      <c r="AK2249" s="262" t="s">
        <v>966</v>
      </c>
      <c r="AL2249" s="262" t="s">
        <v>966</v>
      </c>
      <c r="AM2249" s="262" t="s">
        <v>966</v>
      </c>
      <c r="AN2249" s="262" t="s">
        <v>966</v>
      </c>
      <c r="AO2249" s="262" t="s">
        <v>966</v>
      </c>
      <c r="AP2249" s="262" t="s">
        <v>966</v>
      </c>
      <c r="AQ2249" s="262" t="s">
        <v>966</v>
      </c>
      <c r="AR2249" s="262" t="s">
        <v>966</v>
      </c>
      <c r="AS2249" s="262" t="s">
        <v>966</v>
      </c>
      <c r="AT2249" s="262" t="s">
        <v>966</v>
      </c>
      <c r="AU2249" s="262" t="s">
        <v>966</v>
      </c>
      <c r="AV2249" s="262" t="s">
        <v>966</v>
      </c>
      <c r="AW2249" s="262" t="s">
        <v>966</v>
      </c>
      <c r="AX2249" s="485">
        <v>8</v>
      </c>
      <c r="BB2249" s="437" t="e">
        <f t="shared" ca="1" si="68"/>
        <v>#VALUE!</v>
      </c>
      <c r="BF2249" s="460">
        <v>30488</v>
      </c>
      <c r="BG2249" s="452">
        <f t="shared" si="69"/>
        <v>0</v>
      </c>
      <c r="BH2249" s="452">
        <f t="shared" si="70"/>
        <v>0</v>
      </c>
      <c r="BI2249" s="389">
        <f t="shared" si="71"/>
        <v>0</v>
      </c>
      <c r="BJ2249" s="170">
        <f t="shared" si="72"/>
        <v>0</v>
      </c>
      <c r="BK2249" s="453">
        <f t="shared" si="73"/>
        <v>0</v>
      </c>
      <c r="BN2249" s="654"/>
      <c r="BO2249" s="609"/>
      <c r="BP2249" s="609"/>
      <c r="BQ2249" s="609"/>
    </row>
    <row r="2250" spans="1:69" ht="15.6" hidden="1" x14ac:dyDescent="0.3">
      <c r="A2250" s="461" t="s">
        <v>1177</v>
      </c>
      <c r="B2250" s="462" t="s">
        <v>1178</v>
      </c>
      <c r="C2250" s="463">
        <v>200000</v>
      </c>
      <c r="D2250" s="492" t="s">
        <v>966</v>
      </c>
      <c r="G2250" s="457">
        <v>40000</v>
      </c>
      <c r="H2250" s="457"/>
      <c r="I2250" s="457"/>
      <c r="J2250" s="457"/>
      <c r="K2250" s="457"/>
      <c r="L2250" s="457"/>
      <c r="M2250" s="457"/>
      <c r="N2250" s="457"/>
      <c r="O2250" s="457"/>
      <c r="P2250" s="457"/>
      <c r="Q2250" s="457"/>
      <c r="R2250" s="457"/>
      <c r="S2250" s="457"/>
      <c r="T2250" s="457"/>
      <c r="U2250" s="457"/>
      <c r="V2250" s="457"/>
      <c r="W2250" s="457"/>
      <c r="X2250" s="457"/>
      <c r="Y2250" s="457"/>
      <c r="Z2250" s="457"/>
      <c r="AB2250" s="56" t="s">
        <v>1179</v>
      </c>
      <c r="AC2250" s="262" t="s">
        <v>966</v>
      </c>
      <c r="AD2250" s="56" t="s">
        <v>1180</v>
      </c>
      <c r="AF2250" s="458"/>
      <c r="AG2250" s="360"/>
      <c r="AI2250" s="371" t="s">
        <v>1181</v>
      </c>
      <c r="AK2250" s="56" t="s">
        <v>1148</v>
      </c>
      <c r="AO2250" s="56" t="s">
        <v>1182</v>
      </c>
      <c r="AR2250" s="262" t="s">
        <v>966</v>
      </c>
      <c r="AS2250" s="56" t="s">
        <v>1167</v>
      </c>
      <c r="AW2250" s="262" t="s">
        <v>966</v>
      </c>
      <c r="AX2250" s="485">
        <v>9</v>
      </c>
      <c r="BB2250" s="437" t="e">
        <f t="shared" ca="1" si="68"/>
        <v>#VALUE!</v>
      </c>
      <c r="BF2250" s="460">
        <v>45877</v>
      </c>
      <c r="BG2250" s="452">
        <f t="shared" si="69"/>
        <v>0</v>
      </c>
      <c r="BH2250" s="452">
        <f t="shared" si="70"/>
        <v>0</v>
      </c>
      <c r="BI2250" s="389">
        <f t="shared" si="71"/>
        <v>0</v>
      </c>
      <c r="BJ2250" s="170">
        <f t="shared" si="72"/>
        <v>0</v>
      </c>
      <c r="BK2250" s="453">
        <f t="shared" si="73"/>
        <v>0</v>
      </c>
      <c r="BN2250" s="654">
        <f t="shared" si="74"/>
        <v>613620</v>
      </c>
      <c r="BO2250" s="609"/>
      <c r="BP2250" s="609"/>
      <c r="BQ2250" s="609"/>
    </row>
    <row r="2251" spans="1:69" ht="15.6" hidden="1" x14ac:dyDescent="0.3">
      <c r="A2251" s="454" t="s">
        <v>1183</v>
      </c>
      <c r="B2251" s="455" t="s">
        <v>1184</v>
      </c>
      <c r="C2251" s="456">
        <v>50000</v>
      </c>
      <c r="D2251" s="456">
        <v>2000000</v>
      </c>
      <c r="G2251" s="457"/>
      <c r="H2251" s="457"/>
      <c r="I2251" s="457"/>
      <c r="J2251" s="457"/>
      <c r="K2251" s="457"/>
      <c r="L2251" s="457"/>
      <c r="M2251" s="457"/>
      <c r="N2251" s="457"/>
      <c r="O2251" s="457"/>
      <c r="P2251" s="457"/>
      <c r="Q2251" s="457"/>
      <c r="R2251" s="457"/>
      <c r="S2251" s="457"/>
      <c r="T2251" s="457"/>
      <c r="U2251" s="457"/>
      <c r="V2251" s="457"/>
      <c r="W2251" s="457"/>
      <c r="X2251" s="457"/>
      <c r="Y2251" s="457"/>
      <c r="Z2251" s="457"/>
      <c r="AB2251" s="56" t="s">
        <v>1185</v>
      </c>
      <c r="AC2251" s="262" t="s">
        <v>966</v>
      </c>
      <c r="AD2251" s="448" t="s">
        <v>1186</v>
      </c>
      <c r="AF2251" s="458">
        <v>2</v>
      </c>
      <c r="AG2251" s="56">
        <v>90</v>
      </c>
      <c r="AH2251" s="56" t="s">
        <v>1187</v>
      </c>
      <c r="AI2251" s="56" t="str">
        <f>CONCATENATE(AG2251,AH2251)</f>
        <v>90 days</v>
      </c>
      <c r="AK2251" s="56" t="s">
        <v>1188</v>
      </c>
      <c r="AO2251" s="56" t="s">
        <v>1189</v>
      </c>
      <c r="AR2251" s="262" t="s">
        <v>966</v>
      </c>
      <c r="AS2251" s="56" t="s">
        <v>1190</v>
      </c>
      <c r="AW2251" s="262" t="s">
        <v>966</v>
      </c>
      <c r="AX2251" s="485">
        <v>10</v>
      </c>
      <c r="BB2251" s="437" t="e">
        <f t="shared" ca="1" si="68"/>
        <v>#VALUE!</v>
      </c>
      <c r="BF2251" s="460">
        <v>26582</v>
      </c>
      <c r="BG2251" s="452">
        <f t="shared" si="69"/>
        <v>0</v>
      </c>
      <c r="BH2251" s="452">
        <f t="shared" si="70"/>
        <v>0</v>
      </c>
      <c r="BI2251" s="389">
        <f t="shared" si="71"/>
        <v>0</v>
      </c>
      <c r="BJ2251" s="170">
        <f t="shared" si="72"/>
        <v>0</v>
      </c>
      <c r="BK2251" s="453">
        <f t="shared" si="73"/>
        <v>0</v>
      </c>
      <c r="BN2251" s="654">
        <f t="shared" si="74"/>
        <v>613620</v>
      </c>
      <c r="BO2251" s="609"/>
      <c r="BP2251" s="609"/>
      <c r="BQ2251" s="609"/>
    </row>
    <row r="2252" spans="1:69" ht="15.6" hidden="1" x14ac:dyDescent="0.3">
      <c r="A2252" s="454" t="s">
        <v>1191</v>
      </c>
      <c r="B2252" s="455" t="s">
        <v>1192</v>
      </c>
      <c r="C2252" s="464" t="s">
        <v>966</v>
      </c>
      <c r="D2252" s="464" t="s">
        <v>966</v>
      </c>
      <c r="E2252" s="464" t="s">
        <v>966</v>
      </c>
      <c r="G2252" s="457"/>
      <c r="H2252" s="457"/>
      <c r="I2252" s="457"/>
      <c r="J2252" s="457"/>
      <c r="K2252" s="457"/>
      <c r="L2252" s="457"/>
      <c r="M2252" s="457"/>
      <c r="N2252" s="457"/>
      <c r="O2252" s="457"/>
      <c r="P2252" s="457"/>
      <c r="Q2252" s="457"/>
      <c r="R2252" s="457"/>
      <c r="S2252" s="457"/>
      <c r="T2252" s="457"/>
      <c r="U2252" s="457"/>
      <c r="V2252" s="457"/>
      <c r="W2252" s="457"/>
      <c r="X2252" s="457"/>
      <c r="Y2252" s="457"/>
      <c r="Z2252" s="457"/>
      <c r="AA2252" s="448"/>
      <c r="AB2252" s="448" t="s">
        <v>1128</v>
      </c>
      <c r="AC2252" s="262" t="s">
        <v>966</v>
      </c>
      <c r="AD2252" s="262" t="s">
        <v>966</v>
      </c>
      <c r="AE2252" s="262" t="s">
        <v>966</v>
      </c>
      <c r="AF2252" s="262" t="s">
        <v>966</v>
      </c>
      <c r="AG2252" s="262" t="s">
        <v>966</v>
      </c>
      <c r="AH2252" s="262" t="s">
        <v>966</v>
      </c>
      <c r="AI2252" s="262" t="s">
        <v>966</v>
      </c>
      <c r="AJ2252" s="262" t="s">
        <v>966</v>
      </c>
      <c r="AK2252" s="262" t="s">
        <v>966</v>
      </c>
      <c r="AL2252" s="262" t="s">
        <v>966</v>
      </c>
      <c r="AM2252" s="262" t="s">
        <v>966</v>
      </c>
      <c r="AN2252" s="262" t="s">
        <v>966</v>
      </c>
      <c r="AO2252" s="262" t="s">
        <v>966</v>
      </c>
      <c r="AP2252" s="262" t="s">
        <v>966</v>
      </c>
      <c r="AQ2252" s="262" t="s">
        <v>966</v>
      </c>
      <c r="AR2252" s="262" t="s">
        <v>966</v>
      </c>
      <c r="AS2252" s="262" t="s">
        <v>966</v>
      </c>
      <c r="AT2252" s="262" t="s">
        <v>966</v>
      </c>
      <c r="AU2252" s="262" t="s">
        <v>966</v>
      </c>
      <c r="AV2252" s="262" t="s">
        <v>966</v>
      </c>
      <c r="AW2252" s="262" t="s">
        <v>966</v>
      </c>
      <c r="AX2252" s="485">
        <v>11</v>
      </c>
      <c r="BB2252" s="437" t="e">
        <f t="shared" ca="1" si="68"/>
        <v>#VALUE!</v>
      </c>
      <c r="BF2252" s="460">
        <v>25615</v>
      </c>
      <c r="BG2252" s="452">
        <f t="shared" si="69"/>
        <v>0</v>
      </c>
      <c r="BH2252" s="452">
        <f t="shared" si="70"/>
        <v>0</v>
      </c>
      <c r="BI2252" s="389">
        <f t="shared" si="71"/>
        <v>0</v>
      </c>
      <c r="BJ2252" s="170">
        <f t="shared" si="72"/>
        <v>0</v>
      </c>
      <c r="BK2252" s="453">
        <f t="shared" si="73"/>
        <v>0</v>
      </c>
      <c r="BN2252" s="654"/>
      <c r="BO2252" s="609"/>
      <c r="BP2252" s="609"/>
      <c r="BQ2252" s="609"/>
    </row>
    <row r="2253" spans="1:69" ht="15.6" hidden="1" x14ac:dyDescent="0.3">
      <c r="A2253" s="454" t="s">
        <v>1193</v>
      </c>
      <c r="B2253" s="455" t="s">
        <v>1194</v>
      </c>
      <c r="C2253" s="464" t="s">
        <v>966</v>
      </c>
      <c r="D2253" s="456">
        <f>IF(AE264&lt;=5,85350,IF(AND(AE264&gt;5,AE264&lt;=14),170000,IF(AE264&gt;14,199150,"$85,350 or $170,000 or $199,150")))</f>
        <v>170000</v>
      </c>
      <c r="G2253" s="457"/>
      <c r="H2253" s="457"/>
      <c r="I2253" s="457"/>
      <c r="J2253" s="457"/>
      <c r="K2253" s="457"/>
      <c r="L2253" s="457"/>
      <c r="M2253" s="457"/>
      <c r="N2253" s="457"/>
      <c r="O2253" s="457"/>
      <c r="P2253" s="457"/>
      <c r="Q2253" s="457"/>
      <c r="R2253" s="457"/>
      <c r="S2253" s="457"/>
      <c r="T2253" s="457"/>
      <c r="U2253" s="457"/>
      <c r="V2253" s="457"/>
      <c r="W2253" s="457"/>
      <c r="X2253" s="457"/>
      <c r="Y2253" s="457"/>
      <c r="Z2253" s="457"/>
      <c r="AA2253" s="448"/>
      <c r="AB2253" s="56" t="s">
        <v>1195</v>
      </c>
      <c r="AC2253" s="262" t="s">
        <v>966</v>
      </c>
      <c r="AD2253" s="56" t="s">
        <v>1196</v>
      </c>
      <c r="AF2253" s="458"/>
      <c r="AG2253" s="56">
        <v>2</v>
      </c>
      <c r="AH2253" s="56" t="s">
        <v>1147</v>
      </c>
      <c r="AI2253" s="56" t="str">
        <f>CONCATENATE(AG2253,AH2253)</f>
        <v>2 years</v>
      </c>
      <c r="AK2253" s="56" t="s">
        <v>1188</v>
      </c>
      <c r="AO2253" s="56" t="s">
        <v>1197</v>
      </c>
      <c r="AR2253" s="262" t="s">
        <v>966</v>
      </c>
      <c r="AS2253" s="56" t="s">
        <v>1174</v>
      </c>
      <c r="AW2253" s="262" t="s">
        <v>966</v>
      </c>
      <c r="AX2253" s="485">
        <v>12</v>
      </c>
      <c r="BB2253" s="437" t="e">
        <f t="shared" ca="1" si="68"/>
        <v>#VALUE!</v>
      </c>
      <c r="BF2253" s="460">
        <v>29736</v>
      </c>
      <c r="BG2253" s="452">
        <f t="shared" si="69"/>
        <v>0</v>
      </c>
      <c r="BH2253" s="452">
        <f t="shared" si="70"/>
        <v>0</v>
      </c>
      <c r="BI2253" s="389">
        <f t="shared" si="71"/>
        <v>0</v>
      </c>
      <c r="BJ2253" s="170">
        <f t="shared" si="72"/>
        <v>0</v>
      </c>
      <c r="BK2253" s="453">
        <f t="shared" si="73"/>
        <v>0</v>
      </c>
      <c r="BN2253" s="654">
        <f t="shared" si="74"/>
        <v>613620</v>
      </c>
      <c r="BO2253" s="609"/>
      <c r="BP2253" s="609"/>
      <c r="BQ2253" s="609"/>
    </row>
    <row r="2254" spans="1:69" ht="15.6" hidden="1" x14ac:dyDescent="0.3">
      <c r="A2254" s="454" t="s">
        <v>1198</v>
      </c>
      <c r="B2254" s="455" t="s">
        <v>1199</v>
      </c>
      <c r="C2254" s="464" t="s">
        <v>966</v>
      </c>
      <c r="D2254" s="464" t="s">
        <v>966</v>
      </c>
      <c r="E2254" s="464" t="s">
        <v>966</v>
      </c>
      <c r="G2254" s="457"/>
      <c r="H2254" s="457"/>
      <c r="I2254" s="457"/>
      <c r="J2254" s="457"/>
      <c r="K2254" s="457"/>
      <c r="L2254" s="457"/>
      <c r="M2254" s="457"/>
      <c r="N2254" s="457"/>
      <c r="O2254" s="457"/>
      <c r="P2254" s="457"/>
      <c r="Q2254" s="457"/>
      <c r="R2254" s="457"/>
      <c r="S2254" s="457"/>
      <c r="T2254" s="457"/>
      <c r="U2254" s="457"/>
      <c r="V2254" s="457"/>
      <c r="W2254" s="457"/>
      <c r="X2254" s="457"/>
      <c r="Y2254" s="457"/>
      <c r="Z2254" s="457"/>
      <c r="AA2254" s="448"/>
      <c r="AB2254" s="448" t="s">
        <v>1128</v>
      </c>
      <c r="AC2254" s="262" t="s">
        <v>966</v>
      </c>
      <c r="AD2254" s="262" t="s">
        <v>966</v>
      </c>
      <c r="AE2254" s="262" t="s">
        <v>966</v>
      </c>
      <c r="AF2254" s="262" t="s">
        <v>966</v>
      </c>
      <c r="AG2254" s="262" t="s">
        <v>966</v>
      </c>
      <c r="AH2254" s="262" t="s">
        <v>966</v>
      </c>
      <c r="AI2254" s="262" t="s">
        <v>966</v>
      </c>
      <c r="AJ2254" s="262" t="s">
        <v>966</v>
      </c>
      <c r="AK2254" s="262" t="s">
        <v>966</v>
      </c>
      <c r="AL2254" s="262" t="s">
        <v>966</v>
      </c>
      <c r="AM2254" s="262" t="s">
        <v>966</v>
      </c>
      <c r="AN2254" s="262" t="s">
        <v>966</v>
      </c>
      <c r="AO2254" s="262" t="s">
        <v>966</v>
      </c>
      <c r="AP2254" s="262" t="s">
        <v>966</v>
      </c>
      <c r="AQ2254" s="262" t="s">
        <v>966</v>
      </c>
      <c r="AR2254" s="262" t="s">
        <v>966</v>
      </c>
      <c r="AS2254" s="262" t="s">
        <v>966</v>
      </c>
      <c r="AT2254" s="262" t="s">
        <v>966</v>
      </c>
      <c r="AU2254" s="262" t="s">
        <v>966</v>
      </c>
      <c r="AV2254" s="262" t="s">
        <v>966</v>
      </c>
      <c r="AW2254" s="262" t="s">
        <v>966</v>
      </c>
      <c r="AX2254" s="485">
        <v>13</v>
      </c>
      <c r="BB2254" s="437" t="e">
        <f t="shared" ca="1" si="68"/>
        <v>#VALUE!</v>
      </c>
      <c r="BF2254" s="460">
        <v>23938</v>
      </c>
      <c r="BG2254" s="452">
        <f t="shared" si="69"/>
        <v>0</v>
      </c>
      <c r="BH2254" s="452">
        <f t="shared" si="70"/>
        <v>0</v>
      </c>
      <c r="BI2254" s="389">
        <f t="shared" si="71"/>
        <v>0</v>
      </c>
      <c r="BJ2254" s="170">
        <f t="shared" si="72"/>
        <v>0</v>
      </c>
      <c r="BK2254" s="453">
        <f t="shared" si="73"/>
        <v>0</v>
      </c>
      <c r="BN2254" s="654">
        <f>IF(C1065&lt;=5,85350,IF(AND(AE264&gt;5,C1065&lt;=14),170000,IF(C1065&gt;14,199150)))</f>
        <v>170000</v>
      </c>
      <c r="BO2254" s="609"/>
      <c r="BP2254" s="609"/>
      <c r="BQ2254" s="609"/>
    </row>
    <row r="2255" spans="1:69" ht="15.6" hidden="1" x14ac:dyDescent="0.3">
      <c r="A2255" s="454" t="s">
        <v>1200</v>
      </c>
      <c r="B2255" s="455" t="s">
        <v>1201</v>
      </c>
      <c r="C2255" s="464" t="s">
        <v>966</v>
      </c>
      <c r="D2255" s="491" t="s">
        <v>966</v>
      </c>
      <c r="E2255" s="262" t="s">
        <v>966</v>
      </c>
      <c r="G2255" s="457"/>
      <c r="H2255" s="457"/>
      <c r="I2255" s="457"/>
      <c r="J2255" s="457"/>
      <c r="K2255" s="457"/>
      <c r="L2255" s="457"/>
      <c r="M2255" s="457"/>
      <c r="N2255" s="457"/>
      <c r="O2255" s="457"/>
      <c r="P2255" s="457"/>
      <c r="Q2255" s="457"/>
      <c r="R2255" s="457"/>
      <c r="S2255" s="457"/>
      <c r="T2255" s="457"/>
      <c r="U2255" s="457"/>
      <c r="V2255" s="457"/>
      <c r="W2255" s="457"/>
      <c r="X2255" s="457"/>
      <c r="Y2255" s="457"/>
      <c r="Z2255" s="457"/>
      <c r="AB2255" s="56" t="s">
        <v>1202</v>
      </c>
      <c r="AC2255" s="262" t="s">
        <v>966</v>
      </c>
      <c r="AD2255" s="56" t="s">
        <v>1203</v>
      </c>
      <c r="AF2255" s="458">
        <v>2</v>
      </c>
      <c r="AG2255" s="56">
        <v>2</v>
      </c>
      <c r="AH2255" s="56" t="s">
        <v>1147</v>
      </c>
      <c r="AI2255" s="56" t="str">
        <f>CONCATENATE(AG2255,AH2255)</f>
        <v>2 years</v>
      </c>
      <c r="AK2255" s="56" t="s">
        <v>1148</v>
      </c>
      <c r="AO2255" s="56" t="s">
        <v>1204</v>
      </c>
      <c r="AR2255" s="262" t="s">
        <v>966</v>
      </c>
      <c r="AS2255" s="56" t="s">
        <v>1174</v>
      </c>
      <c r="AW2255" s="262" t="s">
        <v>966</v>
      </c>
      <c r="AX2255" s="485">
        <v>14</v>
      </c>
      <c r="BB2255" s="437" t="e">
        <f t="shared" ca="1" si="68"/>
        <v>#VALUE!</v>
      </c>
      <c r="BD2255" s="56" t="str">
        <f>IF(D2255=1,"varies",C2255)</f>
        <v/>
      </c>
      <c r="BF2255" s="460">
        <v>30417</v>
      </c>
      <c r="BG2255" s="452">
        <f t="shared" si="69"/>
        <v>0</v>
      </c>
      <c r="BH2255" s="452">
        <f t="shared" si="70"/>
        <v>0</v>
      </c>
      <c r="BI2255" s="389">
        <f t="shared" si="71"/>
        <v>0</v>
      </c>
      <c r="BJ2255" s="170">
        <f t="shared" si="72"/>
        <v>0</v>
      </c>
      <c r="BK2255" s="453">
        <f t="shared" si="73"/>
        <v>0</v>
      </c>
      <c r="BN2255" s="654">
        <f t="shared" si="74"/>
        <v>613620</v>
      </c>
      <c r="BO2255" s="609"/>
      <c r="BP2255" s="609"/>
      <c r="BQ2255" s="609"/>
    </row>
    <row r="2256" spans="1:69" ht="15.6" hidden="1" x14ac:dyDescent="0.25">
      <c r="A2256" s="454" t="s">
        <v>1205</v>
      </c>
      <c r="B2256" s="455" t="s">
        <v>1206</v>
      </c>
      <c r="C2256" s="456">
        <v>50000</v>
      </c>
      <c r="D2256" s="464" t="s">
        <v>966</v>
      </c>
      <c r="G2256" s="457"/>
      <c r="H2256" s="457"/>
      <c r="I2256" s="457"/>
      <c r="J2256" s="457"/>
      <c r="K2256" s="457"/>
      <c r="L2256" s="457"/>
      <c r="M2256" s="457"/>
      <c r="N2256" s="457"/>
      <c r="O2256" s="457"/>
      <c r="P2256" s="457"/>
      <c r="Q2256" s="457"/>
      <c r="R2256" s="457"/>
      <c r="S2256" s="457"/>
      <c r="T2256" s="457"/>
      <c r="U2256" s="457"/>
      <c r="V2256" s="457"/>
      <c r="W2256" s="457"/>
      <c r="X2256" s="457"/>
      <c r="Y2256" s="457"/>
      <c r="Z2256" s="457"/>
      <c r="AB2256" s="466" t="s">
        <v>1207</v>
      </c>
      <c r="AC2256" s="262" t="s">
        <v>966</v>
      </c>
      <c r="AD2256" s="458" t="s">
        <v>1208</v>
      </c>
      <c r="AF2256" s="458">
        <v>2</v>
      </c>
      <c r="AI2256" s="458" t="str">
        <f>AI2250</f>
        <v>unspecfied</v>
      </c>
      <c r="AK2256" s="467" t="s">
        <v>1208</v>
      </c>
      <c r="AO2256" s="458" t="s">
        <v>1208</v>
      </c>
      <c r="AR2256" s="262" t="s">
        <v>966</v>
      </c>
      <c r="AS2256" s="262" t="s">
        <v>966</v>
      </c>
      <c r="AT2256" s="262" t="s">
        <v>966</v>
      </c>
      <c r="AU2256" s="262" t="s">
        <v>966</v>
      </c>
      <c r="AV2256" s="262" t="s">
        <v>966</v>
      </c>
      <c r="AW2256" s="262" t="s">
        <v>966</v>
      </c>
      <c r="AX2256" s="485">
        <v>15</v>
      </c>
      <c r="BB2256" s="437" t="e">
        <f t="shared" ca="1" si="68"/>
        <v>#VALUE!</v>
      </c>
      <c r="BF2256" s="460">
        <v>25140</v>
      </c>
      <c r="BG2256" s="452">
        <f t="shared" si="69"/>
        <v>0</v>
      </c>
      <c r="BH2256" s="452">
        <f t="shared" si="70"/>
        <v>0</v>
      </c>
      <c r="BI2256" s="389">
        <f t="shared" si="71"/>
        <v>0</v>
      </c>
      <c r="BJ2256" s="170">
        <f t="shared" si="72"/>
        <v>0</v>
      </c>
      <c r="BK2256" s="453">
        <f t="shared" si="73"/>
        <v>0</v>
      </c>
    </row>
    <row r="2257" spans="1:69" ht="15.6" hidden="1" x14ac:dyDescent="0.3">
      <c r="A2257" s="454" t="s">
        <v>1209</v>
      </c>
      <c r="B2257" s="455" t="s">
        <v>1210</v>
      </c>
      <c r="C2257" s="456">
        <f>365.25*50</f>
        <v>18262.5</v>
      </c>
      <c r="D2257" s="464" t="s">
        <v>966</v>
      </c>
      <c r="G2257" s="457"/>
      <c r="H2257" s="457"/>
      <c r="I2257" s="457"/>
      <c r="J2257" s="457"/>
      <c r="K2257" s="457"/>
      <c r="L2257" s="457"/>
      <c r="M2257" s="457"/>
      <c r="N2257" s="457"/>
      <c r="O2257" s="457"/>
      <c r="P2257" s="457"/>
      <c r="Q2257" s="457"/>
      <c r="R2257" s="457"/>
      <c r="S2257" s="457"/>
      <c r="T2257" s="457"/>
      <c r="U2257" s="457"/>
      <c r="V2257" s="457"/>
      <c r="W2257" s="457"/>
      <c r="X2257" s="457"/>
      <c r="Y2257" s="457"/>
      <c r="Z2257" s="457"/>
      <c r="AA2257" s="468"/>
      <c r="AB2257" s="468" t="s">
        <v>1211</v>
      </c>
      <c r="AC2257" s="262" t="s">
        <v>966</v>
      </c>
      <c r="AD2257" s="56" t="s">
        <v>1212</v>
      </c>
      <c r="AF2257" s="458">
        <v>2</v>
      </c>
      <c r="AG2257" s="56">
        <v>2</v>
      </c>
      <c r="AH2257" s="56" t="s">
        <v>1147</v>
      </c>
      <c r="AI2257" s="56" t="str">
        <f>CONCATENATE(AG2257,AH2257)</f>
        <v>2 years</v>
      </c>
      <c r="AK2257" s="56" t="s">
        <v>1213</v>
      </c>
      <c r="AO2257" s="56" t="s">
        <v>1214</v>
      </c>
      <c r="AR2257" s="262" t="s">
        <v>966</v>
      </c>
      <c r="AS2257" s="56" t="s">
        <v>1167</v>
      </c>
      <c r="AW2257" s="262" t="s">
        <v>966</v>
      </c>
      <c r="AX2257" s="485">
        <v>16</v>
      </c>
      <c r="BB2257" s="437" t="e">
        <f t="shared" ca="1" si="68"/>
        <v>#VALUE!</v>
      </c>
      <c r="BF2257" s="460">
        <v>28361</v>
      </c>
      <c r="BG2257" s="452">
        <f t="shared" si="69"/>
        <v>0</v>
      </c>
      <c r="BH2257" s="452">
        <f t="shared" si="70"/>
        <v>0</v>
      </c>
      <c r="BI2257" s="389">
        <f t="shared" si="71"/>
        <v>0</v>
      </c>
      <c r="BJ2257" s="170">
        <f t="shared" si="72"/>
        <v>0</v>
      </c>
      <c r="BK2257" s="453">
        <f t="shared" si="73"/>
        <v>0</v>
      </c>
      <c r="BN2257" s="654">
        <f t="shared" si="74"/>
        <v>613620</v>
      </c>
      <c r="BO2257" s="609"/>
      <c r="BP2257" s="609"/>
      <c r="BQ2257" s="609"/>
    </row>
    <row r="2258" spans="1:69" ht="15.6" hidden="1" x14ac:dyDescent="0.3">
      <c r="A2258" s="454" t="s">
        <v>1215</v>
      </c>
      <c r="B2258" s="455" t="s">
        <v>1216</v>
      </c>
      <c r="C2258" s="456">
        <v>65000</v>
      </c>
      <c r="D2258" s="464" t="s">
        <v>966</v>
      </c>
      <c r="G2258" s="469">
        <v>25000</v>
      </c>
      <c r="H2258" s="469"/>
      <c r="I2258" s="469"/>
      <c r="J2258" s="469"/>
      <c r="K2258" s="469"/>
      <c r="L2258" s="469"/>
      <c r="M2258" s="469"/>
      <c r="N2258" s="469"/>
      <c r="O2258" s="469"/>
      <c r="P2258" s="469"/>
      <c r="Q2258" s="469"/>
      <c r="R2258" s="469"/>
      <c r="S2258" s="469"/>
      <c r="T2258" s="469"/>
      <c r="U2258" s="469"/>
      <c r="V2258" s="469"/>
      <c r="W2258" s="469"/>
      <c r="X2258" s="469"/>
      <c r="Y2258" s="469"/>
      <c r="Z2258" s="469"/>
      <c r="AB2258" s="466" t="s">
        <v>1217</v>
      </c>
      <c r="AC2258" s="262" t="s">
        <v>966</v>
      </c>
      <c r="AD2258" s="56" t="s">
        <v>163</v>
      </c>
      <c r="AF2258" s="458"/>
      <c r="AG2258" s="56">
        <v>2</v>
      </c>
      <c r="AH2258" s="56" t="s">
        <v>1147</v>
      </c>
      <c r="AI2258" s="56" t="str">
        <f>CONCATENATE(AG2258,AH2258)</f>
        <v>2 years</v>
      </c>
      <c r="AK2258" s="56" t="s">
        <v>1172</v>
      </c>
      <c r="AO2258" s="56" t="s">
        <v>1218</v>
      </c>
      <c r="AR2258" s="262" t="s">
        <v>966</v>
      </c>
      <c r="AS2258" s="262" t="s">
        <v>966</v>
      </c>
      <c r="AW2258" s="262" t="s">
        <v>966</v>
      </c>
      <c r="AX2258" s="485">
        <v>17</v>
      </c>
      <c r="BB2258" s="437" t="e">
        <f t="shared" ca="1" si="68"/>
        <v>#VALUE!</v>
      </c>
      <c r="BF2258" s="460">
        <v>27870</v>
      </c>
      <c r="BG2258" s="452">
        <f t="shared" si="69"/>
        <v>0</v>
      </c>
      <c r="BH2258" s="452">
        <f t="shared" si="70"/>
        <v>0</v>
      </c>
      <c r="BI2258" s="389">
        <f t="shared" si="71"/>
        <v>0</v>
      </c>
      <c r="BJ2258" s="170">
        <f t="shared" si="72"/>
        <v>0</v>
      </c>
      <c r="BK2258" s="453">
        <f t="shared" si="73"/>
        <v>0</v>
      </c>
      <c r="BN2258" s="654">
        <f t="shared" si="74"/>
        <v>613620</v>
      </c>
      <c r="BO2258" s="609"/>
      <c r="BP2258" s="609"/>
      <c r="BQ2258" s="609"/>
    </row>
    <row r="2259" spans="1:69" ht="15.6" hidden="1" x14ac:dyDescent="0.25">
      <c r="A2259" s="454" t="s">
        <v>1219</v>
      </c>
      <c r="B2259" s="455" t="s">
        <v>1220</v>
      </c>
      <c r="C2259" s="464" t="s">
        <v>966</v>
      </c>
      <c r="D2259" s="464" t="s">
        <v>966</v>
      </c>
      <c r="E2259" s="464" t="s">
        <v>966</v>
      </c>
      <c r="G2259" s="457"/>
      <c r="H2259" s="457"/>
      <c r="I2259" s="457"/>
      <c r="J2259" s="457"/>
      <c r="K2259" s="457"/>
      <c r="L2259" s="457"/>
      <c r="M2259" s="457"/>
      <c r="N2259" s="457"/>
      <c r="O2259" s="457"/>
      <c r="P2259" s="457"/>
      <c r="Q2259" s="457"/>
      <c r="R2259" s="457"/>
      <c r="S2259" s="457"/>
      <c r="T2259" s="457"/>
      <c r="U2259" s="457"/>
      <c r="V2259" s="457"/>
      <c r="W2259" s="457"/>
      <c r="X2259" s="457"/>
      <c r="Y2259" s="457"/>
      <c r="Z2259" s="457"/>
      <c r="AA2259" s="448"/>
      <c r="AB2259" s="448" t="s">
        <v>1128</v>
      </c>
      <c r="AC2259" s="262" t="s">
        <v>966</v>
      </c>
      <c r="AD2259" s="262" t="s">
        <v>966</v>
      </c>
      <c r="AE2259" s="262" t="s">
        <v>966</v>
      </c>
      <c r="AF2259" s="262" t="s">
        <v>966</v>
      </c>
      <c r="AG2259" s="262" t="s">
        <v>966</v>
      </c>
      <c r="AH2259" s="262" t="s">
        <v>966</v>
      </c>
      <c r="AI2259" s="262" t="s">
        <v>966</v>
      </c>
      <c r="AJ2259" s="262" t="s">
        <v>966</v>
      </c>
      <c r="AK2259" s="262" t="s">
        <v>966</v>
      </c>
      <c r="AL2259" s="262" t="s">
        <v>966</v>
      </c>
      <c r="AM2259" s="262" t="s">
        <v>966</v>
      </c>
      <c r="AN2259" s="262" t="s">
        <v>966</v>
      </c>
      <c r="AO2259" s="262" t="s">
        <v>966</v>
      </c>
      <c r="AP2259" s="262" t="s">
        <v>966</v>
      </c>
      <c r="AQ2259" s="262" t="s">
        <v>966</v>
      </c>
      <c r="AR2259" s="262" t="s">
        <v>966</v>
      </c>
      <c r="AS2259" s="262" t="s">
        <v>966</v>
      </c>
      <c r="AT2259" s="262" t="s">
        <v>966</v>
      </c>
      <c r="AU2259" s="262" t="s">
        <v>966</v>
      </c>
      <c r="AV2259" s="262" t="s">
        <v>966</v>
      </c>
      <c r="AW2259" s="262" t="s">
        <v>966</v>
      </c>
      <c r="AX2259" s="485">
        <v>18</v>
      </c>
      <c r="BB2259" s="437" t="e">
        <f t="shared" ca="1" si="68"/>
        <v>#VALUE!</v>
      </c>
      <c r="BF2259" s="460">
        <v>23684</v>
      </c>
      <c r="BG2259" s="452">
        <f t="shared" si="69"/>
        <v>0</v>
      </c>
      <c r="BH2259" s="452">
        <f t="shared" si="70"/>
        <v>0</v>
      </c>
      <c r="BI2259" s="389">
        <f t="shared" si="71"/>
        <v>0</v>
      </c>
      <c r="BJ2259" s="170">
        <f t="shared" si="72"/>
        <v>0</v>
      </c>
      <c r="BK2259" s="453">
        <f t="shared" si="73"/>
        <v>0</v>
      </c>
    </row>
    <row r="2260" spans="1:69" ht="15.6" hidden="1" x14ac:dyDescent="0.3">
      <c r="A2260" s="454" t="s">
        <v>1221</v>
      </c>
      <c r="B2260" s="455" t="s">
        <v>1222</v>
      </c>
      <c r="C2260" s="456">
        <v>25000</v>
      </c>
      <c r="D2260" s="456">
        <f>C2260*10</f>
        <v>250000</v>
      </c>
      <c r="G2260" s="457"/>
      <c r="H2260" s="457"/>
      <c r="I2260" s="457"/>
      <c r="J2260" s="457"/>
      <c r="K2260" s="457"/>
      <c r="L2260" s="457"/>
      <c r="M2260" s="457"/>
      <c r="N2260" s="457"/>
      <c r="O2260" s="457"/>
      <c r="P2260" s="457"/>
      <c r="Q2260" s="457"/>
      <c r="R2260" s="457"/>
      <c r="S2260" s="457"/>
      <c r="T2260" s="457"/>
      <c r="U2260" s="457"/>
      <c r="V2260" s="457"/>
      <c r="W2260" s="457"/>
      <c r="X2260" s="457"/>
      <c r="Y2260" s="457"/>
      <c r="Z2260" s="457"/>
      <c r="AB2260" s="56" t="s">
        <v>1223</v>
      </c>
      <c r="AC2260" s="262" t="s">
        <v>966</v>
      </c>
      <c r="AD2260" s="56" t="s">
        <v>1224</v>
      </c>
      <c r="AF2260" s="458">
        <v>2</v>
      </c>
      <c r="AG2260" s="56">
        <v>2</v>
      </c>
      <c r="AH2260" s="56" t="s">
        <v>1147</v>
      </c>
      <c r="AI2260" s="56" t="str">
        <f>CONCATENATE(AG2260,AH2260)</f>
        <v>2 years</v>
      </c>
      <c r="AK2260" s="56" t="s">
        <v>1172</v>
      </c>
      <c r="AO2260" s="56" t="s">
        <v>1225</v>
      </c>
      <c r="AR2260" s="262" t="s">
        <v>966</v>
      </c>
      <c r="AS2260" s="56" t="s">
        <v>1167</v>
      </c>
      <c r="AW2260" s="262" t="s">
        <v>966</v>
      </c>
      <c r="AX2260" s="485">
        <v>19</v>
      </c>
      <c r="BB2260" s="437" t="e">
        <f t="shared" ca="1" si="68"/>
        <v>#VALUE!</v>
      </c>
      <c r="BF2260" s="460">
        <v>24800</v>
      </c>
      <c r="BG2260" s="452">
        <f t="shared" si="69"/>
        <v>0</v>
      </c>
      <c r="BH2260" s="452">
        <f t="shared" si="70"/>
        <v>0</v>
      </c>
      <c r="BI2260" s="389">
        <f t="shared" si="71"/>
        <v>0</v>
      </c>
      <c r="BJ2260" s="170">
        <f t="shared" si="72"/>
        <v>0</v>
      </c>
      <c r="BK2260" s="453">
        <f t="shared" si="73"/>
        <v>0</v>
      </c>
      <c r="BN2260" s="654">
        <f t="shared" si="74"/>
        <v>613620</v>
      </c>
      <c r="BO2260" s="609"/>
      <c r="BP2260" s="609"/>
      <c r="BQ2260" s="609"/>
    </row>
    <row r="2261" spans="1:69" ht="15.6" hidden="1" x14ac:dyDescent="0.3">
      <c r="A2261" s="454" t="s">
        <v>1226</v>
      </c>
      <c r="B2261" s="455" t="s">
        <v>1227</v>
      </c>
      <c r="C2261" s="464" t="s">
        <v>966</v>
      </c>
      <c r="D2261" s="456">
        <v>300000</v>
      </c>
      <c r="G2261" s="457"/>
      <c r="H2261" s="457"/>
      <c r="I2261" s="457"/>
      <c r="J2261" s="457"/>
      <c r="K2261" s="457"/>
      <c r="L2261" s="457"/>
      <c r="M2261" s="457"/>
      <c r="N2261" s="457"/>
      <c r="O2261" s="457"/>
      <c r="P2261" s="457"/>
      <c r="Q2261" s="457"/>
      <c r="R2261" s="457"/>
      <c r="S2261" s="457"/>
      <c r="T2261" s="457"/>
      <c r="U2261" s="457"/>
      <c r="V2261" s="457"/>
      <c r="W2261" s="457"/>
      <c r="X2261" s="457"/>
      <c r="Y2261" s="457"/>
      <c r="Z2261" s="457"/>
      <c r="AB2261" s="56" t="s">
        <v>1228</v>
      </c>
      <c r="AC2261" s="262" t="s">
        <v>966</v>
      </c>
      <c r="AD2261" s="56" t="s">
        <v>1229</v>
      </c>
      <c r="AF2261" s="458">
        <v>2</v>
      </c>
      <c r="AG2261" s="56">
        <v>2</v>
      </c>
      <c r="AH2261" s="56" t="s">
        <v>1147</v>
      </c>
      <c r="AI2261" s="56" t="str">
        <f>CONCATENATE(AG2261,AH2261)</f>
        <v>2 years</v>
      </c>
      <c r="AK2261" s="56" t="s">
        <v>1148</v>
      </c>
      <c r="AO2261" s="56" t="s">
        <v>1230</v>
      </c>
      <c r="AR2261" s="262" t="s">
        <v>966</v>
      </c>
      <c r="AS2261" s="56" t="s">
        <v>1167</v>
      </c>
      <c r="AW2261" s="262" t="s">
        <v>966</v>
      </c>
      <c r="AX2261" s="485">
        <v>20</v>
      </c>
      <c r="BB2261" s="437" t="e">
        <f t="shared" ca="1" si="68"/>
        <v>#VALUE!</v>
      </c>
      <c r="BF2261" s="460">
        <v>27978</v>
      </c>
      <c r="BG2261" s="452">
        <f t="shared" si="69"/>
        <v>0</v>
      </c>
      <c r="BH2261" s="452">
        <f t="shared" si="70"/>
        <v>0</v>
      </c>
      <c r="BI2261" s="389">
        <f t="shared" si="71"/>
        <v>0</v>
      </c>
      <c r="BJ2261" s="170">
        <f t="shared" si="72"/>
        <v>0</v>
      </c>
      <c r="BK2261" s="453">
        <f t="shared" si="73"/>
        <v>0</v>
      </c>
      <c r="BN2261" s="654">
        <f t="shared" si="74"/>
        <v>613620</v>
      </c>
      <c r="BO2261" s="609"/>
      <c r="BP2261" s="609"/>
      <c r="BQ2261" s="609"/>
    </row>
    <row r="2262" spans="1:69" ht="15.6" hidden="1" x14ac:dyDescent="0.3">
      <c r="A2262" s="454" t="s">
        <v>1231</v>
      </c>
      <c r="B2262" s="455" t="s">
        <v>1232</v>
      </c>
      <c r="C2262" s="465">
        <v>1E-8</v>
      </c>
      <c r="D2262" s="465">
        <v>999999</v>
      </c>
      <c r="G2262" s="457"/>
      <c r="H2262" s="457"/>
      <c r="I2262" s="457"/>
      <c r="J2262" s="457"/>
      <c r="K2262" s="457"/>
      <c r="L2262" s="457"/>
      <c r="M2262" s="457"/>
      <c r="N2262" s="457"/>
      <c r="O2262" s="457"/>
      <c r="P2262" s="457"/>
      <c r="Q2262" s="457"/>
      <c r="R2262" s="457"/>
      <c r="S2262" s="457"/>
      <c r="T2262" s="457"/>
      <c r="U2262" s="457"/>
      <c r="V2262" s="457"/>
      <c r="W2262" s="457"/>
      <c r="X2262" s="457"/>
      <c r="Y2262" s="457"/>
      <c r="Z2262" s="457"/>
      <c r="AB2262" s="56" t="s">
        <v>1233</v>
      </c>
      <c r="AC2262" s="262" t="s">
        <v>966</v>
      </c>
      <c r="AD2262" s="56" t="s">
        <v>1234</v>
      </c>
      <c r="AF2262" s="458"/>
      <c r="AI2262" s="56" t="str">
        <f>AI2258</f>
        <v>2 years</v>
      </c>
      <c r="AK2262" s="56" t="s">
        <v>1148</v>
      </c>
      <c r="AO2262" s="56" t="s">
        <v>1235</v>
      </c>
      <c r="AR2262" s="262" t="s">
        <v>966</v>
      </c>
      <c r="AS2262" s="56" t="s">
        <v>1150</v>
      </c>
      <c r="AW2262" s="262" t="s">
        <v>966</v>
      </c>
      <c r="AX2262" s="485">
        <v>21</v>
      </c>
      <c r="BB2262" s="437" t="e">
        <f t="shared" ca="1" si="68"/>
        <v>#VALUE!</v>
      </c>
      <c r="BF2262" s="460">
        <v>36338</v>
      </c>
      <c r="BG2262" s="452">
        <f t="shared" si="69"/>
        <v>0</v>
      </c>
      <c r="BH2262" s="452">
        <f t="shared" si="70"/>
        <v>0</v>
      </c>
      <c r="BI2262" s="389">
        <f t="shared" si="71"/>
        <v>0</v>
      </c>
      <c r="BJ2262" s="170">
        <f t="shared" si="72"/>
        <v>0</v>
      </c>
      <c r="BK2262" s="453">
        <f t="shared" si="73"/>
        <v>0</v>
      </c>
      <c r="BN2262" s="654">
        <f t="shared" si="74"/>
        <v>613620</v>
      </c>
      <c r="BO2262" s="609"/>
      <c r="BP2262" s="609"/>
      <c r="BQ2262" s="609"/>
    </row>
    <row r="2263" spans="1:69" ht="15.6" hidden="1" x14ac:dyDescent="0.3">
      <c r="A2263" s="454" t="s">
        <v>1236</v>
      </c>
      <c r="B2263" s="455" t="s">
        <v>1237</v>
      </c>
      <c r="C2263" s="464" t="s">
        <v>966</v>
      </c>
      <c r="D2263" s="456">
        <v>1000000</v>
      </c>
      <c r="G2263" s="457"/>
      <c r="H2263" s="457"/>
      <c r="I2263" s="457"/>
      <c r="J2263" s="457"/>
      <c r="K2263" s="457"/>
      <c r="L2263" s="457"/>
      <c r="M2263" s="457"/>
      <c r="N2263" s="457"/>
      <c r="O2263" s="457"/>
      <c r="P2263" s="457"/>
      <c r="Q2263" s="457"/>
      <c r="R2263" s="457"/>
      <c r="S2263" s="457"/>
      <c r="T2263" s="457"/>
      <c r="U2263" s="457"/>
      <c r="V2263" s="457"/>
      <c r="W2263" s="457"/>
      <c r="X2263" s="457"/>
      <c r="Y2263" s="457"/>
      <c r="Z2263" s="457"/>
      <c r="AB2263" s="56" t="s">
        <v>1238</v>
      </c>
      <c r="AC2263" s="262" t="s">
        <v>966</v>
      </c>
      <c r="AD2263" s="56" t="s">
        <v>1229</v>
      </c>
      <c r="AF2263" s="458">
        <v>3</v>
      </c>
      <c r="AG2263" s="56">
        <v>2</v>
      </c>
      <c r="AH2263" s="56" t="s">
        <v>1147</v>
      </c>
      <c r="AI2263" s="56" t="str">
        <f t="shared" ref="AI2263:AI2269" si="75">CONCATENATE(AG2263,AH2263)</f>
        <v>2 years</v>
      </c>
      <c r="AK2263" s="56" t="s">
        <v>1172</v>
      </c>
      <c r="AO2263" s="56" t="s">
        <v>1239</v>
      </c>
      <c r="AR2263" s="262" t="s">
        <v>966</v>
      </c>
      <c r="AS2263" s="56" t="s">
        <v>1167</v>
      </c>
      <c r="AW2263" s="262" t="s">
        <v>966</v>
      </c>
      <c r="AX2263" s="485">
        <v>22</v>
      </c>
      <c r="BB2263" s="437" t="e">
        <f t="shared" ca="1" si="68"/>
        <v>#VALUE!</v>
      </c>
      <c r="BF2263" s="460">
        <v>36593</v>
      </c>
      <c r="BG2263" s="452">
        <f t="shared" si="69"/>
        <v>0</v>
      </c>
      <c r="BH2263" s="452">
        <f t="shared" si="70"/>
        <v>0</v>
      </c>
      <c r="BI2263" s="389">
        <f t="shared" si="71"/>
        <v>0</v>
      </c>
      <c r="BJ2263" s="170">
        <f t="shared" si="72"/>
        <v>0</v>
      </c>
      <c r="BK2263" s="453">
        <f t="shared" si="73"/>
        <v>0</v>
      </c>
      <c r="BN2263" s="654">
        <f t="shared" si="74"/>
        <v>613620</v>
      </c>
      <c r="BO2263" s="609"/>
      <c r="BP2263" s="609"/>
      <c r="BQ2263" s="609"/>
    </row>
    <row r="2264" spans="1:69" ht="15.6" hidden="1" x14ac:dyDescent="0.3">
      <c r="A2264" s="454" t="s">
        <v>1240</v>
      </c>
      <c r="B2264" s="455" t="s">
        <v>160</v>
      </c>
      <c r="C2264" s="456">
        <v>50000</v>
      </c>
      <c r="D2264" s="456" t="s">
        <v>1241</v>
      </c>
      <c r="G2264" s="457"/>
      <c r="H2264" s="457"/>
      <c r="I2264" s="457"/>
      <c r="J2264" s="457"/>
      <c r="K2264" s="457"/>
      <c r="L2264" s="457"/>
      <c r="M2264" s="457"/>
      <c r="N2264" s="457"/>
      <c r="O2264" s="457"/>
      <c r="P2264" s="457"/>
      <c r="Q2264" s="457"/>
      <c r="R2264" s="457"/>
      <c r="S2264" s="457"/>
      <c r="T2264" s="457"/>
      <c r="U2264" s="457"/>
      <c r="V2264" s="457"/>
      <c r="W2264" s="457"/>
      <c r="X2264" s="457"/>
      <c r="Y2264" s="457"/>
      <c r="Z2264" s="457"/>
      <c r="AB2264" s="56" t="s">
        <v>1242</v>
      </c>
      <c r="AC2264" s="262" t="s">
        <v>966</v>
      </c>
      <c r="AD2264" s="56" t="s">
        <v>1203</v>
      </c>
      <c r="AF2264" s="458"/>
      <c r="AG2264" s="56">
        <v>3</v>
      </c>
      <c r="AH2264" s="56" t="s">
        <v>1147</v>
      </c>
      <c r="AI2264" s="56" t="str">
        <f t="shared" si="75"/>
        <v>3 years</v>
      </c>
      <c r="AK2264" s="56" t="s">
        <v>1213</v>
      </c>
      <c r="AO2264" s="56" t="s">
        <v>1243</v>
      </c>
      <c r="AR2264" s="262" t="s">
        <v>966</v>
      </c>
      <c r="AS2264" s="56" t="s">
        <v>1167</v>
      </c>
      <c r="AW2264" s="262" t="s">
        <v>966</v>
      </c>
      <c r="AX2264" s="485">
        <v>23</v>
      </c>
      <c r="BB2264" s="437" t="e">
        <f t="shared" ca="1" si="68"/>
        <v>#VALUE!</v>
      </c>
      <c r="BF2264" s="460">
        <v>26613</v>
      </c>
      <c r="BG2264" s="452">
        <f t="shared" si="69"/>
        <v>0</v>
      </c>
      <c r="BH2264" s="452">
        <f t="shared" si="70"/>
        <v>0</v>
      </c>
      <c r="BI2264" s="389">
        <f t="shared" si="71"/>
        <v>0</v>
      </c>
      <c r="BJ2264" s="170">
        <f t="shared" si="72"/>
        <v>0</v>
      </c>
      <c r="BK2264" s="453">
        <f t="shared" si="73"/>
        <v>0</v>
      </c>
      <c r="BN2264" s="654">
        <f t="shared" si="74"/>
        <v>613620</v>
      </c>
      <c r="BO2264" s="609"/>
      <c r="BP2264" s="609"/>
      <c r="BQ2264" s="609"/>
    </row>
    <row r="2265" spans="1:69" ht="15.6" hidden="1" x14ac:dyDescent="0.3">
      <c r="A2265" s="454" t="s">
        <v>1244</v>
      </c>
      <c r="B2265" s="455" t="s">
        <v>1245</v>
      </c>
      <c r="C2265" s="456">
        <v>100000</v>
      </c>
      <c r="D2265" s="456">
        <v>50000</v>
      </c>
      <c r="G2265" s="457"/>
      <c r="H2265" s="457"/>
      <c r="I2265" s="457"/>
      <c r="J2265" s="457"/>
      <c r="K2265" s="457"/>
      <c r="L2265" s="457"/>
      <c r="M2265" s="457"/>
      <c r="N2265" s="457"/>
      <c r="O2265" s="457"/>
      <c r="P2265" s="457"/>
      <c r="Q2265" s="457"/>
      <c r="R2265" s="457"/>
      <c r="S2265" s="457"/>
      <c r="T2265" s="457"/>
      <c r="U2265" s="457"/>
      <c r="V2265" s="457"/>
      <c r="W2265" s="457"/>
      <c r="X2265" s="457"/>
      <c r="Y2265" s="457"/>
      <c r="Z2265" s="457"/>
      <c r="AB2265" s="56" t="s">
        <v>1246</v>
      </c>
      <c r="AC2265" s="262" t="s">
        <v>966</v>
      </c>
      <c r="AD2265" s="56" t="s">
        <v>1247</v>
      </c>
      <c r="AF2265" s="458">
        <v>2</v>
      </c>
      <c r="AG2265" s="56">
        <v>60</v>
      </c>
      <c r="AH2265" s="56" t="s">
        <v>1187</v>
      </c>
      <c r="AI2265" s="56" t="str">
        <f t="shared" si="75"/>
        <v>60 days</v>
      </c>
      <c r="AK2265" s="56" t="s">
        <v>1213</v>
      </c>
      <c r="AO2265" s="56" t="s">
        <v>1248</v>
      </c>
      <c r="AR2265" s="262" t="s">
        <v>966</v>
      </c>
      <c r="AS2265" s="56" t="s">
        <v>1174</v>
      </c>
      <c r="AW2265" s="262" t="s">
        <v>966</v>
      </c>
      <c r="AX2265" s="485">
        <v>24</v>
      </c>
      <c r="BB2265" s="437" t="e">
        <f t="shared" ca="1" si="68"/>
        <v>#VALUE!</v>
      </c>
      <c r="BF2265" s="460">
        <v>32638</v>
      </c>
      <c r="BG2265" s="452">
        <f t="shared" si="69"/>
        <v>0</v>
      </c>
      <c r="BH2265" s="452">
        <f t="shared" si="70"/>
        <v>0</v>
      </c>
      <c r="BI2265" s="389">
        <f t="shared" si="71"/>
        <v>0</v>
      </c>
      <c r="BJ2265" s="170">
        <f t="shared" si="72"/>
        <v>0</v>
      </c>
      <c r="BK2265" s="453">
        <f t="shared" si="73"/>
        <v>0</v>
      </c>
      <c r="BN2265" s="654">
        <f t="shared" si="74"/>
        <v>613620</v>
      </c>
      <c r="BO2265" s="609"/>
      <c r="BP2265" s="609"/>
      <c r="BQ2265" s="609"/>
    </row>
    <row r="2266" spans="1:69" ht="15.6" hidden="1" x14ac:dyDescent="0.3">
      <c r="A2266" s="454" t="s">
        <v>1249</v>
      </c>
      <c r="B2266" s="455" t="s">
        <v>1250</v>
      </c>
      <c r="C2266" s="456">
        <v>50000</v>
      </c>
      <c r="D2266" s="456">
        <f>C2266*10</f>
        <v>500000</v>
      </c>
      <c r="G2266" s="457"/>
      <c r="H2266" s="457"/>
      <c r="I2266" s="457"/>
      <c r="J2266" s="457"/>
      <c r="K2266" s="457"/>
      <c r="L2266" s="457"/>
      <c r="M2266" s="457"/>
      <c r="N2266" s="457"/>
      <c r="O2266" s="457"/>
      <c r="P2266" s="457"/>
      <c r="Q2266" s="457"/>
      <c r="R2266" s="457"/>
      <c r="S2266" s="457"/>
      <c r="T2266" s="457"/>
      <c r="U2266" s="457"/>
      <c r="V2266" s="457"/>
      <c r="W2266" s="457"/>
      <c r="X2266" s="457"/>
      <c r="Y2266" s="457"/>
      <c r="Z2266" s="457"/>
      <c r="AB2266" s="56" t="s">
        <v>1251</v>
      </c>
      <c r="AC2266" s="262" t="s">
        <v>966</v>
      </c>
      <c r="AD2266" s="56" t="s">
        <v>1252</v>
      </c>
      <c r="AF2266" s="458"/>
      <c r="AG2266" s="56">
        <v>3</v>
      </c>
      <c r="AH2266" s="56" t="s">
        <v>1147</v>
      </c>
      <c r="AI2266" s="56" t="str">
        <f t="shared" si="75"/>
        <v>3 years</v>
      </c>
      <c r="AK2266" s="56" t="s">
        <v>1213</v>
      </c>
      <c r="AO2266" s="56" t="s">
        <v>1253</v>
      </c>
      <c r="AR2266" s="262" t="s">
        <v>966</v>
      </c>
      <c r="AS2266" s="56" t="s">
        <v>1174</v>
      </c>
      <c r="AW2266" s="262" t="s">
        <v>966</v>
      </c>
      <c r="AX2266" s="485">
        <v>25</v>
      </c>
      <c r="BB2266" s="437" t="e">
        <f t="shared" ca="1" si="68"/>
        <v>#VALUE!</v>
      </c>
      <c r="BF2266" s="460">
        <v>21036</v>
      </c>
      <c r="BG2266" s="452">
        <f t="shared" si="69"/>
        <v>0</v>
      </c>
      <c r="BH2266" s="452">
        <f t="shared" si="70"/>
        <v>0</v>
      </c>
      <c r="BI2266" s="389">
        <f t="shared" si="71"/>
        <v>0</v>
      </c>
      <c r="BJ2266" s="170">
        <f t="shared" si="72"/>
        <v>0</v>
      </c>
      <c r="BK2266" s="453">
        <f t="shared" si="73"/>
        <v>0</v>
      </c>
      <c r="BN2266" s="654">
        <f t="shared" si="74"/>
        <v>613620</v>
      </c>
      <c r="BO2266" s="609"/>
      <c r="BP2266" s="609"/>
      <c r="BQ2266" s="609"/>
    </row>
    <row r="2267" spans="1:69" ht="15.6" hidden="1" x14ac:dyDescent="0.3">
      <c r="A2267" s="454" t="s">
        <v>1254</v>
      </c>
      <c r="B2267" s="455" t="s">
        <v>1255</v>
      </c>
      <c r="C2267" s="456">
        <f>50*365.25</f>
        <v>18262.5</v>
      </c>
      <c r="D2267" s="464" t="s">
        <v>966</v>
      </c>
      <c r="G2267" s="457"/>
      <c r="H2267" s="457"/>
      <c r="I2267" s="457"/>
      <c r="J2267" s="457"/>
      <c r="K2267" s="457"/>
      <c r="L2267" s="457"/>
      <c r="M2267" s="457"/>
      <c r="N2267" s="457"/>
      <c r="O2267" s="457"/>
      <c r="P2267" s="457"/>
      <c r="Q2267" s="457"/>
      <c r="R2267" s="457"/>
      <c r="S2267" s="457"/>
      <c r="T2267" s="457"/>
      <c r="U2267" s="457"/>
      <c r="V2267" s="457"/>
      <c r="W2267" s="457"/>
      <c r="X2267" s="457"/>
      <c r="Y2267" s="457"/>
      <c r="Z2267" s="457"/>
      <c r="AB2267" s="56" t="s">
        <v>1256</v>
      </c>
      <c r="AC2267" s="262" t="s">
        <v>966</v>
      </c>
      <c r="AD2267" s="56" t="s">
        <v>1257</v>
      </c>
      <c r="AF2267" s="458">
        <v>1</v>
      </c>
      <c r="AI2267" s="56" t="str">
        <f>AI2262</f>
        <v>2 years</v>
      </c>
      <c r="AK2267" s="56" t="s">
        <v>1188</v>
      </c>
      <c r="AO2267" s="56" t="s">
        <v>1258</v>
      </c>
      <c r="AR2267" s="262" t="s">
        <v>966</v>
      </c>
      <c r="AS2267" s="56" t="s">
        <v>1259</v>
      </c>
      <c r="AW2267" s="262" t="s">
        <v>966</v>
      </c>
      <c r="AX2267" s="485">
        <v>26</v>
      </c>
      <c r="BB2267" s="437" t="e">
        <f t="shared" ca="1" si="68"/>
        <v>#VALUE!</v>
      </c>
      <c r="BF2267" s="460">
        <v>26126</v>
      </c>
      <c r="BG2267" s="452">
        <f t="shared" si="69"/>
        <v>0</v>
      </c>
      <c r="BH2267" s="452">
        <f t="shared" si="70"/>
        <v>0</v>
      </c>
      <c r="BI2267" s="389">
        <f t="shared" si="71"/>
        <v>0</v>
      </c>
      <c r="BJ2267" s="170">
        <f t="shared" si="72"/>
        <v>0</v>
      </c>
      <c r="BK2267" s="453">
        <f t="shared" si="73"/>
        <v>0</v>
      </c>
      <c r="BN2267" s="654">
        <f t="shared" si="74"/>
        <v>613620</v>
      </c>
      <c r="BO2267" s="609"/>
      <c r="BP2267" s="609"/>
      <c r="BQ2267" s="609"/>
    </row>
    <row r="2268" spans="1:69" ht="15.6" hidden="1" x14ac:dyDescent="0.3">
      <c r="A2268" s="454" t="s">
        <v>1260</v>
      </c>
      <c r="B2268" s="455" t="s">
        <v>1261</v>
      </c>
      <c r="C2268" s="465"/>
      <c r="D2268" s="456" t="s">
        <v>1544</v>
      </c>
      <c r="G2268" s="457"/>
      <c r="H2268" s="457"/>
      <c r="I2268" s="457"/>
      <c r="J2268" s="457"/>
      <c r="K2268" s="457"/>
      <c r="L2268" s="457"/>
      <c r="M2268" s="457"/>
      <c r="N2268" s="457"/>
      <c r="O2268" s="457"/>
      <c r="P2268" s="457"/>
      <c r="Q2268" s="457"/>
      <c r="R2268" s="457"/>
      <c r="S2268" s="457"/>
      <c r="T2268" s="457"/>
      <c r="U2268" s="457"/>
      <c r="V2268" s="457"/>
      <c r="W2268" s="457"/>
      <c r="X2268" s="457"/>
      <c r="Y2268" s="457"/>
      <c r="Z2268" s="457"/>
      <c r="AB2268" s="56" t="s">
        <v>1262</v>
      </c>
      <c r="AC2268" s="262" t="s">
        <v>966</v>
      </c>
      <c r="AD2268" s="56" t="s">
        <v>1263</v>
      </c>
      <c r="AF2268" s="458"/>
      <c r="AG2268" s="56">
        <v>10</v>
      </c>
      <c r="AH2268" s="56" t="s">
        <v>1147</v>
      </c>
      <c r="AI2268" s="56" t="str">
        <f t="shared" si="75"/>
        <v>10 years</v>
      </c>
      <c r="AK2268" s="56" t="s">
        <v>1148</v>
      </c>
      <c r="AO2268" s="56" t="s">
        <v>1264</v>
      </c>
      <c r="AR2268" s="262" t="s">
        <v>966</v>
      </c>
      <c r="AS2268" s="56" t="s">
        <v>1265</v>
      </c>
      <c r="AW2268" s="262" t="s">
        <v>966</v>
      </c>
      <c r="AX2268" s="485">
        <v>27</v>
      </c>
      <c r="BB2268" s="437" t="e">
        <f t="shared" ca="1" si="68"/>
        <v>#VALUE!</v>
      </c>
      <c r="BF2268" s="460">
        <v>25989</v>
      </c>
      <c r="BG2268" s="452">
        <f t="shared" si="69"/>
        <v>0</v>
      </c>
      <c r="BH2268" s="452">
        <f t="shared" si="70"/>
        <v>0</v>
      </c>
      <c r="BI2268" s="389">
        <f t="shared" si="71"/>
        <v>0</v>
      </c>
      <c r="BJ2268" s="170">
        <f t="shared" si="72"/>
        <v>0</v>
      </c>
      <c r="BK2268" s="453">
        <f t="shared" si="73"/>
        <v>0</v>
      </c>
      <c r="BN2268" s="654">
        <f t="shared" si="74"/>
        <v>613620</v>
      </c>
      <c r="BO2268" s="609"/>
      <c r="BP2268" s="609"/>
      <c r="BQ2268" s="609"/>
    </row>
    <row r="2269" spans="1:69" ht="15.6" hidden="1" x14ac:dyDescent="0.3">
      <c r="A2269" s="454" t="s">
        <v>1266</v>
      </c>
      <c r="B2269" s="455" t="s">
        <v>1267</v>
      </c>
      <c r="C2269" s="464" t="s">
        <v>966</v>
      </c>
      <c r="D2269" s="456">
        <v>500000</v>
      </c>
      <c r="G2269" s="457"/>
      <c r="H2269" s="457"/>
      <c r="I2269" s="457"/>
      <c r="J2269" s="457"/>
      <c r="K2269" s="457"/>
      <c r="L2269" s="457"/>
      <c r="M2269" s="457"/>
      <c r="N2269" s="457"/>
      <c r="O2269" s="457"/>
      <c r="P2269" s="457"/>
      <c r="Q2269" s="457"/>
      <c r="R2269" s="457"/>
      <c r="S2269" s="457"/>
      <c r="T2269" s="457"/>
      <c r="U2269" s="457"/>
      <c r="V2269" s="457"/>
      <c r="W2269" s="457"/>
      <c r="X2269" s="457"/>
      <c r="Y2269" s="457"/>
      <c r="Z2269" s="457"/>
      <c r="AB2269" s="56" t="s">
        <v>1268</v>
      </c>
      <c r="AC2269" s="262" t="s">
        <v>966</v>
      </c>
      <c r="AD2269" s="56" t="s">
        <v>1150</v>
      </c>
      <c r="AF2269" s="458"/>
      <c r="AG2269" s="56">
        <v>2</v>
      </c>
      <c r="AH2269" s="56" t="s">
        <v>1147</v>
      </c>
      <c r="AI2269" s="56" t="str">
        <f t="shared" si="75"/>
        <v>2 years</v>
      </c>
      <c r="AK2269" s="56" t="s">
        <v>1213</v>
      </c>
      <c r="AO2269" s="56" t="s">
        <v>1269</v>
      </c>
      <c r="AR2269" s="262" t="s">
        <v>966</v>
      </c>
      <c r="AS2269" s="56" t="s">
        <v>1167</v>
      </c>
      <c r="AW2269" s="262" t="s">
        <v>966</v>
      </c>
      <c r="AX2269" s="485">
        <v>28</v>
      </c>
      <c r="BB2269" s="437" t="e">
        <f t="shared" ca="1" si="68"/>
        <v>#VALUE!</v>
      </c>
      <c r="BF2269" s="460">
        <v>27446</v>
      </c>
      <c r="BG2269" s="452">
        <f t="shared" si="69"/>
        <v>0</v>
      </c>
      <c r="BH2269" s="452">
        <f t="shared" si="70"/>
        <v>0</v>
      </c>
      <c r="BI2269" s="389">
        <f t="shared" si="71"/>
        <v>0</v>
      </c>
      <c r="BJ2269" s="170">
        <f t="shared" si="72"/>
        <v>0</v>
      </c>
      <c r="BK2269" s="453">
        <f t="shared" si="73"/>
        <v>0</v>
      </c>
      <c r="BN2269" s="654">
        <f t="shared" si="74"/>
        <v>613620</v>
      </c>
      <c r="BO2269" s="609"/>
      <c r="BP2269" s="609"/>
      <c r="BQ2269" s="609"/>
    </row>
    <row r="2270" spans="1:69" ht="15.6" hidden="1" x14ac:dyDescent="0.25">
      <c r="A2270" s="454" t="s">
        <v>1270</v>
      </c>
      <c r="B2270" s="455" t="s">
        <v>1271</v>
      </c>
      <c r="C2270" s="464" t="s">
        <v>966</v>
      </c>
      <c r="D2270" s="464" t="s">
        <v>966</v>
      </c>
      <c r="E2270" s="464" t="s">
        <v>966</v>
      </c>
      <c r="G2270" s="457"/>
      <c r="H2270" s="457"/>
      <c r="I2270" s="457"/>
      <c r="J2270" s="457"/>
      <c r="K2270" s="457"/>
      <c r="L2270" s="457"/>
      <c r="M2270" s="457"/>
      <c r="N2270" s="457"/>
      <c r="O2270" s="457"/>
      <c r="P2270" s="457"/>
      <c r="Q2270" s="457"/>
      <c r="R2270" s="457"/>
      <c r="S2270" s="457"/>
      <c r="T2270" s="457"/>
      <c r="U2270" s="457"/>
      <c r="V2270" s="457"/>
      <c r="W2270" s="457"/>
      <c r="X2270" s="457"/>
      <c r="Y2270" s="457"/>
      <c r="Z2270" s="457"/>
      <c r="AA2270" s="448"/>
      <c r="AB2270" s="448" t="s">
        <v>1128</v>
      </c>
      <c r="AC2270" s="262" t="s">
        <v>966</v>
      </c>
      <c r="AD2270" s="262" t="s">
        <v>966</v>
      </c>
      <c r="AE2270" s="262" t="s">
        <v>966</v>
      </c>
      <c r="AF2270" s="262" t="s">
        <v>966</v>
      </c>
      <c r="AG2270" s="262" t="s">
        <v>966</v>
      </c>
      <c r="AH2270" s="262" t="s">
        <v>966</v>
      </c>
      <c r="AI2270" s="262" t="s">
        <v>966</v>
      </c>
      <c r="AJ2270" s="262" t="s">
        <v>966</v>
      </c>
      <c r="AK2270" s="262" t="s">
        <v>966</v>
      </c>
      <c r="AL2270" s="262" t="s">
        <v>966</v>
      </c>
      <c r="AM2270" s="262" t="s">
        <v>966</v>
      </c>
      <c r="AN2270" s="262" t="s">
        <v>966</v>
      </c>
      <c r="AO2270" s="262" t="s">
        <v>966</v>
      </c>
      <c r="AP2270" s="262" t="s">
        <v>966</v>
      </c>
      <c r="AQ2270" s="262" t="s">
        <v>966</v>
      </c>
      <c r="AR2270" s="262" t="s">
        <v>966</v>
      </c>
      <c r="AS2270" s="262" t="s">
        <v>966</v>
      </c>
      <c r="AT2270" s="262" t="s">
        <v>966</v>
      </c>
      <c r="AU2270" s="262" t="s">
        <v>966</v>
      </c>
      <c r="AV2270" s="262" t="s">
        <v>966</v>
      </c>
      <c r="AW2270" s="262" t="s">
        <v>966</v>
      </c>
      <c r="AX2270" s="485">
        <v>29</v>
      </c>
      <c r="BB2270" s="437" t="e">
        <f t="shared" ca="1" si="68"/>
        <v>#VALUE!</v>
      </c>
      <c r="BF2270" s="460">
        <v>25773</v>
      </c>
      <c r="BG2270" s="452">
        <f t="shared" si="69"/>
        <v>0</v>
      </c>
      <c r="BH2270" s="452">
        <f t="shared" si="70"/>
        <v>0</v>
      </c>
      <c r="BI2270" s="389">
        <f t="shared" si="71"/>
        <v>0</v>
      </c>
      <c r="BJ2270" s="170">
        <f t="shared" si="72"/>
        <v>0</v>
      </c>
      <c r="BK2270" s="453">
        <f t="shared" si="73"/>
        <v>0</v>
      </c>
    </row>
    <row r="2271" spans="1:69" ht="15.6" hidden="1" x14ac:dyDescent="0.3">
      <c r="A2271" s="454" t="s">
        <v>1272</v>
      </c>
      <c r="B2271" s="455" t="s">
        <v>1273</v>
      </c>
      <c r="C2271" s="464" t="s">
        <v>966</v>
      </c>
      <c r="D2271" s="456">
        <v>20000</v>
      </c>
      <c r="G2271" s="457"/>
      <c r="H2271" s="457"/>
      <c r="I2271" s="457"/>
      <c r="J2271" s="457"/>
      <c r="K2271" s="457"/>
      <c r="L2271" s="457"/>
      <c r="M2271" s="457"/>
      <c r="N2271" s="457"/>
      <c r="O2271" s="457"/>
      <c r="P2271" s="457"/>
      <c r="Q2271" s="457"/>
      <c r="R2271" s="457"/>
      <c r="S2271" s="457"/>
      <c r="T2271" s="457"/>
      <c r="U2271" s="457"/>
      <c r="V2271" s="457"/>
      <c r="W2271" s="457"/>
      <c r="X2271" s="457"/>
      <c r="Y2271" s="457"/>
      <c r="Z2271" s="457"/>
      <c r="AB2271" s="56" t="s">
        <v>1274</v>
      </c>
      <c r="AC2271" s="262" t="s">
        <v>966</v>
      </c>
      <c r="AD2271" s="56" t="s">
        <v>1275</v>
      </c>
      <c r="AF2271" s="458">
        <v>3</v>
      </c>
      <c r="AG2271" s="56">
        <v>3</v>
      </c>
      <c r="AH2271" s="56" t="s">
        <v>1147</v>
      </c>
      <c r="AI2271" s="56" t="str">
        <f>CONCATENATE(AG2271,AH2271)</f>
        <v>3 years</v>
      </c>
      <c r="AK2271" s="56" t="s">
        <v>1213</v>
      </c>
      <c r="AO2271" s="56" t="s">
        <v>1276</v>
      </c>
      <c r="AR2271" s="262" t="s">
        <v>966</v>
      </c>
      <c r="AS2271" s="56" t="s">
        <v>1277</v>
      </c>
      <c r="AW2271" s="262" t="s">
        <v>966</v>
      </c>
      <c r="AX2271" s="485">
        <v>30</v>
      </c>
      <c r="BB2271" s="437" t="e">
        <f t="shared" ca="1" si="68"/>
        <v>#VALUE!</v>
      </c>
      <c r="BF2271" s="460">
        <v>34691</v>
      </c>
      <c r="BG2271" s="452">
        <f t="shared" si="69"/>
        <v>0</v>
      </c>
      <c r="BH2271" s="452">
        <f t="shared" si="70"/>
        <v>0</v>
      </c>
      <c r="BI2271" s="389">
        <f t="shared" si="71"/>
        <v>0</v>
      </c>
      <c r="BJ2271" s="170">
        <f t="shared" si="72"/>
        <v>0</v>
      </c>
      <c r="BK2271" s="453">
        <f t="shared" si="73"/>
        <v>0</v>
      </c>
      <c r="BN2271" s="654">
        <f t="shared" si="74"/>
        <v>613620</v>
      </c>
      <c r="BO2271" s="609"/>
      <c r="BP2271" s="609"/>
      <c r="BQ2271" s="609"/>
    </row>
    <row r="2272" spans="1:69" ht="15.6" hidden="1" x14ac:dyDescent="0.3">
      <c r="A2272" s="454" t="s">
        <v>1278</v>
      </c>
      <c r="B2272" s="455" t="s">
        <v>1279</v>
      </c>
      <c r="C2272" s="470">
        <v>50000</v>
      </c>
      <c r="D2272" s="470">
        <v>1000000</v>
      </c>
      <c r="G2272" s="457"/>
      <c r="H2272" s="457"/>
      <c r="I2272" s="457"/>
      <c r="J2272" s="457"/>
      <c r="K2272" s="457"/>
      <c r="L2272" s="457"/>
      <c r="M2272" s="457"/>
      <c r="N2272" s="457"/>
      <c r="O2272" s="457"/>
      <c r="P2272" s="457"/>
      <c r="Q2272" s="457"/>
      <c r="R2272" s="457"/>
      <c r="S2272" s="457"/>
      <c r="T2272" s="457"/>
      <c r="U2272" s="457"/>
      <c r="V2272" s="457"/>
      <c r="W2272" s="457"/>
      <c r="X2272" s="457"/>
      <c r="Y2272" s="457"/>
      <c r="Z2272" s="457"/>
      <c r="AB2272" s="56" t="s">
        <v>1280</v>
      </c>
      <c r="AC2272" s="262" t="s">
        <v>966</v>
      </c>
      <c r="AD2272" s="56" t="s">
        <v>1281</v>
      </c>
      <c r="AF2272" s="458">
        <v>2</v>
      </c>
      <c r="AG2272" s="56">
        <v>2</v>
      </c>
      <c r="AH2272" s="56" t="s">
        <v>1147</v>
      </c>
      <c r="AI2272" s="56" t="str">
        <f>CONCATENATE(AG2272,AH2272)</f>
        <v>2 years</v>
      </c>
      <c r="AK2272" s="56" t="s">
        <v>1213</v>
      </c>
      <c r="AO2272" s="56" t="s">
        <v>1282</v>
      </c>
      <c r="AR2272" s="262" t="s">
        <v>966</v>
      </c>
      <c r="AS2272" s="56" t="s">
        <v>1167</v>
      </c>
      <c r="AW2272" s="262" t="s">
        <v>966</v>
      </c>
      <c r="AX2272" s="485">
        <v>31</v>
      </c>
      <c r="BB2272" s="437" t="e">
        <f t="shared" ca="1" si="68"/>
        <v>#VALUE!</v>
      </c>
      <c r="BF2272" s="460">
        <v>37288</v>
      </c>
      <c r="BG2272" s="452">
        <f t="shared" si="69"/>
        <v>0</v>
      </c>
      <c r="BH2272" s="452">
        <f t="shared" si="70"/>
        <v>0</v>
      </c>
      <c r="BI2272" s="389">
        <f t="shared" si="71"/>
        <v>0</v>
      </c>
      <c r="BJ2272" s="170">
        <f t="shared" si="72"/>
        <v>0</v>
      </c>
      <c r="BK2272" s="453">
        <f t="shared" si="73"/>
        <v>0</v>
      </c>
      <c r="BN2272" s="654">
        <f t="shared" si="74"/>
        <v>613620</v>
      </c>
      <c r="BO2272" s="609"/>
      <c r="BP2272" s="609"/>
      <c r="BQ2272" s="609"/>
    </row>
    <row r="2273" spans="1:69" ht="15.6" hidden="1" x14ac:dyDescent="0.25">
      <c r="A2273" s="454" t="s">
        <v>1283</v>
      </c>
      <c r="B2273" s="455" t="s">
        <v>1284</v>
      </c>
      <c r="C2273" s="464" t="s">
        <v>966</v>
      </c>
      <c r="D2273" s="464" t="s">
        <v>966</v>
      </c>
      <c r="G2273" s="457"/>
      <c r="H2273" s="457"/>
      <c r="I2273" s="457"/>
      <c r="J2273" s="457"/>
      <c r="K2273" s="457"/>
      <c r="L2273" s="457"/>
      <c r="M2273" s="457"/>
      <c r="N2273" s="457"/>
      <c r="O2273" s="457"/>
      <c r="P2273" s="457"/>
      <c r="Q2273" s="457"/>
      <c r="R2273" s="457"/>
      <c r="S2273" s="457"/>
      <c r="T2273" s="457"/>
      <c r="U2273" s="457"/>
      <c r="V2273" s="457"/>
      <c r="W2273" s="457"/>
      <c r="X2273" s="457"/>
      <c r="Y2273" s="457"/>
      <c r="Z2273" s="457"/>
      <c r="AB2273" s="56" t="s">
        <v>1130</v>
      </c>
      <c r="AC2273" s="262" t="s">
        <v>966</v>
      </c>
      <c r="AD2273" s="262" t="s">
        <v>966</v>
      </c>
      <c r="AE2273" s="262" t="s">
        <v>966</v>
      </c>
      <c r="AF2273" s="262" t="s">
        <v>966</v>
      </c>
      <c r="AG2273" s="262" t="s">
        <v>966</v>
      </c>
      <c r="AH2273" s="262" t="s">
        <v>966</v>
      </c>
      <c r="AI2273" s="262" t="s">
        <v>966</v>
      </c>
      <c r="AJ2273" s="262" t="s">
        <v>966</v>
      </c>
      <c r="AK2273" s="262" t="s">
        <v>966</v>
      </c>
      <c r="AL2273" s="262" t="s">
        <v>966</v>
      </c>
      <c r="AM2273" s="262" t="s">
        <v>966</v>
      </c>
      <c r="AN2273" s="262" t="s">
        <v>966</v>
      </c>
      <c r="AO2273" s="262" t="s">
        <v>966</v>
      </c>
      <c r="AP2273" s="262" t="s">
        <v>966</v>
      </c>
      <c r="AQ2273" s="262" t="s">
        <v>966</v>
      </c>
      <c r="AR2273" s="262" t="s">
        <v>966</v>
      </c>
      <c r="AS2273" s="262" t="s">
        <v>966</v>
      </c>
      <c r="AT2273" s="262" t="s">
        <v>966</v>
      </c>
      <c r="AU2273" s="262" t="s">
        <v>966</v>
      </c>
      <c r="AV2273" s="262" t="s">
        <v>966</v>
      </c>
      <c r="AW2273" s="262" t="s">
        <v>966</v>
      </c>
      <c r="AX2273" s="485">
        <v>32</v>
      </c>
      <c r="BB2273" s="437" t="e">
        <f t="shared" ca="1" si="68"/>
        <v>#VALUE!</v>
      </c>
      <c r="BF2273" s="460">
        <v>23683</v>
      </c>
      <c r="BG2273" s="452">
        <f t="shared" si="69"/>
        <v>0</v>
      </c>
      <c r="BH2273" s="452">
        <f t="shared" si="70"/>
        <v>0</v>
      </c>
      <c r="BI2273" s="389">
        <f t="shared" si="71"/>
        <v>0</v>
      </c>
      <c r="BJ2273" s="170">
        <f t="shared" si="72"/>
        <v>0</v>
      </c>
      <c r="BK2273" s="453">
        <f t="shared" si="73"/>
        <v>0</v>
      </c>
    </row>
    <row r="2274" spans="1:69" ht="15.6" hidden="1" x14ac:dyDescent="0.3">
      <c r="A2274" s="454" t="s">
        <v>1285</v>
      </c>
      <c r="B2274" s="455" t="s">
        <v>1286</v>
      </c>
      <c r="C2274" s="491" t="s">
        <v>966</v>
      </c>
      <c r="D2274" s="465" t="s">
        <v>1545</v>
      </c>
      <c r="G2274" s="457"/>
      <c r="H2274" s="457"/>
      <c r="I2274" s="457"/>
      <c r="J2274" s="457"/>
      <c r="K2274" s="457"/>
      <c r="L2274" s="457"/>
      <c r="M2274" s="457"/>
      <c r="N2274" s="457"/>
      <c r="O2274" s="457"/>
      <c r="P2274" s="457"/>
      <c r="Q2274" s="457"/>
      <c r="R2274" s="457"/>
      <c r="S2274" s="457"/>
      <c r="T2274" s="457"/>
      <c r="U2274" s="457"/>
      <c r="V2274" s="457"/>
      <c r="W2274" s="457"/>
      <c r="X2274" s="457"/>
      <c r="Y2274" s="457"/>
      <c r="Z2274" s="457"/>
      <c r="AB2274" s="56" t="s">
        <v>1287</v>
      </c>
      <c r="AC2274" s="262" t="s">
        <v>966</v>
      </c>
      <c r="AD2274" s="56" t="s">
        <v>1203</v>
      </c>
      <c r="AF2274" s="458">
        <v>2</v>
      </c>
      <c r="AG2274" s="56">
        <v>2</v>
      </c>
      <c r="AH2274" s="56" t="s">
        <v>1147</v>
      </c>
      <c r="AI2274" s="56" t="str">
        <f>CONCATENATE(AG2274,AH2274)</f>
        <v>2 years</v>
      </c>
      <c r="AK2274" s="56" t="s">
        <v>1148</v>
      </c>
      <c r="AO2274" s="56" t="s">
        <v>1239</v>
      </c>
      <c r="AR2274" s="262" t="s">
        <v>966</v>
      </c>
      <c r="AS2274" s="56" t="s">
        <v>1167</v>
      </c>
      <c r="AW2274" s="262" t="s">
        <v>966</v>
      </c>
      <c r="AX2274" s="485">
        <v>33</v>
      </c>
      <c r="BB2274" s="437" t="e">
        <f t="shared" ca="1" si="68"/>
        <v>#VALUE!</v>
      </c>
      <c r="BF2274" s="460">
        <v>33095</v>
      </c>
      <c r="BG2274" s="452">
        <f t="shared" ref="BG2274:BG2293" si="76">IF($B$208=$B2274,$B$1101,0)</f>
        <v>0</v>
      </c>
      <c r="BH2274" s="452">
        <f t="shared" si="70"/>
        <v>0</v>
      </c>
      <c r="BI2274" s="389">
        <f t="shared" si="71"/>
        <v>0</v>
      </c>
      <c r="BJ2274" s="170">
        <f t="shared" si="72"/>
        <v>0</v>
      </c>
      <c r="BK2274" s="453">
        <f t="shared" si="73"/>
        <v>0</v>
      </c>
      <c r="BN2274" s="654">
        <f t="shared" si="74"/>
        <v>613620</v>
      </c>
      <c r="BO2274" s="609"/>
      <c r="BP2274" s="609"/>
      <c r="BQ2274" s="609"/>
    </row>
    <row r="2275" spans="1:69" ht="15.6" hidden="1" x14ac:dyDescent="0.3">
      <c r="A2275" s="454" t="s">
        <v>1288</v>
      </c>
      <c r="B2275" s="455" t="s">
        <v>1289</v>
      </c>
      <c r="C2275" s="456">
        <v>50000</v>
      </c>
      <c r="D2275" s="456">
        <v>750000</v>
      </c>
      <c r="G2275" s="457"/>
      <c r="H2275" s="457"/>
      <c r="I2275" s="457"/>
      <c r="J2275" s="457"/>
      <c r="K2275" s="457"/>
      <c r="L2275" s="457"/>
      <c r="M2275" s="457"/>
      <c r="N2275" s="457"/>
      <c r="O2275" s="457"/>
      <c r="P2275" s="457"/>
      <c r="Q2275" s="457"/>
      <c r="R2275" s="457"/>
      <c r="S2275" s="457"/>
      <c r="T2275" s="457"/>
      <c r="U2275" s="457"/>
      <c r="V2275" s="457"/>
      <c r="W2275" s="457"/>
      <c r="X2275" s="457"/>
      <c r="Y2275" s="457"/>
      <c r="Z2275" s="457"/>
      <c r="AB2275" s="56" t="s">
        <v>1290</v>
      </c>
      <c r="AC2275" s="262" t="s">
        <v>966</v>
      </c>
      <c r="AD2275" s="56" t="s">
        <v>1291</v>
      </c>
      <c r="AF2275" s="458">
        <v>5</v>
      </c>
      <c r="AG2275" s="56">
        <v>5</v>
      </c>
      <c r="AH2275" s="56" t="s">
        <v>1147</v>
      </c>
      <c r="AI2275" s="56" t="str">
        <f>CONCATENATE(AG2275,AH2275)</f>
        <v>5 years</v>
      </c>
      <c r="AK2275" s="56" t="s">
        <v>1148</v>
      </c>
      <c r="AO2275" s="56" t="s">
        <v>1292</v>
      </c>
      <c r="AR2275" s="262" t="s">
        <v>966</v>
      </c>
      <c r="AS2275" s="56" t="s">
        <v>1150</v>
      </c>
      <c r="AW2275" s="262" t="s">
        <v>966</v>
      </c>
      <c r="AX2275" s="485">
        <v>34</v>
      </c>
      <c r="BB2275" s="437" t="e">
        <f t="shared" ca="1" si="68"/>
        <v>#VALUE!</v>
      </c>
      <c r="BF2275" s="460">
        <v>25774</v>
      </c>
      <c r="BG2275" s="452">
        <f t="shared" si="76"/>
        <v>0</v>
      </c>
      <c r="BH2275" s="452">
        <f t="shared" si="70"/>
        <v>0</v>
      </c>
      <c r="BI2275" s="389">
        <f t="shared" si="71"/>
        <v>0</v>
      </c>
      <c r="BJ2275" s="170">
        <f t="shared" si="72"/>
        <v>0</v>
      </c>
      <c r="BK2275" s="453">
        <f t="shared" si="73"/>
        <v>0</v>
      </c>
      <c r="BN2275" s="654">
        <f t="shared" si="74"/>
        <v>613620</v>
      </c>
      <c r="BO2275" s="609"/>
      <c r="BP2275" s="609"/>
      <c r="BQ2275" s="609"/>
    </row>
    <row r="2276" spans="1:69" ht="15.6" hidden="1" x14ac:dyDescent="0.25">
      <c r="A2276" s="454" t="s">
        <v>1293</v>
      </c>
      <c r="B2276" s="455" t="s">
        <v>1294</v>
      </c>
      <c r="C2276" s="464" t="s">
        <v>966</v>
      </c>
      <c r="D2276" s="464" t="s">
        <v>966</v>
      </c>
      <c r="E2276" s="464" t="s">
        <v>966</v>
      </c>
      <c r="G2276" s="457"/>
      <c r="H2276" s="457"/>
      <c r="I2276" s="457"/>
      <c r="J2276" s="457"/>
      <c r="K2276" s="457"/>
      <c r="L2276" s="457"/>
      <c r="M2276" s="457"/>
      <c r="N2276" s="457"/>
      <c r="O2276" s="457"/>
      <c r="P2276" s="457"/>
      <c r="Q2276" s="457"/>
      <c r="R2276" s="457"/>
      <c r="S2276" s="457"/>
      <c r="T2276" s="457"/>
      <c r="U2276" s="457"/>
      <c r="V2276" s="457"/>
      <c r="W2276" s="457"/>
      <c r="X2276" s="457"/>
      <c r="Y2276" s="457"/>
      <c r="Z2276" s="457"/>
      <c r="AA2276" s="448"/>
      <c r="AB2276" s="448" t="s">
        <v>1128</v>
      </c>
      <c r="AC2276" s="262" t="s">
        <v>966</v>
      </c>
      <c r="AD2276" s="262" t="s">
        <v>966</v>
      </c>
      <c r="AE2276" s="262" t="s">
        <v>966</v>
      </c>
      <c r="AF2276" s="262" t="s">
        <v>966</v>
      </c>
      <c r="AG2276" s="262" t="s">
        <v>966</v>
      </c>
      <c r="AH2276" s="262" t="s">
        <v>966</v>
      </c>
      <c r="AI2276" s="262" t="s">
        <v>966</v>
      </c>
      <c r="AJ2276" s="262" t="s">
        <v>966</v>
      </c>
      <c r="AK2276" s="262" t="s">
        <v>966</v>
      </c>
      <c r="AL2276" s="262" t="s">
        <v>966</v>
      </c>
      <c r="AM2276" s="262" t="s">
        <v>966</v>
      </c>
      <c r="AN2276" s="262" t="s">
        <v>966</v>
      </c>
      <c r="AO2276" s="262" t="s">
        <v>966</v>
      </c>
      <c r="AP2276" s="262" t="s">
        <v>966</v>
      </c>
      <c r="AQ2276" s="262" t="s">
        <v>966</v>
      </c>
      <c r="AR2276" s="262" t="s">
        <v>966</v>
      </c>
      <c r="AS2276" s="262" t="s">
        <v>966</v>
      </c>
      <c r="AT2276" s="262" t="s">
        <v>966</v>
      </c>
      <c r="AU2276" s="262" t="s">
        <v>966</v>
      </c>
      <c r="AV2276" s="262" t="s">
        <v>966</v>
      </c>
      <c r="AW2276" s="262" t="s">
        <v>966</v>
      </c>
      <c r="AX2276" s="485">
        <v>35</v>
      </c>
      <c r="BB2276" s="437" t="e">
        <f t="shared" ca="1" si="68"/>
        <v>#VALUE!</v>
      </c>
      <c r="BF2276" s="460">
        <v>33071</v>
      </c>
      <c r="BG2276" s="452">
        <f t="shared" si="76"/>
        <v>0</v>
      </c>
      <c r="BH2276" s="452">
        <f t="shared" si="70"/>
        <v>0</v>
      </c>
      <c r="BI2276" s="389">
        <f t="shared" si="71"/>
        <v>0</v>
      </c>
      <c r="BJ2276" s="170">
        <f t="shared" si="72"/>
        <v>0</v>
      </c>
      <c r="BK2276" s="453">
        <f t="shared" si="73"/>
        <v>0</v>
      </c>
    </row>
    <row r="2277" spans="1:69" ht="15.6" hidden="1" x14ac:dyDescent="0.3">
      <c r="A2277" s="454" t="s">
        <v>1295</v>
      </c>
      <c r="B2277" s="455" t="s">
        <v>1296</v>
      </c>
      <c r="C2277" s="470">
        <v>40330</v>
      </c>
      <c r="D2277" s="464" t="s">
        <v>966</v>
      </c>
      <c r="G2277" s="457"/>
      <c r="H2277" s="457"/>
      <c r="I2277" s="457"/>
      <c r="J2277" s="457"/>
      <c r="K2277" s="457"/>
      <c r="L2277" s="457"/>
      <c r="M2277" s="457"/>
      <c r="N2277" s="457"/>
      <c r="O2277" s="457"/>
      <c r="P2277" s="457"/>
      <c r="Q2277" s="457"/>
      <c r="R2277" s="457"/>
      <c r="S2277" s="457"/>
      <c r="T2277" s="457"/>
      <c r="U2277" s="457"/>
      <c r="V2277" s="457"/>
      <c r="W2277" s="457"/>
      <c r="X2277" s="457"/>
      <c r="Y2277" s="457"/>
      <c r="Z2277" s="457"/>
      <c r="AB2277" s="56" t="s">
        <v>1297</v>
      </c>
      <c r="AC2277" s="262" t="s">
        <v>966</v>
      </c>
      <c r="AD2277" s="56" t="s">
        <v>1298</v>
      </c>
      <c r="AF2277" s="458">
        <v>2</v>
      </c>
      <c r="AG2277" s="56">
        <v>2</v>
      </c>
      <c r="AH2277" s="56" t="s">
        <v>1147</v>
      </c>
      <c r="AI2277" s="56" t="str">
        <f>CONCATENATE(AG2277,AH2277)</f>
        <v>2 years</v>
      </c>
      <c r="AK2277" s="56" t="s">
        <v>1148</v>
      </c>
      <c r="AO2277" s="56" t="s">
        <v>1214</v>
      </c>
      <c r="AR2277" s="262" t="s">
        <v>966</v>
      </c>
      <c r="AS2277" s="56" t="s">
        <v>1299</v>
      </c>
      <c r="AW2277" s="262" t="s">
        <v>966</v>
      </c>
      <c r="AX2277" s="485">
        <v>36</v>
      </c>
      <c r="BB2277" s="437" t="e">
        <f t="shared" ca="1" si="68"/>
        <v>#VALUE!</v>
      </c>
      <c r="BF2277" s="460">
        <v>26937</v>
      </c>
      <c r="BG2277" s="452">
        <f t="shared" si="76"/>
        <v>0</v>
      </c>
      <c r="BH2277" s="452">
        <f t="shared" si="70"/>
        <v>0</v>
      </c>
      <c r="BI2277" s="389">
        <f t="shared" si="71"/>
        <v>0</v>
      </c>
      <c r="BJ2277" s="170">
        <f t="shared" si="72"/>
        <v>0</v>
      </c>
      <c r="BK2277" s="453">
        <f t="shared" si="73"/>
        <v>0</v>
      </c>
      <c r="BN2277" s="654">
        <f t="shared" si="74"/>
        <v>613620</v>
      </c>
      <c r="BO2277" s="609"/>
      <c r="BP2277" s="609"/>
      <c r="BQ2277" s="609"/>
    </row>
    <row r="2278" spans="1:69" ht="15.6" hidden="1" x14ac:dyDescent="0.3">
      <c r="A2278" s="454" t="s">
        <v>1300</v>
      </c>
      <c r="B2278" s="455" t="s">
        <v>1301</v>
      </c>
      <c r="C2278" s="464" t="s">
        <v>966</v>
      </c>
      <c r="D2278" s="456">
        <v>175000</v>
      </c>
      <c r="G2278" s="457"/>
      <c r="H2278" s="457"/>
      <c r="I2278" s="457"/>
      <c r="J2278" s="457"/>
      <c r="K2278" s="457"/>
      <c r="L2278" s="457"/>
      <c r="M2278" s="457"/>
      <c r="N2278" s="457"/>
      <c r="O2278" s="457"/>
      <c r="P2278" s="457"/>
      <c r="Q2278" s="457"/>
      <c r="R2278" s="457"/>
      <c r="S2278" s="457"/>
      <c r="T2278" s="457"/>
      <c r="U2278" s="457"/>
      <c r="V2278" s="457"/>
      <c r="W2278" s="457"/>
      <c r="X2278" s="457"/>
      <c r="Y2278" s="457"/>
      <c r="Z2278" s="457"/>
      <c r="AB2278" s="56" t="s">
        <v>1302</v>
      </c>
      <c r="AC2278" s="262" t="s">
        <v>966</v>
      </c>
      <c r="AD2278" s="56" t="s">
        <v>1303</v>
      </c>
      <c r="AF2278" s="458">
        <v>0</v>
      </c>
      <c r="AG2278" s="56">
        <v>1</v>
      </c>
      <c r="AH2278" s="56" t="s">
        <v>1147</v>
      </c>
      <c r="AI2278" s="56" t="str">
        <f>CONCATENATE(AG2278,AH2278)</f>
        <v>1 years</v>
      </c>
      <c r="AK2278" s="56" t="s">
        <v>1148</v>
      </c>
      <c r="AO2278" s="56" t="s">
        <v>1304</v>
      </c>
      <c r="AR2278" s="262" t="s">
        <v>966</v>
      </c>
      <c r="AS2278" s="56" t="s">
        <v>1167</v>
      </c>
      <c r="AW2278" s="262" t="s">
        <v>966</v>
      </c>
      <c r="AX2278" s="485">
        <v>37</v>
      </c>
      <c r="BB2278" s="437" t="e">
        <f t="shared" ca="1" si="68"/>
        <v>#VALUE!</v>
      </c>
      <c r="BF2278" s="460">
        <v>25229</v>
      </c>
      <c r="BG2278" s="452">
        <f t="shared" si="76"/>
        <v>0</v>
      </c>
      <c r="BH2278" s="452">
        <f t="shared" si="70"/>
        <v>0</v>
      </c>
      <c r="BI2278" s="389">
        <f t="shared" si="71"/>
        <v>0</v>
      </c>
      <c r="BJ2278" s="170">
        <f t="shared" si="72"/>
        <v>0</v>
      </c>
      <c r="BK2278" s="453">
        <f t="shared" si="73"/>
        <v>0</v>
      </c>
      <c r="BN2278" s="654">
        <f t="shared" si="74"/>
        <v>613620</v>
      </c>
      <c r="BO2278" s="609"/>
      <c r="BP2278" s="609"/>
      <c r="BQ2278" s="609"/>
    </row>
    <row r="2279" spans="1:69" ht="15.6" hidden="1" x14ac:dyDescent="0.25">
      <c r="A2279" s="454" t="s">
        <v>1305</v>
      </c>
      <c r="B2279" s="455" t="s">
        <v>1306</v>
      </c>
      <c r="C2279" s="464" t="s">
        <v>966</v>
      </c>
      <c r="D2279" s="464" t="s">
        <v>966</v>
      </c>
      <c r="E2279" s="464" t="s">
        <v>966</v>
      </c>
      <c r="G2279" s="457"/>
      <c r="H2279" s="457"/>
      <c r="I2279" s="457"/>
      <c r="J2279" s="457"/>
      <c r="K2279" s="457"/>
      <c r="L2279" s="457"/>
      <c r="M2279" s="457"/>
      <c r="N2279" s="457"/>
      <c r="O2279" s="457"/>
      <c r="P2279" s="457"/>
      <c r="Q2279" s="457"/>
      <c r="R2279" s="457"/>
      <c r="S2279" s="457"/>
      <c r="T2279" s="457"/>
      <c r="U2279" s="457"/>
      <c r="V2279" s="457"/>
      <c r="W2279" s="457"/>
      <c r="X2279" s="457"/>
      <c r="Y2279" s="457"/>
      <c r="Z2279" s="457"/>
      <c r="AA2279" s="448"/>
      <c r="AB2279" s="448" t="s">
        <v>1128</v>
      </c>
      <c r="AC2279" s="262" t="s">
        <v>966</v>
      </c>
      <c r="AD2279" s="262" t="s">
        <v>966</v>
      </c>
      <c r="AE2279" s="262" t="s">
        <v>966</v>
      </c>
      <c r="AF2279" s="262" t="s">
        <v>966</v>
      </c>
      <c r="AG2279" s="262" t="s">
        <v>966</v>
      </c>
      <c r="AH2279" s="262" t="s">
        <v>966</v>
      </c>
      <c r="AI2279" s="262" t="s">
        <v>966</v>
      </c>
      <c r="AJ2279" s="262" t="s">
        <v>966</v>
      </c>
      <c r="AK2279" s="262" t="s">
        <v>966</v>
      </c>
      <c r="AL2279" s="262" t="s">
        <v>966</v>
      </c>
      <c r="AM2279" s="262" t="s">
        <v>966</v>
      </c>
      <c r="AN2279" s="262" t="s">
        <v>966</v>
      </c>
      <c r="AO2279" s="262" t="s">
        <v>966</v>
      </c>
      <c r="AP2279" s="262" t="s">
        <v>966</v>
      </c>
      <c r="AQ2279" s="262" t="s">
        <v>966</v>
      </c>
      <c r="AR2279" s="262" t="s">
        <v>966</v>
      </c>
      <c r="AS2279" s="262" t="s">
        <v>966</v>
      </c>
      <c r="AT2279" s="262" t="s">
        <v>966</v>
      </c>
      <c r="AU2279" s="262" t="s">
        <v>966</v>
      </c>
      <c r="AV2279" s="262" t="s">
        <v>966</v>
      </c>
      <c r="AW2279" s="262" t="s">
        <v>966</v>
      </c>
      <c r="AX2279" s="485">
        <v>38</v>
      </c>
      <c r="BB2279" s="437" t="e">
        <f t="shared" ca="1" si="68"/>
        <v>#VALUE!</v>
      </c>
      <c r="BF2279" s="460">
        <v>27646</v>
      </c>
      <c r="BG2279" s="452">
        <f t="shared" si="76"/>
        <v>0</v>
      </c>
      <c r="BH2279" s="452">
        <f t="shared" si="70"/>
        <v>0</v>
      </c>
      <c r="BI2279" s="389">
        <f t="shared" si="71"/>
        <v>0</v>
      </c>
      <c r="BJ2279" s="170">
        <f t="shared" si="72"/>
        <v>0</v>
      </c>
      <c r="BK2279" s="453">
        <f t="shared" si="73"/>
        <v>0</v>
      </c>
    </row>
    <row r="2280" spans="1:69" ht="15.6" hidden="1" x14ac:dyDescent="0.25">
      <c r="A2280" s="454" t="s">
        <v>1307</v>
      </c>
      <c r="B2280" s="455" t="s">
        <v>1308</v>
      </c>
      <c r="C2280" s="464" t="s">
        <v>966</v>
      </c>
      <c r="D2280" s="464" t="s">
        <v>966</v>
      </c>
      <c r="E2280" s="464" t="s">
        <v>966</v>
      </c>
      <c r="G2280" s="457"/>
      <c r="H2280" s="457"/>
      <c r="I2280" s="457"/>
      <c r="J2280" s="457"/>
      <c r="K2280" s="457"/>
      <c r="L2280" s="457"/>
      <c r="M2280" s="457"/>
      <c r="N2280" s="457"/>
      <c r="O2280" s="457"/>
      <c r="P2280" s="457"/>
      <c r="Q2280" s="457"/>
      <c r="R2280" s="457"/>
      <c r="S2280" s="457"/>
      <c r="T2280" s="457"/>
      <c r="U2280" s="457"/>
      <c r="V2280" s="457"/>
      <c r="W2280" s="457"/>
      <c r="X2280" s="457"/>
      <c r="Y2280" s="457"/>
      <c r="Z2280" s="457"/>
      <c r="AA2280" s="448"/>
      <c r="AB2280" s="448" t="s">
        <v>1128</v>
      </c>
      <c r="AC2280" s="262" t="s">
        <v>966</v>
      </c>
      <c r="AD2280" s="262" t="s">
        <v>966</v>
      </c>
      <c r="AE2280" s="262" t="s">
        <v>966</v>
      </c>
      <c r="AF2280" s="262" t="s">
        <v>966</v>
      </c>
      <c r="AG2280" s="262" t="s">
        <v>966</v>
      </c>
      <c r="AH2280" s="262" t="s">
        <v>966</v>
      </c>
      <c r="AI2280" s="262" t="s">
        <v>966</v>
      </c>
      <c r="AJ2280" s="262" t="s">
        <v>966</v>
      </c>
      <c r="AK2280" s="262" t="s">
        <v>966</v>
      </c>
      <c r="AL2280" s="262" t="s">
        <v>966</v>
      </c>
      <c r="AM2280" s="262" t="s">
        <v>966</v>
      </c>
      <c r="AN2280" s="262" t="s">
        <v>966</v>
      </c>
      <c r="AO2280" s="262" t="s">
        <v>966</v>
      </c>
      <c r="AP2280" s="262" t="s">
        <v>966</v>
      </c>
      <c r="AQ2280" s="262" t="s">
        <v>966</v>
      </c>
      <c r="AR2280" s="262" t="s">
        <v>966</v>
      </c>
      <c r="AS2280" s="262" t="s">
        <v>966</v>
      </c>
      <c r="AT2280" s="262" t="s">
        <v>966</v>
      </c>
      <c r="AU2280" s="262" t="s">
        <v>966</v>
      </c>
      <c r="AV2280" s="262" t="s">
        <v>966</v>
      </c>
      <c r="AW2280" s="262" t="s">
        <v>966</v>
      </c>
      <c r="AX2280" s="485">
        <v>39</v>
      </c>
      <c r="BB2280" s="437" t="e">
        <f t="shared" ca="1" si="68"/>
        <v>#VALUE!</v>
      </c>
      <c r="BF2280" s="460">
        <v>29220</v>
      </c>
      <c r="BG2280" s="452">
        <f t="shared" si="76"/>
        <v>0</v>
      </c>
      <c r="BH2280" s="452">
        <f t="shared" si="70"/>
        <v>0</v>
      </c>
      <c r="BI2280" s="389">
        <f t="shared" si="71"/>
        <v>0</v>
      </c>
      <c r="BJ2280" s="170">
        <f t="shared" si="72"/>
        <v>0</v>
      </c>
      <c r="BK2280" s="453">
        <f t="shared" si="73"/>
        <v>0</v>
      </c>
    </row>
    <row r="2281" spans="1:69" ht="15.6" hidden="1" x14ac:dyDescent="0.25">
      <c r="A2281" s="454" t="s">
        <v>1309</v>
      </c>
      <c r="B2281" s="455" t="s">
        <v>1310</v>
      </c>
      <c r="C2281" s="464" t="s">
        <v>966</v>
      </c>
      <c r="D2281" s="464" t="s">
        <v>966</v>
      </c>
      <c r="E2281" s="464" t="s">
        <v>966</v>
      </c>
      <c r="G2281" s="457"/>
      <c r="H2281" s="457"/>
      <c r="I2281" s="457"/>
      <c r="J2281" s="457"/>
      <c r="K2281" s="457"/>
      <c r="L2281" s="457"/>
      <c r="M2281" s="457"/>
      <c r="N2281" s="457"/>
      <c r="O2281" s="457"/>
      <c r="P2281" s="457"/>
      <c r="Q2281" s="457"/>
      <c r="R2281" s="457"/>
      <c r="S2281" s="457"/>
      <c r="T2281" s="457"/>
      <c r="U2281" s="457"/>
      <c r="V2281" s="457"/>
      <c r="W2281" s="457"/>
      <c r="X2281" s="457"/>
      <c r="Y2281" s="457"/>
      <c r="Z2281" s="457"/>
      <c r="AA2281" s="448"/>
      <c r="AB2281" s="448" t="s">
        <v>1128</v>
      </c>
      <c r="AC2281" s="262" t="s">
        <v>966</v>
      </c>
      <c r="AD2281" s="262" t="s">
        <v>966</v>
      </c>
      <c r="AE2281" s="262" t="s">
        <v>966</v>
      </c>
      <c r="AF2281" s="262" t="s">
        <v>966</v>
      </c>
      <c r="AG2281" s="262" t="s">
        <v>966</v>
      </c>
      <c r="AH2281" s="262" t="s">
        <v>966</v>
      </c>
      <c r="AI2281" s="262" t="s">
        <v>966</v>
      </c>
      <c r="AJ2281" s="262" t="s">
        <v>966</v>
      </c>
      <c r="AK2281" s="262" t="s">
        <v>966</v>
      </c>
      <c r="AL2281" s="262" t="s">
        <v>966</v>
      </c>
      <c r="AM2281" s="262" t="s">
        <v>966</v>
      </c>
      <c r="AN2281" s="262" t="s">
        <v>966</v>
      </c>
      <c r="AO2281" s="262" t="s">
        <v>966</v>
      </c>
      <c r="AP2281" s="262" t="s">
        <v>966</v>
      </c>
      <c r="AQ2281" s="262" t="s">
        <v>966</v>
      </c>
      <c r="AR2281" s="262" t="s">
        <v>966</v>
      </c>
      <c r="AS2281" s="262" t="s">
        <v>966</v>
      </c>
      <c r="AT2281" s="262" t="s">
        <v>966</v>
      </c>
      <c r="AU2281" s="262" t="s">
        <v>966</v>
      </c>
      <c r="AV2281" s="262" t="s">
        <v>966</v>
      </c>
      <c r="AW2281" s="262" t="s">
        <v>966</v>
      </c>
      <c r="AX2281" s="485">
        <v>40</v>
      </c>
      <c r="BB2281" s="437" t="e">
        <f t="shared" ca="1" si="68"/>
        <v>#VALUE!</v>
      </c>
      <c r="BF2281" s="460">
        <v>30830</v>
      </c>
      <c r="BG2281" s="452">
        <f t="shared" si="76"/>
        <v>0</v>
      </c>
      <c r="BH2281" s="452">
        <f t="shared" si="70"/>
        <v>0</v>
      </c>
      <c r="BI2281" s="389">
        <f t="shared" si="71"/>
        <v>0</v>
      </c>
      <c r="BJ2281" s="170">
        <f t="shared" si="72"/>
        <v>0</v>
      </c>
      <c r="BK2281" s="453">
        <f t="shared" si="73"/>
        <v>0</v>
      </c>
    </row>
    <row r="2282" spans="1:69" ht="15.6" hidden="1" x14ac:dyDescent="0.25">
      <c r="A2282" s="454" t="s">
        <v>1311</v>
      </c>
      <c r="B2282" s="455" t="s">
        <v>1312</v>
      </c>
      <c r="C2282" s="464" t="s">
        <v>966</v>
      </c>
      <c r="D2282" s="464" t="s">
        <v>966</v>
      </c>
      <c r="E2282" s="464" t="s">
        <v>966</v>
      </c>
      <c r="G2282" s="457"/>
      <c r="H2282" s="457"/>
      <c r="I2282" s="457"/>
      <c r="J2282" s="457"/>
      <c r="K2282" s="457"/>
      <c r="L2282" s="457"/>
      <c r="M2282" s="457"/>
      <c r="N2282" s="457"/>
      <c r="O2282" s="457"/>
      <c r="P2282" s="457"/>
      <c r="Q2282" s="457"/>
      <c r="R2282" s="457"/>
      <c r="S2282" s="457"/>
      <c r="T2282" s="457"/>
      <c r="U2282" s="457"/>
      <c r="V2282" s="457"/>
      <c r="W2282" s="457"/>
      <c r="X2282" s="457"/>
      <c r="Y2282" s="457"/>
      <c r="Z2282" s="457"/>
      <c r="AA2282" s="448"/>
      <c r="AB2282" s="448" t="s">
        <v>1128</v>
      </c>
      <c r="AC2282" s="262" t="s">
        <v>966</v>
      </c>
      <c r="AD2282" s="262" t="s">
        <v>966</v>
      </c>
      <c r="AE2282" s="262" t="s">
        <v>966</v>
      </c>
      <c r="AF2282" s="262" t="s">
        <v>966</v>
      </c>
      <c r="AG2282" s="262" t="s">
        <v>966</v>
      </c>
      <c r="AH2282" s="262" t="s">
        <v>966</v>
      </c>
      <c r="AI2282" s="262" t="s">
        <v>966</v>
      </c>
      <c r="AJ2282" s="262" t="s">
        <v>966</v>
      </c>
      <c r="AK2282" s="262" t="s">
        <v>966</v>
      </c>
      <c r="AL2282" s="262" t="s">
        <v>966</v>
      </c>
      <c r="AM2282" s="262" t="s">
        <v>966</v>
      </c>
      <c r="AN2282" s="262" t="s">
        <v>966</v>
      </c>
      <c r="AO2282" s="262" t="s">
        <v>966</v>
      </c>
      <c r="AP2282" s="262" t="s">
        <v>966</v>
      </c>
      <c r="AQ2282" s="262" t="s">
        <v>966</v>
      </c>
      <c r="AR2282" s="262" t="s">
        <v>966</v>
      </c>
      <c r="AS2282" s="262" t="s">
        <v>966</v>
      </c>
      <c r="AT2282" s="262" t="s">
        <v>966</v>
      </c>
      <c r="AU2282" s="262" t="s">
        <v>966</v>
      </c>
      <c r="AV2282" s="262" t="s">
        <v>966</v>
      </c>
      <c r="AW2282" s="262" t="s">
        <v>966</v>
      </c>
      <c r="AX2282" s="485">
        <v>41</v>
      </c>
      <c r="BB2282" s="437" t="e">
        <f t="shared" ca="1" si="68"/>
        <v>#VALUE!</v>
      </c>
      <c r="BF2282" s="460">
        <v>24596</v>
      </c>
      <c r="BG2282" s="452">
        <f t="shared" si="76"/>
        <v>0</v>
      </c>
      <c r="BH2282" s="452">
        <f t="shared" si="70"/>
        <v>0</v>
      </c>
      <c r="BI2282" s="389">
        <f t="shared" si="71"/>
        <v>0</v>
      </c>
      <c r="BJ2282" s="170">
        <f t="shared" si="72"/>
        <v>0</v>
      </c>
      <c r="BK2282" s="453">
        <f t="shared" si="73"/>
        <v>0</v>
      </c>
    </row>
    <row r="2283" spans="1:69" ht="15.6" hidden="1" x14ac:dyDescent="0.25">
      <c r="A2283" s="454" t="s">
        <v>1313</v>
      </c>
      <c r="B2283" s="455" t="s">
        <v>1314</v>
      </c>
      <c r="C2283" s="464" t="s">
        <v>966</v>
      </c>
      <c r="D2283" s="464" t="s">
        <v>966</v>
      </c>
      <c r="E2283" s="464" t="s">
        <v>966</v>
      </c>
      <c r="G2283" s="457"/>
      <c r="H2283" s="457"/>
      <c r="I2283" s="457"/>
      <c r="J2283" s="457"/>
      <c r="K2283" s="457"/>
      <c r="L2283" s="457"/>
      <c r="M2283" s="457"/>
      <c r="N2283" s="457"/>
      <c r="O2283" s="457"/>
      <c r="P2283" s="457"/>
      <c r="Q2283" s="457"/>
      <c r="R2283" s="457"/>
      <c r="S2283" s="457"/>
      <c r="T2283" s="457"/>
      <c r="U2283" s="457"/>
      <c r="V2283" s="457"/>
      <c r="W2283" s="457"/>
      <c r="X2283" s="457"/>
      <c r="Y2283" s="457"/>
      <c r="Z2283" s="457"/>
      <c r="AA2283" s="448"/>
      <c r="AB2283" s="448" t="s">
        <v>1128</v>
      </c>
      <c r="AC2283" s="262" t="s">
        <v>966</v>
      </c>
      <c r="AD2283" s="262" t="s">
        <v>966</v>
      </c>
      <c r="AE2283" s="262" t="s">
        <v>966</v>
      </c>
      <c r="AF2283" s="262" t="s">
        <v>966</v>
      </c>
      <c r="AG2283" s="262" t="s">
        <v>966</v>
      </c>
      <c r="AH2283" s="262" t="s">
        <v>966</v>
      </c>
      <c r="AI2283" s="262" t="s">
        <v>966</v>
      </c>
      <c r="AJ2283" s="262" t="s">
        <v>966</v>
      </c>
      <c r="AK2283" s="262" t="s">
        <v>966</v>
      </c>
      <c r="AL2283" s="262" t="s">
        <v>966</v>
      </c>
      <c r="AM2283" s="262" t="s">
        <v>966</v>
      </c>
      <c r="AN2283" s="262" t="s">
        <v>966</v>
      </c>
      <c r="AO2283" s="262" t="s">
        <v>966</v>
      </c>
      <c r="AP2283" s="262" t="s">
        <v>966</v>
      </c>
      <c r="AQ2283" s="262" t="s">
        <v>966</v>
      </c>
      <c r="AR2283" s="262" t="s">
        <v>966</v>
      </c>
      <c r="AS2283" s="262" t="s">
        <v>966</v>
      </c>
      <c r="AT2283" s="262" t="s">
        <v>966</v>
      </c>
      <c r="AU2283" s="262" t="s">
        <v>966</v>
      </c>
      <c r="AV2283" s="262" t="s">
        <v>966</v>
      </c>
      <c r="AW2283" s="262" t="s">
        <v>966</v>
      </c>
      <c r="AX2283" s="485">
        <v>42</v>
      </c>
      <c r="BB2283" s="437" t="e">
        <f t="shared" ca="1" si="68"/>
        <v>#VALUE!</v>
      </c>
      <c r="BF2283" s="460">
        <v>26959</v>
      </c>
      <c r="BG2283" s="452">
        <f t="shared" si="76"/>
        <v>0</v>
      </c>
      <c r="BH2283" s="452">
        <f t="shared" si="70"/>
        <v>0</v>
      </c>
      <c r="BI2283" s="389">
        <f t="shared" si="71"/>
        <v>0</v>
      </c>
      <c r="BJ2283" s="170">
        <f t="shared" si="72"/>
        <v>0</v>
      </c>
      <c r="BK2283" s="453">
        <f t="shared" si="73"/>
        <v>0</v>
      </c>
    </row>
    <row r="2284" spans="1:69" ht="15.6" hidden="1" x14ac:dyDescent="0.3">
      <c r="A2284" s="454" t="s">
        <v>1315</v>
      </c>
      <c r="B2284" s="455" t="s">
        <v>1316</v>
      </c>
      <c r="D2284" s="456">
        <v>1000000</v>
      </c>
      <c r="G2284" s="457"/>
      <c r="H2284" s="457"/>
      <c r="I2284" s="457"/>
      <c r="J2284" s="457"/>
      <c r="K2284" s="457"/>
      <c r="L2284" s="457"/>
      <c r="M2284" s="457"/>
      <c r="N2284" s="457"/>
      <c r="O2284" s="457"/>
      <c r="P2284" s="457"/>
      <c r="Q2284" s="457"/>
      <c r="R2284" s="457"/>
      <c r="S2284" s="457"/>
      <c r="T2284" s="457"/>
      <c r="U2284" s="457"/>
      <c r="V2284" s="457"/>
      <c r="W2284" s="457"/>
      <c r="X2284" s="457"/>
      <c r="Y2284" s="457"/>
      <c r="Z2284" s="457"/>
      <c r="AB2284" s="56" t="s">
        <v>1317</v>
      </c>
      <c r="AC2284" s="262" t="s">
        <v>966</v>
      </c>
      <c r="AD2284" s="56" t="s">
        <v>1275</v>
      </c>
      <c r="AF2284" s="458">
        <v>1</v>
      </c>
      <c r="AG2284" s="56">
        <v>1</v>
      </c>
      <c r="AH2284" s="56" t="s">
        <v>1318</v>
      </c>
      <c r="AI2284" s="56" t="str">
        <f>CONCATENATE(AG2284,AH2284)</f>
        <v>1 year</v>
      </c>
      <c r="AK2284" s="56" t="s">
        <v>1148</v>
      </c>
      <c r="AO2284" s="56" t="s">
        <v>1319</v>
      </c>
      <c r="AR2284" s="262" t="s">
        <v>966</v>
      </c>
      <c r="AS2284" s="56" t="s">
        <v>1150</v>
      </c>
      <c r="AW2284" s="262" t="s">
        <v>966</v>
      </c>
      <c r="AX2284" s="485">
        <v>43</v>
      </c>
      <c r="BB2284" s="437" t="e">
        <f ca="1">MIN(((C2290*$AE$264)+($AE$271*G2284)),D2284)</f>
        <v>#VALUE!</v>
      </c>
      <c r="BF2284" s="460">
        <v>24922</v>
      </c>
      <c r="BG2284" s="452">
        <f t="shared" si="76"/>
        <v>0</v>
      </c>
      <c r="BH2284" s="452">
        <f t="shared" si="70"/>
        <v>0</v>
      </c>
      <c r="BI2284" s="389">
        <f t="shared" si="71"/>
        <v>0</v>
      </c>
      <c r="BJ2284" s="170">
        <f t="shared" si="72"/>
        <v>0</v>
      </c>
      <c r="BK2284" s="453">
        <f t="shared" si="73"/>
        <v>0</v>
      </c>
      <c r="BN2284" s="654">
        <f t="shared" ref="BN2284:BN2291" si="77">IF(OR($AC$1063=0,$C$1089=""),0,$C$1089*$C$1065)</f>
        <v>613620</v>
      </c>
      <c r="BO2284" s="609"/>
      <c r="BP2284" s="609"/>
      <c r="BQ2284" s="609"/>
    </row>
    <row r="2285" spans="1:69" ht="15.6" hidden="1" x14ac:dyDescent="0.3">
      <c r="A2285" s="454" t="s">
        <v>1320</v>
      </c>
      <c r="B2285" s="455" t="s">
        <v>1321</v>
      </c>
      <c r="C2285" s="456">
        <v>80000</v>
      </c>
      <c r="D2285" s="464" t="s">
        <v>966</v>
      </c>
      <c r="G2285" s="457"/>
      <c r="H2285" s="457"/>
      <c r="I2285" s="457"/>
      <c r="J2285" s="457"/>
      <c r="K2285" s="457"/>
      <c r="L2285" s="457"/>
      <c r="M2285" s="457"/>
      <c r="N2285" s="457"/>
      <c r="O2285" s="457"/>
      <c r="P2285" s="457"/>
      <c r="Q2285" s="457"/>
      <c r="R2285" s="457"/>
      <c r="S2285" s="457"/>
      <c r="T2285" s="457"/>
      <c r="U2285" s="457"/>
      <c r="V2285" s="457"/>
      <c r="W2285" s="457"/>
      <c r="X2285" s="457"/>
      <c r="Y2285" s="457"/>
      <c r="Z2285" s="457"/>
      <c r="AB2285" s="56" t="s">
        <v>1322</v>
      </c>
      <c r="AC2285" s="262" t="s">
        <v>966</v>
      </c>
      <c r="AD2285" s="56" t="s">
        <v>1323</v>
      </c>
      <c r="AF2285" s="458"/>
      <c r="AG2285" s="56">
        <v>3</v>
      </c>
      <c r="AH2285" s="56" t="s">
        <v>1147</v>
      </c>
      <c r="AI2285" s="56" t="str">
        <f>CONCATENATE(AG2285,AH2285)</f>
        <v>3 years</v>
      </c>
      <c r="AK2285" s="56" t="s">
        <v>1213</v>
      </c>
      <c r="AO2285" s="56" t="s">
        <v>1324</v>
      </c>
      <c r="AR2285" s="262" t="s">
        <v>966</v>
      </c>
      <c r="AS2285" s="56" t="s">
        <v>1325</v>
      </c>
      <c r="AW2285" s="262" t="s">
        <v>966</v>
      </c>
      <c r="AX2285" s="485">
        <v>44</v>
      </c>
      <c r="BB2285" s="437" t="e">
        <f t="shared" ca="1" si="68"/>
        <v>#VALUE!</v>
      </c>
      <c r="BF2285" s="460">
        <v>27125</v>
      </c>
      <c r="BG2285" s="452">
        <f t="shared" si="76"/>
        <v>0</v>
      </c>
      <c r="BH2285" s="452">
        <f t="shared" si="70"/>
        <v>0</v>
      </c>
      <c r="BI2285" s="389">
        <f t="shared" si="71"/>
        <v>0</v>
      </c>
      <c r="BJ2285" s="170">
        <f t="shared" si="72"/>
        <v>0</v>
      </c>
      <c r="BK2285" s="453">
        <f t="shared" si="73"/>
        <v>0</v>
      </c>
      <c r="BN2285" s="654">
        <f t="shared" si="77"/>
        <v>613620</v>
      </c>
      <c r="BO2285" s="609"/>
      <c r="BP2285" s="609"/>
      <c r="BQ2285" s="609"/>
    </row>
    <row r="2286" spans="1:69" ht="15.6" hidden="1" x14ac:dyDescent="0.3">
      <c r="A2286" s="454" t="s">
        <v>1326</v>
      </c>
      <c r="B2286" s="455" t="s">
        <v>1327</v>
      </c>
      <c r="C2286" s="493" t="s">
        <v>966</v>
      </c>
      <c r="D2286" s="470">
        <f>65977*15</f>
        <v>989655</v>
      </c>
      <c r="G2286" s="457"/>
      <c r="H2286" s="457"/>
      <c r="I2286" s="457"/>
      <c r="J2286" s="457"/>
      <c r="K2286" s="457"/>
      <c r="L2286" s="457"/>
      <c r="M2286" s="457"/>
      <c r="N2286" s="457"/>
      <c r="O2286" s="457"/>
      <c r="P2286" s="457"/>
      <c r="Q2286" s="457"/>
      <c r="R2286" s="457"/>
      <c r="S2286" s="457"/>
      <c r="T2286" s="457"/>
      <c r="U2286" s="457"/>
      <c r="V2286" s="457"/>
      <c r="W2286" s="457"/>
      <c r="X2286" s="457"/>
      <c r="Y2286" s="457"/>
      <c r="Z2286" s="457"/>
      <c r="AB2286" s="56" t="s">
        <v>1328</v>
      </c>
      <c r="AC2286" s="262" t="s">
        <v>966</v>
      </c>
      <c r="AD2286" s="56" t="s">
        <v>1329</v>
      </c>
      <c r="AF2286" s="458">
        <v>1</v>
      </c>
      <c r="AI2286" s="56" t="str">
        <f>AI2267</f>
        <v>2 years</v>
      </c>
      <c r="AK2286" s="56" t="s">
        <v>1213</v>
      </c>
      <c r="AO2286" s="56" t="s">
        <v>1330</v>
      </c>
      <c r="AR2286" s="262" t="s">
        <v>966</v>
      </c>
      <c r="AS2286" s="56" t="s">
        <v>1265</v>
      </c>
      <c r="AW2286" s="262" t="s">
        <v>966</v>
      </c>
      <c r="AX2286" s="485">
        <v>45</v>
      </c>
      <c r="BB2286" s="437" t="e">
        <f t="shared" ca="1" si="68"/>
        <v>#VALUE!</v>
      </c>
      <c r="BF2286" s="460">
        <v>24877</v>
      </c>
      <c r="BG2286" s="452">
        <f t="shared" si="76"/>
        <v>0</v>
      </c>
      <c r="BH2286" s="452">
        <f t="shared" si="70"/>
        <v>0</v>
      </c>
      <c r="BI2286" s="389">
        <f t="shared" si="71"/>
        <v>0</v>
      </c>
      <c r="BJ2286" s="170">
        <f t="shared" si="72"/>
        <v>0</v>
      </c>
      <c r="BK2286" s="453">
        <f t="shared" si="73"/>
        <v>0</v>
      </c>
      <c r="BN2286" s="654">
        <f t="shared" si="77"/>
        <v>613620</v>
      </c>
      <c r="BO2286" s="609"/>
      <c r="BP2286" s="609"/>
      <c r="BQ2286" s="609"/>
    </row>
    <row r="2287" spans="1:69" ht="15.6" hidden="1" x14ac:dyDescent="0.3">
      <c r="A2287" s="454" t="s">
        <v>1331</v>
      </c>
      <c r="B2287" s="455" t="s">
        <v>1332</v>
      </c>
      <c r="C2287" s="456">
        <v>60000</v>
      </c>
      <c r="D2287" s="464" t="s">
        <v>966</v>
      </c>
      <c r="G2287" s="457"/>
      <c r="H2287" s="457"/>
      <c r="I2287" s="457"/>
      <c r="J2287" s="457"/>
      <c r="K2287" s="457"/>
      <c r="L2287" s="457"/>
      <c r="M2287" s="457"/>
      <c r="N2287" s="457"/>
      <c r="O2287" s="457"/>
      <c r="P2287" s="457"/>
      <c r="Q2287" s="457"/>
      <c r="R2287" s="457"/>
      <c r="S2287" s="457"/>
      <c r="T2287" s="457"/>
      <c r="U2287" s="457"/>
      <c r="V2287" s="457"/>
      <c r="W2287" s="457"/>
      <c r="X2287" s="457"/>
      <c r="Y2287" s="457"/>
      <c r="Z2287" s="457"/>
      <c r="AB2287" s="56" t="s">
        <v>1333</v>
      </c>
      <c r="AC2287" s="262" t="s">
        <v>966</v>
      </c>
      <c r="AD2287" s="56" t="s">
        <v>1334</v>
      </c>
      <c r="AF2287" s="458">
        <v>3</v>
      </c>
      <c r="AG2287" s="56">
        <v>3</v>
      </c>
      <c r="AH2287" s="56" t="s">
        <v>1147</v>
      </c>
      <c r="AI2287" s="56" t="str">
        <f>CONCATENATE(AG2287,AH2287)</f>
        <v>3 years</v>
      </c>
      <c r="AK2287" s="56" t="s">
        <v>1188</v>
      </c>
      <c r="AO2287" s="56" t="s">
        <v>1335</v>
      </c>
      <c r="AR2287" s="262" t="s">
        <v>966</v>
      </c>
      <c r="AS2287" s="56" t="s">
        <v>1336</v>
      </c>
      <c r="AW2287" s="262" t="s">
        <v>966</v>
      </c>
      <c r="AX2287" s="485">
        <v>46</v>
      </c>
      <c r="BB2287" s="437" t="e">
        <f t="shared" ca="1" si="68"/>
        <v>#VALUE!</v>
      </c>
      <c r="BF2287" s="460">
        <v>29178</v>
      </c>
      <c r="BG2287" s="452">
        <f t="shared" si="76"/>
        <v>0</v>
      </c>
      <c r="BH2287" s="452">
        <f t="shared" si="70"/>
        <v>0</v>
      </c>
      <c r="BI2287" s="389">
        <f t="shared" si="71"/>
        <v>0</v>
      </c>
      <c r="BJ2287" s="170">
        <f t="shared" si="72"/>
        <v>0</v>
      </c>
      <c r="BK2287" s="453">
        <f t="shared" si="73"/>
        <v>0</v>
      </c>
      <c r="BN2287" s="654">
        <f t="shared" si="77"/>
        <v>613620</v>
      </c>
      <c r="BO2287" s="609"/>
      <c r="BP2287" s="609"/>
      <c r="BQ2287" s="609"/>
    </row>
    <row r="2288" spans="1:69" ht="15.6" hidden="1" x14ac:dyDescent="0.3">
      <c r="A2288" s="454" t="s">
        <v>1337</v>
      </c>
      <c r="B2288" s="455" t="s">
        <v>1338</v>
      </c>
      <c r="C2288" s="470">
        <f>23975*0.9</f>
        <v>21577.5</v>
      </c>
      <c r="D2288" s="464" t="s">
        <v>966</v>
      </c>
      <c r="G2288" s="457"/>
      <c r="H2288" s="457"/>
      <c r="I2288" s="457"/>
      <c r="J2288" s="457"/>
      <c r="K2288" s="457"/>
      <c r="L2288" s="457"/>
      <c r="M2288" s="457"/>
      <c r="N2288" s="457"/>
      <c r="O2288" s="457"/>
      <c r="P2288" s="457"/>
      <c r="Q2288" s="457"/>
      <c r="R2288" s="457"/>
      <c r="S2288" s="457"/>
      <c r="T2288" s="457"/>
      <c r="U2288" s="457"/>
      <c r="V2288" s="457"/>
      <c r="W2288" s="457"/>
      <c r="X2288" s="457"/>
      <c r="Y2288" s="457"/>
      <c r="Z2288" s="457"/>
      <c r="AB2288" s="56" t="s">
        <v>1339</v>
      </c>
      <c r="AC2288" s="262" t="s">
        <v>966</v>
      </c>
      <c r="AD2288" s="56" t="s">
        <v>1340</v>
      </c>
      <c r="AF2288" s="458"/>
      <c r="AI2288" s="56" t="str">
        <f>AI2286</f>
        <v>2 years</v>
      </c>
      <c r="AK2288" s="56" t="s">
        <v>1213</v>
      </c>
      <c r="AO2288" s="56" t="s">
        <v>1341</v>
      </c>
      <c r="AR2288" s="262" t="s">
        <v>966</v>
      </c>
      <c r="AS2288" s="56" t="s">
        <v>1150</v>
      </c>
      <c r="AW2288" s="262" t="s">
        <v>966</v>
      </c>
      <c r="AX2288" s="485">
        <v>47</v>
      </c>
      <c r="BB2288" s="437" t="e">
        <f t="shared" ca="1" si="68"/>
        <v>#VALUE!</v>
      </c>
      <c r="BF2288" s="460">
        <v>34052</v>
      </c>
      <c r="BG2288" s="452">
        <f t="shared" si="76"/>
        <v>0</v>
      </c>
      <c r="BH2288" s="452">
        <f t="shared" si="70"/>
        <v>0</v>
      </c>
      <c r="BI2288" s="389">
        <f t="shared" si="71"/>
        <v>0</v>
      </c>
      <c r="BJ2288" s="170">
        <f t="shared" si="72"/>
        <v>0</v>
      </c>
      <c r="BK2288" s="453">
        <f t="shared" si="73"/>
        <v>0</v>
      </c>
      <c r="BN2288" s="654">
        <f t="shared" si="77"/>
        <v>613620</v>
      </c>
      <c r="BO2288" s="609"/>
      <c r="BP2288" s="609"/>
      <c r="BQ2288" s="609"/>
    </row>
    <row r="2289" spans="1:69" ht="15.6" hidden="1" x14ac:dyDescent="0.3">
      <c r="A2289" s="454" t="s">
        <v>1342</v>
      </c>
      <c r="B2289" s="455" t="s">
        <v>1343</v>
      </c>
      <c r="C2289" s="456">
        <v>50000</v>
      </c>
      <c r="D2289" s="456">
        <v>25000</v>
      </c>
      <c r="G2289" s="457"/>
      <c r="H2289" s="457"/>
      <c r="I2289" s="457"/>
      <c r="J2289" s="457"/>
      <c r="K2289" s="457"/>
      <c r="L2289" s="457"/>
      <c r="M2289" s="457"/>
      <c r="N2289" s="457"/>
      <c r="O2289" s="457"/>
      <c r="P2289" s="457"/>
      <c r="Q2289" s="457"/>
      <c r="R2289" s="457"/>
      <c r="S2289" s="457"/>
      <c r="T2289" s="457"/>
      <c r="U2289" s="457"/>
      <c r="V2289" s="457"/>
      <c r="W2289" s="457"/>
      <c r="X2289" s="457"/>
      <c r="Y2289" s="457"/>
      <c r="Z2289" s="457"/>
      <c r="AB2289" s="56" t="s">
        <v>1344</v>
      </c>
      <c r="AC2289" s="262" t="s">
        <v>966</v>
      </c>
      <c r="AD2289" s="56" t="s">
        <v>1281</v>
      </c>
      <c r="AF2289" s="458">
        <v>3</v>
      </c>
      <c r="AG2289" s="56">
        <v>3</v>
      </c>
      <c r="AH2289" s="56" t="s">
        <v>1147</v>
      </c>
      <c r="AI2289" s="56" t="str">
        <f>CONCATENATE(AG2289,AH2289)</f>
        <v>3 years</v>
      </c>
      <c r="AK2289" s="56" t="s">
        <v>1213</v>
      </c>
      <c r="AO2289" s="56" t="s">
        <v>1346</v>
      </c>
      <c r="AR2289" s="262" t="s">
        <v>966</v>
      </c>
      <c r="AS2289" s="56" t="s">
        <v>1336</v>
      </c>
      <c r="AW2289" s="262" t="s">
        <v>966</v>
      </c>
      <c r="AX2289" s="485">
        <v>48</v>
      </c>
      <c r="BB2289" s="437" t="e">
        <f t="shared" ca="1" si="68"/>
        <v>#VALUE!</v>
      </c>
      <c r="BF2289" s="460">
        <v>31841</v>
      </c>
      <c r="BG2289" s="452">
        <f t="shared" si="76"/>
        <v>0</v>
      </c>
      <c r="BH2289" s="452">
        <f t="shared" si="70"/>
        <v>0</v>
      </c>
      <c r="BI2289" s="389">
        <f t="shared" si="71"/>
        <v>0</v>
      </c>
      <c r="BJ2289" s="170">
        <f t="shared" si="72"/>
        <v>0</v>
      </c>
      <c r="BK2289" s="453">
        <f t="shared" si="73"/>
        <v>0</v>
      </c>
      <c r="BN2289" s="654">
        <f t="shared" si="77"/>
        <v>613620</v>
      </c>
      <c r="BO2289" s="609"/>
      <c r="BP2289" s="609"/>
      <c r="BQ2289" s="609"/>
    </row>
    <row r="2290" spans="1:69" ht="15.6" hidden="1" x14ac:dyDescent="0.3">
      <c r="A2290" s="454" t="s">
        <v>1347</v>
      </c>
      <c r="B2290" s="455" t="s">
        <v>1348</v>
      </c>
      <c r="C2290" s="464" t="s">
        <v>966</v>
      </c>
      <c r="D2290" s="465" t="str">
        <f>D2274</f>
        <v>no limit</v>
      </c>
      <c r="G2290" s="457"/>
      <c r="H2290" s="457"/>
      <c r="I2290" s="457"/>
      <c r="J2290" s="457"/>
      <c r="K2290" s="457"/>
      <c r="L2290" s="457"/>
      <c r="M2290" s="457"/>
      <c r="N2290" s="457"/>
      <c r="O2290" s="457"/>
      <c r="P2290" s="457"/>
      <c r="Q2290" s="457"/>
      <c r="R2290" s="457"/>
      <c r="S2290" s="457"/>
      <c r="T2290" s="457"/>
      <c r="U2290" s="457"/>
      <c r="V2290" s="457"/>
      <c r="W2290" s="457"/>
      <c r="X2290" s="457"/>
      <c r="Y2290" s="457"/>
      <c r="Z2290" s="457"/>
      <c r="AB2290" s="56" t="s">
        <v>1349</v>
      </c>
      <c r="AC2290" s="262" t="s">
        <v>966</v>
      </c>
      <c r="AD2290" s="56" t="s">
        <v>1203</v>
      </c>
      <c r="AF2290" s="458"/>
      <c r="AG2290" s="56">
        <v>2</v>
      </c>
      <c r="AH2290" s="56" t="s">
        <v>1147</v>
      </c>
      <c r="AI2290" s="56" t="str">
        <f>CONCATENATE(AG2290,AH2290)</f>
        <v>2 years</v>
      </c>
      <c r="AK2290" s="262" t="s">
        <v>966</v>
      </c>
      <c r="AO2290" s="56" t="s">
        <v>1350</v>
      </c>
      <c r="AR2290" s="262" t="s">
        <v>966</v>
      </c>
      <c r="AS2290" s="56" t="s">
        <v>1336</v>
      </c>
      <c r="AW2290" s="262" t="s">
        <v>966</v>
      </c>
      <c r="AX2290" s="485">
        <v>49</v>
      </c>
      <c r="BB2290" s="437" t="e">
        <f ca="1">MIN(((#REF!*$AE$264)+($AE$271*G2290)),D2290)</f>
        <v>#REF!</v>
      </c>
      <c r="BF2290" s="460">
        <v>22714</v>
      </c>
      <c r="BG2290" s="452">
        <f t="shared" si="76"/>
        <v>0</v>
      </c>
      <c r="BH2290" s="452">
        <f t="shared" si="70"/>
        <v>0</v>
      </c>
      <c r="BI2290" s="389">
        <f t="shared" si="71"/>
        <v>0</v>
      </c>
      <c r="BJ2290" s="170">
        <f t="shared" si="72"/>
        <v>0</v>
      </c>
      <c r="BK2290" s="453">
        <f t="shared" si="73"/>
        <v>0</v>
      </c>
      <c r="BN2290" s="654">
        <f t="shared" si="77"/>
        <v>613620</v>
      </c>
      <c r="BO2290" s="609"/>
      <c r="BP2290" s="609"/>
      <c r="BQ2290" s="609"/>
    </row>
    <row r="2291" spans="1:69" ht="15.6" hidden="1" x14ac:dyDescent="0.3">
      <c r="A2291" s="454" t="s">
        <v>1351</v>
      </c>
      <c r="B2291" s="455" t="s">
        <v>1352</v>
      </c>
      <c r="C2291" s="456">
        <v>25000</v>
      </c>
      <c r="D2291" s="464" t="s">
        <v>966</v>
      </c>
      <c r="G2291" s="457"/>
      <c r="H2291" s="457"/>
      <c r="I2291" s="457"/>
      <c r="J2291" s="457"/>
      <c r="K2291" s="457"/>
      <c r="L2291" s="457"/>
      <c r="M2291" s="457"/>
      <c r="N2291" s="457"/>
      <c r="O2291" s="457"/>
      <c r="P2291" s="457"/>
      <c r="Q2291" s="457"/>
      <c r="R2291" s="457"/>
      <c r="S2291" s="457"/>
      <c r="T2291" s="457"/>
      <c r="U2291" s="457"/>
      <c r="V2291" s="457"/>
      <c r="W2291" s="457"/>
      <c r="X2291" s="457"/>
      <c r="Y2291" s="457"/>
      <c r="Z2291" s="457"/>
      <c r="AB2291" s="56" t="s">
        <v>1353</v>
      </c>
      <c r="AC2291" s="262" t="s">
        <v>966</v>
      </c>
      <c r="AD2291" s="56" t="s">
        <v>1354</v>
      </c>
      <c r="AF2291" s="458"/>
      <c r="AI2291" s="56" t="str">
        <f>AI2288</f>
        <v>2 years</v>
      </c>
      <c r="AK2291" s="56" t="s">
        <v>1148</v>
      </c>
      <c r="AO2291" s="56" t="s">
        <v>1355</v>
      </c>
      <c r="AR2291" s="262" t="s">
        <v>966</v>
      </c>
      <c r="AS2291" s="56" t="s">
        <v>1336</v>
      </c>
      <c r="AW2291" s="262" t="s">
        <v>966</v>
      </c>
      <c r="AX2291" s="485">
        <v>50</v>
      </c>
      <c r="BB2291" s="437" t="e">
        <f t="shared" ca="1" si="68"/>
        <v>#VALUE!</v>
      </c>
      <c r="BF2291" s="460">
        <v>28213</v>
      </c>
      <c r="BG2291" s="452">
        <f t="shared" si="76"/>
        <v>0</v>
      </c>
      <c r="BH2291" s="452">
        <f t="shared" si="70"/>
        <v>0</v>
      </c>
      <c r="BI2291" s="389">
        <f t="shared" si="71"/>
        <v>0</v>
      </c>
      <c r="BJ2291" s="170">
        <f t="shared" si="72"/>
        <v>0</v>
      </c>
      <c r="BK2291" s="453">
        <f t="shared" si="73"/>
        <v>0</v>
      </c>
      <c r="BN2291" s="654">
        <f t="shared" si="77"/>
        <v>613620</v>
      </c>
      <c r="BO2291" s="609"/>
      <c r="BP2291" s="609"/>
      <c r="BQ2291" s="609"/>
    </row>
    <row r="2292" spans="1:69" ht="15.6" hidden="1" x14ac:dyDescent="0.25">
      <c r="A2292" s="454" t="s">
        <v>1356</v>
      </c>
      <c r="B2292" s="455" t="s">
        <v>1357</v>
      </c>
      <c r="C2292" s="464" t="s">
        <v>966</v>
      </c>
      <c r="D2292" s="464" t="s">
        <v>966</v>
      </c>
      <c r="E2292" s="464" t="s">
        <v>966</v>
      </c>
      <c r="G2292" s="457"/>
      <c r="H2292" s="457"/>
      <c r="I2292" s="457"/>
      <c r="J2292" s="457"/>
      <c r="K2292" s="457"/>
      <c r="L2292" s="457"/>
      <c r="M2292" s="457"/>
      <c r="N2292" s="457"/>
      <c r="O2292" s="457"/>
      <c r="P2292" s="457"/>
      <c r="Q2292" s="457"/>
      <c r="R2292" s="457"/>
      <c r="S2292" s="457"/>
      <c r="T2292" s="457"/>
      <c r="U2292" s="457"/>
      <c r="V2292" s="457"/>
      <c r="W2292" s="457"/>
      <c r="X2292" s="457"/>
      <c r="Y2292" s="457"/>
      <c r="Z2292" s="457"/>
      <c r="AA2292" s="448"/>
      <c r="AB2292" s="448" t="s">
        <v>1128</v>
      </c>
      <c r="AC2292" s="262" t="s">
        <v>966</v>
      </c>
      <c r="AD2292" s="262" t="s">
        <v>966</v>
      </c>
      <c r="AE2292" s="262" t="s">
        <v>966</v>
      </c>
      <c r="AF2292" s="262" t="s">
        <v>966</v>
      </c>
      <c r="AG2292" s="262" t="s">
        <v>966</v>
      </c>
      <c r="AH2292" s="262" t="s">
        <v>966</v>
      </c>
      <c r="AI2292" s="262" t="s">
        <v>966</v>
      </c>
      <c r="AJ2292" s="262" t="s">
        <v>966</v>
      </c>
      <c r="AK2292" s="262" t="s">
        <v>966</v>
      </c>
      <c r="AO2292" s="262" t="s">
        <v>966</v>
      </c>
      <c r="AP2292" s="262" t="s">
        <v>966</v>
      </c>
      <c r="AQ2292" s="262" t="s">
        <v>966</v>
      </c>
      <c r="AR2292" s="262" t="s">
        <v>966</v>
      </c>
      <c r="AS2292" s="262" t="s">
        <v>966</v>
      </c>
      <c r="AT2292" s="262" t="s">
        <v>966</v>
      </c>
      <c r="AU2292" s="262" t="s">
        <v>966</v>
      </c>
      <c r="AV2292" s="262" t="s">
        <v>966</v>
      </c>
      <c r="AW2292" s="262" t="s">
        <v>966</v>
      </c>
      <c r="AX2292" s="485">
        <v>51</v>
      </c>
      <c r="BB2292" s="437" t="e">
        <f t="shared" ca="1" si="68"/>
        <v>#VALUE!</v>
      </c>
      <c r="BF2292" s="460">
        <v>29698</v>
      </c>
      <c r="BG2292" s="452">
        <f t="shared" si="76"/>
        <v>0</v>
      </c>
      <c r="BH2292" s="452">
        <f t="shared" si="70"/>
        <v>0</v>
      </c>
      <c r="BI2292" s="389">
        <f t="shared" si="71"/>
        <v>0</v>
      </c>
      <c r="BJ2292" s="170">
        <f t="shared" si="72"/>
        <v>0</v>
      </c>
      <c r="BK2292" s="453">
        <f t="shared" si="73"/>
        <v>0</v>
      </c>
    </row>
    <row r="2293" spans="1:69" ht="15.6" hidden="1" x14ac:dyDescent="0.25">
      <c r="A2293" s="454" t="s">
        <v>1358</v>
      </c>
      <c r="B2293" s="455" t="s">
        <v>1359</v>
      </c>
      <c r="C2293" s="456">
        <v>50000</v>
      </c>
      <c r="D2293" s="464" t="s">
        <v>966</v>
      </c>
      <c r="G2293" s="457"/>
      <c r="H2293" s="457"/>
      <c r="I2293" s="457"/>
      <c r="J2293" s="457"/>
      <c r="K2293" s="457"/>
      <c r="L2293" s="457"/>
      <c r="M2293" s="457"/>
      <c r="N2293" s="457"/>
      <c r="O2293" s="457"/>
      <c r="P2293" s="457"/>
      <c r="Q2293" s="457"/>
      <c r="R2293" s="457"/>
      <c r="S2293" s="457"/>
      <c r="T2293" s="457"/>
      <c r="U2293" s="457"/>
      <c r="V2293" s="457"/>
      <c r="W2293" s="457"/>
      <c r="X2293" s="457"/>
      <c r="Y2293" s="457"/>
      <c r="Z2293" s="457"/>
      <c r="AB2293" s="466" t="s">
        <v>1360</v>
      </c>
      <c r="AC2293" s="262" t="s">
        <v>966</v>
      </c>
      <c r="AD2293" s="56" t="s">
        <v>1361</v>
      </c>
      <c r="AF2293" s="458"/>
      <c r="AG2293" s="262" t="s">
        <v>966</v>
      </c>
      <c r="AH2293" s="262" t="s">
        <v>966</v>
      </c>
      <c r="AI2293" s="262" t="s">
        <v>966</v>
      </c>
      <c r="AJ2293" s="262" t="s">
        <v>966</v>
      </c>
      <c r="AK2293" s="56" t="s">
        <v>1148</v>
      </c>
      <c r="AO2293" s="56" t="s">
        <v>1362</v>
      </c>
      <c r="AR2293" s="262" t="s">
        <v>966</v>
      </c>
      <c r="AS2293" s="56" t="s">
        <v>1150</v>
      </c>
      <c r="AW2293" s="262" t="s">
        <v>966</v>
      </c>
      <c r="AX2293" s="485">
        <v>52</v>
      </c>
      <c r="BB2293" s="437"/>
      <c r="BF2293" s="460">
        <v>28889</v>
      </c>
      <c r="BG2293" s="452">
        <f t="shared" si="76"/>
        <v>0</v>
      </c>
      <c r="BH2293" s="452">
        <f>BF2293-BG2293</f>
        <v>28889</v>
      </c>
      <c r="BI2293" s="170">
        <f t="shared" si="71"/>
        <v>2407.4166666666665</v>
      </c>
      <c r="BJ2293" s="170">
        <f t="shared" si="72"/>
        <v>555.55769230769226</v>
      </c>
      <c r="BK2293" s="453">
        <f t="shared" si="73"/>
        <v>1</v>
      </c>
    </row>
    <row r="2294" spans="1:69" ht="15.6" hidden="1" x14ac:dyDescent="0.25">
      <c r="A2294" s="56" t="s">
        <v>993</v>
      </c>
      <c r="B2294" s="455" t="s">
        <v>993</v>
      </c>
      <c r="G2294" s="457"/>
      <c r="H2294" s="457"/>
      <c r="I2294" s="457"/>
      <c r="J2294" s="457"/>
      <c r="K2294" s="457"/>
      <c r="L2294" s="457"/>
      <c r="M2294" s="457"/>
      <c r="N2294" s="457"/>
      <c r="O2294" s="457"/>
      <c r="P2294" s="457"/>
      <c r="Q2294" s="457"/>
      <c r="R2294" s="457"/>
      <c r="S2294" s="457"/>
      <c r="T2294" s="457"/>
      <c r="U2294" s="457"/>
      <c r="V2294" s="457"/>
      <c r="W2294" s="457"/>
      <c r="X2294" s="457"/>
      <c r="Y2294" s="457"/>
      <c r="Z2294" s="457"/>
      <c r="AF2294" s="458"/>
      <c r="AW2294" s="262" t="s">
        <v>966</v>
      </c>
    </row>
    <row r="2295" spans="1:69" hidden="1" x14ac:dyDescent="0.25">
      <c r="AF2295" s="458"/>
    </row>
    <row r="2296" spans="1:69" hidden="1" x14ac:dyDescent="0.25">
      <c r="AF2296" s="458"/>
    </row>
    <row r="2297" spans="1:69" hidden="1" x14ac:dyDescent="0.25"/>
    <row r="2298" spans="1:69" hidden="1" x14ac:dyDescent="0.25"/>
    <row r="2299" spans="1:69" hidden="1" x14ac:dyDescent="0.25">
      <c r="B2299" s="56" t="s">
        <v>997</v>
      </c>
      <c r="BB2299" s="56"/>
    </row>
    <row r="2300" spans="1:69" hidden="1" x14ac:dyDescent="0.25">
      <c r="B2300" s="56" t="s">
        <v>998</v>
      </c>
      <c r="BB2300" s="56"/>
    </row>
    <row r="2301" spans="1:69" hidden="1" x14ac:dyDescent="0.25"/>
    <row r="2302" spans="1:69" hidden="1" x14ac:dyDescent="0.25"/>
    <row r="2303" spans="1:69" hidden="1" x14ac:dyDescent="0.25"/>
    <row r="2304" spans="1:69" hidden="1" x14ac:dyDescent="0.25"/>
    <row r="2305" spans="54:54" hidden="1" x14ac:dyDescent="0.25"/>
    <row r="2306" spans="54:54" hidden="1" x14ac:dyDescent="0.25"/>
    <row r="2307" spans="54:54" hidden="1" x14ac:dyDescent="0.25"/>
    <row r="2308" spans="54:54" hidden="1" x14ac:dyDescent="0.25"/>
    <row r="2309" spans="54:54" hidden="1" x14ac:dyDescent="0.25"/>
    <row r="2310" spans="54:54" hidden="1" x14ac:dyDescent="0.25"/>
    <row r="2311" spans="54:54" hidden="1" x14ac:dyDescent="0.25"/>
    <row r="2312" spans="54:54" hidden="1" x14ac:dyDescent="0.25"/>
    <row r="2313" spans="54:54" hidden="1" x14ac:dyDescent="0.25"/>
    <row r="2314" spans="54:54" hidden="1" x14ac:dyDescent="0.25"/>
    <row r="2315" spans="54:54" hidden="1" x14ac:dyDescent="0.25"/>
    <row r="2316" spans="54:54" hidden="1" x14ac:dyDescent="0.25"/>
    <row r="2317" spans="54:54" hidden="1" x14ac:dyDescent="0.25"/>
    <row r="2318" spans="54:54" hidden="1" x14ac:dyDescent="0.25">
      <c r="BB2318" s="56"/>
    </row>
    <row r="2319" spans="54:54" hidden="1" x14ac:dyDescent="0.25">
      <c r="BB2319" s="56"/>
    </row>
    <row r="2320" spans="54:54" hidden="1" x14ac:dyDescent="0.25">
      <c r="BB2320" s="56"/>
    </row>
    <row r="2321" spans="54:54" hidden="1" x14ac:dyDescent="0.25">
      <c r="BB2321" s="56"/>
    </row>
    <row r="2322" spans="54:54" hidden="1" x14ac:dyDescent="0.25">
      <c r="BB2322" s="56"/>
    </row>
    <row r="2323" spans="54:54" hidden="1" x14ac:dyDescent="0.25">
      <c r="BB2323" s="56"/>
    </row>
    <row r="2324" spans="54:54" hidden="1" x14ac:dyDescent="0.25">
      <c r="BB2324" s="56"/>
    </row>
    <row r="2325" spans="54:54" hidden="1" x14ac:dyDescent="0.25">
      <c r="BB2325" s="56"/>
    </row>
    <row r="2326" spans="54:54" hidden="1" x14ac:dyDescent="0.25">
      <c r="BB2326" s="56"/>
    </row>
    <row r="2327" spans="54:54" hidden="1" x14ac:dyDescent="0.25">
      <c r="BB2327" s="56"/>
    </row>
    <row r="2328" spans="54:54" hidden="1" x14ac:dyDescent="0.25">
      <c r="BB2328" s="56"/>
    </row>
    <row r="2329" spans="54:54" hidden="1" x14ac:dyDescent="0.25">
      <c r="BB2329" s="56"/>
    </row>
    <row r="2330" spans="54:54" hidden="1" x14ac:dyDescent="0.25"/>
    <row r="2331" spans="54:54" hidden="1" x14ac:dyDescent="0.25"/>
    <row r="2332" spans="54:54" hidden="1" x14ac:dyDescent="0.25">
      <c r="BB2332" s="56"/>
    </row>
    <row r="2333" spans="54:54" hidden="1" x14ac:dyDescent="0.25">
      <c r="BB2333" s="56"/>
    </row>
    <row r="2334" spans="54:54" hidden="1" x14ac:dyDescent="0.25">
      <c r="BB2334" s="56"/>
    </row>
    <row r="2335" spans="54:54" hidden="1" x14ac:dyDescent="0.25">
      <c r="BB2335" s="56"/>
    </row>
    <row r="2336" spans="54:54" hidden="1" x14ac:dyDescent="0.25">
      <c r="BB2336" s="56"/>
    </row>
    <row r="2337" spans="54:54" hidden="1" x14ac:dyDescent="0.25">
      <c r="BB2337" s="56"/>
    </row>
    <row r="2338" spans="54:54" hidden="1" x14ac:dyDescent="0.25">
      <c r="BB2338" s="56"/>
    </row>
    <row r="2339" spans="54:54" hidden="1" x14ac:dyDescent="0.25">
      <c r="BB2339" s="56"/>
    </row>
    <row r="2340" spans="54:54" hidden="1" x14ac:dyDescent="0.25">
      <c r="BB2340" s="56"/>
    </row>
    <row r="2341" spans="54:54" hidden="1" x14ac:dyDescent="0.25">
      <c r="BB2341" s="56"/>
    </row>
    <row r="2342" spans="54:54" hidden="1" x14ac:dyDescent="0.25">
      <c r="BB2342" s="56"/>
    </row>
    <row r="2343" spans="54:54" hidden="1" x14ac:dyDescent="0.25">
      <c r="BB2343" s="56"/>
    </row>
    <row r="2344" spans="54:54" hidden="1" x14ac:dyDescent="0.25">
      <c r="BB2344" s="56"/>
    </row>
    <row r="2345" spans="54:54" hidden="1" x14ac:dyDescent="0.25">
      <c r="BB2345" s="56"/>
    </row>
    <row r="2346" spans="54:54" hidden="1" x14ac:dyDescent="0.25">
      <c r="BB2346" s="56"/>
    </row>
    <row r="2347" spans="54:54" hidden="1" x14ac:dyDescent="0.25">
      <c r="BB2347" s="56"/>
    </row>
    <row r="2348" spans="54:54" hidden="1" x14ac:dyDescent="0.25">
      <c r="BB2348" s="56"/>
    </row>
    <row r="2349" spans="54:54" hidden="1" x14ac:dyDescent="0.25">
      <c r="BB2349" s="56"/>
    </row>
    <row r="2350" spans="54:54" hidden="1" x14ac:dyDescent="0.25">
      <c r="BB2350" s="56"/>
    </row>
    <row r="2351" spans="54:54" hidden="1" x14ac:dyDescent="0.25">
      <c r="BB2351" s="56"/>
    </row>
    <row r="2352" spans="54:54" hidden="1" x14ac:dyDescent="0.25">
      <c r="BB2352" s="56"/>
    </row>
    <row r="2353" spans="54:54" hidden="1" x14ac:dyDescent="0.25">
      <c r="BB2353" s="56"/>
    </row>
    <row r="2354" spans="54:54" hidden="1" x14ac:dyDescent="0.25">
      <c r="BB2354" s="56"/>
    </row>
    <row r="2355" spans="54:54" hidden="1" x14ac:dyDescent="0.25"/>
    <row r="2356" spans="54:54" hidden="1" x14ac:dyDescent="0.25"/>
    <row r="2357" spans="54:54" hidden="1" x14ac:dyDescent="0.25"/>
    <row r="2358" spans="54:54" hidden="1" x14ac:dyDescent="0.25"/>
    <row r="2359" spans="54:54" hidden="1" x14ac:dyDescent="0.25"/>
    <row r="2360" spans="54:54" hidden="1" x14ac:dyDescent="0.25"/>
    <row r="2361" spans="54:54" hidden="1" x14ac:dyDescent="0.25"/>
    <row r="2362" spans="54:54" hidden="1" x14ac:dyDescent="0.25"/>
    <row r="2363" spans="54:54" hidden="1" x14ac:dyDescent="0.25"/>
    <row r="2364" spans="54:54" hidden="1" x14ac:dyDescent="0.25"/>
    <row r="2365" spans="54:54" hidden="1" x14ac:dyDescent="0.25"/>
    <row r="2366" spans="54:54" hidden="1" x14ac:dyDescent="0.25"/>
    <row r="2367" spans="54:54" hidden="1" x14ac:dyDescent="0.25"/>
    <row r="2368" spans="54:54" hidden="1" x14ac:dyDescent="0.25"/>
    <row r="2369" spans="2:54" ht="14.4" hidden="1" x14ac:dyDescent="0.25">
      <c r="C2369" s="471" t="s">
        <v>1363</v>
      </c>
      <c r="BB2369" s="56"/>
    </row>
    <row r="2370" spans="2:54" ht="14.4" hidden="1" x14ac:dyDescent="0.25">
      <c r="C2370" s="471" t="s">
        <v>1364</v>
      </c>
      <c r="BB2370" s="56"/>
    </row>
    <row r="2371" spans="2:54" ht="14.4" hidden="1" x14ac:dyDescent="0.25">
      <c r="C2371" s="471" t="s">
        <v>1365</v>
      </c>
      <c r="BB2371" s="56"/>
    </row>
    <row r="2372" spans="2:54" ht="14.4" hidden="1" x14ac:dyDescent="0.25">
      <c r="C2372" s="471" t="s">
        <v>1366</v>
      </c>
      <c r="BB2372" s="56"/>
    </row>
    <row r="2373" spans="2:54" ht="14.4" hidden="1" x14ac:dyDescent="0.25">
      <c r="C2373" s="471" t="s">
        <v>1367</v>
      </c>
      <c r="BB2373" s="56"/>
    </row>
    <row r="2374" spans="2:54" ht="14.4" hidden="1" x14ac:dyDescent="0.25">
      <c r="C2374" s="471" t="s">
        <v>1368</v>
      </c>
      <c r="BB2374" s="56"/>
    </row>
    <row r="2375" spans="2:54" ht="14.4" hidden="1" x14ac:dyDescent="0.25">
      <c r="C2375" s="471" t="s">
        <v>1369</v>
      </c>
      <c r="BB2375" s="56"/>
    </row>
    <row r="2376" spans="2:54" ht="14.4" hidden="1" x14ac:dyDescent="0.25">
      <c r="C2376" s="471" t="s">
        <v>1370</v>
      </c>
      <c r="BB2376" s="56"/>
    </row>
    <row r="2377" spans="2:54" ht="14.4" hidden="1" x14ac:dyDescent="0.25">
      <c r="C2377" s="471" t="s">
        <v>1371</v>
      </c>
      <c r="BB2377" s="56"/>
    </row>
    <row r="2378" spans="2:54" ht="14.4" hidden="1" x14ac:dyDescent="0.25">
      <c r="C2378" s="471" t="s">
        <v>1372</v>
      </c>
      <c r="BB2378" s="56"/>
    </row>
    <row r="2379" spans="2:54" hidden="1" x14ac:dyDescent="0.25"/>
    <row r="2380" spans="2:54" hidden="1" x14ac:dyDescent="0.25"/>
    <row r="2381" spans="2:54" hidden="1" x14ac:dyDescent="0.25"/>
    <row r="2382" spans="2:54" hidden="1" x14ac:dyDescent="0.25"/>
    <row r="2383" spans="2:54" ht="36" hidden="1" x14ac:dyDescent="0.35">
      <c r="B2383" s="472" t="s">
        <v>1373</v>
      </c>
      <c r="C2383" s="472" t="s">
        <v>1374</v>
      </c>
      <c r="D2383" s="472" t="s">
        <v>1375</v>
      </c>
      <c r="BB2383" s="56"/>
    </row>
    <row r="2384" spans="2:54" ht="14.4" hidden="1" x14ac:dyDescent="0.3">
      <c r="B2384" s="77" t="s">
        <v>1376</v>
      </c>
      <c r="D2384" s="56" t="s">
        <v>193</v>
      </c>
      <c r="BB2384" s="56"/>
    </row>
    <row r="2385" spans="2:54" ht="14.4" hidden="1" x14ac:dyDescent="0.3">
      <c r="B2385" s="77" t="s">
        <v>1377</v>
      </c>
      <c r="D2385" s="56" t="s">
        <v>134</v>
      </c>
      <c r="BB2385" s="56"/>
    </row>
    <row r="2386" spans="2:54" ht="14.4" hidden="1" x14ac:dyDescent="0.3">
      <c r="B2386" s="77" t="s">
        <v>1378</v>
      </c>
      <c r="D2386" s="56" t="s">
        <v>201</v>
      </c>
      <c r="BB2386" s="56"/>
    </row>
    <row r="2387" spans="2:54" ht="14.4" hidden="1" x14ac:dyDescent="0.3">
      <c r="B2387" s="77" t="s">
        <v>133</v>
      </c>
      <c r="BB2387" s="56"/>
    </row>
    <row r="2388" spans="2:54" ht="14.4" hidden="1" x14ac:dyDescent="0.3">
      <c r="B2388" s="77" t="s">
        <v>1379</v>
      </c>
      <c r="D2388" s="56" t="s">
        <v>1380</v>
      </c>
      <c r="BB2388" s="56"/>
    </row>
    <row r="2389" spans="2:54" ht="14.4" hidden="1" x14ac:dyDescent="0.3">
      <c r="B2389" s="77" t="s">
        <v>1381</v>
      </c>
      <c r="D2389" s="56" t="s">
        <v>1382</v>
      </c>
      <c r="BB2389" s="56"/>
    </row>
    <row r="2390" spans="2:54" ht="14.4" hidden="1" x14ac:dyDescent="0.3">
      <c r="B2390" s="77" t="s">
        <v>1383</v>
      </c>
      <c r="BB2390" s="56"/>
    </row>
    <row r="2391" spans="2:54" ht="14.4" hidden="1" x14ac:dyDescent="0.3">
      <c r="B2391" s="77" t="s">
        <v>114</v>
      </c>
      <c r="BB2391" s="56"/>
    </row>
    <row r="2392" spans="2:54" hidden="1" x14ac:dyDescent="0.25"/>
    <row r="2393" spans="2:54" hidden="1" x14ac:dyDescent="0.25"/>
    <row r="2394" spans="2:54" hidden="1" x14ac:dyDescent="0.25">
      <c r="C2394" s="60" t="s">
        <v>1384</v>
      </c>
      <c r="BB2394" s="56"/>
    </row>
    <row r="2395" spans="2:54" ht="14.4" hidden="1" x14ac:dyDescent="0.3">
      <c r="C2395" s="77" t="s">
        <v>135</v>
      </c>
      <c r="BB2395" s="56"/>
    </row>
    <row r="2396" spans="2:54" ht="14.4" hidden="1" x14ac:dyDescent="0.3">
      <c r="C2396" s="77" t="s">
        <v>1385</v>
      </c>
      <c r="BB2396" s="56"/>
    </row>
    <row r="2397" spans="2:54" ht="14.4" hidden="1" x14ac:dyDescent="0.3">
      <c r="C2397" s="77" t="s">
        <v>1386</v>
      </c>
      <c r="BB2397" s="56"/>
    </row>
    <row r="2398" spans="2:54" ht="14.4" hidden="1" x14ac:dyDescent="0.3">
      <c r="C2398" s="77" t="s">
        <v>1387</v>
      </c>
      <c r="BB2398" s="56"/>
    </row>
    <row r="2399" spans="2:54" ht="14.4" hidden="1" x14ac:dyDescent="0.3">
      <c r="C2399" s="77" t="s">
        <v>1388</v>
      </c>
      <c r="BB2399" s="56"/>
    </row>
    <row r="2400" spans="2:54" ht="14.4" hidden="1" x14ac:dyDescent="0.3">
      <c r="C2400" s="77" t="s">
        <v>1389</v>
      </c>
      <c r="BB2400" s="56"/>
    </row>
    <row r="2401" spans="3:54" ht="14.4" hidden="1" x14ac:dyDescent="0.3">
      <c r="C2401" s="77" t="s">
        <v>1390</v>
      </c>
      <c r="BB2401" s="56"/>
    </row>
    <row r="2402" spans="3:54" ht="14.4" hidden="1" x14ac:dyDescent="0.3">
      <c r="C2402" s="77" t="s">
        <v>1391</v>
      </c>
      <c r="BB2402" s="56"/>
    </row>
    <row r="2403" spans="3:54" ht="14.4" hidden="1" x14ac:dyDescent="0.3">
      <c r="C2403" s="77" t="s">
        <v>1392</v>
      </c>
      <c r="BB2403" s="56"/>
    </row>
    <row r="2404" spans="3:54" ht="14.4" hidden="1" x14ac:dyDescent="0.3">
      <c r="C2404" s="77" t="s">
        <v>1393</v>
      </c>
      <c r="BB2404" s="56"/>
    </row>
    <row r="2405" spans="3:54" ht="14.4" hidden="1" x14ac:dyDescent="0.3">
      <c r="C2405" s="77" t="s">
        <v>1394</v>
      </c>
      <c r="BB2405" s="56"/>
    </row>
    <row r="2406" spans="3:54" hidden="1" x14ac:dyDescent="0.25"/>
    <row r="2407" spans="3:54" ht="18" hidden="1" x14ac:dyDescent="0.35">
      <c r="C2407" s="433" t="s">
        <v>1395</v>
      </c>
      <c r="BB2407" s="56"/>
    </row>
    <row r="2408" spans="3:54" ht="14.4" hidden="1" x14ac:dyDescent="0.3">
      <c r="C2408" s="77" t="s">
        <v>1396</v>
      </c>
      <c r="BB2408" s="56"/>
    </row>
    <row r="2409" spans="3:54" ht="14.4" hidden="1" x14ac:dyDescent="0.3">
      <c r="C2409" s="77" t="s">
        <v>127</v>
      </c>
      <c r="BB2409" s="56"/>
    </row>
    <row r="2410" spans="3:54" ht="14.4" hidden="1" x14ac:dyDescent="0.3">
      <c r="C2410" s="77" t="s">
        <v>1397</v>
      </c>
      <c r="BB2410" s="56"/>
    </row>
    <row r="2411" spans="3:54" ht="14.4" hidden="1" x14ac:dyDescent="0.3">
      <c r="C2411" s="77" t="s">
        <v>1398</v>
      </c>
      <c r="BB2411" s="56"/>
    </row>
    <row r="2412" spans="3:54" ht="14.4" hidden="1" x14ac:dyDescent="0.3">
      <c r="C2412" s="77"/>
      <c r="BB2412" s="56"/>
    </row>
    <row r="2413" spans="3:54" ht="14.4" hidden="1" x14ac:dyDescent="0.3">
      <c r="C2413" s="77" t="s">
        <v>1399</v>
      </c>
      <c r="BB2413" s="56"/>
    </row>
    <row r="2414" spans="3:54" ht="14.4" hidden="1" x14ac:dyDescent="0.3">
      <c r="C2414" s="77" t="s">
        <v>1400</v>
      </c>
      <c r="BB2414" s="56"/>
    </row>
    <row r="2415" spans="3:54" ht="14.4" hidden="1" x14ac:dyDescent="0.3">
      <c r="C2415" s="77" t="s">
        <v>1401</v>
      </c>
      <c r="BB2415" s="56"/>
    </row>
    <row r="2416" spans="3:54" ht="14.4" hidden="1" x14ac:dyDescent="0.3">
      <c r="C2416" s="77" t="s">
        <v>1402</v>
      </c>
      <c r="BB2416" s="56"/>
    </row>
    <row r="2417" spans="3:54" ht="14.4" hidden="1" x14ac:dyDescent="0.3">
      <c r="C2417" s="77" t="s">
        <v>1403</v>
      </c>
      <c r="BB2417" s="56"/>
    </row>
    <row r="2418" spans="3:54" ht="14.4" hidden="1" x14ac:dyDescent="0.3">
      <c r="C2418" s="77" t="s">
        <v>1404</v>
      </c>
      <c r="BB2418" s="56"/>
    </row>
    <row r="2419" spans="3:54" ht="14.4" hidden="1" x14ac:dyDescent="0.3">
      <c r="C2419" s="77" t="s">
        <v>1405</v>
      </c>
      <c r="BB2419" s="56"/>
    </row>
    <row r="2420" spans="3:54" ht="14.4" hidden="1" x14ac:dyDescent="0.3">
      <c r="C2420" s="77" t="s">
        <v>993</v>
      </c>
      <c r="BB2420" s="56"/>
    </row>
    <row r="2421" spans="3:54" hidden="1" x14ac:dyDescent="0.25"/>
    <row r="2422" spans="3:54" ht="18" hidden="1" x14ac:dyDescent="0.35">
      <c r="C2422" s="433" t="s">
        <v>1406</v>
      </c>
      <c r="BB2422" s="56"/>
    </row>
    <row r="2423" spans="3:54" ht="14.4" hidden="1" x14ac:dyDescent="0.3">
      <c r="C2423" s="77" t="s">
        <v>1407</v>
      </c>
      <c r="BB2423" s="56"/>
    </row>
    <row r="2424" spans="3:54" ht="14.4" hidden="1" x14ac:dyDescent="0.3">
      <c r="C2424" s="77" t="s">
        <v>1408</v>
      </c>
      <c r="BB2424" s="56"/>
    </row>
    <row r="2425" spans="3:54" ht="14.4" hidden="1" x14ac:dyDescent="0.3">
      <c r="C2425" s="77" t="s">
        <v>114</v>
      </c>
      <c r="BB2425" s="56"/>
    </row>
    <row r="2426" spans="3:54" hidden="1" x14ac:dyDescent="0.25"/>
    <row r="2427" spans="3:54" ht="18" hidden="1" x14ac:dyDescent="0.35">
      <c r="C2427" s="433" t="s">
        <v>1409</v>
      </c>
      <c r="BB2427" s="56"/>
    </row>
    <row r="2428" spans="3:54" ht="14.4" hidden="1" x14ac:dyDescent="0.3">
      <c r="C2428" s="77" t="s">
        <v>118</v>
      </c>
      <c r="BB2428" s="56"/>
    </row>
    <row r="2429" spans="3:54" ht="14.4" hidden="1" x14ac:dyDescent="0.3">
      <c r="C2429" s="77" t="s">
        <v>1410</v>
      </c>
      <c r="BB2429" s="56"/>
    </row>
    <row r="2430" spans="3:54" ht="14.4" hidden="1" x14ac:dyDescent="0.3">
      <c r="C2430" s="77" t="s">
        <v>1411</v>
      </c>
      <c r="BB2430" s="56"/>
    </row>
    <row r="2431" spans="3:54" ht="14.4" hidden="1" x14ac:dyDescent="0.3">
      <c r="C2431" s="77" t="s">
        <v>114</v>
      </c>
      <c r="BB2431" s="56"/>
    </row>
    <row r="2432" spans="3:54" hidden="1" x14ac:dyDescent="0.25"/>
    <row r="2433" spans="3:54" ht="18" hidden="1" x14ac:dyDescent="0.35">
      <c r="C2433" s="433" t="s">
        <v>1412</v>
      </c>
      <c r="BB2433" s="56"/>
    </row>
    <row r="2434" spans="3:54" ht="14.4" hidden="1" x14ac:dyDescent="0.3">
      <c r="C2434" s="77" t="s">
        <v>119</v>
      </c>
      <c r="BB2434" s="56"/>
    </row>
    <row r="2435" spans="3:54" ht="14.4" hidden="1" x14ac:dyDescent="0.3">
      <c r="C2435" s="77" t="s">
        <v>1413</v>
      </c>
      <c r="BB2435" s="56"/>
    </row>
    <row r="2436" spans="3:54" ht="14.4" hidden="1" x14ac:dyDescent="0.3">
      <c r="C2436" s="77" t="s">
        <v>1013</v>
      </c>
      <c r="BB2436" s="56"/>
    </row>
    <row r="2437" spans="3:54" ht="14.4" hidden="1" x14ac:dyDescent="0.3">
      <c r="C2437" s="77"/>
      <c r="BB2437" s="56"/>
    </row>
    <row r="2438" spans="3:54" hidden="1" x14ac:dyDescent="0.25"/>
    <row r="2439" spans="3:54" ht="18" hidden="1" x14ac:dyDescent="0.35">
      <c r="C2439" s="433" t="s">
        <v>1414</v>
      </c>
      <c r="BB2439" s="56"/>
    </row>
    <row r="2440" spans="3:54" ht="14.4" hidden="1" x14ac:dyDescent="0.3">
      <c r="C2440" s="77" t="s">
        <v>1415</v>
      </c>
      <c r="BB2440" s="56"/>
    </row>
    <row r="2441" spans="3:54" ht="14.4" hidden="1" x14ac:dyDescent="0.3">
      <c r="C2441" s="77" t="s">
        <v>128</v>
      </c>
      <c r="BB2441" s="56"/>
    </row>
    <row r="2442" spans="3:54" ht="14.4" hidden="1" x14ac:dyDescent="0.3">
      <c r="C2442" s="77" t="s">
        <v>494</v>
      </c>
      <c r="BB2442" s="56"/>
    </row>
    <row r="2443" spans="3:54" ht="14.4" hidden="1" x14ac:dyDescent="0.3">
      <c r="C2443" s="77" t="s">
        <v>1416</v>
      </c>
      <c r="BB2443" s="56"/>
    </row>
    <row r="2444" spans="3:54" hidden="1" x14ac:dyDescent="0.25"/>
    <row r="2445" spans="3:54" hidden="1" x14ac:dyDescent="0.25"/>
    <row r="2446" spans="3:54" ht="18" hidden="1" x14ac:dyDescent="0.35">
      <c r="C2446" s="433" t="s">
        <v>1417</v>
      </c>
      <c r="BB2446" s="56"/>
    </row>
    <row r="2447" spans="3:54" ht="14.4" hidden="1" x14ac:dyDescent="0.3">
      <c r="C2447" s="77" t="s">
        <v>1418</v>
      </c>
      <c r="BB2447" s="56"/>
    </row>
    <row r="2448" spans="3:54" ht="14.4" hidden="1" x14ac:dyDescent="0.3">
      <c r="C2448" s="77" t="s">
        <v>1419</v>
      </c>
      <c r="BB2448" s="56"/>
    </row>
    <row r="2449" spans="3:54" ht="14.4" hidden="1" x14ac:dyDescent="0.3">
      <c r="C2449" s="77" t="s">
        <v>221</v>
      </c>
      <c r="BB2449" s="56"/>
    </row>
    <row r="2450" spans="3:54" ht="14.4" hidden="1" x14ac:dyDescent="0.3">
      <c r="C2450" s="77" t="s">
        <v>1420</v>
      </c>
      <c r="BB2450" s="56"/>
    </row>
    <row r="2451" spans="3:54" ht="14.4" hidden="1" x14ac:dyDescent="0.3">
      <c r="C2451" s="77" t="s">
        <v>1007</v>
      </c>
      <c r="BB2451" s="56"/>
    </row>
    <row r="2452" spans="3:54" hidden="1" x14ac:dyDescent="0.25"/>
    <row r="2453" spans="3:54" hidden="1" x14ac:dyDescent="0.25"/>
    <row r="2454" spans="3:54" ht="18" hidden="1" x14ac:dyDescent="0.35">
      <c r="C2454" s="433" t="s">
        <v>1421</v>
      </c>
      <c r="BB2454" s="56"/>
    </row>
    <row r="2455" spans="3:54" ht="18" hidden="1" x14ac:dyDescent="0.35">
      <c r="C2455" s="433" t="s">
        <v>1422</v>
      </c>
      <c r="BB2455" s="56"/>
    </row>
    <row r="2456" spans="3:54" hidden="1" x14ac:dyDescent="0.25">
      <c r="C2456" s="56" t="s">
        <v>1423</v>
      </c>
      <c r="BB2456" s="56"/>
    </row>
    <row r="2457" spans="3:54" hidden="1" x14ac:dyDescent="0.25">
      <c r="C2457" s="56" t="s">
        <v>183</v>
      </c>
      <c r="BB2457" s="56"/>
    </row>
    <row r="2458" spans="3:54" hidden="1" x14ac:dyDescent="0.25">
      <c r="C2458" s="56" t="s">
        <v>1424</v>
      </c>
      <c r="BB2458" s="56"/>
    </row>
    <row r="2459" spans="3:54" hidden="1" x14ac:dyDescent="0.25">
      <c r="C2459" s="56" t="s">
        <v>1425</v>
      </c>
      <c r="BB2459" s="56"/>
    </row>
    <row r="2460" spans="3:54" hidden="1" x14ac:dyDescent="0.25">
      <c r="C2460" s="56" t="s">
        <v>1426</v>
      </c>
      <c r="BB2460" s="56"/>
    </row>
    <row r="2461" spans="3:54" hidden="1" x14ac:dyDescent="0.25">
      <c r="BB2461" s="56"/>
    </row>
    <row r="2462" spans="3:54" hidden="1" x14ac:dyDescent="0.25"/>
    <row r="2463" spans="3:54" ht="18" hidden="1" x14ac:dyDescent="0.35">
      <c r="C2463" s="433"/>
      <c r="BB2463" s="56"/>
    </row>
    <row r="2464" spans="3:54" hidden="1" x14ac:dyDescent="0.25">
      <c r="C2464" s="56" t="s">
        <v>1427</v>
      </c>
      <c r="BB2464" s="56"/>
    </row>
    <row r="2465" spans="2:54" hidden="1" x14ac:dyDescent="0.25">
      <c r="C2465" s="56" t="s">
        <v>184</v>
      </c>
      <c r="BB2465" s="56"/>
    </row>
    <row r="2466" spans="2:54" hidden="1" x14ac:dyDescent="0.25">
      <c r="C2466" s="56" t="s">
        <v>1428</v>
      </c>
      <c r="BB2466" s="56"/>
    </row>
    <row r="2467" spans="2:54" hidden="1" x14ac:dyDescent="0.25">
      <c r="C2467" s="56" t="s">
        <v>1429</v>
      </c>
      <c r="BB2467" s="56"/>
    </row>
    <row r="2468" spans="2:54" hidden="1" x14ac:dyDescent="0.25">
      <c r="C2468" s="56" t="s">
        <v>1430</v>
      </c>
      <c r="BB2468" s="56"/>
    </row>
    <row r="2469" spans="2:54" hidden="1" x14ac:dyDescent="0.25">
      <c r="C2469" s="56" t="s">
        <v>1431</v>
      </c>
      <c r="BB2469" s="56"/>
    </row>
    <row r="2470" spans="2:54" hidden="1" x14ac:dyDescent="0.25"/>
    <row r="2471" spans="2:54" hidden="1" x14ac:dyDescent="0.25"/>
    <row r="2472" spans="2:54" ht="18" hidden="1" x14ac:dyDescent="0.35">
      <c r="B2472" s="433" t="s">
        <v>246</v>
      </c>
      <c r="D2472" s="433" t="s">
        <v>1432</v>
      </c>
    </row>
    <row r="2473" spans="2:54" hidden="1" x14ac:dyDescent="0.25">
      <c r="B2473" s="56" t="s">
        <v>248</v>
      </c>
      <c r="D2473" s="56" t="s">
        <v>141</v>
      </c>
    </row>
    <row r="2474" spans="2:54" hidden="1" x14ac:dyDescent="0.25">
      <c r="B2474" s="56" t="s">
        <v>1433</v>
      </c>
      <c r="D2474" s="56" t="s">
        <v>1434</v>
      </c>
    </row>
    <row r="2475" spans="2:54" hidden="1" x14ac:dyDescent="0.25">
      <c r="B2475" s="56" t="s">
        <v>1435</v>
      </c>
      <c r="D2475" s="56" t="s">
        <v>1436</v>
      </c>
    </row>
    <row r="2476" spans="2:54" hidden="1" x14ac:dyDescent="0.25">
      <c r="B2476" s="56" t="s">
        <v>1437</v>
      </c>
      <c r="D2476" s="56" t="s">
        <v>1438</v>
      </c>
    </row>
    <row r="2477" spans="2:54" hidden="1" x14ac:dyDescent="0.25">
      <c r="B2477" s="56" t="s">
        <v>1439</v>
      </c>
      <c r="D2477" s="56" t="s">
        <v>1440</v>
      </c>
    </row>
    <row r="2478" spans="2:54" hidden="1" x14ac:dyDescent="0.25">
      <c r="B2478" s="56" t="s">
        <v>1441</v>
      </c>
      <c r="D2478" s="56" t="s">
        <v>1442</v>
      </c>
    </row>
    <row r="2479" spans="2:54" hidden="1" x14ac:dyDescent="0.25">
      <c r="B2479" s="56" t="s">
        <v>1443</v>
      </c>
    </row>
    <row r="2480" spans="2:54" hidden="1" x14ac:dyDescent="0.25">
      <c r="B2480" s="56" t="s">
        <v>1444</v>
      </c>
      <c r="AB2480" s="56" t="s">
        <v>1445</v>
      </c>
    </row>
    <row r="2481" spans="2:54" hidden="1" x14ac:dyDescent="0.25">
      <c r="B2481" s="56" t="s">
        <v>1443</v>
      </c>
      <c r="AB2481" s="56" t="s">
        <v>1446</v>
      </c>
    </row>
    <row r="2482" spans="2:54" hidden="1" x14ac:dyDescent="0.25">
      <c r="B2482" s="56" t="s">
        <v>1447</v>
      </c>
    </row>
    <row r="2483" spans="2:54" hidden="1" x14ac:dyDescent="0.25"/>
    <row r="2484" spans="2:54" hidden="1" x14ac:dyDescent="0.25"/>
    <row r="2485" spans="2:54" hidden="1" x14ac:dyDescent="0.25">
      <c r="C2485" s="56" t="s">
        <v>249</v>
      </c>
    </row>
    <row r="2486" spans="2:54" hidden="1" x14ac:dyDescent="0.25"/>
    <row r="2487" spans="2:54" hidden="1" x14ac:dyDescent="0.25"/>
    <row r="2488" spans="2:54" hidden="1" x14ac:dyDescent="0.25"/>
    <row r="2489" spans="2:54" ht="18" hidden="1" x14ac:dyDescent="0.35">
      <c r="B2489" s="473" t="s">
        <v>1448</v>
      </c>
      <c r="C2489" s="56" t="s">
        <v>1449</v>
      </c>
      <c r="BB2489" s="56"/>
    </row>
    <row r="2490" spans="2:54" hidden="1" x14ac:dyDescent="0.25">
      <c r="C2490" s="56" t="s">
        <v>1450</v>
      </c>
      <c r="BB2490" s="56"/>
    </row>
    <row r="2491" spans="2:54" hidden="1" x14ac:dyDescent="0.25">
      <c r="C2491" s="56" t="s">
        <v>1451</v>
      </c>
      <c r="BB2491" s="56"/>
    </row>
    <row r="2492" spans="2:54" hidden="1" x14ac:dyDescent="0.25">
      <c r="C2492" s="56" t="s">
        <v>1452</v>
      </c>
      <c r="BB2492" s="56"/>
    </row>
    <row r="2493" spans="2:54" hidden="1" x14ac:dyDescent="0.25">
      <c r="C2493" s="56" t="s">
        <v>993</v>
      </c>
      <c r="BB2493" s="56"/>
    </row>
    <row r="2494" spans="2:54" hidden="1" x14ac:dyDescent="0.25"/>
    <row r="2495" spans="2:54" hidden="1" x14ac:dyDescent="0.25"/>
    <row r="2496" spans="2:54" hidden="1" x14ac:dyDescent="0.25"/>
    <row r="2497" spans="1:104" hidden="1" x14ac:dyDescent="0.25">
      <c r="C2497" s="56" t="s">
        <v>1453</v>
      </c>
      <c r="BB2497" s="56"/>
    </row>
    <row r="2498" spans="1:104" hidden="1" x14ac:dyDescent="0.25">
      <c r="C2498" s="56" t="s">
        <v>1454</v>
      </c>
      <c r="BB2498" s="56"/>
    </row>
    <row r="2499" spans="1:104" hidden="1" x14ac:dyDescent="0.25">
      <c r="C2499" s="56" t="s">
        <v>1455</v>
      </c>
      <c r="BB2499" s="56"/>
    </row>
    <row r="2500" spans="1:104" hidden="1" x14ac:dyDescent="0.25">
      <c r="C2500" s="56" t="s">
        <v>1456</v>
      </c>
      <c r="BB2500" s="56"/>
    </row>
    <row r="2501" spans="1:104" hidden="1" x14ac:dyDescent="0.25"/>
    <row r="2502" spans="1:104" hidden="1" x14ac:dyDescent="0.25"/>
    <row r="2503" spans="1:104" hidden="1" x14ac:dyDescent="0.25">
      <c r="C2503" s="56" t="s">
        <v>1457</v>
      </c>
    </row>
    <row r="2504" spans="1:104" hidden="1" x14ac:dyDescent="0.25">
      <c r="C2504" s="56" t="s">
        <v>1458</v>
      </c>
    </row>
    <row r="2505" spans="1:104" hidden="1" x14ac:dyDescent="0.25">
      <c r="C2505" s="56" t="s">
        <v>1459</v>
      </c>
    </row>
    <row r="2506" spans="1:104" hidden="1" x14ac:dyDescent="0.25">
      <c r="C2506" s="56" t="s">
        <v>1460</v>
      </c>
    </row>
    <row r="2507" spans="1:104" hidden="1" x14ac:dyDescent="0.25">
      <c r="C2507" s="56" t="s">
        <v>1461</v>
      </c>
      <c r="BB2507" s="56"/>
    </row>
    <row r="2508" spans="1:104" hidden="1" x14ac:dyDescent="0.25">
      <c r="C2508" s="56" t="s">
        <v>1462</v>
      </c>
      <c r="BB2508" s="56"/>
    </row>
    <row r="2509" spans="1:104" hidden="1" x14ac:dyDescent="0.25">
      <c r="C2509" s="56" t="s">
        <v>1463</v>
      </c>
      <c r="BB2509" s="56"/>
    </row>
    <row r="2510" spans="1:104" hidden="1" x14ac:dyDescent="0.25">
      <c r="C2510" s="56" t="s">
        <v>1464</v>
      </c>
      <c r="BB2510" s="56"/>
    </row>
    <row r="2511" spans="1:104" s="5" customFormat="1" hidden="1" x14ac:dyDescent="0.25">
      <c r="A2511" s="56"/>
      <c r="B2511" s="56"/>
      <c r="C2511" s="56"/>
      <c r="D2511" s="56"/>
      <c r="E2511" s="56"/>
      <c r="F2511" s="56"/>
      <c r="AA2511" s="56"/>
      <c r="AB2511" s="56"/>
      <c r="AC2511" s="56"/>
      <c r="AD2511" s="56"/>
      <c r="AE2511" s="56"/>
      <c r="AF2511" s="56"/>
      <c r="AG2511" s="56"/>
      <c r="AH2511" s="56"/>
      <c r="AI2511" s="56"/>
      <c r="AJ2511" s="56"/>
      <c r="AK2511" s="56"/>
      <c r="AL2511" s="56"/>
      <c r="AM2511" s="56"/>
      <c r="AN2511" s="56"/>
      <c r="AO2511" s="56"/>
      <c r="AP2511" s="56"/>
      <c r="AQ2511" s="56"/>
      <c r="AR2511" s="56"/>
      <c r="AS2511" s="56"/>
      <c r="AT2511" s="56"/>
      <c r="AU2511" s="56"/>
      <c r="AV2511" s="56"/>
      <c r="AW2511" s="56"/>
      <c r="AX2511" s="56"/>
      <c r="AY2511" s="56"/>
      <c r="AZ2511" s="56"/>
      <c r="BA2511" s="56"/>
      <c r="BB2511" s="16"/>
      <c r="BC2511" s="56"/>
      <c r="BD2511" s="56"/>
      <c r="BE2511" s="56"/>
      <c r="BF2511" s="56"/>
      <c r="BG2511" s="56"/>
      <c r="BH2511" s="56"/>
      <c r="BI2511" s="56"/>
      <c r="BJ2511" s="56"/>
      <c r="BK2511" s="56"/>
      <c r="BL2511" s="56"/>
      <c r="BM2511" s="56"/>
      <c r="BN2511" s="56"/>
      <c r="BO2511" s="56"/>
      <c r="BP2511" s="56"/>
      <c r="BQ2511" s="56"/>
      <c r="BR2511" s="56"/>
      <c r="BS2511" s="56"/>
      <c r="BT2511" s="56"/>
      <c r="BU2511" s="56"/>
      <c r="BV2511" s="56"/>
      <c r="BW2511" s="56"/>
      <c r="BX2511" s="56"/>
      <c r="BY2511" s="56"/>
      <c r="BZ2511" s="56"/>
      <c r="CA2511" s="56"/>
      <c r="CB2511" s="56"/>
      <c r="CC2511" s="56"/>
      <c r="CD2511" s="56"/>
      <c r="CE2511" s="56"/>
      <c r="CF2511" s="56"/>
      <c r="CG2511" s="56"/>
      <c r="CH2511" s="56"/>
      <c r="CI2511" s="56"/>
      <c r="CJ2511" s="56"/>
      <c r="CK2511" s="56"/>
      <c r="CL2511" s="56"/>
      <c r="CM2511" s="56"/>
      <c r="CN2511" s="56"/>
      <c r="CO2511" s="56"/>
      <c r="CP2511" s="56"/>
      <c r="CQ2511" s="56"/>
      <c r="CR2511" s="56"/>
      <c r="CS2511" s="56"/>
      <c r="CT2511" s="56"/>
      <c r="CU2511" s="56"/>
      <c r="CV2511" s="56"/>
      <c r="CW2511" s="56"/>
      <c r="CX2511" s="56"/>
      <c r="CY2511" s="56"/>
      <c r="CZ2511" s="56"/>
    </row>
    <row r="2512" spans="1:104" s="5" customFormat="1" hidden="1" x14ac:dyDescent="0.25">
      <c r="A2512" s="56"/>
      <c r="B2512" s="56"/>
      <c r="C2512" s="56"/>
      <c r="D2512" s="56"/>
      <c r="E2512" s="56"/>
      <c r="F2512" s="56"/>
      <c r="AA2512" s="56"/>
      <c r="AB2512" s="56"/>
      <c r="AC2512" s="56"/>
      <c r="AD2512" s="56"/>
      <c r="AE2512" s="56"/>
      <c r="AF2512" s="56"/>
      <c r="AG2512" s="56"/>
      <c r="AH2512" s="56"/>
      <c r="AI2512" s="56"/>
      <c r="AJ2512" s="56"/>
      <c r="AK2512" s="56"/>
      <c r="AL2512" s="56"/>
      <c r="AM2512" s="56"/>
      <c r="AN2512" s="56"/>
      <c r="AO2512" s="56"/>
      <c r="AP2512" s="56"/>
      <c r="AQ2512" s="56"/>
      <c r="AR2512" s="56"/>
      <c r="AS2512" s="56"/>
      <c r="AT2512" s="56"/>
      <c r="AU2512" s="56"/>
      <c r="AV2512" s="56"/>
      <c r="AW2512" s="56"/>
      <c r="AX2512" s="56"/>
      <c r="AY2512" s="56"/>
      <c r="AZ2512" s="56"/>
      <c r="BA2512" s="56"/>
      <c r="BB2512" s="16"/>
      <c r="BC2512" s="56"/>
      <c r="BD2512" s="56"/>
      <c r="BE2512" s="56"/>
      <c r="BF2512" s="56"/>
      <c r="BG2512" s="56"/>
      <c r="BH2512" s="56"/>
      <c r="BI2512" s="56"/>
      <c r="BJ2512" s="56"/>
      <c r="BK2512" s="56"/>
      <c r="BL2512" s="56"/>
      <c r="BM2512" s="56"/>
      <c r="BN2512" s="56"/>
      <c r="BO2512" s="56"/>
      <c r="BP2512" s="56"/>
      <c r="BQ2512" s="56"/>
      <c r="BR2512" s="56"/>
      <c r="BS2512" s="56"/>
      <c r="BT2512" s="56"/>
      <c r="BU2512" s="56"/>
      <c r="BV2512" s="56"/>
      <c r="BW2512" s="56"/>
      <c r="BX2512" s="56"/>
      <c r="BY2512" s="56"/>
      <c r="BZ2512" s="56"/>
      <c r="CA2512" s="56"/>
      <c r="CB2512" s="56"/>
      <c r="CC2512" s="56"/>
      <c r="CD2512" s="56"/>
      <c r="CE2512" s="56"/>
      <c r="CF2512" s="56"/>
      <c r="CG2512" s="56"/>
      <c r="CH2512" s="56"/>
      <c r="CI2512" s="56"/>
      <c r="CJ2512" s="56"/>
      <c r="CK2512" s="56"/>
      <c r="CL2512" s="56"/>
      <c r="CM2512" s="56"/>
      <c r="CN2512" s="56"/>
      <c r="CO2512" s="56"/>
      <c r="CP2512" s="56"/>
      <c r="CQ2512" s="56"/>
      <c r="CR2512" s="56"/>
      <c r="CS2512" s="56"/>
      <c r="CT2512" s="56"/>
      <c r="CU2512" s="56"/>
      <c r="CV2512" s="56"/>
      <c r="CW2512" s="56"/>
      <c r="CX2512" s="56"/>
      <c r="CY2512" s="56"/>
      <c r="CZ2512" s="56"/>
    </row>
    <row r="2513" spans="1:104" s="5" customFormat="1" hidden="1" x14ac:dyDescent="0.25">
      <c r="A2513" s="56"/>
      <c r="B2513" s="56"/>
      <c r="C2513" s="56"/>
      <c r="D2513" s="56"/>
      <c r="E2513" s="56"/>
      <c r="F2513" s="56"/>
      <c r="AA2513" s="56"/>
      <c r="AB2513" s="56"/>
      <c r="AC2513" s="56"/>
      <c r="AD2513" s="56"/>
      <c r="AE2513" s="56"/>
      <c r="AF2513" s="56"/>
      <c r="AG2513" s="56"/>
      <c r="AH2513" s="56"/>
      <c r="AI2513" s="56"/>
      <c r="AJ2513" s="56"/>
      <c r="AK2513" s="56"/>
      <c r="AL2513" s="56"/>
      <c r="AM2513" s="56"/>
      <c r="AN2513" s="56"/>
      <c r="AO2513" s="56"/>
      <c r="AP2513" s="56"/>
      <c r="AQ2513" s="56"/>
      <c r="AR2513" s="56"/>
      <c r="AS2513" s="56"/>
      <c r="AT2513" s="56"/>
      <c r="AU2513" s="56"/>
      <c r="AV2513" s="56"/>
      <c r="AW2513" s="56"/>
      <c r="AX2513" s="56"/>
      <c r="AY2513" s="56"/>
      <c r="AZ2513" s="56"/>
      <c r="BA2513" s="56"/>
      <c r="BB2513" s="16"/>
      <c r="BC2513" s="56"/>
      <c r="BD2513" s="56"/>
      <c r="BE2513" s="56"/>
      <c r="BF2513" s="56"/>
      <c r="BG2513" s="56"/>
      <c r="BH2513" s="56"/>
      <c r="BI2513" s="56"/>
      <c r="BJ2513" s="56"/>
      <c r="BK2513" s="56"/>
      <c r="BL2513" s="56"/>
      <c r="BM2513" s="56"/>
      <c r="BN2513" s="56"/>
      <c r="BO2513" s="56"/>
      <c r="BP2513" s="56"/>
      <c r="BQ2513" s="56"/>
      <c r="BR2513" s="56"/>
      <c r="BS2513" s="56"/>
      <c r="BT2513" s="56"/>
      <c r="BU2513" s="56"/>
      <c r="BV2513" s="56"/>
      <c r="BW2513" s="56"/>
      <c r="BX2513" s="56"/>
      <c r="BY2513" s="56"/>
      <c r="BZ2513" s="56"/>
      <c r="CA2513" s="56"/>
      <c r="CB2513" s="56"/>
      <c r="CC2513" s="56"/>
      <c r="CD2513" s="56"/>
      <c r="CE2513" s="56"/>
      <c r="CF2513" s="56"/>
      <c r="CG2513" s="56"/>
      <c r="CH2513" s="56"/>
      <c r="CI2513" s="56"/>
      <c r="CJ2513" s="56"/>
      <c r="CK2513" s="56"/>
      <c r="CL2513" s="56"/>
      <c r="CM2513" s="56"/>
      <c r="CN2513" s="56"/>
      <c r="CO2513" s="56"/>
      <c r="CP2513" s="56"/>
      <c r="CQ2513" s="56"/>
      <c r="CR2513" s="56"/>
      <c r="CS2513" s="56"/>
      <c r="CT2513" s="56"/>
      <c r="CU2513" s="56"/>
      <c r="CV2513" s="56"/>
      <c r="CW2513" s="56"/>
      <c r="CX2513" s="56"/>
      <c r="CY2513" s="56"/>
      <c r="CZ2513" s="56"/>
    </row>
    <row r="2514" spans="1:104" s="5" customFormat="1" hidden="1" x14ac:dyDescent="0.25">
      <c r="A2514" s="56"/>
      <c r="B2514" s="56"/>
      <c r="C2514" s="56"/>
      <c r="D2514" s="56"/>
      <c r="E2514" s="56"/>
      <c r="F2514" s="56"/>
      <c r="AA2514" s="56"/>
      <c r="AB2514" s="56"/>
      <c r="AC2514" s="56"/>
      <c r="AD2514" s="56"/>
      <c r="AE2514" s="56"/>
      <c r="AF2514" s="56"/>
      <c r="AG2514" s="56"/>
      <c r="AH2514" s="56"/>
      <c r="AI2514" s="56"/>
      <c r="AJ2514" s="56"/>
      <c r="AK2514" s="56"/>
      <c r="AL2514" s="56"/>
      <c r="AM2514" s="56"/>
      <c r="AN2514" s="56"/>
      <c r="AO2514" s="56"/>
      <c r="AP2514" s="56"/>
      <c r="AQ2514" s="56"/>
      <c r="AR2514" s="56"/>
      <c r="AS2514" s="56"/>
      <c r="AT2514" s="56"/>
      <c r="AU2514" s="56"/>
      <c r="AV2514" s="56"/>
      <c r="AW2514" s="56"/>
      <c r="AX2514" s="56"/>
      <c r="AY2514" s="56"/>
      <c r="AZ2514" s="56"/>
      <c r="BA2514" s="56"/>
      <c r="BB2514" s="16"/>
      <c r="BC2514" s="56"/>
      <c r="BD2514" s="56"/>
      <c r="BE2514" s="56"/>
      <c r="BF2514" s="56"/>
      <c r="BG2514" s="56"/>
      <c r="BH2514" s="56"/>
      <c r="BI2514" s="56"/>
      <c r="BJ2514" s="56"/>
      <c r="BK2514" s="56"/>
      <c r="BL2514" s="56"/>
      <c r="BM2514" s="56"/>
      <c r="BN2514" s="56"/>
      <c r="BO2514" s="56"/>
      <c r="BP2514" s="56"/>
      <c r="BQ2514" s="56"/>
      <c r="BR2514" s="56"/>
      <c r="BS2514" s="56"/>
      <c r="BT2514" s="56"/>
      <c r="BU2514" s="56"/>
      <c r="BV2514" s="56"/>
      <c r="BW2514" s="56"/>
      <c r="BX2514" s="56"/>
      <c r="BY2514" s="56"/>
      <c r="BZ2514" s="56"/>
      <c r="CA2514" s="56"/>
      <c r="CB2514" s="56"/>
      <c r="CC2514" s="56"/>
      <c r="CD2514" s="56"/>
      <c r="CE2514" s="56"/>
      <c r="CF2514" s="56"/>
      <c r="CG2514" s="56"/>
      <c r="CH2514" s="56"/>
      <c r="CI2514" s="56"/>
      <c r="CJ2514" s="56"/>
      <c r="CK2514" s="56"/>
      <c r="CL2514" s="56"/>
      <c r="CM2514" s="56"/>
      <c r="CN2514" s="56"/>
      <c r="CO2514" s="56"/>
      <c r="CP2514" s="56"/>
      <c r="CQ2514" s="56"/>
      <c r="CR2514" s="56"/>
      <c r="CS2514" s="56"/>
      <c r="CT2514" s="56"/>
      <c r="CU2514" s="56"/>
      <c r="CV2514" s="56"/>
      <c r="CW2514" s="56"/>
      <c r="CX2514" s="56"/>
      <c r="CY2514" s="56"/>
      <c r="CZ2514" s="56"/>
    </row>
    <row r="2515" spans="1:104" s="5" customFormat="1" hidden="1" x14ac:dyDescent="0.25">
      <c r="A2515" s="56"/>
      <c r="B2515" s="56"/>
      <c r="C2515" s="56"/>
      <c r="D2515" s="56"/>
      <c r="E2515" s="56"/>
      <c r="F2515" s="56"/>
      <c r="AA2515" s="56"/>
      <c r="AB2515" s="56"/>
      <c r="AC2515" s="56"/>
      <c r="AD2515" s="56"/>
      <c r="AE2515" s="56"/>
      <c r="AF2515" s="56"/>
      <c r="AG2515" s="56"/>
      <c r="AH2515" s="56"/>
      <c r="AI2515" s="56"/>
      <c r="AJ2515" s="56"/>
      <c r="AK2515" s="56"/>
      <c r="AL2515" s="56"/>
      <c r="AM2515" s="56"/>
      <c r="AN2515" s="56"/>
      <c r="AO2515" s="56"/>
      <c r="AP2515" s="56"/>
      <c r="AQ2515" s="56"/>
      <c r="AR2515" s="56"/>
      <c r="AS2515" s="56"/>
      <c r="AT2515" s="56"/>
      <c r="AU2515" s="56"/>
      <c r="AV2515" s="56"/>
      <c r="AW2515" s="56"/>
      <c r="AX2515" s="56"/>
      <c r="AY2515" s="56"/>
      <c r="AZ2515" s="56"/>
      <c r="BA2515" s="56"/>
      <c r="BB2515" s="16"/>
      <c r="BC2515" s="56"/>
      <c r="BD2515" s="56"/>
      <c r="BE2515" s="56"/>
      <c r="BF2515" s="56"/>
      <c r="BG2515" s="56"/>
      <c r="BH2515" s="56"/>
      <c r="BI2515" s="56"/>
      <c r="BJ2515" s="56"/>
      <c r="BK2515" s="56"/>
      <c r="BL2515" s="56"/>
      <c r="BM2515" s="56"/>
      <c r="BN2515" s="56"/>
      <c r="BO2515" s="56"/>
      <c r="BP2515" s="56"/>
      <c r="BQ2515" s="56"/>
      <c r="BR2515" s="56"/>
      <c r="BS2515" s="56"/>
      <c r="BT2515" s="56"/>
      <c r="BU2515" s="56"/>
      <c r="BV2515" s="56"/>
      <c r="BW2515" s="56"/>
      <c r="BX2515" s="56"/>
      <c r="BY2515" s="56"/>
      <c r="BZ2515" s="56"/>
      <c r="CA2515" s="56"/>
      <c r="CB2515" s="56"/>
      <c r="CC2515" s="56"/>
      <c r="CD2515" s="56"/>
      <c r="CE2515" s="56"/>
      <c r="CF2515" s="56"/>
      <c r="CG2515" s="56"/>
      <c r="CH2515" s="56"/>
      <c r="CI2515" s="56"/>
      <c r="CJ2515" s="56"/>
      <c r="CK2515" s="56"/>
      <c r="CL2515" s="56"/>
      <c r="CM2515" s="56"/>
      <c r="CN2515" s="56"/>
      <c r="CO2515" s="56"/>
      <c r="CP2515" s="56"/>
      <c r="CQ2515" s="56"/>
      <c r="CR2515" s="56"/>
      <c r="CS2515" s="56"/>
      <c r="CT2515" s="56"/>
      <c r="CU2515" s="56"/>
      <c r="CV2515" s="56"/>
      <c r="CW2515" s="56"/>
      <c r="CX2515" s="56"/>
      <c r="CY2515" s="56"/>
      <c r="CZ2515" s="56"/>
    </row>
    <row r="2516" spans="1:104" s="5" customFormat="1" ht="14.4" thickBot="1" x14ac:dyDescent="0.3">
      <c r="A2516" s="474"/>
      <c r="B2516" s="474"/>
      <c r="C2516" s="474"/>
      <c r="D2516" s="474"/>
      <c r="E2516" s="474"/>
      <c r="F2516" s="474"/>
      <c r="AA2516" s="56"/>
      <c r="AB2516" s="56"/>
      <c r="AC2516" s="56"/>
      <c r="AD2516" s="56"/>
      <c r="AE2516" s="56"/>
      <c r="AF2516" s="56"/>
      <c r="AG2516" s="56"/>
      <c r="AH2516" s="56"/>
      <c r="AI2516" s="56"/>
      <c r="AJ2516" s="56"/>
      <c r="AK2516" s="56"/>
      <c r="AL2516" s="56"/>
      <c r="AM2516" s="56"/>
      <c r="AN2516" s="56"/>
      <c r="AO2516" s="56"/>
      <c r="AP2516" s="56"/>
      <c r="AQ2516" s="56"/>
      <c r="AR2516" s="56"/>
      <c r="AS2516" s="56"/>
      <c r="AT2516" s="56"/>
      <c r="AU2516" s="56"/>
      <c r="AV2516" s="56"/>
      <c r="AW2516" s="56"/>
      <c r="AX2516" s="56"/>
      <c r="AY2516" s="56"/>
      <c r="AZ2516" s="56"/>
      <c r="BA2516" s="56"/>
      <c r="BB2516" s="16"/>
      <c r="BC2516" s="56"/>
      <c r="BD2516" s="56"/>
      <c r="BE2516" s="56"/>
      <c r="BF2516" s="56"/>
      <c r="BG2516" s="56"/>
      <c r="BH2516" s="56"/>
      <c r="BI2516" s="56"/>
      <c r="BJ2516" s="56"/>
      <c r="BK2516" s="56"/>
      <c r="BL2516" s="56"/>
      <c r="BM2516" s="56"/>
      <c r="BN2516" s="56"/>
      <c r="BO2516" s="56"/>
      <c r="BP2516" s="56"/>
      <c r="BQ2516" s="56"/>
      <c r="BR2516" s="56"/>
      <c r="BS2516" s="56"/>
      <c r="BT2516" s="56"/>
      <c r="BU2516" s="56"/>
      <c r="BV2516" s="56"/>
      <c r="BW2516" s="56"/>
      <c r="BX2516" s="56"/>
      <c r="BY2516" s="56"/>
      <c r="BZ2516" s="56"/>
      <c r="CA2516" s="56"/>
      <c r="CB2516" s="56"/>
      <c r="CC2516" s="56"/>
      <c r="CD2516" s="56"/>
      <c r="CE2516" s="56"/>
      <c r="CF2516" s="56"/>
      <c r="CG2516" s="56"/>
      <c r="CH2516" s="56"/>
      <c r="CI2516" s="56"/>
      <c r="CJ2516" s="56"/>
      <c r="CK2516" s="56"/>
      <c r="CL2516" s="56"/>
      <c r="CM2516" s="56"/>
      <c r="CN2516" s="56"/>
      <c r="CO2516" s="56"/>
      <c r="CP2516" s="56"/>
      <c r="CQ2516" s="56"/>
      <c r="CR2516" s="56"/>
      <c r="CS2516" s="56"/>
      <c r="CT2516" s="56"/>
      <c r="CU2516" s="56"/>
      <c r="CV2516" s="56"/>
      <c r="CW2516" s="56"/>
      <c r="CX2516" s="56"/>
      <c r="CY2516" s="56"/>
      <c r="CZ2516" s="56"/>
    </row>
    <row r="2517" spans="1:104" s="5" customFormat="1" ht="15" thickTop="1" thickBot="1" x14ac:dyDescent="0.3">
      <c r="A2517" s="424"/>
      <c r="B2517" s="424"/>
      <c r="C2517" s="424"/>
      <c r="D2517" s="424"/>
      <c r="E2517" s="424"/>
      <c r="F2517" s="424"/>
      <c r="AA2517" s="56"/>
      <c r="AB2517" s="56"/>
      <c r="AC2517" s="56"/>
      <c r="AD2517" s="56"/>
      <c r="AE2517" s="56"/>
      <c r="AF2517" s="56"/>
      <c r="AG2517" s="56"/>
      <c r="AH2517" s="56"/>
      <c r="AI2517" s="56"/>
      <c r="AJ2517" s="56"/>
      <c r="AK2517" s="56"/>
      <c r="AL2517" s="56"/>
      <c r="AM2517" s="56"/>
      <c r="AN2517" s="56"/>
      <c r="AO2517" s="56"/>
      <c r="AP2517" s="56"/>
      <c r="AQ2517" s="56"/>
      <c r="AR2517" s="56"/>
      <c r="AS2517" s="56"/>
      <c r="AT2517" s="56"/>
      <c r="AU2517" s="56"/>
      <c r="AV2517" s="56"/>
      <c r="AW2517" s="56"/>
      <c r="AX2517" s="56"/>
      <c r="AY2517" s="56"/>
      <c r="AZ2517" s="56"/>
      <c r="BA2517" s="56"/>
      <c r="BB2517" s="16"/>
      <c r="BC2517" s="56"/>
      <c r="BD2517" s="56"/>
      <c r="BE2517" s="56"/>
      <c r="BF2517" s="56"/>
      <c r="BG2517" s="56"/>
      <c r="BH2517" s="56"/>
      <c r="BI2517" s="56"/>
      <c r="BJ2517" s="56"/>
      <c r="BK2517" s="56"/>
      <c r="BL2517" s="56"/>
      <c r="BM2517" s="56"/>
      <c r="BN2517" s="56"/>
      <c r="BO2517" s="56"/>
      <c r="BP2517" s="56"/>
      <c r="BQ2517" s="56"/>
      <c r="BR2517" s="56"/>
      <c r="BS2517" s="56"/>
      <c r="BT2517" s="56"/>
      <c r="BU2517" s="56"/>
      <c r="BV2517" s="56"/>
      <c r="BW2517" s="56"/>
      <c r="BX2517" s="56"/>
      <c r="BY2517" s="56"/>
      <c r="BZ2517" s="56"/>
      <c r="CA2517" s="56"/>
      <c r="CB2517" s="56"/>
      <c r="CC2517" s="56"/>
      <c r="CD2517" s="56"/>
      <c r="CE2517" s="56"/>
      <c r="CF2517" s="56"/>
      <c r="CG2517" s="56"/>
      <c r="CH2517" s="56"/>
      <c r="CI2517" s="56"/>
      <c r="CJ2517" s="56"/>
      <c r="CK2517" s="56"/>
      <c r="CL2517" s="56"/>
      <c r="CM2517" s="56"/>
      <c r="CN2517" s="56"/>
      <c r="CO2517" s="56"/>
      <c r="CP2517" s="56"/>
      <c r="CQ2517" s="56"/>
      <c r="CR2517" s="56"/>
      <c r="CS2517" s="56"/>
      <c r="CT2517" s="56"/>
      <c r="CU2517" s="56"/>
      <c r="CV2517" s="56"/>
      <c r="CW2517" s="56"/>
      <c r="CX2517" s="56"/>
      <c r="CY2517" s="56"/>
      <c r="CZ2517" s="56"/>
    </row>
    <row r="2518" spans="1:104" s="5" customFormat="1" ht="14.4" thickTop="1" x14ac:dyDescent="0.25">
      <c r="AA2518" s="56"/>
      <c r="AB2518" s="56"/>
      <c r="AC2518" s="56"/>
      <c r="AD2518" s="56"/>
      <c r="AE2518" s="56"/>
      <c r="AF2518" s="56"/>
      <c r="AG2518" s="56"/>
      <c r="AH2518" s="56"/>
      <c r="AI2518" s="56"/>
      <c r="AJ2518" s="56"/>
      <c r="AK2518" s="56"/>
      <c r="AL2518" s="56"/>
      <c r="AM2518" s="56"/>
      <c r="AN2518" s="56"/>
      <c r="AO2518" s="56"/>
      <c r="AP2518" s="56"/>
      <c r="AQ2518" s="56"/>
      <c r="AR2518" s="56"/>
      <c r="AS2518" s="56"/>
      <c r="AT2518" s="56"/>
      <c r="AU2518" s="56"/>
      <c r="AV2518" s="56"/>
      <c r="AW2518" s="56"/>
      <c r="AX2518" s="56"/>
      <c r="AY2518" s="56"/>
      <c r="AZ2518" s="56"/>
      <c r="BA2518" s="56"/>
      <c r="BB2518" s="16"/>
      <c r="BC2518" s="56"/>
      <c r="BD2518" s="56"/>
      <c r="BE2518" s="56"/>
      <c r="BF2518" s="56"/>
      <c r="BG2518" s="56"/>
      <c r="BH2518" s="56"/>
      <c r="BI2518" s="56"/>
      <c r="BJ2518" s="56"/>
      <c r="BK2518" s="56"/>
      <c r="BL2518" s="56"/>
      <c r="BM2518" s="56"/>
      <c r="BN2518" s="56"/>
      <c r="BO2518" s="56"/>
      <c r="BP2518" s="56"/>
      <c r="BQ2518" s="56"/>
      <c r="BR2518" s="56"/>
      <c r="BS2518" s="56"/>
      <c r="BT2518" s="56"/>
      <c r="BU2518" s="56"/>
      <c r="BV2518" s="56"/>
      <c r="BW2518" s="56"/>
      <c r="BX2518" s="56"/>
      <c r="BY2518" s="56"/>
      <c r="BZ2518" s="56"/>
      <c r="CA2518" s="56"/>
      <c r="CB2518" s="56"/>
      <c r="CC2518" s="56"/>
      <c r="CD2518" s="56"/>
      <c r="CE2518" s="56"/>
      <c r="CF2518" s="56"/>
      <c r="CG2518" s="56"/>
      <c r="CH2518" s="56"/>
      <c r="CI2518" s="56"/>
      <c r="CJ2518" s="56"/>
      <c r="CK2518" s="56"/>
      <c r="CL2518" s="56"/>
      <c r="CM2518" s="56"/>
      <c r="CN2518" s="56"/>
      <c r="CO2518" s="56"/>
      <c r="CP2518" s="56"/>
      <c r="CQ2518" s="56"/>
      <c r="CR2518" s="56"/>
      <c r="CS2518" s="56"/>
      <c r="CT2518" s="56"/>
      <c r="CU2518" s="56"/>
      <c r="CV2518" s="56"/>
      <c r="CW2518" s="56"/>
      <c r="CX2518" s="56"/>
      <c r="CY2518" s="56"/>
      <c r="CZ2518" s="56"/>
    </row>
    <row r="2519" spans="1:104" s="5" customFormat="1" x14ac:dyDescent="0.25">
      <c r="AA2519" s="56"/>
      <c r="AB2519" s="56"/>
      <c r="AC2519" s="56"/>
      <c r="AD2519" s="56"/>
      <c r="AE2519" s="56"/>
      <c r="AF2519" s="56"/>
      <c r="AG2519" s="56"/>
      <c r="AH2519" s="56"/>
      <c r="AI2519" s="56"/>
      <c r="AJ2519" s="56"/>
      <c r="AK2519" s="56"/>
      <c r="AL2519" s="56"/>
      <c r="AM2519" s="56"/>
      <c r="AN2519" s="56"/>
      <c r="AO2519" s="56"/>
      <c r="AP2519" s="56"/>
      <c r="AQ2519" s="56"/>
      <c r="AR2519" s="56"/>
      <c r="AS2519" s="56"/>
      <c r="AT2519" s="56"/>
      <c r="AU2519" s="56"/>
      <c r="AV2519" s="56"/>
      <c r="AW2519" s="56"/>
      <c r="AX2519" s="56"/>
      <c r="AY2519" s="56"/>
      <c r="AZ2519" s="56"/>
      <c r="BA2519" s="56"/>
      <c r="BB2519" s="16"/>
      <c r="BC2519" s="56"/>
      <c r="BD2519" s="56"/>
      <c r="BE2519" s="56"/>
      <c r="BF2519" s="56"/>
      <c r="BG2519" s="56"/>
      <c r="BH2519" s="56"/>
      <c r="BI2519" s="56"/>
      <c r="BJ2519" s="56"/>
      <c r="BK2519" s="56"/>
      <c r="BL2519" s="56"/>
      <c r="BM2519" s="56"/>
      <c r="BN2519" s="56"/>
      <c r="BO2519" s="56"/>
      <c r="BP2519" s="56"/>
      <c r="BQ2519" s="56"/>
      <c r="BR2519" s="56"/>
      <c r="BS2519" s="56"/>
      <c r="BT2519" s="56"/>
      <c r="BU2519" s="56"/>
      <c r="BV2519" s="56"/>
      <c r="BW2519" s="56"/>
      <c r="BX2519" s="56"/>
      <c r="BY2519" s="56"/>
      <c r="BZ2519" s="56"/>
      <c r="CA2519" s="56"/>
      <c r="CB2519" s="56"/>
      <c r="CC2519" s="56"/>
      <c r="CD2519" s="56"/>
      <c r="CE2519" s="56"/>
      <c r="CF2519" s="56"/>
      <c r="CG2519" s="56"/>
      <c r="CH2519" s="56"/>
      <c r="CI2519" s="56"/>
      <c r="CJ2519" s="56"/>
      <c r="CK2519" s="56"/>
      <c r="CL2519" s="56"/>
      <c r="CM2519" s="56"/>
      <c r="CN2519" s="56"/>
      <c r="CO2519" s="56"/>
      <c r="CP2519" s="56"/>
      <c r="CQ2519" s="56"/>
      <c r="CR2519" s="56"/>
      <c r="CS2519" s="56"/>
      <c r="CT2519" s="56"/>
      <c r="CU2519" s="56"/>
      <c r="CV2519" s="56"/>
      <c r="CW2519" s="56"/>
      <c r="CX2519" s="56"/>
      <c r="CY2519" s="56"/>
      <c r="CZ2519" s="56"/>
    </row>
    <row r="2520" spans="1:104" s="5" customFormat="1" x14ac:dyDescent="0.25">
      <c r="AA2520" s="56"/>
      <c r="AB2520" s="56"/>
      <c r="AC2520" s="56"/>
      <c r="AD2520" s="56"/>
      <c r="AE2520" s="56"/>
      <c r="AF2520" s="56"/>
      <c r="AG2520" s="56"/>
      <c r="AH2520" s="56"/>
      <c r="AI2520" s="56"/>
      <c r="AJ2520" s="56"/>
      <c r="AK2520" s="56"/>
      <c r="AL2520" s="56"/>
      <c r="AM2520" s="56"/>
      <c r="AN2520" s="56"/>
      <c r="AO2520" s="56"/>
      <c r="AP2520" s="56"/>
      <c r="AQ2520" s="56"/>
      <c r="AR2520" s="56"/>
      <c r="AS2520" s="56"/>
      <c r="AT2520" s="56"/>
      <c r="AU2520" s="56"/>
      <c r="AV2520" s="56"/>
      <c r="AW2520" s="56"/>
      <c r="AX2520" s="56"/>
      <c r="AY2520" s="56"/>
      <c r="AZ2520" s="56"/>
      <c r="BA2520" s="56"/>
      <c r="BB2520" s="16"/>
      <c r="BC2520" s="56"/>
      <c r="BD2520" s="56"/>
      <c r="BE2520" s="56"/>
      <c r="BF2520" s="56"/>
      <c r="BG2520" s="56"/>
      <c r="BH2520" s="56"/>
      <c r="BI2520" s="56"/>
      <c r="BJ2520" s="56"/>
      <c r="BK2520" s="56"/>
      <c r="BL2520" s="56"/>
      <c r="BM2520" s="56"/>
      <c r="BN2520" s="56"/>
      <c r="BO2520" s="56"/>
      <c r="BP2520" s="56"/>
      <c r="BQ2520" s="56"/>
      <c r="BR2520" s="56"/>
      <c r="BS2520" s="56"/>
      <c r="BT2520" s="56"/>
      <c r="BU2520" s="56"/>
      <c r="BV2520" s="56"/>
      <c r="BW2520" s="56"/>
      <c r="BX2520" s="56"/>
      <c r="BY2520" s="56"/>
      <c r="BZ2520" s="56"/>
      <c r="CA2520" s="56"/>
      <c r="CB2520" s="56"/>
      <c r="CC2520" s="56"/>
      <c r="CD2520" s="56"/>
      <c r="CE2520" s="56"/>
      <c r="CF2520" s="56"/>
      <c r="CG2520" s="56"/>
      <c r="CH2520" s="56"/>
      <c r="CI2520" s="56"/>
      <c r="CJ2520" s="56"/>
      <c r="CK2520" s="56"/>
      <c r="CL2520" s="56"/>
      <c r="CM2520" s="56"/>
      <c r="CN2520" s="56"/>
      <c r="CO2520" s="56"/>
      <c r="CP2520" s="56"/>
      <c r="CQ2520" s="56"/>
      <c r="CR2520" s="56"/>
      <c r="CS2520" s="56"/>
      <c r="CT2520" s="56"/>
      <c r="CU2520" s="56"/>
      <c r="CV2520" s="56"/>
      <c r="CW2520" s="56"/>
      <c r="CX2520" s="56"/>
      <c r="CY2520" s="56"/>
      <c r="CZ2520" s="56"/>
    </row>
    <row r="2521" spans="1:104" s="5" customFormat="1" x14ac:dyDescent="0.25">
      <c r="AA2521" s="56"/>
      <c r="AB2521" s="56"/>
      <c r="AC2521" s="56"/>
      <c r="AD2521" s="56"/>
      <c r="AE2521" s="56"/>
      <c r="AF2521" s="56"/>
      <c r="AG2521" s="56"/>
      <c r="AH2521" s="56"/>
      <c r="AI2521" s="56"/>
      <c r="AJ2521" s="56"/>
      <c r="AK2521" s="56"/>
      <c r="AL2521" s="56"/>
      <c r="AM2521" s="56"/>
      <c r="AN2521" s="56"/>
      <c r="AO2521" s="56"/>
      <c r="AP2521" s="56"/>
      <c r="AQ2521" s="56"/>
      <c r="AR2521" s="56"/>
      <c r="AS2521" s="56"/>
      <c r="AT2521" s="56"/>
      <c r="AU2521" s="56"/>
      <c r="AV2521" s="56"/>
      <c r="AW2521" s="56"/>
      <c r="AX2521" s="56"/>
      <c r="AY2521" s="56"/>
      <c r="AZ2521" s="56"/>
      <c r="BA2521" s="56"/>
      <c r="BB2521" s="16"/>
      <c r="BC2521" s="56"/>
      <c r="BD2521" s="56"/>
      <c r="BE2521" s="56"/>
      <c r="BF2521" s="56"/>
      <c r="BG2521" s="56"/>
      <c r="BH2521" s="56"/>
      <c r="BI2521" s="56"/>
      <c r="BJ2521" s="56"/>
      <c r="BK2521" s="56"/>
      <c r="BL2521" s="56"/>
      <c r="BM2521" s="56"/>
      <c r="BN2521" s="56"/>
      <c r="BO2521" s="56"/>
      <c r="BP2521" s="56"/>
      <c r="BQ2521" s="56"/>
      <c r="BR2521" s="56"/>
      <c r="BS2521" s="56"/>
      <c r="BT2521" s="56"/>
      <c r="BU2521" s="56"/>
      <c r="BV2521" s="56"/>
      <c r="BW2521" s="56"/>
      <c r="BX2521" s="56"/>
      <c r="BY2521" s="56"/>
      <c r="BZ2521" s="56"/>
      <c r="CA2521" s="56"/>
      <c r="CB2521" s="56"/>
      <c r="CC2521" s="56"/>
      <c r="CD2521" s="56"/>
      <c r="CE2521" s="56"/>
      <c r="CF2521" s="56"/>
      <c r="CG2521" s="56"/>
      <c r="CH2521" s="56"/>
      <c r="CI2521" s="56"/>
      <c r="CJ2521" s="56"/>
      <c r="CK2521" s="56"/>
      <c r="CL2521" s="56"/>
      <c r="CM2521" s="56"/>
      <c r="CN2521" s="56"/>
      <c r="CO2521" s="56"/>
      <c r="CP2521" s="56"/>
      <c r="CQ2521" s="56"/>
      <c r="CR2521" s="56"/>
      <c r="CS2521" s="56"/>
      <c r="CT2521" s="56"/>
      <c r="CU2521" s="56"/>
      <c r="CV2521" s="56"/>
      <c r="CW2521" s="56"/>
      <c r="CX2521" s="56"/>
      <c r="CY2521" s="56"/>
      <c r="CZ2521" s="56"/>
    </row>
    <row r="2522" spans="1:104" s="5" customFormat="1" x14ac:dyDescent="0.25">
      <c r="AA2522" s="56"/>
      <c r="AB2522" s="56"/>
      <c r="AC2522" s="56"/>
      <c r="AD2522" s="56"/>
      <c r="AE2522" s="56"/>
      <c r="AF2522" s="56"/>
      <c r="AG2522" s="56"/>
      <c r="AH2522" s="56"/>
      <c r="AI2522" s="56"/>
      <c r="AJ2522" s="56"/>
      <c r="AK2522" s="56"/>
      <c r="AL2522" s="56"/>
      <c r="AM2522" s="56"/>
      <c r="AN2522" s="56"/>
      <c r="AO2522" s="56"/>
      <c r="AP2522" s="56"/>
      <c r="AQ2522" s="56"/>
      <c r="AR2522" s="56"/>
      <c r="AS2522" s="56"/>
      <c r="AT2522" s="56"/>
      <c r="AU2522" s="56"/>
      <c r="AV2522" s="56"/>
      <c r="AW2522" s="56"/>
      <c r="AX2522" s="56"/>
      <c r="AY2522" s="56"/>
      <c r="AZ2522" s="56"/>
      <c r="BA2522" s="56"/>
      <c r="BB2522" s="16"/>
      <c r="BC2522" s="56"/>
      <c r="BD2522" s="56"/>
      <c r="BE2522" s="56"/>
      <c r="BF2522" s="56"/>
      <c r="BG2522" s="56"/>
      <c r="BH2522" s="56"/>
      <c r="BI2522" s="56"/>
      <c r="BJ2522" s="56"/>
      <c r="BK2522" s="56"/>
      <c r="BL2522" s="56"/>
      <c r="BM2522" s="56"/>
      <c r="BN2522" s="56"/>
      <c r="BO2522" s="56"/>
      <c r="BP2522" s="56"/>
      <c r="BQ2522" s="56"/>
      <c r="BR2522" s="56"/>
      <c r="BS2522" s="56"/>
      <c r="BT2522" s="56"/>
      <c r="BU2522" s="56"/>
      <c r="BV2522" s="56"/>
      <c r="BW2522" s="56"/>
      <c r="BX2522" s="56"/>
      <c r="BY2522" s="56"/>
      <c r="BZ2522" s="56"/>
      <c r="CA2522" s="56"/>
      <c r="CB2522" s="56"/>
      <c r="CC2522" s="56"/>
      <c r="CD2522" s="56"/>
      <c r="CE2522" s="56"/>
      <c r="CF2522" s="56"/>
      <c r="CG2522" s="56"/>
      <c r="CH2522" s="56"/>
      <c r="CI2522" s="56"/>
      <c r="CJ2522" s="56"/>
      <c r="CK2522" s="56"/>
      <c r="CL2522" s="56"/>
      <c r="CM2522" s="56"/>
      <c r="CN2522" s="56"/>
      <c r="CO2522" s="56"/>
      <c r="CP2522" s="56"/>
      <c r="CQ2522" s="56"/>
      <c r="CR2522" s="56"/>
      <c r="CS2522" s="56"/>
      <c r="CT2522" s="56"/>
      <c r="CU2522" s="56"/>
      <c r="CV2522" s="56"/>
      <c r="CW2522" s="56"/>
      <c r="CX2522" s="56"/>
      <c r="CY2522" s="56"/>
      <c r="CZ2522" s="56"/>
    </row>
    <row r="2523" spans="1:104" s="5" customFormat="1" x14ac:dyDescent="0.25">
      <c r="AA2523" s="56"/>
      <c r="AB2523" s="56"/>
      <c r="AC2523" s="56"/>
      <c r="AD2523" s="56"/>
      <c r="AE2523" s="56"/>
      <c r="AF2523" s="56"/>
      <c r="AG2523" s="56"/>
      <c r="AH2523" s="56"/>
      <c r="AI2523" s="56"/>
      <c r="AJ2523" s="56"/>
      <c r="AK2523" s="56"/>
      <c r="AL2523" s="56"/>
      <c r="AM2523" s="56"/>
      <c r="AN2523" s="56"/>
      <c r="AO2523" s="56"/>
      <c r="AP2523" s="56"/>
      <c r="AQ2523" s="56"/>
      <c r="AR2523" s="56"/>
      <c r="AS2523" s="56"/>
      <c r="AT2523" s="56"/>
      <c r="AU2523" s="56"/>
      <c r="AV2523" s="56"/>
      <c r="AW2523" s="56"/>
      <c r="AX2523" s="56"/>
      <c r="AY2523" s="56"/>
      <c r="AZ2523" s="56"/>
      <c r="BA2523" s="56"/>
      <c r="BB2523" s="16"/>
      <c r="BC2523" s="56"/>
      <c r="BD2523" s="56"/>
      <c r="BE2523" s="56"/>
      <c r="BF2523" s="56"/>
      <c r="BG2523" s="56"/>
      <c r="BH2523" s="56"/>
      <c r="BI2523" s="56"/>
      <c r="BJ2523" s="56"/>
      <c r="BK2523" s="56"/>
      <c r="BL2523" s="56"/>
      <c r="BM2523" s="56"/>
      <c r="BN2523" s="56"/>
      <c r="BO2523" s="56"/>
      <c r="BP2523" s="56"/>
      <c r="BQ2523" s="56"/>
      <c r="BR2523" s="56"/>
      <c r="BS2523" s="56"/>
      <c r="BT2523" s="56"/>
      <c r="BU2523" s="56"/>
      <c r="BV2523" s="56"/>
      <c r="BW2523" s="56"/>
      <c r="BX2523" s="56"/>
      <c r="BY2523" s="56"/>
      <c r="BZ2523" s="56"/>
      <c r="CA2523" s="56"/>
      <c r="CB2523" s="56"/>
      <c r="CC2523" s="56"/>
      <c r="CD2523" s="56"/>
      <c r="CE2523" s="56"/>
      <c r="CF2523" s="56"/>
      <c r="CG2523" s="56"/>
      <c r="CH2523" s="56"/>
      <c r="CI2523" s="56"/>
      <c r="CJ2523" s="56"/>
      <c r="CK2523" s="56"/>
      <c r="CL2523" s="56"/>
      <c r="CM2523" s="56"/>
      <c r="CN2523" s="56"/>
      <c r="CO2523" s="56"/>
      <c r="CP2523" s="56"/>
      <c r="CQ2523" s="56"/>
      <c r="CR2523" s="56"/>
      <c r="CS2523" s="56"/>
      <c r="CT2523" s="56"/>
      <c r="CU2523" s="56"/>
      <c r="CV2523" s="56"/>
      <c r="CW2523" s="56"/>
      <c r="CX2523" s="56"/>
      <c r="CY2523" s="56"/>
      <c r="CZ2523" s="56"/>
    </row>
    <row r="2524" spans="1:104" s="5" customFormat="1" x14ac:dyDescent="0.25">
      <c r="AA2524" s="56"/>
      <c r="AB2524" s="56"/>
      <c r="AC2524" s="56"/>
      <c r="AD2524" s="56"/>
      <c r="AE2524" s="56"/>
      <c r="AF2524" s="56"/>
      <c r="AG2524" s="56"/>
      <c r="AH2524" s="56"/>
      <c r="AI2524" s="56"/>
      <c r="AJ2524" s="56"/>
      <c r="AK2524" s="56"/>
      <c r="AL2524" s="56"/>
      <c r="AM2524" s="56"/>
      <c r="AN2524" s="56"/>
      <c r="AO2524" s="56"/>
      <c r="AP2524" s="56"/>
      <c r="AQ2524" s="56"/>
      <c r="AR2524" s="56"/>
      <c r="AS2524" s="56"/>
      <c r="AT2524" s="56"/>
      <c r="AU2524" s="56"/>
      <c r="AV2524" s="56"/>
      <c r="AW2524" s="56"/>
      <c r="AX2524" s="56"/>
      <c r="AY2524" s="56"/>
      <c r="AZ2524" s="56"/>
      <c r="BA2524" s="56"/>
      <c r="BB2524" s="16"/>
      <c r="BC2524" s="56"/>
      <c r="BD2524" s="56"/>
      <c r="BE2524" s="56"/>
      <c r="BF2524" s="56"/>
      <c r="BG2524" s="56"/>
      <c r="BH2524" s="56"/>
      <c r="BI2524" s="56"/>
      <c r="BJ2524" s="56"/>
      <c r="BK2524" s="56"/>
      <c r="BL2524" s="56"/>
      <c r="BM2524" s="56"/>
      <c r="BN2524" s="56"/>
      <c r="BO2524" s="56"/>
      <c r="BP2524" s="56"/>
      <c r="BQ2524" s="56"/>
      <c r="BR2524" s="56"/>
      <c r="BS2524" s="56"/>
      <c r="BT2524" s="56"/>
      <c r="BU2524" s="56"/>
      <c r="BV2524" s="56"/>
      <c r="BW2524" s="56"/>
      <c r="BX2524" s="56"/>
      <c r="BY2524" s="56"/>
      <c r="BZ2524" s="56"/>
      <c r="CA2524" s="56"/>
      <c r="CB2524" s="56"/>
      <c r="CC2524" s="56"/>
      <c r="CD2524" s="56"/>
      <c r="CE2524" s="56"/>
      <c r="CF2524" s="56"/>
      <c r="CG2524" s="56"/>
      <c r="CH2524" s="56"/>
      <c r="CI2524" s="56"/>
      <c r="CJ2524" s="56"/>
      <c r="CK2524" s="56"/>
      <c r="CL2524" s="56"/>
      <c r="CM2524" s="56"/>
      <c r="CN2524" s="56"/>
      <c r="CO2524" s="56"/>
      <c r="CP2524" s="56"/>
      <c r="CQ2524" s="56"/>
      <c r="CR2524" s="56"/>
      <c r="CS2524" s="56"/>
      <c r="CT2524" s="56"/>
      <c r="CU2524" s="56"/>
      <c r="CV2524" s="56"/>
      <c r="CW2524" s="56"/>
      <c r="CX2524" s="56"/>
      <c r="CY2524" s="56"/>
      <c r="CZ2524" s="56"/>
    </row>
    <row r="2525" spans="1:104" s="5" customFormat="1" x14ac:dyDescent="0.25">
      <c r="AA2525" s="56"/>
      <c r="AB2525" s="56"/>
      <c r="AC2525" s="56"/>
      <c r="AD2525" s="56"/>
      <c r="AE2525" s="56"/>
      <c r="AF2525" s="56"/>
      <c r="AG2525" s="56"/>
      <c r="AH2525" s="56"/>
      <c r="AI2525" s="56"/>
      <c r="AJ2525" s="56"/>
      <c r="AK2525" s="56"/>
      <c r="AL2525" s="56"/>
      <c r="AM2525" s="56"/>
      <c r="AN2525" s="56"/>
      <c r="AO2525" s="56"/>
      <c r="AP2525" s="56"/>
      <c r="AQ2525" s="56"/>
      <c r="AR2525" s="56"/>
      <c r="AS2525" s="56"/>
      <c r="AT2525" s="56"/>
      <c r="AU2525" s="56"/>
      <c r="AV2525" s="56"/>
      <c r="AW2525" s="56"/>
      <c r="AX2525" s="56"/>
      <c r="AY2525" s="56"/>
      <c r="AZ2525" s="56"/>
      <c r="BA2525" s="56"/>
      <c r="BB2525" s="16"/>
      <c r="BC2525" s="56"/>
      <c r="BD2525" s="56"/>
      <c r="BE2525" s="56"/>
      <c r="BF2525" s="56"/>
      <c r="BG2525" s="56"/>
      <c r="BH2525" s="56"/>
      <c r="BI2525" s="56"/>
      <c r="BJ2525" s="56"/>
      <c r="BK2525" s="56"/>
      <c r="BL2525" s="56"/>
      <c r="BM2525" s="56"/>
      <c r="BN2525" s="56"/>
      <c r="BO2525" s="56"/>
      <c r="BP2525" s="56"/>
      <c r="BQ2525" s="56"/>
      <c r="BR2525" s="56"/>
      <c r="BS2525" s="56"/>
      <c r="BT2525" s="56"/>
      <c r="BU2525" s="56"/>
      <c r="BV2525" s="56"/>
      <c r="BW2525" s="56"/>
      <c r="BX2525" s="56"/>
      <c r="BY2525" s="56"/>
      <c r="BZ2525" s="56"/>
      <c r="CA2525" s="56"/>
      <c r="CB2525" s="56"/>
      <c r="CC2525" s="56"/>
      <c r="CD2525" s="56"/>
      <c r="CE2525" s="56"/>
      <c r="CF2525" s="56"/>
      <c r="CG2525" s="56"/>
      <c r="CH2525" s="56"/>
      <c r="CI2525" s="56"/>
      <c r="CJ2525" s="56"/>
      <c r="CK2525" s="56"/>
      <c r="CL2525" s="56"/>
      <c r="CM2525" s="56"/>
      <c r="CN2525" s="56"/>
      <c r="CO2525" s="56"/>
      <c r="CP2525" s="56"/>
      <c r="CQ2525" s="56"/>
      <c r="CR2525" s="56"/>
      <c r="CS2525" s="56"/>
      <c r="CT2525" s="56"/>
      <c r="CU2525" s="56"/>
      <c r="CV2525" s="56"/>
      <c r="CW2525" s="56"/>
      <c r="CX2525" s="56"/>
      <c r="CY2525" s="56"/>
      <c r="CZ2525" s="56"/>
    </row>
    <row r="2526" spans="1:104" s="5" customFormat="1" x14ac:dyDescent="0.25">
      <c r="AA2526" s="56"/>
      <c r="AB2526" s="56"/>
      <c r="AC2526" s="56"/>
      <c r="AD2526" s="56"/>
      <c r="AE2526" s="56"/>
      <c r="AF2526" s="56"/>
      <c r="AG2526" s="56"/>
      <c r="AH2526" s="56"/>
      <c r="AI2526" s="56"/>
      <c r="AJ2526" s="56"/>
      <c r="AK2526" s="56"/>
      <c r="AL2526" s="56"/>
      <c r="AM2526" s="56"/>
      <c r="AN2526" s="56"/>
      <c r="AO2526" s="56"/>
      <c r="AP2526" s="56"/>
      <c r="AQ2526" s="56"/>
      <c r="AR2526" s="56"/>
      <c r="AS2526" s="56"/>
      <c r="AT2526" s="56"/>
      <c r="AU2526" s="56"/>
      <c r="AV2526" s="56"/>
      <c r="AW2526" s="56"/>
      <c r="AX2526" s="56"/>
      <c r="AY2526" s="56"/>
      <c r="AZ2526" s="56"/>
      <c r="BA2526" s="56"/>
      <c r="BB2526" s="16"/>
      <c r="BC2526" s="56"/>
      <c r="BD2526" s="56"/>
      <c r="BE2526" s="56"/>
      <c r="BF2526" s="56"/>
      <c r="BG2526" s="56"/>
      <c r="BH2526" s="56"/>
      <c r="BI2526" s="56"/>
      <c r="BJ2526" s="56"/>
      <c r="BK2526" s="56"/>
      <c r="BL2526" s="56"/>
      <c r="BM2526" s="56"/>
      <c r="BN2526" s="56"/>
      <c r="BO2526" s="56"/>
      <c r="BP2526" s="56"/>
      <c r="BQ2526" s="56"/>
      <c r="BR2526" s="56"/>
      <c r="BS2526" s="56"/>
      <c r="BT2526" s="56"/>
      <c r="BU2526" s="56"/>
      <c r="BV2526" s="56"/>
      <c r="BW2526" s="56"/>
      <c r="BX2526" s="56"/>
      <c r="BY2526" s="56"/>
      <c r="BZ2526" s="56"/>
      <c r="CA2526" s="56"/>
      <c r="CB2526" s="56"/>
      <c r="CC2526" s="56"/>
      <c r="CD2526" s="56"/>
      <c r="CE2526" s="56"/>
      <c r="CF2526" s="56"/>
      <c r="CG2526" s="56"/>
      <c r="CH2526" s="56"/>
      <c r="CI2526" s="56"/>
      <c r="CJ2526" s="56"/>
      <c r="CK2526" s="56"/>
      <c r="CL2526" s="56"/>
      <c r="CM2526" s="56"/>
      <c r="CN2526" s="56"/>
      <c r="CO2526" s="56"/>
      <c r="CP2526" s="56"/>
      <c r="CQ2526" s="56"/>
      <c r="CR2526" s="56"/>
      <c r="CS2526" s="56"/>
      <c r="CT2526" s="56"/>
      <c r="CU2526" s="56"/>
      <c r="CV2526" s="56"/>
      <c r="CW2526" s="56"/>
      <c r="CX2526" s="56"/>
      <c r="CY2526" s="56"/>
      <c r="CZ2526" s="56"/>
    </row>
    <row r="2527" spans="1:104" s="5" customFormat="1" x14ac:dyDescent="0.25">
      <c r="AA2527" s="56"/>
      <c r="AB2527" s="56"/>
      <c r="AC2527" s="56"/>
      <c r="AD2527" s="56"/>
      <c r="AE2527" s="56"/>
      <c r="AF2527" s="56"/>
      <c r="AG2527" s="56"/>
      <c r="AH2527" s="56"/>
      <c r="AI2527" s="56"/>
      <c r="AJ2527" s="56"/>
      <c r="AK2527" s="56"/>
      <c r="AL2527" s="56"/>
      <c r="AM2527" s="56"/>
      <c r="AN2527" s="56"/>
      <c r="AO2527" s="56"/>
      <c r="AP2527" s="56"/>
      <c r="AQ2527" s="56"/>
      <c r="AR2527" s="56"/>
      <c r="AS2527" s="56"/>
      <c r="AT2527" s="56"/>
      <c r="AU2527" s="56"/>
      <c r="AV2527" s="56"/>
      <c r="AW2527" s="56"/>
      <c r="AX2527" s="56"/>
      <c r="AY2527" s="56"/>
      <c r="AZ2527" s="56"/>
      <c r="BA2527" s="56"/>
      <c r="BB2527" s="16"/>
      <c r="BC2527" s="56"/>
      <c r="BD2527" s="56"/>
      <c r="BE2527" s="56"/>
      <c r="BF2527" s="56"/>
      <c r="BG2527" s="56"/>
      <c r="BH2527" s="56"/>
      <c r="BI2527" s="56"/>
      <c r="BJ2527" s="56"/>
      <c r="BK2527" s="56"/>
      <c r="BL2527" s="56"/>
      <c r="BM2527" s="56"/>
      <c r="BN2527" s="56"/>
      <c r="BO2527" s="56"/>
      <c r="BP2527" s="56"/>
      <c r="BQ2527" s="56"/>
      <c r="BR2527" s="56"/>
      <c r="BS2527" s="56"/>
      <c r="BT2527" s="56"/>
      <c r="BU2527" s="56"/>
      <c r="BV2527" s="56"/>
      <c r="BW2527" s="56"/>
      <c r="BX2527" s="56"/>
      <c r="BY2527" s="56"/>
      <c r="BZ2527" s="56"/>
      <c r="CA2527" s="56"/>
      <c r="CB2527" s="56"/>
      <c r="CC2527" s="56"/>
      <c r="CD2527" s="56"/>
      <c r="CE2527" s="56"/>
      <c r="CF2527" s="56"/>
      <c r="CG2527" s="56"/>
      <c r="CH2527" s="56"/>
      <c r="CI2527" s="56"/>
      <c r="CJ2527" s="56"/>
      <c r="CK2527" s="56"/>
      <c r="CL2527" s="56"/>
      <c r="CM2527" s="56"/>
      <c r="CN2527" s="56"/>
      <c r="CO2527" s="56"/>
      <c r="CP2527" s="56"/>
      <c r="CQ2527" s="56"/>
      <c r="CR2527" s="56"/>
      <c r="CS2527" s="56"/>
      <c r="CT2527" s="56"/>
      <c r="CU2527" s="56"/>
      <c r="CV2527" s="56"/>
      <c r="CW2527" s="56"/>
      <c r="CX2527" s="56"/>
      <c r="CY2527" s="56"/>
      <c r="CZ2527" s="56"/>
    </row>
    <row r="2528" spans="1:104" s="5" customFormat="1" x14ac:dyDescent="0.25">
      <c r="AA2528" s="56"/>
      <c r="AB2528" s="56"/>
      <c r="AC2528" s="56"/>
      <c r="AD2528" s="56"/>
      <c r="AE2528" s="56"/>
      <c r="AF2528" s="56"/>
      <c r="AG2528" s="56"/>
      <c r="AH2528" s="56"/>
      <c r="AI2528" s="56"/>
      <c r="AJ2528" s="56"/>
      <c r="AK2528" s="56"/>
      <c r="AL2528" s="56"/>
      <c r="AM2528" s="56"/>
      <c r="AN2528" s="56"/>
      <c r="AO2528" s="56"/>
      <c r="AP2528" s="56"/>
      <c r="AQ2528" s="56"/>
      <c r="AR2528" s="56"/>
      <c r="AS2528" s="56"/>
      <c r="AT2528" s="56"/>
      <c r="AU2528" s="56"/>
      <c r="AV2528" s="56"/>
      <c r="AW2528" s="56"/>
      <c r="AX2528" s="56"/>
      <c r="AY2528" s="56"/>
      <c r="AZ2528" s="56"/>
      <c r="BA2528" s="56"/>
      <c r="BB2528" s="16"/>
      <c r="BC2528" s="56"/>
      <c r="BD2528" s="56"/>
      <c r="BE2528" s="56"/>
      <c r="BF2528" s="56"/>
      <c r="BG2528" s="56"/>
      <c r="BH2528" s="56"/>
      <c r="BI2528" s="56"/>
      <c r="BJ2528" s="56"/>
      <c r="BK2528" s="56"/>
      <c r="BL2528" s="56"/>
      <c r="BM2528" s="56"/>
      <c r="BN2528" s="56"/>
      <c r="BO2528" s="56"/>
      <c r="BP2528" s="56"/>
      <c r="BQ2528" s="56"/>
      <c r="BR2528" s="56"/>
      <c r="BS2528" s="56"/>
      <c r="BT2528" s="56"/>
      <c r="BU2528" s="56"/>
      <c r="BV2528" s="56"/>
      <c r="BW2528" s="56"/>
      <c r="BX2528" s="56"/>
      <c r="BY2528" s="56"/>
      <c r="BZ2528" s="56"/>
      <c r="CA2528" s="56"/>
      <c r="CB2528" s="56"/>
      <c r="CC2528" s="56"/>
      <c r="CD2528" s="56"/>
      <c r="CE2528" s="56"/>
      <c r="CF2528" s="56"/>
      <c r="CG2528" s="56"/>
      <c r="CH2528" s="56"/>
      <c r="CI2528" s="56"/>
      <c r="CJ2528" s="56"/>
      <c r="CK2528" s="56"/>
      <c r="CL2528" s="56"/>
      <c r="CM2528" s="56"/>
      <c r="CN2528" s="56"/>
      <c r="CO2528" s="56"/>
      <c r="CP2528" s="56"/>
      <c r="CQ2528" s="56"/>
      <c r="CR2528" s="56"/>
      <c r="CS2528" s="56"/>
      <c r="CT2528" s="56"/>
      <c r="CU2528" s="56"/>
      <c r="CV2528" s="56"/>
      <c r="CW2528" s="56"/>
      <c r="CX2528" s="56"/>
      <c r="CY2528" s="56"/>
      <c r="CZ2528" s="56"/>
    </row>
    <row r="2529" spans="27:104" s="5" customFormat="1" x14ac:dyDescent="0.25">
      <c r="AA2529" s="56"/>
      <c r="AB2529" s="56"/>
      <c r="AC2529" s="56"/>
      <c r="AD2529" s="56"/>
      <c r="AE2529" s="56"/>
      <c r="AF2529" s="56"/>
      <c r="AG2529" s="56"/>
      <c r="AH2529" s="56"/>
      <c r="AI2529" s="56"/>
      <c r="AJ2529" s="56"/>
      <c r="AK2529" s="56"/>
      <c r="AL2529" s="56"/>
      <c r="AM2529" s="56"/>
      <c r="AN2529" s="56"/>
      <c r="AO2529" s="56"/>
      <c r="AP2529" s="56"/>
      <c r="AQ2529" s="56"/>
      <c r="AR2529" s="56"/>
      <c r="AS2529" s="56"/>
      <c r="AT2529" s="56"/>
      <c r="AU2529" s="56"/>
      <c r="AV2529" s="56"/>
      <c r="AW2529" s="56"/>
      <c r="AX2529" s="56"/>
      <c r="AY2529" s="56"/>
      <c r="AZ2529" s="56"/>
      <c r="BA2529" s="56"/>
      <c r="BB2529" s="16"/>
      <c r="BC2529" s="56"/>
      <c r="BD2529" s="56"/>
      <c r="BE2529" s="56"/>
      <c r="BF2529" s="56"/>
      <c r="BG2529" s="56"/>
      <c r="BH2529" s="56"/>
      <c r="BI2529" s="56"/>
      <c r="BJ2529" s="56"/>
      <c r="BK2529" s="56"/>
      <c r="BL2529" s="56"/>
      <c r="BM2529" s="56"/>
      <c r="BN2529" s="56"/>
      <c r="BO2529" s="56"/>
      <c r="BP2529" s="56"/>
      <c r="BQ2529" s="56"/>
      <c r="BR2529" s="56"/>
      <c r="BS2529" s="56"/>
      <c r="BT2529" s="56"/>
      <c r="BU2529" s="56"/>
      <c r="BV2529" s="56"/>
      <c r="BW2529" s="56"/>
      <c r="BX2529" s="56"/>
      <c r="BY2529" s="56"/>
      <c r="BZ2529" s="56"/>
      <c r="CA2529" s="56"/>
      <c r="CB2529" s="56"/>
      <c r="CC2529" s="56"/>
      <c r="CD2529" s="56"/>
      <c r="CE2529" s="56"/>
      <c r="CF2529" s="56"/>
      <c r="CG2529" s="56"/>
      <c r="CH2529" s="56"/>
      <c r="CI2529" s="56"/>
      <c r="CJ2529" s="56"/>
      <c r="CK2529" s="56"/>
      <c r="CL2529" s="56"/>
      <c r="CM2529" s="56"/>
      <c r="CN2529" s="56"/>
      <c r="CO2529" s="56"/>
      <c r="CP2529" s="56"/>
      <c r="CQ2529" s="56"/>
      <c r="CR2529" s="56"/>
      <c r="CS2529" s="56"/>
      <c r="CT2529" s="56"/>
      <c r="CU2529" s="56"/>
      <c r="CV2529" s="56"/>
      <c r="CW2529" s="56"/>
      <c r="CX2529" s="56"/>
      <c r="CY2529" s="56"/>
      <c r="CZ2529" s="56"/>
    </row>
    <row r="2530" spans="27:104" s="5" customFormat="1" x14ac:dyDescent="0.25">
      <c r="AA2530" s="56"/>
      <c r="AB2530" s="56"/>
      <c r="AC2530" s="56"/>
      <c r="AD2530" s="56"/>
      <c r="AE2530" s="56"/>
      <c r="AF2530" s="56"/>
      <c r="AG2530" s="56"/>
      <c r="AH2530" s="56"/>
      <c r="AI2530" s="56"/>
      <c r="AJ2530" s="56"/>
      <c r="AK2530" s="56"/>
      <c r="AL2530" s="56"/>
      <c r="AM2530" s="56"/>
      <c r="AN2530" s="56"/>
      <c r="AO2530" s="56"/>
      <c r="AP2530" s="56"/>
      <c r="AQ2530" s="56"/>
      <c r="AR2530" s="56"/>
      <c r="AS2530" s="56"/>
      <c r="AT2530" s="56"/>
      <c r="AU2530" s="56"/>
      <c r="AV2530" s="56"/>
      <c r="AW2530" s="56"/>
      <c r="AX2530" s="56"/>
      <c r="AY2530" s="56"/>
      <c r="AZ2530" s="56"/>
      <c r="BA2530" s="56"/>
      <c r="BB2530" s="16"/>
      <c r="BC2530" s="56"/>
      <c r="BD2530" s="56"/>
      <c r="BE2530" s="56"/>
      <c r="BF2530" s="56"/>
      <c r="BG2530" s="56"/>
      <c r="BH2530" s="56"/>
      <c r="BI2530" s="56"/>
      <c r="BJ2530" s="56"/>
      <c r="BK2530" s="56"/>
      <c r="BL2530" s="56"/>
      <c r="BM2530" s="56"/>
      <c r="BN2530" s="56"/>
      <c r="BO2530" s="56"/>
      <c r="BP2530" s="56"/>
      <c r="BQ2530" s="56"/>
      <c r="BR2530" s="56"/>
      <c r="BS2530" s="56"/>
      <c r="BT2530" s="56"/>
      <c r="BU2530" s="56"/>
      <c r="BV2530" s="56"/>
      <c r="BW2530" s="56"/>
      <c r="BX2530" s="56"/>
      <c r="BY2530" s="56"/>
      <c r="BZ2530" s="56"/>
      <c r="CA2530" s="56"/>
      <c r="CB2530" s="56"/>
      <c r="CC2530" s="56"/>
      <c r="CD2530" s="56"/>
      <c r="CE2530" s="56"/>
      <c r="CF2530" s="56"/>
      <c r="CG2530" s="56"/>
      <c r="CH2530" s="56"/>
      <c r="CI2530" s="56"/>
      <c r="CJ2530" s="56"/>
      <c r="CK2530" s="56"/>
      <c r="CL2530" s="56"/>
      <c r="CM2530" s="56"/>
      <c r="CN2530" s="56"/>
      <c r="CO2530" s="56"/>
      <c r="CP2530" s="56"/>
      <c r="CQ2530" s="56"/>
      <c r="CR2530" s="56"/>
      <c r="CS2530" s="56"/>
      <c r="CT2530" s="56"/>
      <c r="CU2530" s="56"/>
      <c r="CV2530" s="56"/>
      <c r="CW2530" s="56"/>
      <c r="CX2530" s="56"/>
      <c r="CY2530" s="56"/>
      <c r="CZ2530" s="56"/>
    </row>
    <row r="2531" spans="27:104" s="5" customFormat="1" x14ac:dyDescent="0.25">
      <c r="AA2531" s="56"/>
      <c r="AB2531" s="56"/>
      <c r="AC2531" s="56"/>
      <c r="AD2531" s="56"/>
      <c r="AE2531" s="56"/>
      <c r="AF2531" s="56"/>
      <c r="AG2531" s="56"/>
      <c r="AH2531" s="56"/>
      <c r="AI2531" s="56"/>
      <c r="AJ2531" s="56"/>
      <c r="AK2531" s="56"/>
      <c r="AL2531" s="56"/>
      <c r="AM2531" s="56"/>
      <c r="AN2531" s="56"/>
      <c r="AO2531" s="56"/>
      <c r="AP2531" s="56"/>
      <c r="AQ2531" s="56"/>
      <c r="AR2531" s="56"/>
      <c r="AS2531" s="56"/>
      <c r="AT2531" s="56"/>
      <c r="AU2531" s="56"/>
      <c r="AV2531" s="56"/>
      <c r="AW2531" s="56"/>
      <c r="AX2531" s="56"/>
      <c r="AY2531" s="56"/>
      <c r="AZ2531" s="56"/>
      <c r="BA2531" s="56"/>
      <c r="BB2531" s="16"/>
      <c r="BC2531" s="56"/>
      <c r="BD2531" s="56"/>
      <c r="BE2531" s="56"/>
      <c r="BF2531" s="56"/>
      <c r="BG2531" s="56"/>
      <c r="BH2531" s="56"/>
      <c r="BI2531" s="56"/>
      <c r="BJ2531" s="56"/>
      <c r="BK2531" s="56"/>
      <c r="BL2531" s="56"/>
      <c r="BM2531" s="56"/>
      <c r="BN2531" s="56"/>
      <c r="BO2531" s="56"/>
      <c r="BP2531" s="56"/>
      <c r="BQ2531" s="56"/>
      <c r="BR2531" s="56"/>
      <c r="BS2531" s="56"/>
      <c r="BT2531" s="56"/>
      <c r="BU2531" s="56"/>
      <c r="BV2531" s="56"/>
      <c r="BW2531" s="56"/>
      <c r="BX2531" s="56"/>
      <c r="BY2531" s="56"/>
      <c r="BZ2531" s="56"/>
      <c r="CA2531" s="56"/>
      <c r="CB2531" s="56"/>
      <c r="CC2531" s="56"/>
      <c r="CD2531" s="56"/>
      <c r="CE2531" s="56"/>
      <c r="CF2531" s="56"/>
      <c r="CG2531" s="56"/>
      <c r="CH2531" s="56"/>
      <c r="CI2531" s="56"/>
      <c r="CJ2531" s="56"/>
      <c r="CK2531" s="56"/>
      <c r="CL2531" s="56"/>
      <c r="CM2531" s="56"/>
      <c r="CN2531" s="56"/>
      <c r="CO2531" s="56"/>
      <c r="CP2531" s="56"/>
      <c r="CQ2531" s="56"/>
      <c r="CR2531" s="56"/>
      <c r="CS2531" s="56"/>
      <c r="CT2531" s="56"/>
      <c r="CU2531" s="56"/>
      <c r="CV2531" s="56"/>
      <c r="CW2531" s="56"/>
      <c r="CX2531" s="56"/>
      <c r="CY2531" s="56"/>
      <c r="CZ2531" s="56"/>
    </row>
    <row r="2532" spans="27:104" s="5" customFormat="1" x14ac:dyDescent="0.25">
      <c r="AA2532" s="56"/>
      <c r="AB2532" s="56"/>
      <c r="AC2532" s="56"/>
      <c r="AD2532" s="56"/>
      <c r="AE2532" s="56"/>
      <c r="AF2532" s="56"/>
      <c r="AG2532" s="56"/>
      <c r="AH2532" s="56"/>
      <c r="AI2532" s="56"/>
      <c r="AJ2532" s="56"/>
      <c r="AK2532" s="56"/>
      <c r="AL2532" s="56"/>
      <c r="AM2532" s="56"/>
      <c r="AN2532" s="56"/>
      <c r="AO2532" s="56"/>
      <c r="AP2532" s="56"/>
      <c r="AQ2532" s="56"/>
      <c r="AR2532" s="56"/>
      <c r="AS2532" s="56"/>
      <c r="AT2532" s="56"/>
      <c r="AU2532" s="56"/>
      <c r="AV2532" s="56"/>
      <c r="AW2532" s="56"/>
      <c r="AX2532" s="56"/>
      <c r="AY2532" s="56"/>
      <c r="AZ2532" s="56"/>
      <c r="BA2532" s="56"/>
      <c r="BB2532" s="16"/>
      <c r="BC2532" s="56"/>
      <c r="BD2532" s="56"/>
      <c r="BE2532" s="56"/>
      <c r="BF2532" s="56"/>
      <c r="BG2532" s="56"/>
      <c r="BH2532" s="56"/>
      <c r="BI2532" s="56"/>
      <c r="BJ2532" s="56"/>
      <c r="BK2532" s="56"/>
      <c r="BL2532" s="56"/>
      <c r="BM2532" s="56"/>
      <c r="BN2532" s="56"/>
      <c r="BO2532" s="56"/>
      <c r="BP2532" s="56"/>
      <c r="BQ2532" s="56"/>
      <c r="BR2532" s="56"/>
      <c r="BS2532" s="56"/>
      <c r="BT2532" s="56"/>
      <c r="BU2532" s="56"/>
      <c r="BV2532" s="56"/>
      <c r="BW2532" s="56"/>
      <c r="BX2532" s="56"/>
      <c r="BY2532" s="56"/>
      <c r="BZ2532" s="56"/>
      <c r="CA2532" s="56"/>
      <c r="CB2532" s="56"/>
      <c r="CC2532" s="56"/>
      <c r="CD2532" s="56"/>
      <c r="CE2532" s="56"/>
      <c r="CF2532" s="56"/>
      <c r="CG2532" s="56"/>
      <c r="CH2532" s="56"/>
      <c r="CI2532" s="56"/>
      <c r="CJ2532" s="56"/>
      <c r="CK2532" s="56"/>
      <c r="CL2532" s="56"/>
      <c r="CM2532" s="56"/>
      <c r="CN2532" s="56"/>
      <c r="CO2532" s="56"/>
      <c r="CP2532" s="56"/>
      <c r="CQ2532" s="56"/>
      <c r="CR2532" s="56"/>
      <c r="CS2532" s="56"/>
      <c r="CT2532" s="56"/>
      <c r="CU2532" s="56"/>
      <c r="CV2532" s="56"/>
      <c r="CW2532" s="56"/>
      <c r="CX2532" s="56"/>
      <c r="CY2532" s="56"/>
      <c r="CZ2532" s="56"/>
    </row>
    <row r="2533" spans="27:104" s="5" customFormat="1" x14ac:dyDescent="0.25">
      <c r="AA2533" s="56"/>
      <c r="AB2533" s="56"/>
      <c r="AC2533" s="56"/>
      <c r="AD2533" s="56"/>
      <c r="AE2533" s="56"/>
      <c r="AF2533" s="56"/>
      <c r="AG2533" s="56"/>
      <c r="AH2533" s="56"/>
      <c r="AI2533" s="56"/>
      <c r="AJ2533" s="56"/>
      <c r="AK2533" s="56"/>
      <c r="AL2533" s="56"/>
      <c r="AM2533" s="56"/>
      <c r="AN2533" s="56"/>
      <c r="AO2533" s="56"/>
      <c r="AP2533" s="56"/>
      <c r="AQ2533" s="56"/>
      <c r="AR2533" s="56"/>
      <c r="AS2533" s="56"/>
      <c r="AT2533" s="56"/>
      <c r="AU2533" s="56"/>
      <c r="AV2533" s="56"/>
      <c r="AW2533" s="56"/>
      <c r="AX2533" s="56"/>
      <c r="AY2533" s="56"/>
      <c r="AZ2533" s="56"/>
      <c r="BA2533" s="56"/>
      <c r="BB2533" s="16"/>
      <c r="BC2533" s="56"/>
      <c r="BD2533" s="56"/>
      <c r="BE2533" s="56"/>
      <c r="BF2533" s="56"/>
      <c r="BG2533" s="56"/>
      <c r="BH2533" s="56"/>
      <c r="BI2533" s="56"/>
      <c r="BJ2533" s="56"/>
      <c r="BK2533" s="56"/>
      <c r="BL2533" s="56"/>
      <c r="BM2533" s="56"/>
      <c r="BN2533" s="56"/>
      <c r="BO2533" s="56"/>
      <c r="BP2533" s="56"/>
      <c r="BQ2533" s="56"/>
      <c r="BR2533" s="56"/>
      <c r="BS2533" s="56"/>
      <c r="BT2533" s="56"/>
      <c r="BU2533" s="56"/>
      <c r="BV2533" s="56"/>
      <c r="BW2533" s="56"/>
      <c r="BX2533" s="56"/>
      <c r="BY2533" s="56"/>
      <c r="BZ2533" s="56"/>
      <c r="CA2533" s="56"/>
      <c r="CB2533" s="56"/>
      <c r="CC2533" s="56"/>
      <c r="CD2533" s="56"/>
      <c r="CE2533" s="56"/>
      <c r="CF2533" s="56"/>
      <c r="CG2533" s="56"/>
      <c r="CH2533" s="56"/>
      <c r="CI2533" s="56"/>
      <c r="CJ2533" s="56"/>
      <c r="CK2533" s="56"/>
      <c r="CL2533" s="56"/>
      <c r="CM2533" s="56"/>
      <c r="CN2533" s="56"/>
      <c r="CO2533" s="56"/>
      <c r="CP2533" s="56"/>
      <c r="CQ2533" s="56"/>
      <c r="CR2533" s="56"/>
      <c r="CS2533" s="56"/>
      <c r="CT2533" s="56"/>
      <c r="CU2533" s="56"/>
      <c r="CV2533" s="56"/>
      <c r="CW2533" s="56"/>
      <c r="CX2533" s="56"/>
      <c r="CY2533" s="56"/>
      <c r="CZ2533" s="56"/>
    </row>
    <row r="2534" spans="27:104" s="5" customFormat="1" x14ac:dyDescent="0.25">
      <c r="AA2534" s="56"/>
      <c r="AB2534" s="56"/>
      <c r="AC2534" s="56"/>
      <c r="AD2534" s="56"/>
      <c r="AE2534" s="56"/>
      <c r="AF2534" s="56"/>
      <c r="AG2534" s="56"/>
      <c r="AH2534" s="56"/>
      <c r="AI2534" s="56"/>
      <c r="AJ2534" s="56"/>
      <c r="AK2534" s="56"/>
      <c r="AL2534" s="56"/>
      <c r="AM2534" s="56"/>
      <c r="AN2534" s="56"/>
      <c r="AO2534" s="56"/>
      <c r="AP2534" s="56"/>
      <c r="AQ2534" s="56"/>
      <c r="AR2534" s="56"/>
      <c r="AS2534" s="56"/>
      <c r="AT2534" s="56"/>
      <c r="AU2534" s="56"/>
      <c r="AV2534" s="56"/>
      <c r="AW2534" s="56"/>
      <c r="AX2534" s="56"/>
      <c r="AY2534" s="56"/>
      <c r="AZ2534" s="56"/>
      <c r="BA2534" s="56"/>
      <c r="BB2534" s="16"/>
      <c r="BC2534" s="56"/>
      <c r="BD2534" s="56"/>
      <c r="BE2534" s="56"/>
      <c r="BF2534" s="56"/>
      <c r="BG2534" s="56"/>
      <c r="BH2534" s="56"/>
      <c r="BI2534" s="56"/>
      <c r="BJ2534" s="56"/>
      <c r="BK2534" s="56"/>
      <c r="BL2534" s="56"/>
      <c r="BM2534" s="56"/>
      <c r="BN2534" s="56"/>
      <c r="BO2534" s="56"/>
      <c r="BP2534" s="56"/>
      <c r="BQ2534" s="56"/>
      <c r="BR2534" s="56"/>
      <c r="BS2534" s="56"/>
      <c r="BT2534" s="56"/>
      <c r="BU2534" s="56"/>
      <c r="BV2534" s="56"/>
      <c r="BW2534" s="56"/>
      <c r="BX2534" s="56"/>
      <c r="BY2534" s="56"/>
      <c r="BZ2534" s="56"/>
      <c r="CA2534" s="56"/>
      <c r="CB2534" s="56"/>
      <c r="CC2534" s="56"/>
      <c r="CD2534" s="56"/>
      <c r="CE2534" s="56"/>
      <c r="CF2534" s="56"/>
      <c r="CG2534" s="56"/>
      <c r="CH2534" s="56"/>
      <c r="CI2534" s="56"/>
      <c r="CJ2534" s="56"/>
      <c r="CK2534" s="56"/>
      <c r="CL2534" s="56"/>
      <c r="CM2534" s="56"/>
      <c r="CN2534" s="56"/>
      <c r="CO2534" s="56"/>
      <c r="CP2534" s="56"/>
      <c r="CQ2534" s="56"/>
      <c r="CR2534" s="56"/>
      <c r="CS2534" s="56"/>
      <c r="CT2534" s="56"/>
      <c r="CU2534" s="56"/>
      <c r="CV2534" s="56"/>
      <c r="CW2534" s="56"/>
      <c r="CX2534" s="56"/>
      <c r="CY2534" s="56"/>
      <c r="CZ2534" s="56"/>
    </row>
    <row r="2535" spans="27:104" s="5" customFormat="1" x14ac:dyDescent="0.25">
      <c r="AA2535" s="56"/>
      <c r="AB2535" s="56"/>
      <c r="AC2535" s="56"/>
      <c r="AD2535" s="56"/>
      <c r="AE2535" s="56"/>
      <c r="AF2535" s="56"/>
      <c r="AG2535" s="56"/>
      <c r="AH2535" s="56"/>
      <c r="AI2535" s="56"/>
      <c r="AJ2535" s="56"/>
      <c r="AK2535" s="56"/>
      <c r="AL2535" s="56"/>
      <c r="AM2535" s="56"/>
      <c r="AN2535" s="56"/>
      <c r="AO2535" s="56"/>
      <c r="AP2535" s="56"/>
      <c r="AQ2535" s="56"/>
      <c r="AR2535" s="56"/>
      <c r="AS2535" s="56"/>
      <c r="AT2535" s="56"/>
      <c r="AU2535" s="56"/>
      <c r="AV2535" s="56"/>
      <c r="AW2535" s="56"/>
      <c r="AX2535" s="56"/>
      <c r="AY2535" s="56"/>
      <c r="AZ2535" s="56"/>
      <c r="BA2535" s="56"/>
      <c r="BB2535" s="16"/>
      <c r="BC2535" s="56"/>
      <c r="BD2535" s="56"/>
      <c r="BE2535" s="56"/>
      <c r="BF2535" s="56"/>
      <c r="BG2535" s="56"/>
      <c r="BH2535" s="56"/>
      <c r="BI2535" s="56"/>
      <c r="BJ2535" s="56"/>
      <c r="BK2535" s="56"/>
      <c r="BL2535" s="56"/>
      <c r="BM2535" s="56"/>
      <c r="BN2535" s="56"/>
      <c r="BO2535" s="56"/>
      <c r="BP2535" s="56"/>
      <c r="BQ2535" s="56"/>
      <c r="BR2535" s="56"/>
      <c r="BS2535" s="56"/>
      <c r="BT2535" s="56"/>
      <c r="BU2535" s="56"/>
      <c r="BV2535" s="56"/>
      <c r="BW2535" s="56"/>
      <c r="BX2535" s="56"/>
      <c r="BY2535" s="56"/>
      <c r="BZ2535" s="56"/>
      <c r="CA2535" s="56"/>
      <c r="CB2535" s="56"/>
      <c r="CC2535" s="56"/>
      <c r="CD2535" s="56"/>
      <c r="CE2535" s="56"/>
      <c r="CF2535" s="56"/>
      <c r="CG2535" s="56"/>
      <c r="CH2535" s="56"/>
      <c r="CI2535" s="56"/>
      <c r="CJ2535" s="56"/>
      <c r="CK2535" s="56"/>
      <c r="CL2535" s="56"/>
      <c r="CM2535" s="56"/>
      <c r="CN2535" s="56"/>
      <c r="CO2535" s="56"/>
      <c r="CP2535" s="56"/>
      <c r="CQ2535" s="56"/>
      <c r="CR2535" s="56"/>
      <c r="CS2535" s="56"/>
      <c r="CT2535" s="56"/>
      <c r="CU2535" s="56"/>
      <c r="CV2535" s="56"/>
      <c r="CW2535" s="56"/>
      <c r="CX2535" s="56"/>
      <c r="CY2535" s="56"/>
      <c r="CZ2535" s="56"/>
    </row>
    <row r="2536" spans="27:104" s="5" customFormat="1" x14ac:dyDescent="0.25">
      <c r="AA2536" s="56"/>
      <c r="AB2536" s="56"/>
      <c r="AC2536" s="56"/>
      <c r="AD2536" s="56"/>
      <c r="AE2536" s="56"/>
      <c r="AF2536" s="56"/>
      <c r="AG2536" s="56"/>
      <c r="AH2536" s="56"/>
      <c r="AI2536" s="56"/>
      <c r="AJ2536" s="56"/>
      <c r="AK2536" s="56"/>
      <c r="AL2536" s="56"/>
      <c r="AM2536" s="56"/>
      <c r="AN2536" s="56"/>
      <c r="AO2536" s="56"/>
      <c r="AP2536" s="56"/>
      <c r="AQ2536" s="56"/>
      <c r="AR2536" s="56"/>
      <c r="AS2536" s="56"/>
      <c r="AT2536" s="56"/>
      <c r="AU2536" s="56"/>
      <c r="AV2536" s="56"/>
      <c r="AW2536" s="56"/>
      <c r="AX2536" s="56"/>
      <c r="AY2536" s="56"/>
      <c r="AZ2536" s="56"/>
      <c r="BA2536" s="56"/>
      <c r="BB2536" s="16"/>
      <c r="BC2536" s="56"/>
      <c r="BD2536" s="56"/>
      <c r="BE2536" s="56"/>
      <c r="BF2536" s="56"/>
      <c r="BG2536" s="56"/>
      <c r="BH2536" s="56"/>
      <c r="BI2536" s="56"/>
      <c r="BJ2536" s="56"/>
      <c r="BK2536" s="56"/>
      <c r="BL2536" s="56"/>
      <c r="BM2536" s="56"/>
      <c r="BN2536" s="56"/>
      <c r="BO2536" s="56"/>
      <c r="BP2536" s="56"/>
      <c r="BQ2536" s="56"/>
      <c r="BR2536" s="56"/>
      <c r="BS2536" s="56"/>
      <c r="BT2536" s="56"/>
      <c r="BU2536" s="56"/>
      <c r="BV2536" s="56"/>
      <c r="BW2536" s="56"/>
      <c r="BX2536" s="56"/>
      <c r="BY2536" s="56"/>
      <c r="BZ2536" s="56"/>
      <c r="CA2536" s="56"/>
      <c r="CB2536" s="56"/>
      <c r="CC2536" s="56"/>
      <c r="CD2536" s="56"/>
      <c r="CE2536" s="56"/>
      <c r="CF2536" s="56"/>
      <c r="CG2536" s="56"/>
      <c r="CH2536" s="56"/>
      <c r="CI2536" s="56"/>
      <c r="CJ2536" s="56"/>
      <c r="CK2536" s="56"/>
      <c r="CL2536" s="56"/>
      <c r="CM2536" s="56"/>
      <c r="CN2536" s="56"/>
      <c r="CO2536" s="56"/>
      <c r="CP2536" s="56"/>
      <c r="CQ2536" s="56"/>
      <c r="CR2536" s="56"/>
      <c r="CS2536" s="56"/>
      <c r="CT2536" s="56"/>
      <c r="CU2536" s="56"/>
      <c r="CV2536" s="56"/>
      <c r="CW2536" s="56"/>
      <c r="CX2536" s="56"/>
      <c r="CY2536" s="56"/>
      <c r="CZ2536" s="56"/>
    </row>
    <row r="2537" spans="27:104" s="5" customFormat="1" x14ac:dyDescent="0.25">
      <c r="AA2537" s="56"/>
      <c r="AB2537" s="56"/>
      <c r="AC2537" s="56"/>
      <c r="AD2537" s="56"/>
      <c r="AE2537" s="56"/>
      <c r="AF2537" s="56"/>
      <c r="AG2537" s="56"/>
      <c r="AH2537" s="56"/>
      <c r="AI2537" s="56"/>
      <c r="AJ2537" s="56"/>
      <c r="AK2537" s="56"/>
      <c r="AL2537" s="56"/>
      <c r="AM2537" s="56"/>
      <c r="AN2537" s="56"/>
      <c r="AO2537" s="56"/>
      <c r="AP2537" s="56"/>
      <c r="AQ2537" s="56"/>
      <c r="AR2537" s="56"/>
      <c r="AS2537" s="56"/>
      <c r="AT2537" s="56"/>
      <c r="AU2537" s="56"/>
      <c r="AV2537" s="56"/>
      <c r="AW2537" s="56"/>
      <c r="AX2537" s="56"/>
      <c r="AY2537" s="56"/>
      <c r="AZ2537" s="56"/>
      <c r="BA2537" s="56"/>
      <c r="BB2537" s="16"/>
      <c r="BC2537" s="56"/>
      <c r="BD2537" s="56"/>
      <c r="BE2537" s="56"/>
      <c r="BF2537" s="56"/>
      <c r="BG2537" s="56"/>
      <c r="BH2537" s="56"/>
      <c r="BI2537" s="56"/>
      <c r="BJ2537" s="56"/>
      <c r="BK2537" s="56"/>
      <c r="BL2537" s="56"/>
      <c r="BM2537" s="56"/>
      <c r="BN2537" s="56"/>
      <c r="BO2537" s="56"/>
      <c r="BP2537" s="56"/>
      <c r="BQ2537" s="56"/>
      <c r="BR2537" s="56"/>
      <c r="BS2537" s="56"/>
      <c r="BT2537" s="56"/>
      <c r="BU2537" s="56"/>
      <c r="BV2537" s="56"/>
      <c r="BW2537" s="56"/>
      <c r="BX2537" s="56"/>
      <c r="BY2537" s="56"/>
      <c r="BZ2537" s="56"/>
      <c r="CA2537" s="56"/>
      <c r="CB2537" s="56"/>
      <c r="CC2537" s="56"/>
      <c r="CD2537" s="56"/>
      <c r="CE2537" s="56"/>
      <c r="CF2537" s="56"/>
      <c r="CG2537" s="56"/>
      <c r="CH2537" s="56"/>
      <c r="CI2537" s="56"/>
      <c r="CJ2537" s="56"/>
      <c r="CK2537" s="56"/>
      <c r="CL2537" s="56"/>
      <c r="CM2537" s="56"/>
      <c r="CN2537" s="56"/>
      <c r="CO2537" s="56"/>
      <c r="CP2537" s="56"/>
      <c r="CQ2537" s="56"/>
      <c r="CR2537" s="56"/>
      <c r="CS2537" s="56"/>
      <c r="CT2537" s="56"/>
      <c r="CU2537" s="56"/>
      <c r="CV2537" s="56"/>
      <c r="CW2537" s="56"/>
      <c r="CX2537" s="56"/>
      <c r="CY2537" s="56"/>
      <c r="CZ2537" s="56"/>
    </row>
    <row r="2538" spans="27:104" s="5" customFormat="1" x14ac:dyDescent="0.25">
      <c r="AA2538" s="56"/>
      <c r="AB2538" s="56"/>
      <c r="AC2538" s="56"/>
      <c r="AD2538" s="56"/>
      <c r="AE2538" s="56"/>
      <c r="AF2538" s="56"/>
      <c r="AG2538" s="56"/>
      <c r="AH2538" s="56"/>
      <c r="AI2538" s="56"/>
      <c r="AJ2538" s="56"/>
      <c r="AK2538" s="56"/>
      <c r="AL2538" s="56"/>
      <c r="AM2538" s="56"/>
      <c r="AN2538" s="56"/>
      <c r="AO2538" s="56"/>
      <c r="AP2538" s="56"/>
      <c r="AQ2538" s="56"/>
      <c r="AR2538" s="56"/>
      <c r="AS2538" s="56"/>
      <c r="AT2538" s="56"/>
      <c r="AU2538" s="56"/>
      <c r="AV2538" s="56"/>
      <c r="AW2538" s="56"/>
      <c r="AX2538" s="56"/>
      <c r="AY2538" s="56"/>
      <c r="AZ2538" s="56"/>
      <c r="BA2538" s="56"/>
      <c r="BB2538" s="16"/>
      <c r="BC2538" s="56"/>
      <c r="BD2538" s="56"/>
      <c r="BE2538" s="56"/>
      <c r="BF2538" s="56"/>
      <c r="BG2538" s="56"/>
      <c r="BH2538" s="56"/>
      <c r="BI2538" s="56"/>
      <c r="BJ2538" s="56"/>
      <c r="BK2538" s="56"/>
      <c r="BL2538" s="56"/>
      <c r="BM2538" s="56"/>
      <c r="BN2538" s="56"/>
      <c r="BO2538" s="56"/>
      <c r="BP2538" s="56"/>
      <c r="BQ2538" s="56"/>
      <c r="BR2538" s="56"/>
      <c r="BS2538" s="56"/>
      <c r="BT2538" s="56"/>
      <c r="BU2538" s="56"/>
      <c r="BV2538" s="56"/>
      <c r="BW2538" s="56"/>
      <c r="BX2538" s="56"/>
      <c r="BY2538" s="56"/>
      <c r="BZ2538" s="56"/>
      <c r="CA2538" s="56"/>
      <c r="CB2538" s="56"/>
      <c r="CC2538" s="56"/>
      <c r="CD2538" s="56"/>
      <c r="CE2538" s="56"/>
      <c r="CF2538" s="56"/>
      <c r="CG2538" s="56"/>
      <c r="CH2538" s="56"/>
      <c r="CI2538" s="56"/>
      <c r="CJ2538" s="56"/>
      <c r="CK2538" s="56"/>
      <c r="CL2538" s="56"/>
      <c r="CM2538" s="56"/>
      <c r="CN2538" s="56"/>
      <c r="CO2538" s="56"/>
      <c r="CP2538" s="56"/>
      <c r="CQ2538" s="56"/>
      <c r="CR2538" s="56"/>
      <c r="CS2538" s="56"/>
      <c r="CT2538" s="56"/>
      <c r="CU2538" s="56"/>
      <c r="CV2538" s="56"/>
      <c r="CW2538" s="56"/>
      <c r="CX2538" s="56"/>
      <c r="CY2538" s="56"/>
      <c r="CZ2538" s="56"/>
    </row>
    <row r="2539" spans="27:104" s="5" customFormat="1" x14ac:dyDescent="0.25">
      <c r="AA2539" s="56"/>
      <c r="AB2539" s="56"/>
      <c r="AC2539" s="56"/>
      <c r="AD2539" s="56"/>
      <c r="AE2539" s="56"/>
      <c r="AF2539" s="56"/>
      <c r="AG2539" s="56"/>
      <c r="AH2539" s="56"/>
      <c r="AI2539" s="56"/>
      <c r="AJ2539" s="56"/>
      <c r="AK2539" s="56"/>
      <c r="AL2539" s="56"/>
      <c r="AM2539" s="56"/>
      <c r="AN2539" s="56"/>
      <c r="AO2539" s="56"/>
      <c r="AP2539" s="56"/>
      <c r="AQ2539" s="56"/>
      <c r="AR2539" s="56"/>
      <c r="AS2539" s="56"/>
      <c r="AT2539" s="56"/>
      <c r="AU2539" s="56"/>
      <c r="AV2539" s="56"/>
      <c r="AW2539" s="56"/>
      <c r="AX2539" s="56"/>
      <c r="AY2539" s="56"/>
      <c r="AZ2539" s="56"/>
      <c r="BA2539" s="56"/>
      <c r="BB2539" s="16"/>
      <c r="BC2539" s="56"/>
      <c r="BD2539" s="56"/>
      <c r="BE2539" s="56"/>
      <c r="BF2539" s="56"/>
      <c r="BG2539" s="56"/>
      <c r="BH2539" s="56"/>
      <c r="BI2539" s="56"/>
      <c r="BJ2539" s="56"/>
      <c r="BK2539" s="56"/>
      <c r="BL2539" s="56"/>
      <c r="BM2539" s="56"/>
      <c r="BN2539" s="56"/>
      <c r="BO2539" s="56"/>
      <c r="BP2539" s="56"/>
      <c r="BQ2539" s="56"/>
      <c r="BR2539" s="56"/>
      <c r="BS2539" s="56"/>
      <c r="BT2539" s="56"/>
      <c r="BU2539" s="56"/>
      <c r="BV2539" s="56"/>
      <c r="BW2539" s="56"/>
      <c r="BX2539" s="56"/>
      <c r="BY2539" s="56"/>
      <c r="BZ2539" s="56"/>
      <c r="CA2539" s="56"/>
      <c r="CB2539" s="56"/>
      <c r="CC2539" s="56"/>
      <c r="CD2539" s="56"/>
      <c r="CE2539" s="56"/>
      <c r="CF2539" s="56"/>
      <c r="CG2539" s="56"/>
      <c r="CH2539" s="56"/>
      <c r="CI2539" s="56"/>
      <c r="CJ2539" s="56"/>
      <c r="CK2539" s="56"/>
      <c r="CL2539" s="56"/>
      <c r="CM2539" s="56"/>
      <c r="CN2539" s="56"/>
      <c r="CO2539" s="56"/>
      <c r="CP2539" s="56"/>
      <c r="CQ2539" s="56"/>
      <c r="CR2539" s="56"/>
      <c r="CS2539" s="56"/>
      <c r="CT2539" s="56"/>
      <c r="CU2539" s="56"/>
      <c r="CV2539" s="56"/>
      <c r="CW2539" s="56"/>
      <c r="CX2539" s="56"/>
      <c r="CY2539" s="56"/>
      <c r="CZ2539" s="56"/>
    </row>
    <row r="2540" spans="27:104" s="5" customFormat="1" x14ac:dyDescent="0.25">
      <c r="AA2540" s="56"/>
      <c r="AB2540" s="56"/>
      <c r="AC2540" s="56"/>
      <c r="AD2540" s="56"/>
      <c r="AE2540" s="56"/>
      <c r="AF2540" s="56"/>
      <c r="AG2540" s="56"/>
      <c r="AH2540" s="56"/>
      <c r="AI2540" s="56"/>
      <c r="AJ2540" s="56"/>
      <c r="AK2540" s="56"/>
      <c r="AL2540" s="56"/>
      <c r="AM2540" s="56"/>
      <c r="AN2540" s="56"/>
      <c r="AO2540" s="56"/>
      <c r="AP2540" s="56"/>
      <c r="AQ2540" s="56"/>
      <c r="AR2540" s="56"/>
      <c r="AS2540" s="56"/>
      <c r="AT2540" s="56"/>
      <c r="AU2540" s="56"/>
      <c r="AV2540" s="56"/>
      <c r="AW2540" s="56"/>
      <c r="AX2540" s="56"/>
      <c r="AY2540" s="56"/>
      <c r="AZ2540" s="56"/>
      <c r="BA2540" s="56"/>
      <c r="BB2540" s="16"/>
      <c r="BC2540" s="56"/>
      <c r="BD2540" s="56"/>
      <c r="BE2540" s="56"/>
      <c r="BF2540" s="56"/>
      <c r="BG2540" s="56"/>
      <c r="BH2540" s="56"/>
      <c r="BI2540" s="56"/>
      <c r="BJ2540" s="56"/>
      <c r="BK2540" s="56"/>
      <c r="BL2540" s="56"/>
      <c r="BM2540" s="56"/>
      <c r="BN2540" s="56"/>
      <c r="BO2540" s="56"/>
      <c r="BP2540" s="56"/>
      <c r="BQ2540" s="56"/>
      <c r="BR2540" s="56"/>
      <c r="BS2540" s="56"/>
      <c r="BT2540" s="56"/>
      <c r="BU2540" s="56"/>
      <c r="BV2540" s="56"/>
      <c r="BW2540" s="56"/>
      <c r="BX2540" s="56"/>
      <c r="BY2540" s="56"/>
      <c r="BZ2540" s="56"/>
      <c r="CA2540" s="56"/>
      <c r="CB2540" s="56"/>
      <c r="CC2540" s="56"/>
      <c r="CD2540" s="56"/>
      <c r="CE2540" s="56"/>
      <c r="CF2540" s="56"/>
      <c r="CG2540" s="56"/>
      <c r="CH2540" s="56"/>
      <c r="CI2540" s="56"/>
      <c r="CJ2540" s="56"/>
      <c r="CK2540" s="56"/>
      <c r="CL2540" s="56"/>
      <c r="CM2540" s="56"/>
      <c r="CN2540" s="56"/>
      <c r="CO2540" s="56"/>
      <c r="CP2540" s="56"/>
      <c r="CQ2540" s="56"/>
      <c r="CR2540" s="56"/>
      <c r="CS2540" s="56"/>
      <c r="CT2540" s="56"/>
      <c r="CU2540" s="56"/>
      <c r="CV2540" s="56"/>
      <c r="CW2540" s="56"/>
      <c r="CX2540" s="56"/>
      <c r="CY2540" s="56"/>
      <c r="CZ2540" s="56"/>
    </row>
    <row r="2541" spans="27:104" s="5" customFormat="1" x14ac:dyDescent="0.25">
      <c r="AA2541" s="56"/>
      <c r="AB2541" s="56"/>
      <c r="AC2541" s="56"/>
      <c r="AD2541" s="56"/>
      <c r="AE2541" s="56"/>
      <c r="AF2541" s="56"/>
      <c r="AG2541" s="56"/>
      <c r="AH2541" s="56"/>
      <c r="AI2541" s="56"/>
      <c r="AJ2541" s="56"/>
      <c r="AK2541" s="56"/>
      <c r="AL2541" s="56"/>
      <c r="AM2541" s="56"/>
      <c r="AN2541" s="56"/>
      <c r="AO2541" s="56"/>
      <c r="AP2541" s="56"/>
      <c r="AQ2541" s="56"/>
      <c r="AR2541" s="56"/>
      <c r="AS2541" s="56"/>
      <c r="AT2541" s="56"/>
      <c r="AU2541" s="56"/>
      <c r="AV2541" s="56"/>
      <c r="AW2541" s="56"/>
      <c r="AX2541" s="56"/>
      <c r="AY2541" s="56"/>
      <c r="AZ2541" s="56"/>
      <c r="BA2541" s="56"/>
      <c r="BB2541" s="16"/>
      <c r="BC2541" s="56"/>
      <c r="BD2541" s="56"/>
      <c r="BE2541" s="56"/>
      <c r="BF2541" s="56"/>
      <c r="BG2541" s="56"/>
      <c r="BH2541" s="56"/>
      <c r="BI2541" s="56"/>
      <c r="BJ2541" s="56"/>
      <c r="BK2541" s="56"/>
      <c r="BL2541" s="56"/>
      <c r="BM2541" s="56"/>
      <c r="BN2541" s="56"/>
      <c r="BO2541" s="56"/>
      <c r="BP2541" s="56"/>
      <c r="BQ2541" s="56"/>
      <c r="BR2541" s="56"/>
      <c r="BS2541" s="56"/>
      <c r="BT2541" s="56"/>
      <c r="BU2541" s="56"/>
      <c r="BV2541" s="56"/>
      <c r="BW2541" s="56"/>
      <c r="BX2541" s="56"/>
      <c r="BY2541" s="56"/>
      <c r="BZ2541" s="56"/>
      <c r="CA2541" s="56"/>
      <c r="CB2541" s="56"/>
      <c r="CC2541" s="56"/>
      <c r="CD2541" s="56"/>
      <c r="CE2541" s="56"/>
      <c r="CF2541" s="56"/>
      <c r="CG2541" s="56"/>
      <c r="CH2541" s="56"/>
      <c r="CI2541" s="56"/>
      <c r="CJ2541" s="56"/>
      <c r="CK2541" s="56"/>
      <c r="CL2541" s="56"/>
      <c r="CM2541" s="56"/>
      <c r="CN2541" s="56"/>
      <c r="CO2541" s="56"/>
      <c r="CP2541" s="56"/>
      <c r="CQ2541" s="56"/>
      <c r="CR2541" s="56"/>
      <c r="CS2541" s="56"/>
      <c r="CT2541" s="56"/>
      <c r="CU2541" s="56"/>
      <c r="CV2541" s="56"/>
      <c r="CW2541" s="56"/>
      <c r="CX2541" s="56"/>
      <c r="CY2541" s="56"/>
      <c r="CZ2541" s="56"/>
    </row>
    <row r="2542" spans="27:104" s="5" customFormat="1" x14ac:dyDescent="0.25">
      <c r="AA2542" s="56"/>
      <c r="AB2542" s="56"/>
      <c r="AC2542" s="56"/>
      <c r="AD2542" s="56"/>
      <c r="AE2542" s="56"/>
      <c r="AF2542" s="56"/>
      <c r="AG2542" s="56"/>
      <c r="AH2542" s="56"/>
      <c r="AI2542" s="56"/>
      <c r="AJ2542" s="56"/>
      <c r="AK2542" s="56"/>
      <c r="AL2542" s="56"/>
      <c r="AM2542" s="56"/>
      <c r="AN2542" s="56"/>
      <c r="AO2542" s="56"/>
      <c r="AP2542" s="56"/>
      <c r="AQ2542" s="56"/>
      <c r="AR2542" s="56"/>
      <c r="AS2542" s="56"/>
      <c r="AT2542" s="56"/>
      <c r="AU2542" s="56"/>
      <c r="AV2542" s="56"/>
      <c r="AW2542" s="56"/>
      <c r="AX2542" s="56"/>
      <c r="AY2542" s="56"/>
      <c r="AZ2542" s="56"/>
      <c r="BA2542" s="56"/>
      <c r="BB2542" s="16"/>
      <c r="BC2542" s="56"/>
      <c r="BD2542" s="56"/>
      <c r="BE2542" s="56"/>
      <c r="BF2542" s="56"/>
      <c r="BG2542" s="56"/>
      <c r="BH2542" s="56"/>
      <c r="BI2542" s="56"/>
      <c r="BJ2542" s="56"/>
      <c r="BK2542" s="56"/>
      <c r="BL2542" s="56"/>
      <c r="BM2542" s="56"/>
      <c r="BN2542" s="56"/>
      <c r="BO2542" s="56"/>
      <c r="BP2542" s="56"/>
      <c r="BQ2542" s="56"/>
      <c r="BR2542" s="56"/>
      <c r="BS2542" s="56"/>
      <c r="BT2542" s="56"/>
      <c r="BU2542" s="56"/>
      <c r="BV2542" s="56"/>
      <c r="BW2542" s="56"/>
      <c r="BX2542" s="56"/>
      <c r="BY2542" s="56"/>
      <c r="BZ2542" s="56"/>
      <c r="CA2542" s="56"/>
      <c r="CB2542" s="56"/>
      <c r="CC2542" s="56"/>
      <c r="CD2542" s="56"/>
      <c r="CE2542" s="56"/>
      <c r="CF2542" s="56"/>
      <c r="CG2542" s="56"/>
      <c r="CH2542" s="56"/>
      <c r="CI2542" s="56"/>
      <c r="CJ2542" s="56"/>
      <c r="CK2542" s="56"/>
      <c r="CL2542" s="56"/>
      <c r="CM2542" s="56"/>
      <c r="CN2542" s="56"/>
      <c r="CO2542" s="56"/>
      <c r="CP2542" s="56"/>
      <c r="CQ2542" s="56"/>
      <c r="CR2542" s="56"/>
      <c r="CS2542" s="56"/>
      <c r="CT2542" s="56"/>
      <c r="CU2542" s="56"/>
      <c r="CV2542" s="56"/>
      <c r="CW2542" s="56"/>
      <c r="CX2542" s="56"/>
      <c r="CY2542" s="56"/>
      <c r="CZ2542" s="56"/>
    </row>
    <row r="2543" spans="27:104" s="5" customFormat="1" x14ac:dyDescent="0.25">
      <c r="AA2543" s="56"/>
      <c r="AB2543" s="56"/>
      <c r="AC2543" s="56"/>
      <c r="AD2543" s="56"/>
      <c r="AE2543" s="56"/>
      <c r="AF2543" s="56"/>
      <c r="AG2543" s="56"/>
      <c r="AH2543" s="56"/>
      <c r="AI2543" s="56"/>
      <c r="AJ2543" s="56"/>
      <c r="AK2543" s="56"/>
      <c r="AL2543" s="56"/>
      <c r="AM2543" s="56"/>
      <c r="AN2543" s="56"/>
      <c r="AO2543" s="56"/>
      <c r="AP2543" s="56"/>
      <c r="AQ2543" s="56"/>
      <c r="AR2543" s="56"/>
      <c r="AS2543" s="56"/>
      <c r="AT2543" s="56"/>
      <c r="AU2543" s="56"/>
      <c r="AV2543" s="56"/>
      <c r="AW2543" s="56"/>
      <c r="AX2543" s="56"/>
      <c r="AY2543" s="56"/>
      <c r="AZ2543" s="56"/>
      <c r="BA2543" s="56"/>
      <c r="BB2543" s="16"/>
      <c r="BC2543" s="56"/>
      <c r="BD2543" s="56"/>
      <c r="BE2543" s="56"/>
      <c r="BF2543" s="56"/>
      <c r="BG2543" s="56"/>
      <c r="BH2543" s="56"/>
      <c r="BI2543" s="56"/>
      <c r="BJ2543" s="56"/>
      <c r="BK2543" s="56"/>
      <c r="BL2543" s="56"/>
      <c r="BM2543" s="56"/>
      <c r="BN2543" s="56"/>
      <c r="BO2543" s="56"/>
      <c r="BP2543" s="56"/>
      <c r="BQ2543" s="56"/>
      <c r="BR2543" s="56"/>
      <c r="BS2543" s="56"/>
      <c r="BT2543" s="56"/>
      <c r="BU2543" s="56"/>
      <c r="BV2543" s="56"/>
      <c r="BW2543" s="56"/>
      <c r="BX2543" s="56"/>
      <c r="BY2543" s="56"/>
      <c r="BZ2543" s="56"/>
      <c r="CA2543" s="56"/>
      <c r="CB2543" s="56"/>
      <c r="CC2543" s="56"/>
      <c r="CD2543" s="56"/>
      <c r="CE2543" s="56"/>
      <c r="CF2543" s="56"/>
      <c r="CG2543" s="56"/>
      <c r="CH2543" s="56"/>
      <c r="CI2543" s="56"/>
      <c r="CJ2543" s="56"/>
      <c r="CK2543" s="56"/>
      <c r="CL2543" s="56"/>
      <c r="CM2543" s="56"/>
      <c r="CN2543" s="56"/>
      <c r="CO2543" s="56"/>
      <c r="CP2543" s="56"/>
      <c r="CQ2543" s="56"/>
      <c r="CR2543" s="56"/>
      <c r="CS2543" s="56"/>
      <c r="CT2543" s="56"/>
      <c r="CU2543" s="56"/>
      <c r="CV2543" s="56"/>
      <c r="CW2543" s="56"/>
      <c r="CX2543" s="56"/>
      <c r="CY2543" s="56"/>
      <c r="CZ2543" s="56"/>
    </row>
    <row r="2544" spans="27:104" s="5" customFormat="1" x14ac:dyDescent="0.25">
      <c r="AA2544" s="56"/>
      <c r="AB2544" s="56"/>
      <c r="AC2544" s="56"/>
      <c r="AD2544" s="56"/>
      <c r="AE2544" s="56"/>
      <c r="AF2544" s="56"/>
      <c r="AG2544" s="56"/>
      <c r="AH2544" s="56"/>
      <c r="AI2544" s="56"/>
      <c r="AJ2544" s="56"/>
      <c r="AK2544" s="56"/>
      <c r="AL2544" s="56"/>
      <c r="AM2544" s="56"/>
      <c r="AN2544" s="56"/>
      <c r="AO2544" s="56"/>
      <c r="AP2544" s="56"/>
      <c r="AQ2544" s="56"/>
      <c r="AR2544" s="56"/>
      <c r="AS2544" s="56"/>
      <c r="AT2544" s="56"/>
      <c r="AU2544" s="56"/>
      <c r="AV2544" s="56"/>
      <c r="AW2544" s="56"/>
      <c r="AX2544" s="56"/>
      <c r="AY2544" s="56"/>
      <c r="AZ2544" s="56"/>
      <c r="BA2544" s="56"/>
      <c r="BB2544" s="16"/>
      <c r="BC2544" s="56"/>
      <c r="BD2544" s="56"/>
      <c r="BE2544" s="56"/>
      <c r="BF2544" s="56"/>
      <c r="BG2544" s="56"/>
      <c r="BH2544" s="56"/>
      <c r="BI2544" s="56"/>
      <c r="BJ2544" s="56"/>
      <c r="BK2544" s="56"/>
      <c r="BL2544" s="56"/>
      <c r="BM2544" s="56"/>
      <c r="BN2544" s="56"/>
      <c r="BO2544" s="56"/>
      <c r="BP2544" s="56"/>
      <c r="BQ2544" s="56"/>
      <c r="BR2544" s="56"/>
      <c r="BS2544" s="56"/>
      <c r="BT2544" s="56"/>
      <c r="BU2544" s="56"/>
      <c r="BV2544" s="56"/>
      <c r="BW2544" s="56"/>
      <c r="BX2544" s="56"/>
      <c r="BY2544" s="56"/>
      <c r="BZ2544" s="56"/>
      <c r="CA2544" s="56"/>
      <c r="CB2544" s="56"/>
      <c r="CC2544" s="56"/>
      <c r="CD2544" s="56"/>
      <c r="CE2544" s="56"/>
      <c r="CF2544" s="56"/>
      <c r="CG2544" s="56"/>
      <c r="CH2544" s="56"/>
      <c r="CI2544" s="56"/>
      <c r="CJ2544" s="56"/>
      <c r="CK2544" s="56"/>
      <c r="CL2544" s="56"/>
      <c r="CM2544" s="56"/>
      <c r="CN2544" s="56"/>
      <c r="CO2544" s="56"/>
      <c r="CP2544" s="56"/>
      <c r="CQ2544" s="56"/>
      <c r="CR2544" s="56"/>
      <c r="CS2544" s="56"/>
      <c r="CT2544" s="56"/>
      <c r="CU2544" s="56"/>
      <c r="CV2544" s="56"/>
      <c r="CW2544" s="56"/>
      <c r="CX2544" s="56"/>
      <c r="CY2544" s="56"/>
      <c r="CZ2544" s="56"/>
    </row>
    <row r="2545" spans="27:104" s="5" customFormat="1" x14ac:dyDescent="0.25">
      <c r="AA2545" s="56"/>
      <c r="AB2545" s="56"/>
      <c r="AC2545" s="56"/>
      <c r="AD2545" s="56"/>
      <c r="AE2545" s="56"/>
      <c r="AF2545" s="56"/>
      <c r="AG2545" s="56"/>
      <c r="AH2545" s="56"/>
      <c r="AI2545" s="56"/>
      <c r="AJ2545" s="56"/>
      <c r="AK2545" s="56"/>
      <c r="AL2545" s="56"/>
      <c r="AM2545" s="56"/>
      <c r="AN2545" s="56"/>
      <c r="AO2545" s="56"/>
      <c r="AP2545" s="56"/>
      <c r="AQ2545" s="56"/>
      <c r="AR2545" s="56"/>
      <c r="AS2545" s="56"/>
      <c r="AT2545" s="56"/>
      <c r="AU2545" s="56"/>
      <c r="AV2545" s="56"/>
      <c r="AW2545" s="56"/>
      <c r="AX2545" s="56"/>
      <c r="AY2545" s="56"/>
      <c r="AZ2545" s="56"/>
      <c r="BA2545" s="56"/>
      <c r="BB2545" s="16"/>
      <c r="BC2545" s="56"/>
      <c r="BD2545" s="56"/>
      <c r="BE2545" s="56"/>
      <c r="BF2545" s="56"/>
      <c r="BG2545" s="56"/>
      <c r="BH2545" s="56"/>
      <c r="BI2545" s="56"/>
      <c r="BJ2545" s="56"/>
      <c r="BK2545" s="56"/>
      <c r="BL2545" s="56"/>
      <c r="BM2545" s="56"/>
      <c r="BN2545" s="56"/>
      <c r="BO2545" s="56"/>
      <c r="BP2545" s="56"/>
      <c r="BQ2545" s="56"/>
      <c r="BR2545" s="56"/>
      <c r="BS2545" s="56"/>
      <c r="BT2545" s="56"/>
      <c r="BU2545" s="56"/>
      <c r="BV2545" s="56"/>
      <c r="BW2545" s="56"/>
      <c r="BX2545" s="56"/>
      <c r="BY2545" s="56"/>
      <c r="BZ2545" s="56"/>
      <c r="CA2545" s="56"/>
      <c r="CB2545" s="56"/>
      <c r="CC2545" s="56"/>
      <c r="CD2545" s="56"/>
      <c r="CE2545" s="56"/>
      <c r="CF2545" s="56"/>
      <c r="CG2545" s="56"/>
      <c r="CH2545" s="56"/>
      <c r="CI2545" s="56"/>
      <c r="CJ2545" s="56"/>
      <c r="CK2545" s="56"/>
      <c r="CL2545" s="56"/>
      <c r="CM2545" s="56"/>
      <c r="CN2545" s="56"/>
      <c r="CO2545" s="56"/>
      <c r="CP2545" s="56"/>
      <c r="CQ2545" s="56"/>
      <c r="CR2545" s="56"/>
      <c r="CS2545" s="56"/>
      <c r="CT2545" s="56"/>
      <c r="CU2545" s="56"/>
      <c r="CV2545" s="56"/>
      <c r="CW2545" s="56"/>
      <c r="CX2545" s="56"/>
      <c r="CY2545" s="56"/>
      <c r="CZ2545" s="56"/>
    </row>
    <row r="2546" spans="27:104" s="5" customFormat="1" x14ac:dyDescent="0.25">
      <c r="AA2546" s="56"/>
      <c r="AB2546" s="56"/>
      <c r="AC2546" s="56"/>
      <c r="AD2546" s="56"/>
      <c r="AE2546" s="56"/>
      <c r="AF2546" s="56"/>
      <c r="AG2546" s="56"/>
      <c r="AH2546" s="56"/>
      <c r="AI2546" s="56"/>
      <c r="AJ2546" s="56"/>
      <c r="AK2546" s="56"/>
      <c r="AL2546" s="56"/>
      <c r="AM2546" s="56"/>
      <c r="AN2546" s="56"/>
      <c r="AO2546" s="56"/>
      <c r="AP2546" s="56"/>
      <c r="AQ2546" s="56"/>
      <c r="AR2546" s="56"/>
      <c r="AS2546" s="56"/>
      <c r="AT2546" s="56"/>
      <c r="AU2546" s="56"/>
      <c r="AV2546" s="56"/>
      <c r="AW2546" s="56"/>
      <c r="AX2546" s="56"/>
      <c r="AY2546" s="56"/>
      <c r="AZ2546" s="56"/>
      <c r="BA2546" s="56"/>
      <c r="BB2546" s="16"/>
      <c r="BC2546" s="56"/>
      <c r="BD2546" s="56"/>
      <c r="BE2546" s="56"/>
      <c r="BF2546" s="56"/>
      <c r="BG2546" s="56"/>
      <c r="BH2546" s="56"/>
      <c r="BI2546" s="56"/>
      <c r="BJ2546" s="56"/>
      <c r="BK2546" s="56"/>
      <c r="BL2546" s="56"/>
      <c r="BM2546" s="56"/>
      <c r="BN2546" s="56"/>
      <c r="BO2546" s="56"/>
      <c r="BP2546" s="56"/>
      <c r="BQ2546" s="56"/>
      <c r="BR2546" s="56"/>
      <c r="BS2546" s="56"/>
      <c r="BT2546" s="56"/>
      <c r="BU2546" s="56"/>
      <c r="BV2546" s="56"/>
      <c r="BW2546" s="56"/>
      <c r="BX2546" s="56"/>
      <c r="BY2546" s="56"/>
      <c r="BZ2546" s="56"/>
      <c r="CA2546" s="56"/>
      <c r="CB2546" s="56"/>
      <c r="CC2546" s="56"/>
      <c r="CD2546" s="56"/>
      <c r="CE2546" s="56"/>
      <c r="CF2546" s="56"/>
      <c r="CG2546" s="56"/>
      <c r="CH2546" s="56"/>
      <c r="CI2546" s="56"/>
      <c r="CJ2546" s="56"/>
      <c r="CK2546" s="56"/>
      <c r="CL2546" s="56"/>
      <c r="CM2546" s="56"/>
      <c r="CN2546" s="56"/>
      <c r="CO2546" s="56"/>
      <c r="CP2546" s="56"/>
      <c r="CQ2546" s="56"/>
      <c r="CR2546" s="56"/>
      <c r="CS2546" s="56"/>
      <c r="CT2546" s="56"/>
      <c r="CU2546" s="56"/>
      <c r="CV2546" s="56"/>
      <c r="CW2546" s="56"/>
      <c r="CX2546" s="56"/>
      <c r="CY2546" s="56"/>
      <c r="CZ2546" s="56"/>
    </row>
    <row r="2547" spans="27:104" s="5" customFormat="1" x14ac:dyDescent="0.25">
      <c r="AA2547" s="56"/>
      <c r="AB2547" s="56"/>
      <c r="AC2547" s="56"/>
      <c r="AD2547" s="56"/>
      <c r="AE2547" s="56"/>
      <c r="AF2547" s="56"/>
      <c r="AG2547" s="56"/>
      <c r="AH2547" s="56"/>
      <c r="AI2547" s="56"/>
      <c r="AJ2547" s="56"/>
      <c r="AK2547" s="56"/>
      <c r="AL2547" s="56"/>
      <c r="AM2547" s="56"/>
      <c r="AN2547" s="56"/>
      <c r="AO2547" s="56"/>
      <c r="AP2547" s="56"/>
      <c r="AQ2547" s="56"/>
      <c r="AR2547" s="56"/>
      <c r="AS2547" s="56"/>
      <c r="AT2547" s="56"/>
      <c r="AU2547" s="56"/>
      <c r="AV2547" s="56"/>
      <c r="AW2547" s="56"/>
      <c r="AX2547" s="56"/>
      <c r="AY2547" s="56"/>
      <c r="AZ2547" s="56"/>
      <c r="BA2547" s="56"/>
      <c r="BB2547" s="16"/>
      <c r="BC2547" s="56"/>
      <c r="BD2547" s="56"/>
      <c r="BE2547" s="56"/>
      <c r="BF2547" s="56"/>
      <c r="BG2547" s="56"/>
      <c r="BH2547" s="56"/>
      <c r="BI2547" s="56"/>
      <c r="BJ2547" s="56"/>
      <c r="BK2547" s="56"/>
      <c r="BL2547" s="56"/>
      <c r="BM2547" s="56"/>
      <c r="BN2547" s="56"/>
      <c r="BO2547" s="56"/>
      <c r="BP2547" s="56"/>
      <c r="BQ2547" s="56"/>
      <c r="BR2547" s="56"/>
      <c r="BS2547" s="56"/>
      <c r="BT2547" s="56"/>
      <c r="BU2547" s="56"/>
      <c r="BV2547" s="56"/>
      <c r="BW2547" s="56"/>
      <c r="BX2547" s="56"/>
      <c r="BY2547" s="56"/>
      <c r="BZ2547" s="56"/>
      <c r="CA2547" s="56"/>
      <c r="CB2547" s="56"/>
      <c r="CC2547" s="56"/>
      <c r="CD2547" s="56"/>
      <c r="CE2547" s="56"/>
      <c r="CF2547" s="56"/>
      <c r="CG2547" s="56"/>
      <c r="CH2547" s="56"/>
      <c r="CI2547" s="56"/>
      <c r="CJ2547" s="56"/>
      <c r="CK2547" s="56"/>
      <c r="CL2547" s="56"/>
      <c r="CM2547" s="56"/>
      <c r="CN2547" s="56"/>
      <c r="CO2547" s="56"/>
      <c r="CP2547" s="56"/>
      <c r="CQ2547" s="56"/>
      <c r="CR2547" s="56"/>
      <c r="CS2547" s="56"/>
      <c r="CT2547" s="56"/>
      <c r="CU2547" s="56"/>
      <c r="CV2547" s="56"/>
      <c r="CW2547" s="56"/>
      <c r="CX2547" s="56"/>
      <c r="CY2547" s="56"/>
      <c r="CZ2547" s="56"/>
    </row>
    <row r="2548" spans="27:104" s="5" customFormat="1" x14ac:dyDescent="0.25">
      <c r="AA2548" s="56"/>
      <c r="AB2548" s="56"/>
      <c r="AC2548" s="56"/>
      <c r="AD2548" s="56"/>
      <c r="AE2548" s="56"/>
      <c r="AF2548" s="56"/>
      <c r="AG2548" s="56"/>
      <c r="AH2548" s="56"/>
      <c r="AI2548" s="56"/>
      <c r="AJ2548" s="56"/>
      <c r="AK2548" s="56"/>
      <c r="AL2548" s="56"/>
      <c r="AM2548" s="56"/>
      <c r="AN2548" s="56"/>
      <c r="AO2548" s="56"/>
      <c r="AP2548" s="56"/>
      <c r="AQ2548" s="56"/>
      <c r="AR2548" s="56"/>
      <c r="AS2548" s="56"/>
      <c r="AT2548" s="56"/>
      <c r="AU2548" s="56"/>
      <c r="AV2548" s="56"/>
      <c r="AW2548" s="56"/>
      <c r="AX2548" s="56"/>
      <c r="AY2548" s="56"/>
      <c r="AZ2548" s="56"/>
      <c r="BA2548" s="56"/>
      <c r="BB2548" s="16"/>
      <c r="BC2548" s="56"/>
      <c r="BD2548" s="56"/>
      <c r="BE2548" s="56"/>
      <c r="BF2548" s="56"/>
      <c r="BG2548" s="56"/>
      <c r="BH2548" s="56"/>
      <c r="BI2548" s="56"/>
      <c r="BJ2548" s="56"/>
      <c r="BK2548" s="56"/>
      <c r="BL2548" s="56"/>
      <c r="BM2548" s="56"/>
      <c r="BN2548" s="56"/>
      <c r="BO2548" s="56"/>
      <c r="BP2548" s="56"/>
      <c r="BQ2548" s="56"/>
      <c r="BR2548" s="56"/>
      <c r="BS2548" s="56"/>
      <c r="BT2548" s="56"/>
      <c r="BU2548" s="56"/>
      <c r="BV2548" s="56"/>
      <c r="BW2548" s="56"/>
      <c r="BX2548" s="56"/>
      <c r="BY2548" s="56"/>
      <c r="BZ2548" s="56"/>
      <c r="CA2548" s="56"/>
      <c r="CB2548" s="56"/>
      <c r="CC2548" s="56"/>
      <c r="CD2548" s="56"/>
      <c r="CE2548" s="56"/>
      <c r="CF2548" s="56"/>
      <c r="CG2548" s="56"/>
      <c r="CH2548" s="56"/>
      <c r="CI2548" s="56"/>
      <c r="CJ2548" s="56"/>
      <c r="CK2548" s="56"/>
      <c r="CL2548" s="56"/>
      <c r="CM2548" s="56"/>
      <c r="CN2548" s="56"/>
      <c r="CO2548" s="56"/>
      <c r="CP2548" s="56"/>
      <c r="CQ2548" s="56"/>
      <c r="CR2548" s="56"/>
      <c r="CS2548" s="56"/>
      <c r="CT2548" s="56"/>
      <c r="CU2548" s="56"/>
      <c r="CV2548" s="56"/>
      <c r="CW2548" s="56"/>
      <c r="CX2548" s="56"/>
      <c r="CY2548" s="56"/>
      <c r="CZ2548" s="56"/>
    </row>
    <row r="2549" spans="27:104" s="5" customFormat="1" x14ac:dyDescent="0.25">
      <c r="AA2549" s="56"/>
      <c r="AB2549" s="56"/>
      <c r="AC2549" s="56"/>
      <c r="AD2549" s="56"/>
      <c r="AE2549" s="56"/>
      <c r="AF2549" s="56"/>
      <c r="AG2549" s="56"/>
      <c r="AH2549" s="56"/>
      <c r="AI2549" s="56"/>
      <c r="AJ2549" s="56"/>
      <c r="AK2549" s="56"/>
      <c r="AL2549" s="56"/>
      <c r="AM2549" s="56"/>
      <c r="AN2549" s="56"/>
      <c r="AO2549" s="56"/>
      <c r="AP2549" s="56"/>
      <c r="AQ2549" s="56"/>
      <c r="AR2549" s="56"/>
      <c r="AS2549" s="56"/>
      <c r="AT2549" s="56"/>
      <c r="AU2549" s="56"/>
      <c r="AV2549" s="56"/>
      <c r="AW2549" s="56"/>
      <c r="AX2549" s="56"/>
      <c r="AY2549" s="56"/>
      <c r="AZ2549" s="56"/>
      <c r="BA2549" s="56"/>
      <c r="BB2549" s="16"/>
      <c r="BC2549" s="56"/>
      <c r="BD2549" s="56"/>
      <c r="BE2549" s="56"/>
      <c r="BF2549" s="56"/>
      <c r="BG2549" s="56"/>
      <c r="BH2549" s="56"/>
      <c r="BI2549" s="56"/>
      <c r="BJ2549" s="56"/>
      <c r="BK2549" s="56"/>
      <c r="BL2549" s="56"/>
      <c r="BM2549" s="56"/>
      <c r="BN2549" s="56"/>
      <c r="BO2549" s="56"/>
      <c r="BP2549" s="56"/>
      <c r="BQ2549" s="56"/>
      <c r="BR2549" s="56"/>
      <c r="BS2549" s="56"/>
      <c r="BT2549" s="56"/>
      <c r="BU2549" s="56"/>
      <c r="BV2549" s="56"/>
      <c r="BW2549" s="56"/>
      <c r="BX2549" s="56"/>
      <c r="BY2549" s="56"/>
      <c r="BZ2549" s="56"/>
      <c r="CA2549" s="56"/>
      <c r="CB2549" s="56"/>
      <c r="CC2549" s="56"/>
      <c r="CD2549" s="56"/>
      <c r="CE2549" s="56"/>
      <c r="CF2549" s="56"/>
      <c r="CG2549" s="56"/>
      <c r="CH2549" s="56"/>
      <c r="CI2549" s="56"/>
      <c r="CJ2549" s="56"/>
      <c r="CK2549" s="56"/>
      <c r="CL2549" s="56"/>
      <c r="CM2549" s="56"/>
      <c r="CN2549" s="56"/>
      <c r="CO2549" s="56"/>
      <c r="CP2549" s="56"/>
      <c r="CQ2549" s="56"/>
      <c r="CR2549" s="56"/>
      <c r="CS2549" s="56"/>
      <c r="CT2549" s="56"/>
      <c r="CU2549" s="56"/>
      <c r="CV2549" s="56"/>
      <c r="CW2549" s="56"/>
      <c r="CX2549" s="56"/>
      <c r="CY2549" s="56"/>
      <c r="CZ2549" s="56"/>
    </row>
    <row r="2550" spans="27:104" s="5" customFormat="1" x14ac:dyDescent="0.25">
      <c r="AA2550" s="56"/>
      <c r="AB2550" s="56"/>
      <c r="AC2550" s="56"/>
      <c r="AD2550" s="56"/>
      <c r="AE2550" s="56"/>
      <c r="AF2550" s="56"/>
      <c r="AG2550" s="56"/>
      <c r="AH2550" s="56"/>
      <c r="AI2550" s="56"/>
      <c r="AJ2550" s="56"/>
      <c r="AK2550" s="56"/>
      <c r="AL2550" s="56"/>
      <c r="AM2550" s="56"/>
      <c r="AN2550" s="56"/>
      <c r="AO2550" s="56"/>
      <c r="AP2550" s="56"/>
      <c r="AQ2550" s="56"/>
      <c r="AR2550" s="56"/>
      <c r="AS2550" s="56"/>
      <c r="AT2550" s="56"/>
      <c r="AU2550" s="56"/>
      <c r="AV2550" s="56"/>
      <c r="AW2550" s="56"/>
      <c r="AX2550" s="56"/>
      <c r="AY2550" s="56"/>
      <c r="AZ2550" s="56"/>
      <c r="BA2550" s="56"/>
      <c r="BB2550" s="16"/>
      <c r="BC2550" s="56"/>
      <c r="BD2550" s="56"/>
      <c r="BE2550" s="56"/>
      <c r="BF2550" s="56"/>
      <c r="BG2550" s="56"/>
      <c r="BH2550" s="56"/>
      <c r="BI2550" s="56"/>
      <c r="BJ2550" s="56"/>
      <c r="BK2550" s="56"/>
      <c r="BL2550" s="56"/>
      <c r="BM2550" s="56"/>
      <c r="BN2550" s="56"/>
      <c r="BO2550" s="56"/>
      <c r="BP2550" s="56"/>
      <c r="BQ2550" s="56"/>
      <c r="BR2550" s="56"/>
      <c r="BS2550" s="56"/>
      <c r="BT2550" s="56"/>
      <c r="BU2550" s="56"/>
      <c r="BV2550" s="56"/>
      <c r="BW2550" s="56"/>
      <c r="BX2550" s="56"/>
      <c r="BY2550" s="56"/>
      <c r="BZ2550" s="56"/>
      <c r="CA2550" s="56"/>
      <c r="CB2550" s="56"/>
      <c r="CC2550" s="56"/>
      <c r="CD2550" s="56"/>
      <c r="CE2550" s="56"/>
      <c r="CF2550" s="56"/>
      <c r="CG2550" s="56"/>
      <c r="CH2550" s="56"/>
      <c r="CI2550" s="56"/>
      <c r="CJ2550" s="56"/>
      <c r="CK2550" s="56"/>
      <c r="CL2550" s="56"/>
      <c r="CM2550" s="56"/>
      <c r="CN2550" s="56"/>
      <c r="CO2550" s="56"/>
      <c r="CP2550" s="56"/>
      <c r="CQ2550" s="56"/>
      <c r="CR2550" s="56"/>
      <c r="CS2550" s="56"/>
      <c r="CT2550" s="56"/>
      <c r="CU2550" s="56"/>
      <c r="CV2550" s="56"/>
      <c r="CW2550" s="56"/>
      <c r="CX2550" s="56"/>
      <c r="CY2550" s="56"/>
      <c r="CZ2550" s="56"/>
    </row>
    <row r="2551" spans="27:104" s="5" customFormat="1" x14ac:dyDescent="0.25">
      <c r="AA2551" s="56"/>
      <c r="AB2551" s="56"/>
      <c r="AC2551" s="56"/>
      <c r="AD2551" s="56"/>
      <c r="AE2551" s="56"/>
      <c r="AF2551" s="56"/>
      <c r="AG2551" s="56"/>
      <c r="AH2551" s="56"/>
      <c r="AI2551" s="56"/>
      <c r="AJ2551" s="56"/>
      <c r="AK2551" s="56"/>
      <c r="AL2551" s="56"/>
      <c r="AM2551" s="56"/>
      <c r="AN2551" s="56"/>
      <c r="AO2551" s="56"/>
      <c r="AP2551" s="56"/>
      <c r="AQ2551" s="56"/>
      <c r="AR2551" s="56"/>
      <c r="AS2551" s="56"/>
      <c r="AT2551" s="56"/>
      <c r="AU2551" s="56"/>
      <c r="AV2551" s="56"/>
      <c r="AW2551" s="56"/>
      <c r="AX2551" s="56"/>
      <c r="AY2551" s="56"/>
      <c r="AZ2551" s="56"/>
      <c r="BA2551" s="56"/>
      <c r="BB2551" s="16"/>
      <c r="BC2551" s="56"/>
      <c r="BD2551" s="56"/>
      <c r="BE2551" s="56"/>
      <c r="BF2551" s="56"/>
      <c r="BG2551" s="56"/>
      <c r="BH2551" s="56"/>
      <c r="BI2551" s="56"/>
      <c r="BJ2551" s="56"/>
      <c r="BK2551" s="56"/>
      <c r="BL2551" s="56"/>
      <c r="BM2551" s="56"/>
      <c r="BN2551" s="56"/>
      <c r="BO2551" s="56"/>
      <c r="BP2551" s="56"/>
      <c r="BQ2551" s="56"/>
      <c r="BR2551" s="56"/>
      <c r="BS2551" s="56"/>
      <c r="BT2551" s="56"/>
      <c r="BU2551" s="56"/>
      <c r="BV2551" s="56"/>
      <c r="BW2551" s="56"/>
      <c r="BX2551" s="56"/>
      <c r="BY2551" s="56"/>
      <c r="BZ2551" s="56"/>
      <c r="CA2551" s="56"/>
      <c r="CB2551" s="56"/>
      <c r="CC2551" s="56"/>
      <c r="CD2551" s="56"/>
      <c r="CE2551" s="56"/>
      <c r="CF2551" s="56"/>
      <c r="CG2551" s="56"/>
      <c r="CH2551" s="56"/>
      <c r="CI2551" s="56"/>
      <c r="CJ2551" s="56"/>
      <c r="CK2551" s="56"/>
      <c r="CL2551" s="56"/>
      <c r="CM2551" s="56"/>
      <c r="CN2551" s="56"/>
      <c r="CO2551" s="56"/>
      <c r="CP2551" s="56"/>
      <c r="CQ2551" s="56"/>
      <c r="CR2551" s="56"/>
      <c r="CS2551" s="56"/>
      <c r="CT2551" s="56"/>
      <c r="CU2551" s="56"/>
      <c r="CV2551" s="56"/>
      <c r="CW2551" s="56"/>
      <c r="CX2551" s="56"/>
      <c r="CY2551" s="56"/>
      <c r="CZ2551" s="56"/>
    </row>
    <row r="2552" spans="27:104" s="5" customFormat="1" x14ac:dyDescent="0.25">
      <c r="AA2552" s="56"/>
      <c r="AB2552" s="56"/>
      <c r="AC2552" s="56"/>
      <c r="AD2552" s="56"/>
      <c r="AE2552" s="56"/>
      <c r="AF2552" s="56"/>
      <c r="AG2552" s="56"/>
      <c r="AH2552" s="56"/>
      <c r="AI2552" s="56"/>
      <c r="AJ2552" s="56"/>
      <c r="AK2552" s="56"/>
      <c r="AL2552" s="56"/>
      <c r="AM2552" s="56"/>
      <c r="AN2552" s="56"/>
      <c r="AO2552" s="56"/>
      <c r="AP2552" s="56"/>
      <c r="AQ2552" s="56"/>
      <c r="AR2552" s="56"/>
      <c r="AS2552" s="56"/>
      <c r="AT2552" s="56"/>
      <c r="AU2552" s="56"/>
      <c r="AV2552" s="56"/>
      <c r="AW2552" s="56"/>
      <c r="AX2552" s="56"/>
      <c r="AY2552" s="56"/>
      <c r="AZ2552" s="56"/>
      <c r="BA2552" s="56"/>
      <c r="BB2552" s="16"/>
      <c r="BC2552" s="56"/>
      <c r="BD2552" s="56"/>
      <c r="BE2552" s="56"/>
      <c r="BF2552" s="56"/>
      <c r="BG2552" s="56"/>
      <c r="BH2552" s="56"/>
      <c r="BI2552" s="56"/>
      <c r="BJ2552" s="56"/>
      <c r="BK2552" s="56"/>
      <c r="BL2552" s="56"/>
      <c r="BM2552" s="56"/>
      <c r="BN2552" s="56"/>
      <c r="BO2552" s="56"/>
      <c r="BP2552" s="56"/>
      <c r="BQ2552" s="56"/>
      <c r="BR2552" s="56"/>
      <c r="BS2552" s="56"/>
      <c r="BT2552" s="56"/>
      <c r="BU2552" s="56"/>
      <c r="BV2552" s="56"/>
      <c r="BW2552" s="56"/>
      <c r="BX2552" s="56"/>
      <c r="BY2552" s="56"/>
      <c r="BZ2552" s="56"/>
      <c r="CA2552" s="56"/>
      <c r="CB2552" s="56"/>
      <c r="CC2552" s="56"/>
      <c r="CD2552" s="56"/>
      <c r="CE2552" s="56"/>
      <c r="CF2552" s="56"/>
      <c r="CG2552" s="56"/>
      <c r="CH2552" s="56"/>
      <c r="CI2552" s="56"/>
      <c r="CJ2552" s="56"/>
      <c r="CK2552" s="56"/>
      <c r="CL2552" s="56"/>
      <c r="CM2552" s="56"/>
      <c r="CN2552" s="56"/>
      <c r="CO2552" s="56"/>
      <c r="CP2552" s="56"/>
      <c r="CQ2552" s="56"/>
      <c r="CR2552" s="56"/>
      <c r="CS2552" s="56"/>
      <c r="CT2552" s="56"/>
      <c r="CU2552" s="56"/>
      <c r="CV2552" s="56"/>
      <c r="CW2552" s="56"/>
      <c r="CX2552" s="56"/>
      <c r="CY2552" s="56"/>
      <c r="CZ2552" s="56"/>
    </row>
    <row r="2553" spans="27:104" s="5" customFormat="1" x14ac:dyDescent="0.25">
      <c r="AA2553" s="56"/>
      <c r="AB2553" s="56"/>
      <c r="AC2553" s="56"/>
      <c r="AD2553" s="56"/>
      <c r="AE2553" s="56"/>
      <c r="AF2553" s="56"/>
      <c r="AG2553" s="56"/>
      <c r="AH2553" s="56"/>
      <c r="AI2553" s="56"/>
      <c r="AJ2553" s="56"/>
      <c r="AK2553" s="56"/>
      <c r="AL2553" s="56"/>
      <c r="AM2553" s="56"/>
      <c r="AN2553" s="56"/>
      <c r="AO2553" s="56"/>
      <c r="AP2553" s="56"/>
      <c r="AQ2553" s="56"/>
      <c r="AR2553" s="56"/>
      <c r="AS2553" s="56"/>
      <c r="AT2553" s="56"/>
      <c r="AU2553" s="56"/>
      <c r="AV2553" s="56"/>
      <c r="AW2553" s="56"/>
      <c r="AX2553" s="56"/>
      <c r="AY2553" s="56"/>
      <c r="AZ2553" s="56"/>
      <c r="BA2553" s="56"/>
      <c r="BB2553" s="16"/>
      <c r="BC2553" s="56"/>
      <c r="BD2553" s="56"/>
      <c r="BE2553" s="56"/>
      <c r="BF2553" s="56"/>
      <c r="BG2553" s="56"/>
      <c r="BH2553" s="56"/>
      <c r="BI2553" s="56"/>
      <c r="BJ2553" s="56"/>
      <c r="BK2553" s="56"/>
      <c r="BL2553" s="56"/>
      <c r="BM2553" s="56"/>
      <c r="BN2553" s="56"/>
      <c r="BO2553" s="56"/>
      <c r="BP2553" s="56"/>
      <c r="BQ2553" s="56"/>
      <c r="BR2553" s="56"/>
      <c r="BS2553" s="56"/>
      <c r="BT2553" s="56"/>
      <c r="BU2553" s="56"/>
      <c r="BV2553" s="56"/>
      <c r="BW2553" s="56"/>
      <c r="BX2553" s="56"/>
      <c r="BY2553" s="56"/>
      <c r="BZ2553" s="56"/>
      <c r="CA2553" s="56"/>
      <c r="CB2553" s="56"/>
      <c r="CC2553" s="56"/>
      <c r="CD2553" s="56"/>
      <c r="CE2553" s="56"/>
      <c r="CF2553" s="56"/>
      <c r="CG2553" s="56"/>
      <c r="CH2553" s="56"/>
      <c r="CI2553" s="56"/>
      <c r="CJ2553" s="56"/>
      <c r="CK2553" s="56"/>
      <c r="CL2553" s="56"/>
      <c r="CM2553" s="56"/>
      <c r="CN2553" s="56"/>
      <c r="CO2553" s="56"/>
      <c r="CP2553" s="56"/>
      <c r="CQ2553" s="56"/>
      <c r="CR2553" s="56"/>
      <c r="CS2553" s="56"/>
      <c r="CT2553" s="56"/>
      <c r="CU2553" s="56"/>
      <c r="CV2553" s="56"/>
      <c r="CW2553" s="56"/>
      <c r="CX2553" s="56"/>
      <c r="CY2553" s="56"/>
      <c r="CZ2553" s="56"/>
    </row>
    <row r="2554" spans="27:104" s="5" customFormat="1" x14ac:dyDescent="0.25">
      <c r="AA2554" s="56"/>
      <c r="AB2554" s="56"/>
      <c r="AC2554" s="56"/>
      <c r="AD2554" s="56"/>
      <c r="AE2554" s="56"/>
      <c r="AF2554" s="56"/>
      <c r="AG2554" s="56"/>
      <c r="AH2554" s="56"/>
      <c r="AI2554" s="56"/>
      <c r="AJ2554" s="56"/>
      <c r="AK2554" s="56"/>
      <c r="AL2554" s="56"/>
      <c r="AM2554" s="56"/>
      <c r="AN2554" s="56"/>
      <c r="AO2554" s="56"/>
      <c r="AP2554" s="56"/>
      <c r="AQ2554" s="56"/>
      <c r="AR2554" s="56"/>
      <c r="AS2554" s="56"/>
      <c r="AT2554" s="56"/>
      <c r="AU2554" s="56"/>
      <c r="AV2554" s="56"/>
      <c r="AW2554" s="56"/>
      <c r="AX2554" s="56"/>
      <c r="AY2554" s="56"/>
      <c r="AZ2554" s="56"/>
      <c r="BA2554" s="56"/>
      <c r="BB2554" s="16"/>
      <c r="BC2554" s="56"/>
      <c r="BD2554" s="56"/>
      <c r="BE2554" s="56"/>
      <c r="BF2554" s="56"/>
      <c r="BG2554" s="56"/>
      <c r="BH2554" s="56"/>
      <c r="BI2554" s="56"/>
      <c r="BJ2554" s="56"/>
      <c r="BK2554" s="56"/>
      <c r="BL2554" s="56"/>
      <c r="BM2554" s="56"/>
      <c r="BN2554" s="56"/>
      <c r="BO2554" s="56"/>
      <c r="BP2554" s="56"/>
      <c r="BQ2554" s="56"/>
      <c r="BR2554" s="56"/>
      <c r="BS2554" s="56"/>
      <c r="BT2554" s="56"/>
      <c r="BU2554" s="56"/>
      <c r="BV2554" s="56"/>
      <c r="BW2554" s="56"/>
      <c r="BX2554" s="56"/>
      <c r="BY2554" s="56"/>
      <c r="BZ2554" s="56"/>
      <c r="CA2554" s="56"/>
      <c r="CB2554" s="56"/>
      <c r="CC2554" s="56"/>
      <c r="CD2554" s="56"/>
      <c r="CE2554" s="56"/>
      <c r="CF2554" s="56"/>
      <c r="CG2554" s="56"/>
      <c r="CH2554" s="56"/>
      <c r="CI2554" s="56"/>
      <c r="CJ2554" s="56"/>
      <c r="CK2554" s="56"/>
      <c r="CL2554" s="56"/>
      <c r="CM2554" s="56"/>
      <c r="CN2554" s="56"/>
      <c r="CO2554" s="56"/>
      <c r="CP2554" s="56"/>
      <c r="CQ2554" s="56"/>
      <c r="CR2554" s="56"/>
      <c r="CS2554" s="56"/>
      <c r="CT2554" s="56"/>
      <c r="CU2554" s="56"/>
      <c r="CV2554" s="56"/>
      <c r="CW2554" s="56"/>
      <c r="CX2554" s="56"/>
      <c r="CY2554" s="56"/>
      <c r="CZ2554" s="56"/>
    </row>
    <row r="2555" spans="27:104" s="5" customFormat="1" x14ac:dyDescent="0.25">
      <c r="AA2555" s="56"/>
      <c r="AB2555" s="56"/>
      <c r="AC2555" s="56"/>
      <c r="AD2555" s="56"/>
      <c r="AE2555" s="56"/>
      <c r="AF2555" s="56"/>
      <c r="AG2555" s="56"/>
      <c r="AH2555" s="56"/>
      <c r="AI2555" s="56"/>
      <c r="AJ2555" s="56"/>
      <c r="AK2555" s="56"/>
      <c r="AL2555" s="56"/>
      <c r="AM2555" s="56"/>
      <c r="AN2555" s="56"/>
      <c r="AO2555" s="56"/>
      <c r="AP2555" s="56"/>
      <c r="AQ2555" s="56"/>
      <c r="AR2555" s="56"/>
      <c r="AS2555" s="56"/>
      <c r="AT2555" s="56"/>
      <c r="AU2555" s="56"/>
      <c r="AV2555" s="56"/>
      <c r="AW2555" s="56"/>
      <c r="AX2555" s="56"/>
      <c r="AY2555" s="56"/>
      <c r="AZ2555" s="56"/>
      <c r="BA2555" s="56"/>
      <c r="BB2555" s="16"/>
      <c r="BC2555" s="56"/>
      <c r="BD2555" s="56"/>
      <c r="BE2555" s="56"/>
      <c r="BF2555" s="56"/>
      <c r="BG2555" s="56"/>
      <c r="BH2555" s="56"/>
      <c r="BI2555" s="56"/>
      <c r="BJ2555" s="56"/>
      <c r="BK2555" s="56"/>
      <c r="BL2555" s="56"/>
      <c r="BM2555" s="56"/>
      <c r="BN2555" s="56"/>
      <c r="BO2555" s="56"/>
      <c r="BP2555" s="56"/>
      <c r="BQ2555" s="56"/>
      <c r="BR2555" s="56"/>
      <c r="BS2555" s="56"/>
      <c r="BT2555" s="56"/>
      <c r="BU2555" s="56"/>
      <c r="BV2555" s="56"/>
      <c r="BW2555" s="56"/>
      <c r="BX2555" s="56"/>
      <c r="BY2555" s="56"/>
      <c r="BZ2555" s="56"/>
      <c r="CA2555" s="56"/>
      <c r="CB2555" s="56"/>
      <c r="CC2555" s="56"/>
      <c r="CD2555" s="56"/>
      <c r="CE2555" s="56"/>
      <c r="CF2555" s="56"/>
      <c r="CG2555" s="56"/>
      <c r="CH2555" s="56"/>
      <c r="CI2555" s="56"/>
      <c r="CJ2555" s="56"/>
      <c r="CK2555" s="56"/>
      <c r="CL2555" s="56"/>
      <c r="CM2555" s="56"/>
      <c r="CN2555" s="56"/>
      <c r="CO2555" s="56"/>
      <c r="CP2555" s="56"/>
      <c r="CQ2555" s="56"/>
      <c r="CR2555" s="56"/>
      <c r="CS2555" s="56"/>
      <c r="CT2555" s="56"/>
      <c r="CU2555" s="56"/>
      <c r="CV2555" s="56"/>
      <c r="CW2555" s="56"/>
      <c r="CX2555" s="56"/>
      <c r="CY2555" s="56"/>
      <c r="CZ2555" s="56"/>
    </row>
    <row r="2556" spans="27:104" s="5" customFormat="1" x14ac:dyDescent="0.25">
      <c r="AA2556" s="56"/>
      <c r="AB2556" s="56"/>
      <c r="AC2556" s="56"/>
      <c r="AD2556" s="56"/>
      <c r="AE2556" s="56"/>
      <c r="AF2556" s="56"/>
      <c r="AG2556" s="56"/>
      <c r="AH2556" s="56"/>
      <c r="AI2556" s="56"/>
      <c r="AJ2556" s="56"/>
      <c r="AK2556" s="56"/>
      <c r="AL2556" s="56"/>
      <c r="AM2556" s="56"/>
      <c r="AN2556" s="56"/>
      <c r="AO2556" s="56"/>
      <c r="AP2556" s="56"/>
      <c r="AQ2556" s="56"/>
      <c r="AR2556" s="56"/>
      <c r="AS2556" s="56"/>
      <c r="AT2556" s="56"/>
      <c r="AU2556" s="56"/>
      <c r="AV2556" s="56"/>
      <c r="AW2556" s="56"/>
      <c r="AX2556" s="56"/>
      <c r="AY2556" s="56"/>
      <c r="AZ2556" s="56"/>
      <c r="BA2556" s="56"/>
      <c r="BB2556" s="16"/>
      <c r="BC2556" s="56"/>
      <c r="BD2556" s="56"/>
      <c r="BE2556" s="56"/>
      <c r="BF2556" s="56"/>
      <c r="BG2556" s="56"/>
      <c r="BH2556" s="56"/>
      <c r="BI2556" s="56"/>
      <c r="BJ2556" s="56"/>
      <c r="BK2556" s="56"/>
      <c r="BL2556" s="56"/>
      <c r="BM2556" s="56"/>
      <c r="BN2556" s="56"/>
      <c r="BO2556" s="56"/>
      <c r="BP2556" s="56"/>
      <c r="BQ2556" s="56"/>
      <c r="BR2556" s="56"/>
      <c r="BS2556" s="56"/>
      <c r="BT2556" s="56"/>
      <c r="BU2556" s="56"/>
      <c r="BV2556" s="56"/>
      <c r="BW2556" s="56"/>
      <c r="BX2556" s="56"/>
      <c r="BY2556" s="56"/>
      <c r="BZ2556" s="56"/>
      <c r="CA2556" s="56"/>
      <c r="CB2556" s="56"/>
      <c r="CC2556" s="56"/>
      <c r="CD2556" s="56"/>
      <c r="CE2556" s="56"/>
      <c r="CF2556" s="56"/>
      <c r="CG2556" s="56"/>
      <c r="CH2556" s="56"/>
      <c r="CI2556" s="56"/>
      <c r="CJ2556" s="56"/>
      <c r="CK2556" s="56"/>
      <c r="CL2556" s="56"/>
      <c r="CM2556" s="56"/>
      <c r="CN2556" s="56"/>
      <c r="CO2556" s="56"/>
      <c r="CP2556" s="56"/>
      <c r="CQ2556" s="56"/>
      <c r="CR2556" s="56"/>
      <c r="CS2556" s="56"/>
      <c r="CT2556" s="56"/>
      <c r="CU2556" s="56"/>
      <c r="CV2556" s="56"/>
      <c r="CW2556" s="56"/>
      <c r="CX2556" s="56"/>
      <c r="CY2556" s="56"/>
      <c r="CZ2556" s="56"/>
    </row>
    <row r="2557" spans="27:104" s="5" customFormat="1" x14ac:dyDescent="0.25">
      <c r="AA2557" s="56"/>
      <c r="AB2557" s="56"/>
      <c r="AC2557" s="56"/>
      <c r="AD2557" s="56"/>
      <c r="AE2557" s="56"/>
      <c r="AF2557" s="56"/>
      <c r="AG2557" s="56"/>
      <c r="AH2557" s="56"/>
      <c r="AI2557" s="56"/>
      <c r="AJ2557" s="56"/>
      <c r="AK2557" s="56"/>
      <c r="AL2557" s="56"/>
      <c r="AM2557" s="56"/>
      <c r="AN2557" s="56"/>
      <c r="AO2557" s="56"/>
      <c r="AP2557" s="56"/>
      <c r="AQ2557" s="56"/>
      <c r="AR2557" s="56"/>
      <c r="AS2557" s="56"/>
      <c r="AT2557" s="56"/>
      <c r="AU2557" s="56"/>
      <c r="AV2557" s="56"/>
      <c r="AW2557" s="56"/>
      <c r="AX2557" s="56"/>
      <c r="AY2557" s="56"/>
      <c r="AZ2557" s="56"/>
      <c r="BA2557" s="56"/>
      <c r="BB2557" s="16"/>
      <c r="BC2557" s="56"/>
      <c r="BD2557" s="56"/>
      <c r="BE2557" s="56"/>
      <c r="BF2557" s="56"/>
      <c r="BG2557" s="56"/>
      <c r="BH2557" s="56"/>
      <c r="BI2557" s="56"/>
      <c r="BJ2557" s="56"/>
      <c r="BK2557" s="56"/>
      <c r="BL2557" s="56"/>
      <c r="BM2557" s="56"/>
      <c r="BN2557" s="56"/>
      <c r="BO2557" s="56"/>
      <c r="BP2557" s="56"/>
      <c r="BQ2557" s="56"/>
      <c r="BR2557" s="56"/>
      <c r="BS2557" s="56"/>
      <c r="BT2557" s="56"/>
      <c r="BU2557" s="56"/>
      <c r="BV2557" s="56"/>
      <c r="BW2557" s="56"/>
      <c r="BX2557" s="56"/>
      <c r="BY2557" s="56"/>
      <c r="BZ2557" s="56"/>
      <c r="CA2557" s="56"/>
      <c r="CB2557" s="56"/>
      <c r="CC2557" s="56"/>
      <c r="CD2557" s="56"/>
      <c r="CE2557" s="56"/>
      <c r="CF2557" s="56"/>
      <c r="CG2557" s="56"/>
      <c r="CH2557" s="56"/>
      <c r="CI2557" s="56"/>
      <c r="CJ2557" s="56"/>
      <c r="CK2557" s="56"/>
      <c r="CL2557" s="56"/>
      <c r="CM2557" s="56"/>
      <c r="CN2557" s="56"/>
      <c r="CO2557" s="56"/>
      <c r="CP2557" s="56"/>
      <c r="CQ2557" s="56"/>
      <c r="CR2557" s="56"/>
      <c r="CS2557" s="56"/>
      <c r="CT2557" s="56"/>
      <c r="CU2557" s="56"/>
      <c r="CV2557" s="56"/>
      <c r="CW2557" s="56"/>
      <c r="CX2557" s="56"/>
      <c r="CY2557" s="56"/>
      <c r="CZ2557" s="56"/>
    </row>
    <row r="2558" spans="27:104" s="5" customFormat="1" x14ac:dyDescent="0.25">
      <c r="AA2558" s="56"/>
      <c r="AB2558" s="56"/>
      <c r="AC2558" s="56"/>
      <c r="AD2558" s="56"/>
      <c r="AE2558" s="56"/>
      <c r="AF2558" s="56"/>
      <c r="AG2558" s="56"/>
      <c r="AH2558" s="56"/>
      <c r="AI2558" s="56"/>
      <c r="AJ2558" s="56"/>
      <c r="AK2558" s="56"/>
      <c r="AL2558" s="56"/>
      <c r="AM2558" s="56"/>
      <c r="AN2558" s="56"/>
      <c r="AO2558" s="56"/>
      <c r="AP2558" s="56"/>
      <c r="AQ2558" s="56"/>
      <c r="AR2558" s="56"/>
      <c r="AS2558" s="56"/>
      <c r="AT2558" s="56"/>
      <c r="AU2558" s="56"/>
      <c r="AV2558" s="56"/>
      <c r="AW2558" s="56"/>
      <c r="AX2558" s="56"/>
      <c r="AY2558" s="56"/>
      <c r="AZ2558" s="56"/>
      <c r="BA2558" s="56"/>
      <c r="BB2558" s="16"/>
      <c r="BC2558" s="56"/>
      <c r="BD2558" s="56"/>
      <c r="BE2558" s="56"/>
      <c r="BF2558" s="56"/>
      <c r="BG2558" s="56"/>
      <c r="BH2558" s="56"/>
      <c r="BI2558" s="56"/>
      <c r="BJ2558" s="56"/>
      <c r="BK2558" s="56"/>
      <c r="BL2558" s="56"/>
      <c r="BM2558" s="56"/>
      <c r="BN2558" s="56"/>
      <c r="BO2558" s="56"/>
      <c r="BP2558" s="56"/>
      <c r="BQ2558" s="56"/>
      <c r="BR2558" s="56"/>
      <c r="BS2558" s="56"/>
      <c r="BT2558" s="56"/>
      <c r="BU2558" s="56"/>
      <c r="BV2558" s="56"/>
      <c r="BW2558" s="56"/>
      <c r="BX2558" s="56"/>
      <c r="BY2558" s="56"/>
      <c r="BZ2558" s="56"/>
      <c r="CA2558" s="56"/>
      <c r="CB2558" s="56"/>
      <c r="CC2558" s="56"/>
      <c r="CD2558" s="56"/>
      <c r="CE2558" s="56"/>
      <c r="CF2558" s="56"/>
      <c r="CG2558" s="56"/>
      <c r="CH2558" s="56"/>
      <c r="CI2558" s="56"/>
      <c r="CJ2558" s="56"/>
      <c r="CK2558" s="56"/>
      <c r="CL2558" s="56"/>
      <c r="CM2558" s="56"/>
      <c r="CN2558" s="56"/>
      <c r="CO2558" s="56"/>
      <c r="CP2558" s="56"/>
      <c r="CQ2558" s="56"/>
      <c r="CR2558" s="56"/>
      <c r="CS2558" s="56"/>
      <c r="CT2558" s="56"/>
      <c r="CU2558" s="56"/>
      <c r="CV2558" s="56"/>
      <c r="CW2558" s="56"/>
      <c r="CX2558" s="56"/>
      <c r="CY2558" s="56"/>
      <c r="CZ2558" s="56"/>
    </row>
    <row r="2559" spans="27:104" s="5" customFormat="1" x14ac:dyDescent="0.25">
      <c r="AA2559" s="56"/>
      <c r="AB2559" s="56"/>
      <c r="AC2559" s="56"/>
      <c r="AD2559" s="56"/>
      <c r="AE2559" s="56"/>
      <c r="AF2559" s="56"/>
      <c r="AG2559" s="56"/>
      <c r="AH2559" s="56"/>
      <c r="AI2559" s="56"/>
      <c r="AJ2559" s="56"/>
      <c r="AK2559" s="56"/>
      <c r="AL2559" s="56"/>
      <c r="AM2559" s="56"/>
      <c r="AN2559" s="56"/>
      <c r="AO2559" s="56"/>
      <c r="AP2559" s="56"/>
      <c r="AQ2559" s="56"/>
      <c r="AR2559" s="56"/>
      <c r="AS2559" s="56"/>
      <c r="AT2559" s="56"/>
      <c r="AU2559" s="56"/>
      <c r="AV2559" s="56"/>
      <c r="AW2559" s="56"/>
      <c r="AX2559" s="56"/>
      <c r="AY2559" s="56"/>
      <c r="AZ2559" s="56"/>
      <c r="BA2559" s="56"/>
      <c r="BB2559" s="16"/>
      <c r="BC2559" s="56"/>
      <c r="BD2559" s="56"/>
      <c r="BE2559" s="56"/>
      <c r="BF2559" s="56"/>
      <c r="BG2559" s="56"/>
      <c r="BH2559" s="56"/>
      <c r="BI2559" s="56"/>
      <c r="BJ2559" s="56"/>
      <c r="BK2559" s="56"/>
      <c r="BL2559" s="56"/>
      <c r="BM2559" s="56"/>
      <c r="BN2559" s="56"/>
      <c r="BO2559" s="56"/>
      <c r="BP2559" s="56"/>
      <c r="BQ2559" s="56"/>
      <c r="BR2559" s="56"/>
      <c r="BS2559" s="56"/>
      <c r="BT2559" s="56"/>
      <c r="BU2559" s="56"/>
      <c r="BV2559" s="56"/>
      <c r="BW2559" s="56"/>
      <c r="BX2559" s="56"/>
      <c r="BY2559" s="56"/>
      <c r="BZ2559" s="56"/>
      <c r="CA2559" s="56"/>
      <c r="CB2559" s="56"/>
      <c r="CC2559" s="56"/>
      <c r="CD2559" s="56"/>
      <c r="CE2559" s="56"/>
      <c r="CF2559" s="56"/>
      <c r="CG2559" s="56"/>
      <c r="CH2559" s="56"/>
      <c r="CI2559" s="56"/>
      <c r="CJ2559" s="56"/>
      <c r="CK2559" s="56"/>
      <c r="CL2559" s="56"/>
      <c r="CM2559" s="56"/>
      <c r="CN2559" s="56"/>
      <c r="CO2559" s="56"/>
      <c r="CP2559" s="56"/>
      <c r="CQ2559" s="56"/>
      <c r="CR2559" s="56"/>
      <c r="CS2559" s="56"/>
      <c r="CT2559" s="56"/>
      <c r="CU2559" s="56"/>
      <c r="CV2559" s="56"/>
      <c r="CW2559" s="56"/>
      <c r="CX2559" s="56"/>
      <c r="CY2559" s="56"/>
      <c r="CZ2559" s="56"/>
    </row>
    <row r="2560" spans="27:104" s="5" customFormat="1" x14ac:dyDescent="0.25">
      <c r="AA2560" s="56"/>
      <c r="AB2560" s="56"/>
      <c r="AC2560" s="56"/>
      <c r="AD2560" s="56"/>
      <c r="AE2560" s="56"/>
      <c r="AF2560" s="56"/>
      <c r="AG2560" s="56"/>
      <c r="AH2560" s="56"/>
      <c r="AI2560" s="56"/>
      <c r="AJ2560" s="56"/>
      <c r="AK2560" s="56"/>
      <c r="AL2560" s="56"/>
      <c r="AM2560" s="56"/>
      <c r="AN2560" s="56"/>
      <c r="AO2560" s="56"/>
      <c r="AP2560" s="56"/>
      <c r="AQ2560" s="56"/>
      <c r="AR2560" s="56"/>
      <c r="AS2560" s="56"/>
      <c r="AT2560" s="56"/>
      <c r="AU2560" s="56"/>
      <c r="AV2560" s="56"/>
      <c r="AW2560" s="56"/>
      <c r="AX2560" s="56"/>
      <c r="AY2560" s="56"/>
      <c r="AZ2560" s="56"/>
      <c r="BA2560" s="56"/>
      <c r="BB2560" s="16"/>
      <c r="BC2560" s="56"/>
      <c r="BD2560" s="56"/>
      <c r="BE2560" s="56"/>
      <c r="BF2560" s="56"/>
      <c r="BG2560" s="56"/>
      <c r="BH2560" s="56"/>
      <c r="BI2560" s="56"/>
      <c r="BJ2560" s="56"/>
      <c r="BK2560" s="56"/>
      <c r="BL2560" s="56"/>
      <c r="BM2560" s="56"/>
      <c r="BN2560" s="56"/>
      <c r="BO2560" s="56"/>
      <c r="BP2560" s="56"/>
      <c r="BQ2560" s="56"/>
      <c r="BR2560" s="56"/>
      <c r="BS2560" s="56"/>
      <c r="BT2560" s="56"/>
      <c r="BU2560" s="56"/>
      <c r="BV2560" s="56"/>
      <c r="BW2560" s="56"/>
      <c r="BX2560" s="56"/>
      <c r="BY2560" s="56"/>
      <c r="BZ2560" s="56"/>
      <c r="CA2560" s="56"/>
      <c r="CB2560" s="56"/>
      <c r="CC2560" s="56"/>
      <c r="CD2560" s="56"/>
      <c r="CE2560" s="56"/>
      <c r="CF2560" s="56"/>
      <c r="CG2560" s="56"/>
      <c r="CH2560" s="56"/>
      <c r="CI2560" s="56"/>
      <c r="CJ2560" s="56"/>
      <c r="CK2560" s="56"/>
      <c r="CL2560" s="56"/>
      <c r="CM2560" s="56"/>
      <c r="CN2560" s="56"/>
      <c r="CO2560" s="56"/>
      <c r="CP2560" s="56"/>
      <c r="CQ2560" s="56"/>
      <c r="CR2560" s="56"/>
      <c r="CS2560" s="56"/>
      <c r="CT2560" s="56"/>
      <c r="CU2560" s="56"/>
      <c r="CV2560" s="56"/>
      <c r="CW2560" s="56"/>
      <c r="CX2560" s="56"/>
      <c r="CY2560" s="56"/>
      <c r="CZ2560" s="56"/>
    </row>
    <row r="2561" spans="27:104" s="5" customFormat="1" x14ac:dyDescent="0.25">
      <c r="AA2561" s="56"/>
      <c r="AB2561" s="56"/>
      <c r="AC2561" s="56"/>
      <c r="AD2561" s="56"/>
      <c r="AE2561" s="56"/>
      <c r="AF2561" s="56"/>
      <c r="AG2561" s="56"/>
      <c r="AH2561" s="56"/>
      <c r="AI2561" s="56"/>
      <c r="AJ2561" s="56"/>
      <c r="AK2561" s="56"/>
      <c r="AL2561" s="56"/>
      <c r="AM2561" s="56"/>
      <c r="AN2561" s="56"/>
      <c r="AO2561" s="56"/>
      <c r="AP2561" s="56"/>
      <c r="AQ2561" s="56"/>
      <c r="AR2561" s="56"/>
      <c r="AS2561" s="56"/>
      <c r="AT2561" s="56"/>
      <c r="AU2561" s="56"/>
      <c r="AV2561" s="56"/>
      <c r="AW2561" s="56"/>
      <c r="AX2561" s="56"/>
      <c r="AY2561" s="56"/>
      <c r="AZ2561" s="56"/>
      <c r="BA2561" s="56"/>
      <c r="BB2561" s="16"/>
      <c r="BC2561" s="56"/>
      <c r="BD2561" s="56"/>
      <c r="BE2561" s="56"/>
      <c r="BF2561" s="56"/>
      <c r="BG2561" s="56"/>
      <c r="BH2561" s="56"/>
      <c r="BI2561" s="56"/>
      <c r="BJ2561" s="56"/>
      <c r="BK2561" s="56"/>
      <c r="BL2561" s="56"/>
      <c r="BM2561" s="56"/>
      <c r="BN2561" s="56"/>
      <c r="BO2561" s="56"/>
      <c r="BP2561" s="56"/>
      <c r="BQ2561" s="56"/>
      <c r="BR2561" s="56"/>
      <c r="BS2561" s="56"/>
      <c r="BT2561" s="56"/>
      <c r="BU2561" s="56"/>
      <c r="BV2561" s="56"/>
      <c r="BW2561" s="56"/>
      <c r="BX2561" s="56"/>
      <c r="BY2561" s="56"/>
      <c r="BZ2561" s="56"/>
      <c r="CA2561" s="56"/>
      <c r="CB2561" s="56"/>
      <c r="CC2561" s="56"/>
      <c r="CD2561" s="56"/>
      <c r="CE2561" s="56"/>
      <c r="CF2561" s="56"/>
      <c r="CG2561" s="56"/>
      <c r="CH2561" s="56"/>
      <c r="CI2561" s="56"/>
      <c r="CJ2561" s="56"/>
      <c r="CK2561" s="56"/>
      <c r="CL2561" s="56"/>
      <c r="CM2561" s="56"/>
      <c r="CN2561" s="56"/>
      <c r="CO2561" s="56"/>
      <c r="CP2561" s="56"/>
      <c r="CQ2561" s="56"/>
      <c r="CR2561" s="56"/>
      <c r="CS2561" s="56"/>
      <c r="CT2561" s="56"/>
      <c r="CU2561" s="56"/>
      <c r="CV2561" s="56"/>
      <c r="CW2561" s="56"/>
      <c r="CX2561" s="56"/>
      <c r="CY2561" s="56"/>
      <c r="CZ2561" s="56"/>
    </row>
    <row r="2562" spans="27:104" s="5" customFormat="1" x14ac:dyDescent="0.25">
      <c r="AA2562" s="56"/>
      <c r="AB2562" s="56"/>
      <c r="AC2562" s="56"/>
      <c r="AD2562" s="56"/>
      <c r="AE2562" s="56"/>
      <c r="AF2562" s="56"/>
      <c r="AG2562" s="56"/>
      <c r="AH2562" s="56"/>
      <c r="AI2562" s="56"/>
      <c r="AJ2562" s="56"/>
      <c r="AK2562" s="56"/>
      <c r="AL2562" s="56"/>
      <c r="AM2562" s="56"/>
      <c r="AN2562" s="56"/>
      <c r="AO2562" s="56"/>
      <c r="AP2562" s="56"/>
      <c r="AQ2562" s="56"/>
      <c r="AR2562" s="56"/>
      <c r="AS2562" s="56"/>
      <c r="AT2562" s="56"/>
      <c r="AU2562" s="56"/>
      <c r="AV2562" s="56"/>
      <c r="AW2562" s="56"/>
      <c r="AX2562" s="56"/>
      <c r="AY2562" s="56"/>
      <c r="AZ2562" s="56"/>
      <c r="BA2562" s="56"/>
      <c r="BB2562" s="16"/>
      <c r="BC2562" s="56"/>
      <c r="BD2562" s="56"/>
      <c r="BE2562" s="56"/>
      <c r="BF2562" s="56"/>
      <c r="BG2562" s="56"/>
      <c r="BH2562" s="56"/>
      <c r="BI2562" s="56"/>
      <c r="BJ2562" s="56"/>
      <c r="BK2562" s="56"/>
      <c r="BL2562" s="56"/>
      <c r="BM2562" s="56"/>
      <c r="BN2562" s="56"/>
      <c r="BO2562" s="56"/>
      <c r="BP2562" s="56"/>
      <c r="BQ2562" s="56"/>
      <c r="BR2562" s="56"/>
      <c r="BS2562" s="56"/>
      <c r="BT2562" s="56"/>
      <c r="BU2562" s="56"/>
      <c r="BV2562" s="56"/>
      <c r="BW2562" s="56"/>
      <c r="BX2562" s="56"/>
      <c r="BY2562" s="56"/>
      <c r="BZ2562" s="56"/>
      <c r="CA2562" s="56"/>
      <c r="CB2562" s="56"/>
      <c r="CC2562" s="56"/>
      <c r="CD2562" s="56"/>
      <c r="CE2562" s="56"/>
      <c r="CF2562" s="56"/>
      <c r="CG2562" s="56"/>
      <c r="CH2562" s="56"/>
      <c r="CI2562" s="56"/>
      <c r="CJ2562" s="56"/>
      <c r="CK2562" s="56"/>
      <c r="CL2562" s="56"/>
      <c r="CM2562" s="56"/>
      <c r="CN2562" s="56"/>
      <c r="CO2562" s="56"/>
      <c r="CP2562" s="56"/>
      <c r="CQ2562" s="56"/>
      <c r="CR2562" s="56"/>
      <c r="CS2562" s="56"/>
      <c r="CT2562" s="56"/>
      <c r="CU2562" s="56"/>
      <c r="CV2562" s="56"/>
      <c r="CW2562" s="56"/>
      <c r="CX2562" s="56"/>
      <c r="CY2562" s="56"/>
      <c r="CZ2562" s="56"/>
    </row>
    <row r="2563" spans="27:104" s="5" customFormat="1" x14ac:dyDescent="0.25">
      <c r="AA2563" s="56"/>
      <c r="AB2563" s="56"/>
      <c r="AC2563" s="56"/>
      <c r="AD2563" s="56"/>
      <c r="AE2563" s="56"/>
      <c r="AF2563" s="56"/>
      <c r="AG2563" s="56"/>
      <c r="AH2563" s="56"/>
      <c r="AI2563" s="56"/>
      <c r="AJ2563" s="56"/>
      <c r="AK2563" s="56"/>
      <c r="AL2563" s="56"/>
      <c r="AM2563" s="56"/>
      <c r="AN2563" s="56"/>
      <c r="AO2563" s="56"/>
      <c r="AP2563" s="56"/>
      <c r="AQ2563" s="56"/>
      <c r="AR2563" s="56"/>
      <c r="AS2563" s="56"/>
      <c r="AT2563" s="56"/>
      <c r="AU2563" s="56"/>
      <c r="AV2563" s="56"/>
      <c r="AW2563" s="56"/>
      <c r="AX2563" s="56"/>
      <c r="AY2563" s="56"/>
      <c r="AZ2563" s="56"/>
      <c r="BA2563" s="56"/>
      <c r="BB2563" s="16"/>
      <c r="BC2563" s="56"/>
      <c r="BD2563" s="56"/>
      <c r="BE2563" s="56"/>
      <c r="BF2563" s="56"/>
      <c r="BG2563" s="56"/>
      <c r="BH2563" s="56"/>
      <c r="BI2563" s="56"/>
      <c r="BJ2563" s="56"/>
      <c r="BK2563" s="56"/>
      <c r="BL2563" s="56"/>
      <c r="BM2563" s="56"/>
      <c r="BN2563" s="56"/>
      <c r="BO2563" s="56"/>
      <c r="BP2563" s="56"/>
      <c r="BQ2563" s="56"/>
      <c r="BR2563" s="56"/>
      <c r="BS2563" s="56"/>
      <c r="BT2563" s="56"/>
      <c r="BU2563" s="56"/>
      <c r="BV2563" s="56"/>
      <c r="BW2563" s="56"/>
      <c r="BX2563" s="56"/>
      <c r="BY2563" s="56"/>
      <c r="BZ2563" s="56"/>
      <c r="CA2563" s="56"/>
      <c r="CB2563" s="56"/>
      <c r="CC2563" s="56"/>
      <c r="CD2563" s="56"/>
      <c r="CE2563" s="56"/>
      <c r="CF2563" s="56"/>
      <c r="CG2563" s="56"/>
      <c r="CH2563" s="56"/>
      <c r="CI2563" s="56"/>
      <c r="CJ2563" s="56"/>
      <c r="CK2563" s="56"/>
      <c r="CL2563" s="56"/>
      <c r="CM2563" s="56"/>
      <c r="CN2563" s="56"/>
      <c r="CO2563" s="56"/>
      <c r="CP2563" s="56"/>
      <c r="CQ2563" s="56"/>
      <c r="CR2563" s="56"/>
      <c r="CS2563" s="56"/>
      <c r="CT2563" s="56"/>
      <c r="CU2563" s="56"/>
      <c r="CV2563" s="56"/>
      <c r="CW2563" s="56"/>
      <c r="CX2563" s="56"/>
      <c r="CY2563" s="56"/>
      <c r="CZ2563" s="56"/>
    </row>
    <row r="2564" spans="27:104" s="5" customFormat="1" x14ac:dyDescent="0.25">
      <c r="AA2564" s="56"/>
      <c r="AB2564" s="56"/>
      <c r="AC2564" s="56"/>
      <c r="AD2564" s="56"/>
      <c r="AE2564" s="56"/>
      <c r="AF2564" s="56"/>
      <c r="AG2564" s="56"/>
      <c r="AH2564" s="56"/>
      <c r="AI2564" s="56"/>
      <c r="AJ2564" s="56"/>
      <c r="AK2564" s="56"/>
      <c r="AL2564" s="56"/>
      <c r="AM2564" s="56"/>
      <c r="AN2564" s="56"/>
      <c r="AO2564" s="56"/>
      <c r="AP2564" s="56"/>
      <c r="AQ2564" s="56"/>
      <c r="AR2564" s="56"/>
      <c r="AS2564" s="56"/>
      <c r="AT2564" s="56"/>
      <c r="AU2564" s="56"/>
      <c r="AV2564" s="56"/>
      <c r="AW2564" s="56"/>
      <c r="AX2564" s="56"/>
      <c r="AY2564" s="56"/>
      <c r="AZ2564" s="56"/>
      <c r="BA2564" s="56"/>
      <c r="BB2564" s="16"/>
      <c r="BC2564" s="56"/>
      <c r="BD2564" s="56"/>
      <c r="BE2564" s="56"/>
      <c r="BF2564" s="56"/>
      <c r="BG2564" s="56"/>
      <c r="BH2564" s="56"/>
      <c r="BI2564" s="56"/>
      <c r="BJ2564" s="56"/>
      <c r="BK2564" s="56"/>
      <c r="BL2564" s="56"/>
      <c r="BM2564" s="56"/>
      <c r="BN2564" s="56"/>
      <c r="BO2564" s="56"/>
      <c r="BP2564" s="56"/>
      <c r="BQ2564" s="56"/>
      <c r="BR2564" s="56"/>
      <c r="BS2564" s="56"/>
      <c r="BT2564" s="56"/>
      <c r="BU2564" s="56"/>
      <c r="BV2564" s="56"/>
      <c r="BW2564" s="56"/>
      <c r="BX2564" s="56"/>
      <c r="BY2564" s="56"/>
      <c r="BZ2564" s="56"/>
      <c r="CA2564" s="56"/>
      <c r="CB2564" s="56"/>
      <c r="CC2564" s="56"/>
      <c r="CD2564" s="56"/>
      <c r="CE2564" s="56"/>
      <c r="CF2564" s="56"/>
      <c r="CG2564" s="56"/>
      <c r="CH2564" s="56"/>
      <c r="CI2564" s="56"/>
      <c r="CJ2564" s="56"/>
      <c r="CK2564" s="56"/>
      <c r="CL2564" s="56"/>
      <c r="CM2564" s="56"/>
      <c r="CN2564" s="56"/>
      <c r="CO2564" s="56"/>
      <c r="CP2564" s="56"/>
      <c r="CQ2564" s="56"/>
      <c r="CR2564" s="56"/>
      <c r="CS2564" s="56"/>
      <c r="CT2564" s="56"/>
      <c r="CU2564" s="56"/>
      <c r="CV2564" s="56"/>
      <c r="CW2564" s="56"/>
      <c r="CX2564" s="56"/>
      <c r="CY2564" s="56"/>
      <c r="CZ2564" s="56"/>
    </row>
    <row r="2565" spans="27:104" s="5" customFormat="1" x14ac:dyDescent="0.25">
      <c r="AA2565" s="56"/>
      <c r="AB2565" s="56"/>
      <c r="AC2565" s="56"/>
      <c r="AD2565" s="56"/>
      <c r="AE2565" s="56"/>
      <c r="AF2565" s="56"/>
      <c r="AG2565" s="56"/>
      <c r="AH2565" s="56"/>
      <c r="AI2565" s="56"/>
      <c r="AJ2565" s="56"/>
      <c r="AK2565" s="56"/>
      <c r="AL2565" s="56"/>
      <c r="AM2565" s="56"/>
      <c r="AN2565" s="56"/>
      <c r="AO2565" s="56"/>
      <c r="AP2565" s="56"/>
      <c r="AQ2565" s="56"/>
      <c r="AR2565" s="56"/>
      <c r="AS2565" s="56"/>
      <c r="AT2565" s="56"/>
      <c r="AU2565" s="56"/>
      <c r="AV2565" s="56"/>
      <c r="AW2565" s="56"/>
      <c r="AX2565" s="56"/>
      <c r="AY2565" s="56"/>
      <c r="AZ2565" s="56"/>
      <c r="BA2565" s="56"/>
      <c r="BB2565" s="16"/>
      <c r="BC2565" s="56"/>
      <c r="BD2565" s="56"/>
      <c r="BE2565" s="56"/>
      <c r="BF2565" s="56"/>
      <c r="BG2565" s="56"/>
      <c r="BH2565" s="56"/>
      <c r="BI2565" s="56"/>
      <c r="BJ2565" s="56"/>
      <c r="BK2565" s="56"/>
      <c r="BL2565" s="56"/>
      <c r="BM2565" s="56"/>
      <c r="BN2565" s="56"/>
      <c r="BO2565" s="56"/>
      <c r="BP2565" s="56"/>
      <c r="BQ2565" s="56"/>
      <c r="BR2565" s="56"/>
      <c r="BS2565" s="56"/>
      <c r="BT2565" s="56"/>
      <c r="BU2565" s="56"/>
      <c r="BV2565" s="56"/>
      <c r="BW2565" s="56"/>
      <c r="BX2565" s="56"/>
      <c r="BY2565" s="56"/>
      <c r="BZ2565" s="56"/>
      <c r="CA2565" s="56"/>
      <c r="CB2565" s="56"/>
      <c r="CC2565" s="56"/>
      <c r="CD2565" s="56"/>
      <c r="CE2565" s="56"/>
      <c r="CF2565" s="56"/>
      <c r="CG2565" s="56"/>
      <c r="CH2565" s="56"/>
      <c r="CI2565" s="56"/>
      <c r="CJ2565" s="56"/>
      <c r="CK2565" s="56"/>
      <c r="CL2565" s="56"/>
      <c r="CM2565" s="56"/>
      <c r="CN2565" s="56"/>
      <c r="CO2565" s="56"/>
      <c r="CP2565" s="56"/>
      <c r="CQ2565" s="56"/>
      <c r="CR2565" s="56"/>
      <c r="CS2565" s="56"/>
      <c r="CT2565" s="56"/>
      <c r="CU2565" s="56"/>
      <c r="CV2565" s="56"/>
      <c r="CW2565" s="56"/>
      <c r="CX2565" s="56"/>
      <c r="CY2565" s="56"/>
      <c r="CZ2565" s="56"/>
    </row>
    <row r="2566" spans="27:104" s="5" customFormat="1" x14ac:dyDescent="0.25">
      <c r="AA2566" s="56"/>
      <c r="AB2566" s="56"/>
      <c r="AC2566" s="56"/>
      <c r="AD2566" s="56"/>
      <c r="AE2566" s="56"/>
      <c r="AF2566" s="56"/>
      <c r="AG2566" s="56"/>
      <c r="AH2566" s="56"/>
      <c r="AI2566" s="56"/>
      <c r="AJ2566" s="56"/>
      <c r="AK2566" s="56"/>
      <c r="AL2566" s="56"/>
      <c r="AM2566" s="56"/>
      <c r="AN2566" s="56"/>
      <c r="AO2566" s="56"/>
      <c r="AP2566" s="56"/>
      <c r="AQ2566" s="56"/>
      <c r="AR2566" s="56"/>
      <c r="AS2566" s="56"/>
      <c r="AT2566" s="56"/>
      <c r="AU2566" s="56"/>
      <c r="AV2566" s="56"/>
      <c r="AW2566" s="56"/>
      <c r="AX2566" s="56"/>
      <c r="AY2566" s="56"/>
      <c r="AZ2566" s="56"/>
      <c r="BA2566" s="56"/>
      <c r="BB2566" s="16"/>
      <c r="BC2566" s="56"/>
      <c r="BD2566" s="56"/>
      <c r="BE2566" s="56"/>
      <c r="BF2566" s="56"/>
      <c r="BG2566" s="56"/>
      <c r="BH2566" s="56"/>
      <c r="BI2566" s="56"/>
      <c r="BJ2566" s="56"/>
      <c r="BK2566" s="56"/>
      <c r="BL2566" s="56"/>
      <c r="BM2566" s="56"/>
      <c r="BN2566" s="56"/>
      <c r="BO2566" s="56"/>
      <c r="BP2566" s="56"/>
      <c r="BQ2566" s="56"/>
      <c r="BR2566" s="56"/>
      <c r="BS2566" s="56"/>
      <c r="BT2566" s="56"/>
      <c r="BU2566" s="56"/>
      <c r="BV2566" s="56"/>
      <c r="BW2566" s="56"/>
      <c r="BX2566" s="56"/>
      <c r="BY2566" s="56"/>
      <c r="BZ2566" s="56"/>
      <c r="CA2566" s="56"/>
      <c r="CB2566" s="56"/>
      <c r="CC2566" s="56"/>
      <c r="CD2566" s="56"/>
      <c r="CE2566" s="56"/>
      <c r="CF2566" s="56"/>
      <c r="CG2566" s="56"/>
      <c r="CH2566" s="56"/>
      <c r="CI2566" s="56"/>
      <c r="CJ2566" s="56"/>
      <c r="CK2566" s="56"/>
      <c r="CL2566" s="56"/>
      <c r="CM2566" s="56"/>
      <c r="CN2566" s="56"/>
      <c r="CO2566" s="56"/>
      <c r="CP2566" s="56"/>
      <c r="CQ2566" s="56"/>
      <c r="CR2566" s="56"/>
      <c r="CS2566" s="56"/>
      <c r="CT2566" s="56"/>
      <c r="CU2566" s="56"/>
      <c r="CV2566" s="56"/>
      <c r="CW2566" s="56"/>
      <c r="CX2566" s="56"/>
      <c r="CY2566" s="56"/>
      <c r="CZ2566" s="56"/>
    </row>
    <row r="2567" spans="27:104" s="5" customFormat="1" x14ac:dyDescent="0.25">
      <c r="AA2567" s="56"/>
      <c r="AB2567" s="56"/>
      <c r="AC2567" s="56"/>
      <c r="AD2567" s="56"/>
      <c r="AE2567" s="56"/>
      <c r="AF2567" s="56"/>
      <c r="AG2567" s="56"/>
      <c r="AH2567" s="56"/>
      <c r="AI2567" s="56"/>
      <c r="AJ2567" s="56"/>
      <c r="AK2567" s="56"/>
      <c r="AL2567" s="56"/>
      <c r="AM2567" s="56"/>
      <c r="AN2567" s="56"/>
      <c r="AO2567" s="56"/>
      <c r="AP2567" s="56"/>
      <c r="AQ2567" s="56"/>
      <c r="AR2567" s="56"/>
      <c r="AS2567" s="56"/>
      <c r="AT2567" s="56"/>
      <c r="AU2567" s="56"/>
      <c r="AV2567" s="56"/>
      <c r="AW2567" s="56"/>
      <c r="AX2567" s="56"/>
      <c r="AY2567" s="56"/>
      <c r="AZ2567" s="56"/>
      <c r="BA2567" s="56"/>
      <c r="BB2567" s="16"/>
      <c r="BC2567" s="56"/>
      <c r="BD2567" s="56"/>
      <c r="BE2567" s="56"/>
      <c r="BF2567" s="56"/>
      <c r="BG2567" s="56"/>
      <c r="BH2567" s="56"/>
      <c r="BI2567" s="56"/>
      <c r="BJ2567" s="56"/>
      <c r="BK2567" s="56"/>
      <c r="BL2567" s="56"/>
      <c r="BM2567" s="56"/>
      <c r="BN2567" s="56"/>
      <c r="BO2567" s="56"/>
      <c r="BP2567" s="56"/>
      <c r="BQ2567" s="56"/>
      <c r="BR2567" s="56"/>
      <c r="BS2567" s="56"/>
      <c r="BT2567" s="56"/>
      <c r="BU2567" s="56"/>
      <c r="BV2567" s="56"/>
      <c r="BW2567" s="56"/>
      <c r="BX2567" s="56"/>
      <c r="BY2567" s="56"/>
      <c r="BZ2567" s="56"/>
      <c r="CA2567" s="56"/>
      <c r="CB2567" s="56"/>
      <c r="CC2567" s="56"/>
      <c r="CD2567" s="56"/>
      <c r="CE2567" s="56"/>
      <c r="CF2567" s="56"/>
      <c r="CG2567" s="56"/>
      <c r="CH2567" s="56"/>
      <c r="CI2567" s="56"/>
      <c r="CJ2567" s="56"/>
      <c r="CK2567" s="56"/>
      <c r="CL2567" s="56"/>
      <c r="CM2567" s="56"/>
      <c r="CN2567" s="56"/>
      <c r="CO2567" s="56"/>
      <c r="CP2567" s="56"/>
      <c r="CQ2567" s="56"/>
      <c r="CR2567" s="56"/>
      <c r="CS2567" s="56"/>
      <c r="CT2567" s="56"/>
      <c r="CU2567" s="56"/>
      <c r="CV2567" s="56"/>
      <c r="CW2567" s="56"/>
      <c r="CX2567" s="56"/>
      <c r="CY2567" s="56"/>
      <c r="CZ2567" s="56"/>
    </row>
    <row r="2568" spans="27:104" s="5" customFormat="1" x14ac:dyDescent="0.25">
      <c r="AA2568" s="56"/>
      <c r="AB2568" s="56"/>
      <c r="AC2568" s="56"/>
      <c r="AD2568" s="56"/>
      <c r="AE2568" s="56"/>
      <c r="AF2568" s="56"/>
      <c r="AG2568" s="56"/>
      <c r="AH2568" s="56"/>
      <c r="AI2568" s="56"/>
      <c r="AJ2568" s="56"/>
      <c r="AK2568" s="56"/>
      <c r="AL2568" s="56"/>
      <c r="AM2568" s="56"/>
      <c r="AN2568" s="56"/>
      <c r="AO2568" s="56"/>
      <c r="AP2568" s="56"/>
      <c r="AQ2568" s="56"/>
      <c r="AR2568" s="56"/>
      <c r="AS2568" s="56"/>
      <c r="AT2568" s="56"/>
      <c r="AU2568" s="56"/>
      <c r="AV2568" s="56"/>
      <c r="AW2568" s="56"/>
      <c r="AX2568" s="56"/>
      <c r="AY2568" s="56"/>
      <c r="AZ2568" s="56"/>
      <c r="BA2568" s="56"/>
      <c r="BB2568" s="16"/>
      <c r="BC2568" s="56"/>
      <c r="BD2568" s="56"/>
      <c r="BE2568" s="56"/>
      <c r="BF2568" s="56"/>
      <c r="BG2568" s="56"/>
      <c r="BH2568" s="56"/>
      <c r="BI2568" s="56"/>
      <c r="BJ2568" s="56"/>
      <c r="BK2568" s="56"/>
      <c r="BL2568" s="56"/>
      <c r="BM2568" s="56"/>
      <c r="BN2568" s="56"/>
      <c r="BO2568" s="56"/>
      <c r="BP2568" s="56"/>
      <c r="BQ2568" s="56"/>
      <c r="BR2568" s="56"/>
      <c r="BS2568" s="56"/>
      <c r="BT2568" s="56"/>
      <c r="BU2568" s="56"/>
      <c r="BV2568" s="56"/>
      <c r="BW2568" s="56"/>
      <c r="BX2568" s="56"/>
      <c r="BY2568" s="56"/>
      <c r="BZ2568" s="56"/>
      <c r="CA2568" s="56"/>
      <c r="CB2568" s="56"/>
      <c r="CC2568" s="56"/>
      <c r="CD2568" s="56"/>
      <c r="CE2568" s="56"/>
      <c r="CF2568" s="56"/>
      <c r="CG2568" s="56"/>
      <c r="CH2568" s="56"/>
      <c r="CI2568" s="56"/>
      <c r="CJ2568" s="56"/>
      <c r="CK2568" s="56"/>
      <c r="CL2568" s="56"/>
      <c r="CM2568" s="56"/>
      <c r="CN2568" s="56"/>
      <c r="CO2568" s="56"/>
      <c r="CP2568" s="56"/>
      <c r="CQ2568" s="56"/>
      <c r="CR2568" s="56"/>
      <c r="CS2568" s="56"/>
      <c r="CT2568" s="56"/>
      <c r="CU2568" s="56"/>
      <c r="CV2568" s="56"/>
      <c r="CW2568" s="56"/>
      <c r="CX2568" s="56"/>
      <c r="CY2568" s="56"/>
      <c r="CZ2568" s="56"/>
    </row>
    <row r="2569" spans="27:104" s="5" customFormat="1" x14ac:dyDescent="0.25">
      <c r="AA2569" s="56"/>
      <c r="AB2569" s="56"/>
      <c r="AC2569" s="56"/>
      <c r="AD2569" s="56"/>
      <c r="AE2569" s="56"/>
      <c r="AF2569" s="56"/>
      <c r="AG2569" s="56"/>
      <c r="AH2569" s="56"/>
      <c r="AI2569" s="56"/>
      <c r="AJ2569" s="56"/>
      <c r="AK2569" s="56"/>
      <c r="AL2569" s="56"/>
      <c r="AM2569" s="56"/>
      <c r="AN2569" s="56"/>
      <c r="AO2569" s="56"/>
      <c r="AP2569" s="56"/>
      <c r="AQ2569" s="56"/>
      <c r="AR2569" s="56"/>
      <c r="AS2569" s="56"/>
      <c r="AT2569" s="56"/>
      <c r="AU2569" s="56"/>
      <c r="AV2569" s="56"/>
      <c r="AW2569" s="56"/>
      <c r="AX2569" s="56"/>
      <c r="AY2569" s="56"/>
      <c r="AZ2569" s="56"/>
      <c r="BA2569" s="56"/>
      <c r="BB2569" s="16"/>
      <c r="BC2569" s="56"/>
      <c r="BD2569" s="56"/>
      <c r="BE2569" s="56"/>
      <c r="BF2569" s="56"/>
      <c r="BG2569" s="56"/>
      <c r="BH2569" s="56"/>
      <c r="BI2569" s="56"/>
      <c r="BJ2569" s="56"/>
      <c r="BK2569" s="56"/>
      <c r="BL2569" s="56"/>
      <c r="BM2569" s="56"/>
      <c r="BN2569" s="56"/>
      <c r="BO2569" s="56"/>
      <c r="BP2569" s="56"/>
      <c r="BQ2569" s="56"/>
      <c r="BR2569" s="56"/>
      <c r="BS2569" s="56"/>
      <c r="BT2569" s="56"/>
      <c r="BU2569" s="56"/>
      <c r="BV2569" s="56"/>
      <c r="BW2569" s="56"/>
      <c r="BX2569" s="56"/>
      <c r="BY2569" s="56"/>
      <c r="BZ2569" s="56"/>
      <c r="CA2569" s="56"/>
      <c r="CB2569" s="56"/>
      <c r="CC2569" s="56"/>
      <c r="CD2569" s="56"/>
      <c r="CE2569" s="56"/>
      <c r="CF2569" s="56"/>
      <c r="CG2569" s="56"/>
      <c r="CH2569" s="56"/>
      <c r="CI2569" s="56"/>
      <c r="CJ2569" s="56"/>
      <c r="CK2569" s="56"/>
      <c r="CL2569" s="56"/>
      <c r="CM2569" s="56"/>
      <c r="CN2569" s="56"/>
      <c r="CO2569" s="56"/>
      <c r="CP2569" s="56"/>
      <c r="CQ2569" s="56"/>
      <c r="CR2569" s="56"/>
      <c r="CS2569" s="56"/>
      <c r="CT2569" s="56"/>
      <c r="CU2569" s="56"/>
      <c r="CV2569" s="56"/>
      <c r="CW2569" s="56"/>
      <c r="CX2569" s="56"/>
      <c r="CY2569" s="56"/>
      <c r="CZ2569" s="56"/>
    </row>
    <row r="2570" spans="27:104" s="5" customFormat="1" x14ac:dyDescent="0.25">
      <c r="AA2570" s="56"/>
      <c r="AB2570" s="56"/>
      <c r="AC2570" s="56"/>
      <c r="AD2570" s="56"/>
      <c r="AE2570" s="56"/>
      <c r="AF2570" s="56"/>
      <c r="AG2570" s="56"/>
      <c r="AH2570" s="56"/>
      <c r="AI2570" s="56"/>
      <c r="AJ2570" s="56"/>
      <c r="AK2570" s="56"/>
      <c r="AL2570" s="56"/>
      <c r="AM2570" s="56"/>
      <c r="AN2570" s="56"/>
      <c r="AO2570" s="56"/>
      <c r="AP2570" s="56"/>
      <c r="AQ2570" s="56"/>
      <c r="AR2570" s="56"/>
      <c r="AS2570" s="56"/>
      <c r="AT2570" s="56"/>
      <c r="AU2570" s="56"/>
      <c r="AV2570" s="56"/>
      <c r="AW2570" s="56"/>
      <c r="AX2570" s="56"/>
      <c r="AY2570" s="56"/>
      <c r="AZ2570" s="56"/>
      <c r="BA2570" s="56"/>
      <c r="BB2570" s="16"/>
      <c r="BC2570" s="56"/>
      <c r="BD2570" s="56"/>
      <c r="BE2570" s="56"/>
      <c r="BF2570" s="56"/>
      <c r="BG2570" s="56"/>
      <c r="BH2570" s="56"/>
      <c r="BI2570" s="56"/>
      <c r="BJ2570" s="56"/>
      <c r="BK2570" s="56"/>
      <c r="BL2570" s="56"/>
      <c r="BM2570" s="56"/>
      <c r="BN2570" s="56"/>
      <c r="BO2570" s="56"/>
      <c r="BP2570" s="56"/>
      <c r="BQ2570" s="56"/>
      <c r="BR2570" s="56"/>
      <c r="BS2570" s="56"/>
      <c r="BT2570" s="56"/>
      <c r="BU2570" s="56"/>
      <c r="BV2570" s="56"/>
      <c r="BW2570" s="56"/>
      <c r="BX2570" s="56"/>
      <c r="BY2570" s="56"/>
      <c r="BZ2570" s="56"/>
      <c r="CA2570" s="56"/>
      <c r="CB2570" s="56"/>
      <c r="CC2570" s="56"/>
      <c r="CD2570" s="56"/>
      <c r="CE2570" s="56"/>
      <c r="CF2570" s="56"/>
      <c r="CG2570" s="56"/>
      <c r="CH2570" s="56"/>
      <c r="CI2570" s="56"/>
      <c r="CJ2570" s="56"/>
      <c r="CK2570" s="56"/>
      <c r="CL2570" s="56"/>
      <c r="CM2570" s="56"/>
      <c r="CN2570" s="56"/>
      <c r="CO2570" s="56"/>
      <c r="CP2570" s="56"/>
      <c r="CQ2570" s="56"/>
      <c r="CR2570" s="56"/>
      <c r="CS2570" s="56"/>
      <c r="CT2570" s="56"/>
      <c r="CU2570" s="56"/>
      <c r="CV2570" s="56"/>
      <c r="CW2570" s="56"/>
      <c r="CX2570" s="56"/>
      <c r="CY2570" s="56"/>
      <c r="CZ2570" s="56"/>
    </row>
    <row r="2571" spans="27:104" s="5" customFormat="1" x14ac:dyDescent="0.25">
      <c r="AA2571" s="56"/>
      <c r="AB2571" s="56"/>
      <c r="AC2571" s="56"/>
      <c r="AD2571" s="56"/>
      <c r="AE2571" s="56"/>
      <c r="AF2571" s="56"/>
      <c r="AG2571" s="56"/>
      <c r="AH2571" s="56"/>
      <c r="AI2571" s="56"/>
      <c r="AJ2571" s="56"/>
      <c r="AK2571" s="56"/>
      <c r="AL2571" s="56"/>
      <c r="AM2571" s="56"/>
      <c r="AN2571" s="56"/>
      <c r="AO2571" s="56"/>
      <c r="AP2571" s="56"/>
      <c r="AQ2571" s="56"/>
      <c r="AR2571" s="56"/>
      <c r="AS2571" s="56"/>
      <c r="AT2571" s="56"/>
      <c r="AU2571" s="56"/>
      <c r="AV2571" s="56"/>
      <c r="AW2571" s="56"/>
      <c r="AX2571" s="56"/>
      <c r="AY2571" s="56"/>
      <c r="AZ2571" s="56"/>
      <c r="BA2571" s="56"/>
      <c r="BB2571" s="16"/>
      <c r="BC2571" s="56"/>
      <c r="BD2571" s="56"/>
      <c r="BE2571" s="56"/>
      <c r="BF2571" s="56"/>
      <c r="BG2571" s="56"/>
      <c r="BH2571" s="56"/>
      <c r="BI2571" s="56"/>
      <c r="BJ2571" s="56"/>
      <c r="BK2571" s="56"/>
      <c r="BL2571" s="56"/>
      <c r="BM2571" s="56"/>
      <c r="BN2571" s="56"/>
      <c r="BO2571" s="56"/>
      <c r="BP2571" s="56"/>
      <c r="BQ2571" s="56"/>
      <c r="BR2571" s="56"/>
      <c r="BS2571" s="56"/>
      <c r="BT2571" s="56"/>
      <c r="BU2571" s="56"/>
      <c r="BV2571" s="56"/>
      <c r="BW2571" s="56"/>
      <c r="BX2571" s="56"/>
      <c r="BY2571" s="56"/>
      <c r="BZ2571" s="56"/>
      <c r="CA2571" s="56"/>
      <c r="CB2571" s="56"/>
      <c r="CC2571" s="56"/>
      <c r="CD2571" s="56"/>
      <c r="CE2571" s="56"/>
      <c r="CF2571" s="56"/>
      <c r="CG2571" s="56"/>
      <c r="CH2571" s="56"/>
      <c r="CI2571" s="56"/>
      <c r="CJ2571" s="56"/>
      <c r="CK2571" s="56"/>
      <c r="CL2571" s="56"/>
      <c r="CM2571" s="56"/>
      <c r="CN2571" s="56"/>
      <c r="CO2571" s="56"/>
      <c r="CP2571" s="56"/>
      <c r="CQ2571" s="56"/>
      <c r="CR2571" s="56"/>
      <c r="CS2571" s="56"/>
      <c r="CT2571" s="56"/>
      <c r="CU2571" s="56"/>
      <c r="CV2571" s="56"/>
      <c r="CW2571" s="56"/>
      <c r="CX2571" s="56"/>
      <c r="CY2571" s="56"/>
      <c r="CZ2571" s="56"/>
    </row>
    <row r="2572" spans="27:104" s="5" customFormat="1" x14ac:dyDescent="0.25">
      <c r="AA2572" s="56"/>
      <c r="AB2572" s="56"/>
      <c r="AC2572" s="56"/>
      <c r="AD2572" s="56"/>
      <c r="AE2572" s="56"/>
      <c r="AF2572" s="56"/>
      <c r="AG2572" s="56"/>
      <c r="AH2572" s="56"/>
      <c r="AI2572" s="56"/>
      <c r="AJ2572" s="56"/>
      <c r="AK2572" s="56"/>
      <c r="AL2572" s="56"/>
      <c r="AM2572" s="56"/>
      <c r="AN2572" s="56"/>
      <c r="AO2572" s="56"/>
      <c r="AP2572" s="56"/>
      <c r="AQ2572" s="56"/>
      <c r="AR2572" s="56"/>
      <c r="AS2572" s="56"/>
      <c r="AT2572" s="56"/>
      <c r="AU2572" s="56"/>
      <c r="AV2572" s="56"/>
      <c r="AW2572" s="56"/>
      <c r="AX2572" s="56"/>
      <c r="AY2572" s="56"/>
      <c r="AZ2572" s="56"/>
      <c r="BA2572" s="56"/>
      <c r="BB2572" s="16"/>
      <c r="BC2572" s="56"/>
      <c r="BD2572" s="56"/>
      <c r="BE2572" s="56"/>
      <c r="BF2572" s="56"/>
      <c r="BG2572" s="56"/>
      <c r="BH2572" s="56"/>
      <c r="BI2572" s="56"/>
      <c r="BJ2572" s="56"/>
      <c r="BK2572" s="56"/>
      <c r="BL2572" s="56"/>
      <c r="BM2572" s="56"/>
      <c r="BN2572" s="56"/>
      <c r="BO2572" s="56"/>
      <c r="BP2572" s="56"/>
      <c r="BQ2572" s="56"/>
      <c r="BR2572" s="56"/>
      <c r="BS2572" s="56"/>
      <c r="BT2572" s="56"/>
      <c r="BU2572" s="56"/>
      <c r="BV2572" s="56"/>
      <c r="BW2572" s="56"/>
      <c r="BX2572" s="56"/>
      <c r="BY2572" s="56"/>
      <c r="BZ2572" s="56"/>
      <c r="CA2572" s="56"/>
      <c r="CB2572" s="56"/>
      <c r="CC2572" s="56"/>
      <c r="CD2572" s="56"/>
      <c r="CE2572" s="56"/>
      <c r="CF2572" s="56"/>
      <c r="CG2572" s="56"/>
      <c r="CH2572" s="56"/>
      <c r="CI2572" s="56"/>
      <c r="CJ2572" s="56"/>
      <c r="CK2572" s="56"/>
      <c r="CL2572" s="56"/>
      <c r="CM2572" s="56"/>
      <c r="CN2572" s="56"/>
      <c r="CO2572" s="56"/>
      <c r="CP2572" s="56"/>
      <c r="CQ2572" s="56"/>
      <c r="CR2572" s="56"/>
      <c r="CS2572" s="56"/>
      <c r="CT2572" s="56"/>
      <c r="CU2572" s="56"/>
      <c r="CV2572" s="56"/>
      <c r="CW2572" s="56"/>
      <c r="CX2572" s="56"/>
      <c r="CY2572" s="56"/>
      <c r="CZ2572" s="56"/>
    </row>
    <row r="2573" spans="27:104" s="5" customFormat="1" x14ac:dyDescent="0.25">
      <c r="AA2573" s="56"/>
      <c r="AB2573" s="56"/>
      <c r="AC2573" s="56"/>
      <c r="AD2573" s="56"/>
      <c r="AE2573" s="56"/>
      <c r="AF2573" s="56"/>
      <c r="AG2573" s="56"/>
      <c r="AH2573" s="56"/>
      <c r="AI2573" s="56"/>
      <c r="AJ2573" s="56"/>
      <c r="AK2573" s="56"/>
      <c r="AL2573" s="56"/>
      <c r="AM2573" s="56"/>
      <c r="AN2573" s="56"/>
      <c r="AO2573" s="56"/>
      <c r="AP2573" s="56"/>
      <c r="AQ2573" s="56"/>
      <c r="AR2573" s="56"/>
      <c r="AS2573" s="56"/>
      <c r="AT2573" s="56"/>
      <c r="AU2573" s="56"/>
      <c r="AV2573" s="56"/>
      <c r="AW2573" s="56"/>
      <c r="AX2573" s="56"/>
      <c r="AY2573" s="56"/>
      <c r="AZ2573" s="56"/>
      <c r="BA2573" s="56"/>
      <c r="BB2573" s="16"/>
      <c r="BC2573" s="56"/>
      <c r="BD2573" s="56"/>
      <c r="BE2573" s="56"/>
      <c r="BF2573" s="56"/>
      <c r="BG2573" s="56"/>
      <c r="BH2573" s="56"/>
      <c r="BI2573" s="56"/>
      <c r="BJ2573" s="56"/>
      <c r="BK2573" s="56"/>
      <c r="BL2573" s="56"/>
      <c r="BM2573" s="56"/>
      <c r="BN2573" s="56"/>
      <c r="BO2573" s="56"/>
      <c r="BP2573" s="56"/>
      <c r="BQ2573" s="56"/>
      <c r="BR2573" s="56"/>
      <c r="BS2573" s="56"/>
      <c r="BT2573" s="56"/>
      <c r="BU2573" s="56"/>
      <c r="BV2573" s="56"/>
      <c r="BW2573" s="56"/>
      <c r="BX2573" s="56"/>
      <c r="BY2573" s="56"/>
      <c r="BZ2573" s="56"/>
      <c r="CA2573" s="56"/>
      <c r="CB2573" s="56"/>
      <c r="CC2573" s="56"/>
      <c r="CD2573" s="56"/>
      <c r="CE2573" s="56"/>
      <c r="CF2573" s="56"/>
      <c r="CG2573" s="56"/>
      <c r="CH2573" s="56"/>
      <c r="CI2573" s="56"/>
      <c r="CJ2573" s="56"/>
      <c r="CK2573" s="56"/>
      <c r="CL2573" s="56"/>
      <c r="CM2573" s="56"/>
      <c r="CN2573" s="56"/>
      <c r="CO2573" s="56"/>
      <c r="CP2573" s="56"/>
      <c r="CQ2573" s="56"/>
      <c r="CR2573" s="56"/>
      <c r="CS2573" s="56"/>
      <c r="CT2573" s="56"/>
      <c r="CU2573" s="56"/>
      <c r="CV2573" s="56"/>
      <c r="CW2573" s="56"/>
      <c r="CX2573" s="56"/>
      <c r="CY2573" s="56"/>
      <c r="CZ2573" s="56"/>
    </row>
    <row r="2574" spans="27:104" s="5" customFormat="1" x14ac:dyDescent="0.25">
      <c r="AA2574" s="56"/>
      <c r="AB2574" s="56"/>
      <c r="AC2574" s="56"/>
      <c r="AD2574" s="56"/>
      <c r="AE2574" s="56"/>
      <c r="AF2574" s="56"/>
      <c r="AG2574" s="56"/>
      <c r="AH2574" s="56"/>
      <c r="AI2574" s="56"/>
      <c r="AJ2574" s="56"/>
      <c r="AK2574" s="56"/>
      <c r="AL2574" s="56"/>
      <c r="AM2574" s="56"/>
      <c r="AN2574" s="56"/>
      <c r="AO2574" s="56"/>
      <c r="AP2574" s="56"/>
      <c r="AQ2574" s="56"/>
      <c r="AR2574" s="56"/>
      <c r="AS2574" s="56"/>
      <c r="AT2574" s="56"/>
      <c r="AU2574" s="56"/>
      <c r="AV2574" s="56"/>
      <c r="AW2574" s="56"/>
      <c r="AX2574" s="56"/>
      <c r="AY2574" s="56"/>
      <c r="AZ2574" s="56"/>
      <c r="BA2574" s="56"/>
      <c r="BB2574" s="16"/>
      <c r="BC2574" s="56"/>
      <c r="BD2574" s="56"/>
      <c r="BE2574" s="56"/>
      <c r="BF2574" s="56"/>
      <c r="BG2574" s="56"/>
      <c r="BH2574" s="56"/>
      <c r="BI2574" s="56"/>
      <c r="BJ2574" s="56"/>
      <c r="BK2574" s="56"/>
      <c r="BL2574" s="56"/>
      <c r="BM2574" s="56"/>
      <c r="BN2574" s="56"/>
      <c r="BO2574" s="56"/>
      <c r="BP2574" s="56"/>
      <c r="BQ2574" s="56"/>
      <c r="BR2574" s="56"/>
      <c r="BS2574" s="56"/>
      <c r="BT2574" s="56"/>
      <c r="BU2574" s="56"/>
      <c r="BV2574" s="56"/>
      <c r="BW2574" s="56"/>
      <c r="BX2574" s="56"/>
      <c r="BY2574" s="56"/>
      <c r="BZ2574" s="56"/>
      <c r="CA2574" s="56"/>
      <c r="CB2574" s="56"/>
      <c r="CC2574" s="56"/>
      <c r="CD2574" s="56"/>
      <c r="CE2574" s="56"/>
      <c r="CF2574" s="56"/>
      <c r="CG2574" s="56"/>
      <c r="CH2574" s="56"/>
      <c r="CI2574" s="56"/>
      <c r="CJ2574" s="56"/>
      <c r="CK2574" s="56"/>
      <c r="CL2574" s="56"/>
      <c r="CM2574" s="56"/>
      <c r="CN2574" s="56"/>
      <c r="CO2574" s="56"/>
      <c r="CP2574" s="56"/>
      <c r="CQ2574" s="56"/>
      <c r="CR2574" s="56"/>
      <c r="CS2574" s="56"/>
      <c r="CT2574" s="56"/>
      <c r="CU2574" s="56"/>
      <c r="CV2574" s="56"/>
      <c r="CW2574" s="56"/>
      <c r="CX2574" s="56"/>
      <c r="CY2574" s="56"/>
      <c r="CZ2574" s="56"/>
    </row>
    <row r="2575" spans="27:104" s="5" customFormat="1" x14ac:dyDescent="0.25">
      <c r="AA2575" s="56"/>
      <c r="AB2575" s="56"/>
      <c r="AC2575" s="56"/>
      <c r="AD2575" s="56"/>
      <c r="AE2575" s="56"/>
      <c r="AF2575" s="56"/>
      <c r="AG2575" s="56"/>
      <c r="AH2575" s="56"/>
      <c r="AI2575" s="56"/>
      <c r="AJ2575" s="56"/>
      <c r="AK2575" s="56"/>
      <c r="AL2575" s="56"/>
      <c r="AM2575" s="56"/>
      <c r="AN2575" s="56"/>
      <c r="AO2575" s="56"/>
      <c r="AP2575" s="56"/>
      <c r="AQ2575" s="56"/>
      <c r="AR2575" s="56"/>
      <c r="AS2575" s="56"/>
      <c r="AT2575" s="56"/>
      <c r="AU2575" s="56"/>
      <c r="AV2575" s="56"/>
      <c r="AW2575" s="56"/>
      <c r="AX2575" s="56"/>
      <c r="AY2575" s="56"/>
      <c r="AZ2575" s="56"/>
      <c r="BA2575" s="56"/>
      <c r="BB2575" s="16"/>
      <c r="BC2575" s="56"/>
      <c r="BD2575" s="56"/>
      <c r="BE2575" s="56"/>
      <c r="BF2575" s="56"/>
      <c r="BG2575" s="56"/>
      <c r="BH2575" s="56"/>
      <c r="BI2575" s="56"/>
      <c r="BJ2575" s="56"/>
      <c r="BK2575" s="56"/>
      <c r="BL2575" s="56"/>
      <c r="BM2575" s="56"/>
      <c r="BN2575" s="56"/>
      <c r="BO2575" s="56"/>
      <c r="BP2575" s="56"/>
      <c r="BQ2575" s="56"/>
      <c r="BR2575" s="56"/>
      <c r="BS2575" s="56"/>
      <c r="BT2575" s="56"/>
      <c r="BU2575" s="56"/>
      <c r="BV2575" s="56"/>
      <c r="BW2575" s="56"/>
      <c r="BX2575" s="56"/>
      <c r="BY2575" s="56"/>
      <c r="BZ2575" s="56"/>
      <c r="CA2575" s="56"/>
      <c r="CB2575" s="56"/>
      <c r="CC2575" s="56"/>
      <c r="CD2575" s="56"/>
      <c r="CE2575" s="56"/>
      <c r="CF2575" s="56"/>
      <c r="CG2575" s="56"/>
      <c r="CH2575" s="56"/>
      <c r="CI2575" s="56"/>
      <c r="CJ2575" s="56"/>
      <c r="CK2575" s="56"/>
      <c r="CL2575" s="56"/>
      <c r="CM2575" s="56"/>
      <c r="CN2575" s="56"/>
      <c r="CO2575" s="56"/>
      <c r="CP2575" s="56"/>
      <c r="CQ2575" s="56"/>
      <c r="CR2575" s="56"/>
      <c r="CS2575" s="56"/>
      <c r="CT2575" s="56"/>
      <c r="CU2575" s="56"/>
      <c r="CV2575" s="56"/>
      <c r="CW2575" s="56"/>
      <c r="CX2575" s="56"/>
      <c r="CY2575" s="56"/>
      <c r="CZ2575" s="56"/>
    </row>
    <row r="2576" spans="27:104" s="5" customFormat="1" x14ac:dyDescent="0.25">
      <c r="AA2576" s="56"/>
      <c r="AB2576" s="56"/>
      <c r="AC2576" s="56"/>
      <c r="AD2576" s="56"/>
      <c r="AE2576" s="56"/>
      <c r="AF2576" s="56"/>
      <c r="AG2576" s="56"/>
      <c r="AH2576" s="56"/>
      <c r="AI2576" s="56"/>
      <c r="AJ2576" s="56"/>
      <c r="AK2576" s="56"/>
      <c r="AL2576" s="56"/>
      <c r="AM2576" s="56"/>
      <c r="AN2576" s="56"/>
      <c r="AO2576" s="56"/>
      <c r="AP2576" s="56"/>
      <c r="AQ2576" s="56"/>
      <c r="AR2576" s="56"/>
      <c r="AS2576" s="56"/>
      <c r="AT2576" s="56"/>
      <c r="AU2576" s="56"/>
      <c r="AV2576" s="56"/>
      <c r="AW2576" s="56"/>
      <c r="AX2576" s="56"/>
      <c r="AY2576" s="56"/>
      <c r="AZ2576" s="56"/>
      <c r="BA2576" s="56"/>
      <c r="BB2576" s="16"/>
      <c r="BC2576" s="56"/>
      <c r="BD2576" s="56"/>
      <c r="BE2576" s="56"/>
      <c r="BF2576" s="56"/>
      <c r="BG2576" s="56"/>
      <c r="BH2576" s="56"/>
      <c r="BI2576" s="56"/>
      <c r="BJ2576" s="56"/>
      <c r="BK2576" s="56"/>
      <c r="BL2576" s="56"/>
      <c r="BM2576" s="56"/>
      <c r="BN2576" s="56"/>
      <c r="BO2576" s="56"/>
      <c r="BP2576" s="56"/>
      <c r="BQ2576" s="56"/>
      <c r="BR2576" s="56"/>
      <c r="BS2576" s="56"/>
      <c r="BT2576" s="56"/>
      <c r="BU2576" s="56"/>
      <c r="BV2576" s="56"/>
      <c r="BW2576" s="56"/>
      <c r="BX2576" s="56"/>
      <c r="BY2576" s="56"/>
      <c r="BZ2576" s="56"/>
      <c r="CA2576" s="56"/>
      <c r="CB2576" s="56"/>
      <c r="CC2576" s="56"/>
      <c r="CD2576" s="56"/>
      <c r="CE2576" s="56"/>
      <c r="CF2576" s="56"/>
      <c r="CG2576" s="56"/>
      <c r="CH2576" s="56"/>
      <c r="CI2576" s="56"/>
      <c r="CJ2576" s="56"/>
      <c r="CK2576" s="56"/>
      <c r="CL2576" s="56"/>
      <c r="CM2576" s="56"/>
      <c r="CN2576" s="56"/>
      <c r="CO2576" s="56"/>
      <c r="CP2576" s="56"/>
      <c r="CQ2576" s="56"/>
      <c r="CR2576" s="56"/>
      <c r="CS2576" s="56"/>
      <c r="CT2576" s="56"/>
      <c r="CU2576" s="56"/>
      <c r="CV2576" s="56"/>
      <c r="CW2576" s="56"/>
      <c r="CX2576" s="56"/>
      <c r="CY2576" s="56"/>
      <c r="CZ2576" s="56"/>
    </row>
    <row r="2577" spans="27:104" s="5" customFormat="1" x14ac:dyDescent="0.25">
      <c r="AA2577" s="56"/>
      <c r="AB2577" s="56"/>
      <c r="AC2577" s="56"/>
      <c r="AD2577" s="56"/>
      <c r="AE2577" s="56"/>
      <c r="AF2577" s="56"/>
      <c r="AG2577" s="56"/>
      <c r="AH2577" s="56"/>
      <c r="AI2577" s="56"/>
      <c r="AJ2577" s="56"/>
      <c r="AK2577" s="56"/>
      <c r="AL2577" s="56"/>
      <c r="AM2577" s="56"/>
      <c r="AN2577" s="56"/>
      <c r="AO2577" s="56"/>
      <c r="AP2577" s="56"/>
      <c r="AQ2577" s="56"/>
      <c r="AR2577" s="56"/>
      <c r="AS2577" s="56"/>
      <c r="AT2577" s="56"/>
      <c r="AU2577" s="56"/>
      <c r="AV2577" s="56"/>
      <c r="AW2577" s="56"/>
      <c r="AX2577" s="56"/>
      <c r="AY2577" s="56"/>
      <c r="AZ2577" s="56"/>
      <c r="BA2577" s="56"/>
      <c r="BB2577" s="16"/>
      <c r="BC2577" s="56"/>
      <c r="BD2577" s="56"/>
      <c r="BE2577" s="56"/>
      <c r="BF2577" s="56"/>
      <c r="BG2577" s="56"/>
      <c r="BH2577" s="56"/>
      <c r="BI2577" s="56"/>
      <c r="BJ2577" s="56"/>
      <c r="BK2577" s="56"/>
      <c r="BL2577" s="56"/>
      <c r="BM2577" s="56"/>
      <c r="BN2577" s="56"/>
      <c r="BO2577" s="56"/>
      <c r="BP2577" s="56"/>
      <c r="BQ2577" s="56"/>
      <c r="BR2577" s="56"/>
      <c r="BS2577" s="56"/>
      <c r="BT2577" s="56"/>
      <c r="BU2577" s="56"/>
      <c r="BV2577" s="56"/>
      <c r="BW2577" s="56"/>
      <c r="BX2577" s="56"/>
      <c r="BY2577" s="56"/>
      <c r="BZ2577" s="56"/>
      <c r="CA2577" s="56"/>
      <c r="CB2577" s="56"/>
      <c r="CC2577" s="56"/>
      <c r="CD2577" s="56"/>
      <c r="CE2577" s="56"/>
      <c r="CF2577" s="56"/>
      <c r="CG2577" s="56"/>
      <c r="CH2577" s="56"/>
      <c r="CI2577" s="56"/>
      <c r="CJ2577" s="56"/>
      <c r="CK2577" s="56"/>
      <c r="CL2577" s="56"/>
      <c r="CM2577" s="56"/>
      <c r="CN2577" s="56"/>
      <c r="CO2577" s="56"/>
      <c r="CP2577" s="56"/>
      <c r="CQ2577" s="56"/>
      <c r="CR2577" s="56"/>
      <c r="CS2577" s="56"/>
      <c r="CT2577" s="56"/>
      <c r="CU2577" s="56"/>
      <c r="CV2577" s="56"/>
      <c r="CW2577" s="56"/>
      <c r="CX2577" s="56"/>
      <c r="CY2577" s="56"/>
      <c r="CZ2577" s="56"/>
    </row>
    <row r="2578" spans="27:104" s="5" customFormat="1" x14ac:dyDescent="0.25">
      <c r="AA2578" s="56"/>
      <c r="AB2578" s="56"/>
      <c r="AC2578" s="56"/>
      <c r="AD2578" s="56"/>
      <c r="AE2578" s="56"/>
      <c r="AF2578" s="56"/>
      <c r="AG2578" s="56"/>
      <c r="AH2578" s="56"/>
      <c r="AI2578" s="56"/>
      <c r="AJ2578" s="56"/>
      <c r="AK2578" s="56"/>
      <c r="AL2578" s="56"/>
      <c r="AM2578" s="56"/>
      <c r="AN2578" s="56"/>
      <c r="AO2578" s="56"/>
      <c r="AP2578" s="56"/>
      <c r="AQ2578" s="56"/>
      <c r="AR2578" s="56"/>
      <c r="AS2578" s="56"/>
      <c r="AT2578" s="56"/>
      <c r="AU2578" s="56"/>
      <c r="AV2578" s="56"/>
      <c r="AW2578" s="56"/>
      <c r="AX2578" s="56"/>
      <c r="AY2578" s="56"/>
      <c r="AZ2578" s="56"/>
      <c r="BA2578" s="56"/>
      <c r="BB2578" s="16"/>
      <c r="BC2578" s="56"/>
      <c r="BD2578" s="56"/>
      <c r="BE2578" s="56"/>
      <c r="BF2578" s="56"/>
      <c r="BG2578" s="56"/>
      <c r="BH2578" s="56"/>
      <c r="BI2578" s="56"/>
      <c r="BJ2578" s="56"/>
      <c r="BK2578" s="56"/>
      <c r="BL2578" s="56"/>
      <c r="BM2578" s="56"/>
      <c r="BN2578" s="56"/>
      <c r="BO2578" s="56"/>
      <c r="BP2578" s="56"/>
      <c r="BQ2578" s="56"/>
      <c r="BR2578" s="56"/>
      <c r="BS2578" s="56"/>
      <c r="BT2578" s="56"/>
      <c r="BU2578" s="56"/>
      <c r="BV2578" s="56"/>
      <c r="BW2578" s="56"/>
      <c r="BX2578" s="56"/>
      <c r="BY2578" s="56"/>
      <c r="BZ2578" s="56"/>
      <c r="CA2578" s="56"/>
      <c r="CB2578" s="56"/>
      <c r="CC2578" s="56"/>
      <c r="CD2578" s="56"/>
      <c r="CE2578" s="56"/>
      <c r="CF2578" s="56"/>
      <c r="CG2578" s="56"/>
      <c r="CH2578" s="56"/>
      <c r="CI2578" s="56"/>
      <c r="CJ2578" s="56"/>
      <c r="CK2578" s="56"/>
      <c r="CL2578" s="56"/>
      <c r="CM2578" s="56"/>
      <c r="CN2578" s="56"/>
      <c r="CO2578" s="56"/>
      <c r="CP2578" s="56"/>
      <c r="CQ2578" s="56"/>
      <c r="CR2578" s="56"/>
      <c r="CS2578" s="56"/>
      <c r="CT2578" s="56"/>
      <c r="CU2578" s="56"/>
      <c r="CV2578" s="56"/>
      <c r="CW2578" s="56"/>
      <c r="CX2578" s="56"/>
      <c r="CY2578" s="56"/>
      <c r="CZ2578" s="56"/>
    </row>
    <row r="2579" spans="27:104" s="5" customFormat="1" x14ac:dyDescent="0.25">
      <c r="AA2579" s="56"/>
      <c r="AB2579" s="56"/>
      <c r="AC2579" s="56"/>
      <c r="AD2579" s="56"/>
      <c r="AE2579" s="56"/>
      <c r="AF2579" s="56"/>
      <c r="AG2579" s="56"/>
      <c r="AH2579" s="56"/>
      <c r="AI2579" s="56"/>
      <c r="AJ2579" s="56"/>
      <c r="AK2579" s="56"/>
      <c r="AL2579" s="56"/>
      <c r="AM2579" s="56"/>
      <c r="AN2579" s="56"/>
      <c r="AO2579" s="56"/>
      <c r="AP2579" s="56"/>
      <c r="AQ2579" s="56"/>
      <c r="AR2579" s="56"/>
      <c r="AS2579" s="56"/>
      <c r="AT2579" s="56"/>
      <c r="AU2579" s="56"/>
      <c r="AV2579" s="56"/>
      <c r="AW2579" s="56"/>
      <c r="AX2579" s="56"/>
      <c r="AY2579" s="56"/>
      <c r="AZ2579" s="56"/>
      <c r="BA2579" s="56"/>
      <c r="BB2579" s="16"/>
      <c r="BC2579" s="56"/>
      <c r="BD2579" s="56"/>
      <c r="BE2579" s="56"/>
      <c r="BF2579" s="56"/>
      <c r="BG2579" s="56"/>
      <c r="BH2579" s="56"/>
      <c r="BI2579" s="56"/>
      <c r="BJ2579" s="56"/>
      <c r="BK2579" s="56"/>
      <c r="BL2579" s="56"/>
      <c r="BM2579" s="56"/>
      <c r="BN2579" s="56"/>
      <c r="BO2579" s="56"/>
      <c r="BP2579" s="56"/>
      <c r="BQ2579" s="56"/>
      <c r="BR2579" s="56"/>
      <c r="BS2579" s="56"/>
      <c r="BT2579" s="56"/>
      <c r="BU2579" s="56"/>
      <c r="BV2579" s="56"/>
      <c r="BW2579" s="56"/>
      <c r="BX2579" s="56"/>
      <c r="BY2579" s="56"/>
      <c r="BZ2579" s="56"/>
      <c r="CA2579" s="56"/>
      <c r="CB2579" s="56"/>
      <c r="CC2579" s="56"/>
      <c r="CD2579" s="56"/>
      <c r="CE2579" s="56"/>
      <c r="CF2579" s="56"/>
      <c r="CG2579" s="56"/>
      <c r="CH2579" s="56"/>
      <c r="CI2579" s="56"/>
      <c r="CJ2579" s="56"/>
      <c r="CK2579" s="56"/>
      <c r="CL2579" s="56"/>
      <c r="CM2579" s="56"/>
      <c r="CN2579" s="56"/>
      <c r="CO2579" s="56"/>
      <c r="CP2579" s="56"/>
      <c r="CQ2579" s="56"/>
      <c r="CR2579" s="56"/>
      <c r="CS2579" s="56"/>
      <c r="CT2579" s="56"/>
      <c r="CU2579" s="56"/>
      <c r="CV2579" s="56"/>
      <c r="CW2579" s="56"/>
      <c r="CX2579" s="56"/>
      <c r="CY2579" s="56"/>
      <c r="CZ2579" s="56"/>
    </row>
    <row r="2580" spans="27:104" s="5" customFormat="1" x14ac:dyDescent="0.25">
      <c r="AA2580" s="56"/>
      <c r="AB2580" s="56"/>
      <c r="AC2580" s="56"/>
      <c r="AD2580" s="56"/>
      <c r="AE2580" s="56"/>
      <c r="AF2580" s="56"/>
      <c r="AG2580" s="56"/>
      <c r="AH2580" s="56"/>
      <c r="AI2580" s="56"/>
      <c r="AJ2580" s="56"/>
      <c r="AK2580" s="56"/>
      <c r="AL2580" s="56"/>
      <c r="AM2580" s="56"/>
      <c r="AN2580" s="56"/>
      <c r="AO2580" s="56"/>
      <c r="AP2580" s="56"/>
      <c r="AQ2580" s="56"/>
      <c r="AR2580" s="56"/>
      <c r="AS2580" s="56"/>
      <c r="AT2580" s="56"/>
      <c r="AU2580" s="56"/>
      <c r="AV2580" s="56"/>
      <c r="AW2580" s="56"/>
      <c r="AX2580" s="56"/>
      <c r="AY2580" s="56"/>
      <c r="AZ2580" s="56"/>
      <c r="BA2580" s="56"/>
      <c r="BB2580" s="16"/>
      <c r="BC2580" s="56"/>
      <c r="BD2580" s="56"/>
      <c r="BE2580" s="56"/>
      <c r="BF2580" s="56"/>
      <c r="BG2580" s="56"/>
      <c r="BH2580" s="56"/>
      <c r="BI2580" s="56"/>
      <c r="BJ2580" s="56"/>
      <c r="BK2580" s="56"/>
      <c r="BL2580" s="56"/>
      <c r="BM2580" s="56"/>
      <c r="BN2580" s="56"/>
      <c r="BO2580" s="56"/>
      <c r="BP2580" s="56"/>
      <c r="BQ2580" s="56"/>
      <c r="BR2580" s="56"/>
      <c r="BS2580" s="56"/>
      <c r="BT2580" s="56"/>
      <c r="BU2580" s="56"/>
      <c r="BV2580" s="56"/>
      <c r="BW2580" s="56"/>
      <c r="BX2580" s="56"/>
      <c r="BY2580" s="56"/>
      <c r="BZ2580" s="56"/>
      <c r="CA2580" s="56"/>
      <c r="CB2580" s="56"/>
      <c r="CC2580" s="56"/>
      <c r="CD2580" s="56"/>
      <c r="CE2580" s="56"/>
      <c r="CF2580" s="56"/>
      <c r="CG2580" s="56"/>
      <c r="CH2580" s="56"/>
      <c r="CI2580" s="56"/>
      <c r="CJ2580" s="56"/>
      <c r="CK2580" s="56"/>
      <c r="CL2580" s="56"/>
      <c r="CM2580" s="56"/>
      <c r="CN2580" s="56"/>
      <c r="CO2580" s="56"/>
      <c r="CP2580" s="56"/>
      <c r="CQ2580" s="56"/>
      <c r="CR2580" s="56"/>
      <c r="CS2580" s="56"/>
      <c r="CT2580" s="56"/>
      <c r="CU2580" s="56"/>
      <c r="CV2580" s="56"/>
      <c r="CW2580" s="56"/>
      <c r="CX2580" s="56"/>
      <c r="CY2580" s="56"/>
      <c r="CZ2580" s="56"/>
    </row>
    <row r="2581" spans="27:104" s="5" customFormat="1" x14ac:dyDescent="0.25">
      <c r="AA2581" s="56"/>
      <c r="AB2581" s="56"/>
      <c r="AC2581" s="56"/>
      <c r="AD2581" s="56"/>
      <c r="AE2581" s="56"/>
      <c r="AF2581" s="56"/>
      <c r="AG2581" s="56"/>
      <c r="AH2581" s="56"/>
      <c r="AI2581" s="56"/>
      <c r="AJ2581" s="56"/>
      <c r="AK2581" s="56"/>
      <c r="AL2581" s="56"/>
      <c r="AM2581" s="56"/>
      <c r="AN2581" s="56"/>
      <c r="AO2581" s="56"/>
      <c r="AP2581" s="56"/>
      <c r="AQ2581" s="56"/>
      <c r="AR2581" s="56"/>
      <c r="AS2581" s="56"/>
      <c r="AT2581" s="56"/>
      <c r="AU2581" s="56"/>
      <c r="AV2581" s="56"/>
      <c r="AW2581" s="56"/>
      <c r="AX2581" s="56"/>
      <c r="AY2581" s="56"/>
      <c r="AZ2581" s="56"/>
      <c r="BA2581" s="56"/>
      <c r="BB2581" s="16"/>
      <c r="BC2581" s="56"/>
      <c r="BD2581" s="56"/>
      <c r="BE2581" s="56"/>
      <c r="BF2581" s="56"/>
      <c r="BG2581" s="56"/>
      <c r="BH2581" s="56"/>
      <c r="BI2581" s="56"/>
      <c r="BJ2581" s="56"/>
      <c r="BK2581" s="56"/>
      <c r="BL2581" s="56"/>
      <c r="BM2581" s="56"/>
      <c r="BN2581" s="56"/>
      <c r="BO2581" s="56"/>
      <c r="BP2581" s="56"/>
      <c r="BQ2581" s="56"/>
      <c r="BR2581" s="56"/>
      <c r="BS2581" s="56"/>
      <c r="BT2581" s="56"/>
      <c r="BU2581" s="56"/>
      <c r="BV2581" s="56"/>
      <c r="BW2581" s="56"/>
      <c r="BX2581" s="56"/>
      <c r="BY2581" s="56"/>
      <c r="BZ2581" s="56"/>
      <c r="CA2581" s="56"/>
      <c r="CB2581" s="56"/>
      <c r="CC2581" s="56"/>
      <c r="CD2581" s="56"/>
      <c r="CE2581" s="56"/>
      <c r="CF2581" s="56"/>
      <c r="CG2581" s="56"/>
      <c r="CH2581" s="56"/>
      <c r="CI2581" s="56"/>
      <c r="CJ2581" s="56"/>
      <c r="CK2581" s="56"/>
      <c r="CL2581" s="56"/>
      <c r="CM2581" s="56"/>
      <c r="CN2581" s="56"/>
      <c r="CO2581" s="56"/>
      <c r="CP2581" s="56"/>
      <c r="CQ2581" s="56"/>
      <c r="CR2581" s="56"/>
      <c r="CS2581" s="56"/>
      <c r="CT2581" s="56"/>
      <c r="CU2581" s="56"/>
      <c r="CV2581" s="56"/>
      <c r="CW2581" s="56"/>
      <c r="CX2581" s="56"/>
      <c r="CY2581" s="56"/>
      <c r="CZ2581" s="56"/>
    </row>
    <row r="2582" spans="27:104" s="5" customFormat="1" x14ac:dyDescent="0.25">
      <c r="AA2582" s="56"/>
      <c r="AB2582" s="56"/>
      <c r="AC2582" s="56"/>
      <c r="AD2582" s="56"/>
      <c r="AE2582" s="56"/>
      <c r="AF2582" s="56"/>
      <c r="AG2582" s="56"/>
      <c r="AH2582" s="56"/>
      <c r="AI2582" s="56"/>
      <c r="AJ2582" s="56"/>
      <c r="AK2582" s="56"/>
      <c r="AL2582" s="56"/>
      <c r="AM2582" s="56"/>
      <c r="AN2582" s="56"/>
      <c r="AO2582" s="56"/>
      <c r="AP2582" s="56"/>
      <c r="AQ2582" s="56"/>
      <c r="AR2582" s="56"/>
      <c r="AS2582" s="56"/>
      <c r="AT2582" s="56"/>
      <c r="AU2582" s="56"/>
      <c r="AV2582" s="56"/>
      <c r="AW2582" s="56"/>
      <c r="AX2582" s="56"/>
      <c r="AY2582" s="56"/>
      <c r="AZ2582" s="56"/>
      <c r="BA2582" s="56"/>
      <c r="BB2582" s="16"/>
      <c r="BC2582" s="56"/>
      <c r="BD2582" s="56"/>
      <c r="BE2582" s="56"/>
      <c r="BF2582" s="56"/>
      <c r="BG2582" s="56"/>
      <c r="BH2582" s="56"/>
      <c r="BI2582" s="56"/>
      <c r="BJ2582" s="56"/>
      <c r="BK2582" s="56"/>
      <c r="BL2582" s="56"/>
      <c r="BM2582" s="56"/>
      <c r="BN2582" s="56"/>
      <c r="BO2582" s="56"/>
      <c r="BP2582" s="56"/>
      <c r="BQ2582" s="56"/>
      <c r="BR2582" s="56"/>
      <c r="BS2582" s="56"/>
      <c r="BT2582" s="56"/>
      <c r="BU2582" s="56"/>
      <c r="BV2582" s="56"/>
      <c r="BW2582" s="56"/>
      <c r="BX2582" s="56"/>
      <c r="BY2582" s="56"/>
      <c r="BZ2582" s="56"/>
      <c r="CA2582" s="56"/>
      <c r="CB2582" s="56"/>
      <c r="CC2582" s="56"/>
      <c r="CD2582" s="56"/>
      <c r="CE2582" s="56"/>
      <c r="CF2582" s="56"/>
      <c r="CG2582" s="56"/>
      <c r="CH2582" s="56"/>
      <c r="CI2582" s="56"/>
      <c r="CJ2582" s="56"/>
      <c r="CK2582" s="56"/>
      <c r="CL2582" s="56"/>
      <c r="CM2582" s="56"/>
      <c r="CN2582" s="56"/>
      <c r="CO2582" s="56"/>
      <c r="CP2582" s="56"/>
      <c r="CQ2582" s="56"/>
      <c r="CR2582" s="56"/>
      <c r="CS2582" s="56"/>
      <c r="CT2582" s="56"/>
      <c r="CU2582" s="56"/>
      <c r="CV2582" s="56"/>
      <c r="CW2582" s="56"/>
      <c r="CX2582" s="56"/>
      <c r="CY2582" s="56"/>
      <c r="CZ2582" s="56"/>
    </row>
    <row r="2583" spans="27:104" s="5" customFormat="1" x14ac:dyDescent="0.25">
      <c r="AA2583" s="56"/>
      <c r="AB2583" s="56"/>
      <c r="AC2583" s="56"/>
      <c r="AD2583" s="56"/>
      <c r="AE2583" s="56"/>
      <c r="AF2583" s="56"/>
      <c r="AG2583" s="56"/>
      <c r="AH2583" s="56"/>
      <c r="AI2583" s="56"/>
      <c r="AJ2583" s="56"/>
      <c r="AK2583" s="56"/>
      <c r="AL2583" s="56"/>
      <c r="AM2583" s="56"/>
      <c r="AN2583" s="56"/>
      <c r="AO2583" s="56"/>
      <c r="AP2583" s="56"/>
      <c r="AQ2583" s="56"/>
      <c r="AR2583" s="56"/>
      <c r="AS2583" s="56"/>
      <c r="AT2583" s="56"/>
      <c r="AU2583" s="56"/>
      <c r="AV2583" s="56"/>
      <c r="AW2583" s="56"/>
      <c r="AX2583" s="56"/>
      <c r="AY2583" s="56"/>
      <c r="AZ2583" s="56"/>
      <c r="BA2583" s="56"/>
      <c r="BB2583" s="16"/>
      <c r="BC2583" s="56"/>
      <c r="BD2583" s="56"/>
      <c r="BE2583" s="56"/>
      <c r="BF2583" s="56"/>
      <c r="BG2583" s="56"/>
      <c r="BH2583" s="56"/>
      <c r="BI2583" s="56"/>
      <c r="BJ2583" s="56"/>
      <c r="BK2583" s="56"/>
      <c r="BL2583" s="56"/>
      <c r="BM2583" s="56"/>
      <c r="BN2583" s="56"/>
      <c r="BO2583" s="56"/>
      <c r="BP2583" s="56"/>
      <c r="BQ2583" s="56"/>
      <c r="BR2583" s="56"/>
      <c r="BS2583" s="56"/>
      <c r="BT2583" s="56"/>
      <c r="BU2583" s="56"/>
      <c r="BV2583" s="56"/>
      <c r="BW2583" s="56"/>
      <c r="BX2583" s="56"/>
      <c r="BY2583" s="56"/>
      <c r="BZ2583" s="56"/>
      <c r="CA2583" s="56"/>
      <c r="CB2583" s="56"/>
      <c r="CC2583" s="56"/>
      <c r="CD2583" s="56"/>
      <c r="CE2583" s="56"/>
      <c r="CF2583" s="56"/>
      <c r="CG2583" s="56"/>
      <c r="CH2583" s="56"/>
      <c r="CI2583" s="56"/>
      <c r="CJ2583" s="56"/>
      <c r="CK2583" s="56"/>
      <c r="CL2583" s="56"/>
      <c r="CM2583" s="56"/>
      <c r="CN2583" s="56"/>
      <c r="CO2583" s="56"/>
      <c r="CP2583" s="56"/>
      <c r="CQ2583" s="56"/>
      <c r="CR2583" s="56"/>
      <c r="CS2583" s="56"/>
      <c r="CT2583" s="56"/>
      <c r="CU2583" s="56"/>
      <c r="CV2583" s="56"/>
      <c r="CW2583" s="56"/>
      <c r="CX2583" s="56"/>
      <c r="CY2583" s="56"/>
      <c r="CZ2583" s="56"/>
    </row>
    <row r="2584" spans="27:104" s="5" customFormat="1" x14ac:dyDescent="0.25">
      <c r="AA2584" s="56"/>
      <c r="AB2584" s="56"/>
      <c r="AC2584" s="56"/>
      <c r="AD2584" s="56"/>
      <c r="AE2584" s="56"/>
      <c r="AF2584" s="56"/>
      <c r="AG2584" s="56"/>
      <c r="AH2584" s="56"/>
      <c r="AI2584" s="56"/>
      <c r="AJ2584" s="56"/>
      <c r="AK2584" s="56"/>
      <c r="AL2584" s="56"/>
      <c r="AM2584" s="56"/>
      <c r="AN2584" s="56"/>
      <c r="AO2584" s="56"/>
      <c r="AP2584" s="56"/>
      <c r="AQ2584" s="56"/>
      <c r="AR2584" s="56"/>
      <c r="AS2584" s="56"/>
      <c r="AT2584" s="56"/>
      <c r="AU2584" s="56"/>
      <c r="AV2584" s="56"/>
      <c r="AW2584" s="56"/>
      <c r="AX2584" s="56"/>
      <c r="AY2584" s="56"/>
      <c r="AZ2584" s="56"/>
      <c r="BA2584" s="56"/>
      <c r="BB2584" s="16"/>
      <c r="BC2584" s="56"/>
      <c r="BD2584" s="56"/>
      <c r="BE2584" s="56"/>
      <c r="BF2584" s="56"/>
      <c r="BG2584" s="56"/>
      <c r="BH2584" s="56"/>
      <c r="BI2584" s="56"/>
      <c r="BJ2584" s="56"/>
      <c r="BK2584" s="56"/>
      <c r="BL2584" s="56"/>
      <c r="BM2584" s="56"/>
      <c r="BN2584" s="56"/>
      <c r="BO2584" s="56"/>
      <c r="BP2584" s="56"/>
      <c r="BQ2584" s="56"/>
      <c r="BR2584" s="56"/>
      <c r="BS2584" s="56"/>
      <c r="BT2584" s="56"/>
      <c r="BU2584" s="56"/>
      <c r="BV2584" s="56"/>
      <c r="BW2584" s="56"/>
      <c r="BX2584" s="56"/>
      <c r="BY2584" s="56"/>
      <c r="BZ2584" s="56"/>
      <c r="CA2584" s="56"/>
      <c r="CB2584" s="56"/>
      <c r="CC2584" s="56"/>
      <c r="CD2584" s="56"/>
      <c r="CE2584" s="56"/>
      <c r="CF2584" s="56"/>
      <c r="CG2584" s="56"/>
      <c r="CH2584" s="56"/>
      <c r="CI2584" s="56"/>
      <c r="CJ2584" s="56"/>
      <c r="CK2584" s="56"/>
      <c r="CL2584" s="56"/>
      <c r="CM2584" s="56"/>
      <c r="CN2584" s="56"/>
      <c r="CO2584" s="56"/>
      <c r="CP2584" s="56"/>
      <c r="CQ2584" s="56"/>
      <c r="CR2584" s="56"/>
      <c r="CS2584" s="56"/>
      <c r="CT2584" s="56"/>
      <c r="CU2584" s="56"/>
      <c r="CV2584" s="56"/>
      <c r="CW2584" s="56"/>
      <c r="CX2584" s="56"/>
      <c r="CY2584" s="56"/>
      <c r="CZ2584" s="56"/>
    </row>
    <row r="2585" spans="27:104" s="5" customFormat="1" x14ac:dyDescent="0.25">
      <c r="AA2585" s="56"/>
      <c r="AB2585" s="56"/>
      <c r="AC2585" s="56"/>
      <c r="AD2585" s="56"/>
      <c r="AE2585" s="56"/>
      <c r="AF2585" s="56"/>
      <c r="AG2585" s="56"/>
      <c r="AH2585" s="56"/>
      <c r="AI2585" s="56"/>
      <c r="AJ2585" s="56"/>
      <c r="AK2585" s="56"/>
      <c r="AL2585" s="56"/>
      <c r="AM2585" s="56"/>
      <c r="AN2585" s="56"/>
      <c r="AO2585" s="56"/>
      <c r="AP2585" s="56"/>
      <c r="AQ2585" s="56"/>
      <c r="AR2585" s="56"/>
      <c r="AS2585" s="56"/>
      <c r="AT2585" s="56"/>
      <c r="AU2585" s="56"/>
      <c r="AV2585" s="56"/>
      <c r="AW2585" s="56"/>
      <c r="AX2585" s="56"/>
      <c r="AY2585" s="56"/>
      <c r="AZ2585" s="56"/>
      <c r="BA2585" s="56"/>
      <c r="BB2585" s="16"/>
      <c r="BC2585" s="56"/>
      <c r="BD2585" s="56"/>
      <c r="BE2585" s="56"/>
      <c r="BF2585" s="56"/>
      <c r="BG2585" s="56"/>
      <c r="BH2585" s="56"/>
      <c r="BI2585" s="56"/>
      <c r="BJ2585" s="56"/>
      <c r="BK2585" s="56"/>
      <c r="BL2585" s="56"/>
      <c r="BM2585" s="56"/>
      <c r="BN2585" s="56"/>
      <c r="BO2585" s="56"/>
      <c r="BP2585" s="56"/>
      <c r="BQ2585" s="56"/>
      <c r="BR2585" s="56"/>
      <c r="BS2585" s="56"/>
      <c r="BT2585" s="56"/>
      <c r="BU2585" s="56"/>
      <c r="BV2585" s="56"/>
      <c r="BW2585" s="56"/>
      <c r="BX2585" s="56"/>
      <c r="BY2585" s="56"/>
      <c r="BZ2585" s="56"/>
      <c r="CA2585" s="56"/>
      <c r="CB2585" s="56"/>
      <c r="CC2585" s="56"/>
      <c r="CD2585" s="56"/>
      <c r="CE2585" s="56"/>
      <c r="CF2585" s="56"/>
      <c r="CG2585" s="56"/>
      <c r="CH2585" s="56"/>
      <c r="CI2585" s="56"/>
      <c r="CJ2585" s="56"/>
      <c r="CK2585" s="56"/>
      <c r="CL2585" s="56"/>
      <c r="CM2585" s="56"/>
      <c r="CN2585" s="56"/>
      <c r="CO2585" s="56"/>
      <c r="CP2585" s="56"/>
      <c r="CQ2585" s="56"/>
      <c r="CR2585" s="56"/>
      <c r="CS2585" s="56"/>
      <c r="CT2585" s="56"/>
      <c r="CU2585" s="56"/>
      <c r="CV2585" s="56"/>
      <c r="CW2585" s="56"/>
      <c r="CX2585" s="56"/>
      <c r="CY2585" s="56"/>
      <c r="CZ2585" s="56"/>
    </row>
    <row r="2586" spans="27:104" s="5" customFormat="1" x14ac:dyDescent="0.25">
      <c r="AA2586" s="56"/>
      <c r="AB2586" s="56"/>
      <c r="AC2586" s="56"/>
      <c r="AD2586" s="56"/>
      <c r="AE2586" s="56"/>
      <c r="AF2586" s="56"/>
      <c r="AG2586" s="56"/>
      <c r="AH2586" s="56"/>
      <c r="AI2586" s="56"/>
      <c r="AJ2586" s="56"/>
      <c r="AK2586" s="56"/>
      <c r="AL2586" s="56"/>
      <c r="AM2586" s="56"/>
      <c r="AN2586" s="56"/>
      <c r="AO2586" s="56"/>
      <c r="AP2586" s="56"/>
      <c r="AQ2586" s="56"/>
      <c r="AR2586" s="56"/>
      <c r="AS2586" s="56"/>
      <c r="AT2586" s="56"/>
      <c r="AU2586" s="56"/>
      <c r="AV2586" s="56"/>
      <c r="AW2586" s="56"/>
      <c r="AX2586" s="56"/>
      <c r="AY2586" s="56"/>
      <c r="AZ2586" s="56"/>
      <c r="BA2586" s="56"/>
      <c r="BB2586" s="16"/>
      <c r="BC2586" s="56"/>
      <c r="BD2586" s="56"/>
      <c r="BE2586" s="56"/>
      <c r="BF2586" s="56"/>
      <c r="BG2586" s="56"/>
      <c r="BH2586" s="56"/>
      <c r="BI2586" s="56"/>
      <c r="BJ2586" s="56"/>
      <c r="BK2586" s="56"/>
      <c r="BL2586" s="56"/>
      <c r="BM2586" s="56"/>
      <c r="BN2586" s="56"/>
      <c r="BO2586" s="56"/>
      <c r="BP2586" s="56"/>
      <c r="BQ2586" s="56"/>
      <c r="BR2586" s="56"/>
      <c r="BS2586" s="56"/>
      <c r="BT2586" s="56"/>
      <c r="BU2586" s="56"/>
      <c r="BV2586" s="56"/>
      <c r="BW2586" s="56"/>
      <c r="BX2586" s="56"/>
      <c r="BY2586" s="56"/>
      <c r="BZ2586" s="56"/>
      <c r="CA2586" s="56"/>
      <c r="CB2586" s="56"/>
      <c r="CC2586" s="56"/>
      <c r="CD2586" s="56"/>
      <c r="CE2586" s="56"/>
      <c r="CF2586" s="56"/>
      <c r="CG2586" s="56"/>
      <c r="CH2586" s="56"/>
      <c r="CI2586" s="56"/>
      <c r="CJ2586" s="56"/>
      <c r="CK2586" s="56"/>
      <c r="CL2586" s="56"/>
      <c r="CM2586" s="56"/>
      <c r="CN2586" s="56"/>
      <c r="CO2586" s="56"/>
      <c r="CP2586" s="56"/>
      <c r="CQ2586" s="56"/>
      <c r="CR2586" s="56"/>
      <c r="CS2586" s="56"/>
      <c r="CT2586" s="56"/>
      <c r="CU2586" s="56"/>
      <c r="CV2586" s="56"/>
      <c r="CW2586" s="56"/>
      <c r="CX2586" s="56"/>
      <c r="CY2586" s="56"/>
      <c r="CZ2586" s="56"/>
    </row>
    <row r="2587" spans="27:104" s="5" customFormat="1" x14ac:dyDescent="0.25">
      <c r="AA2587" s="56"/>
      <c r="AB2587" s="56"/>
      <c r="AC2587" s="56"/>
      <c r="AD2587" s="56"/>
      <c r="AE2587" s="56"/>
      <c r="AF2587" s="56"/>
      <c r="AG2587" s="56"/>
      <c r="AH2587" s="56"/>
      <c r="AI2587" s="56"/>
      <c r="AJ2587" s="56"/>
      <c r="AK2587" s="56"/>
      <c r="AL2587" s="56"/>
      <c r="AM2587" s="56"/>
      <c r="AN2587" s="56"/>
      <c r="AO2587" s="56"/>
      <c r="AP2587" s="56"/>
      <c r="AQ2587" s="56"/>
      <c r="AR2587" s="56"/>
      <c r="AS2587" s="56"/>
      <c r="AT2587" s="56"/>
      <c r="AU2587" s="56"/>
      <c r="AV2587" s="56"/>
      <c r="AW2587" s="56"/>
      <c r="AX2587" s="56"/>
      <c r="AY2587" s="56"/>
      <c r="AZ2587" s="56"/>
      <c r="BA2587" s="56"/>
      <c r="BB2587" s="16"/>
      <c r="BC2587" s="56"/>
      <c r="BD2587" s="56"/>
      <c r="BE2587" s="56"/>
      <c r="BF2587" s="56"/>
      <c r="BG2587" s="56"/>
      <c r="BH2587" s="56"/>
      <c r="BI2587" s="56"/>
      <c r="BJ2587" s="56"/>
      <c r="BK2587" s="56"/>
      <c r="BL2587" s="56"/>
      <c r="BM2587" s="56"/>
      <c r="BN2587" s="56"/>
      <c r="BO2587" s="56"/>
      <c r="BP2587" s="56"/>
      <c r="BQ2587" s="56"/>
      <c r="BR2587" s="56"/>
      <c r="BS2587" s="56"/>
      <c r="BT2587" s="56"/>
      <c r="BU2587" s="56"/>
      <c r="BV2587" s="56"/>
      <c r="BW2587" s="56"/>
      <c r="BX2587" s="56"/>
      <c r="BY2587" s="56"/>
      <c r="BZ2587" s="56"/>
      <c r="CA2587" s="56"/>
      <c r="CB2587" s="56"/>
      <c r="CC2587" s="56"/>
      <c r="CD2587" s="56"/>
      <c r="CE2587" s="56"/>
      <c r="CF2587" s="56"/>
      <c r="CG2587" s="56"/>
      <c r="CH2587" s="56"/>
      <c r="CI2587" s="56"/>
      <c r="CJ2587" s="56"/>
      <c r="CK2587" s="56"/>
      <c r="CL2587" s="56"/>
      <c r="CM2587" s="56"/>
      <c r="CN2587" s="56"/>
      <c r="CO2587" s="56"/>
      <c r="CP2587" s="56"/>
      <c r="CQ2587" s="56"/>
      <c r="CR2587" s="56"/>
      <c r="CS2587" s="56"/>
      <c r="CT2587" s="56"/>
      <c r="CU2587" s="56"/>
      <c r="CV2587" s="56"/>
      <c r="CW2587" s="56"/>
      <c r="CX2587" s="56"/>
      <c r="CY2587" s="56"/>
      <c r="CZ2587" s="56"/>
    </row>
    <row r="2588" spans="27:104" s="5" customFormat="1" x14ac:dyDescent="0.25">
      <c r="AA2588" s="56"/>
      <c r="AB2588" s="56"/>
      <c r="AC2588" s="56"/>
      <c r="AD2588" s="56"/>
      <c r="AE2588" s="56"/>
      <c r="AF2588" s="56"/>
      <c r="AG2588" s="56"/>
      <c r="AH2588" s="56"/>
      <c r="AI2588" s="56"/>
      <c r="AJ2588" s="56"/>
      <c r="AK2588" s="56"/>
      <c r="AL2588" s="56"/>
      <c r="AM2588" s="56"/>
      <c r="AN2588" s="56"/>
      <c r="AO2588" s="56"/>
      <c r="AP2588" s="56"/>
      <c r="AQ2588" s="56"/>
      <c r="AR2588" s="56"/>
      <c r="AS2588" s="56"/>
      <c r="AT2588" s="56"/>
      <c r="AU2588" s="56"/>
      <c r="AV2588" s="56"/>
      <c r="AW2588" s="56"/>
      <c r="AX2588" s="56"/>
      <c r="AY2588" s="56"/>
      <c r="AZ2588" s="56"/>
      <c r="BA2588" s="56"/>
      <c r="BB2588" s="16"/>
      <c r="BC2588" s="56"/>
      <c r="BD2588" s="56"/>
      <c r="BE2588" s="56"/>
      <c r="BF2588" s="56"/>
      <c r="BG2588" s="56"/>
      <c r="BH2588" s="56"/>
      <c r="BI2588" s="56"/>
      <c r="BJ2588" s="56"/>
      <c r="BK2588" s="56"/>
      <c r="BL2588" s="56"/>
      <c r="BM2588" s="56"/>
      <c r="BN2588" s="56"/>
      <c r="BO2588" s="56"/>
      <c r="BP2588" s="56"/>
      <c r="BQ2588" s="56"/>
      <c r="BR2588" s="56"/>
      <c r="BS2588" s="56"/>
      <c r="BT2588" s="56"/>
      <c r="BU2588" s="56"/>
      <c r="BV2588" s="56"/>
      <c r="BW2588" s="56"/>
      <c r="BX2588" s="56"/>
      <c r="BY2588" s="56"/>
      <c r="BZ2588" s="56"/>
      <c r="CA2588" s="56"/>
      <c r="CB2588" s="56"/>
      <c r="CC2588" s="56"/>
      <c r="CD2588" s="56"/>
      <c r="CE2588" s="56"/>
      <c r="CF2588" s="56"/>
      <c r="CG2588" s="56"/>
      <c r="CH2588" s="56"/>
      <c r="CI2588" s="56"/>
      <c r="CJ2588" s="56"/>
      <c r="CK2588" s="56"/>
      <c r="CL2588" s="56"/>
      <c r="CM2588" s="56"/>
      <c r="CN2588" s="56"/>
      <c r="CO2588" s="56"/>
      <c r="CP2588" s="56"/>
      <c r="CQ2588" s="56"/>
      <c r="CR2588" s="56"/>
      <c r="CS2588" s="56"/>
      <c r="CT2588" s="56"/>
      <c r="CU2588" s="56"/>
      <c r="CV2588" s="56"/>
      <c r="CW2588" s="56"/>
      <c r="CX2588" s="56"/>
      <c r="CY2588" s="56"/>
      <c r="CZ2588" s="56"/>
    </row>
    <row r="2589" spans="27:104" s="5" customFormat="1" x14ac:dyDescent="0.25">
      <c r="AA2589" s="56"/>
      <c r="AB2589" s="56"/>
      <c r="AC2589" s="56"/>
      <c r="AD2589" s="56"/>
      <c r="AE2589" s="56"/>
      <c r="AF2589" s="56"/>
      <c r="AG2589" s="56"/>
      <c r="AH2589" s="56"/>
      <c r="AI2589" s="56"/>
      <c r="AJ2589" s="56"/>
      <c r="AK2589" s="56"/>
      <c r="AL2589" s="56"/>
      <c r="AM2589" s="56"/>
      <c r="AN2589" s="56"/>
      <c r="AO2589" s="56"/>
      <c r="AP2589" s="56"/>
      <c r="AQ2589" s="56"/>
      <c r="AR2589" s="56"/>
      <c r="AS2589" s="56"/>
      <c r="AT2589" s="56"/>
      <c r="AU2589" s="56"/>
      <c r="AV2589" s="56"/>
      <c r="AW2589" s="56"/>
      <c r="AX2589" s="56"/>
      <c r="AY2589" s="56"/>
      <c r="AZ2589" s="56"/>
      <c r="BA2589" s="56"/>
      <c r="BB2589" s="16"/>
      <c r="BC2589" s="56"/>
      <c r="BD2589" s="56"/>
      <c r="BE2589" s="56"/>
      <c r="BF2589" s="56"/>
      <c r="BG2589" s="56"/>
      <c r="BH2589" s="56"/>
      <c r="BI2589" s="56"/>
      <c r="BJ2589" s="56"/>
      <c r="BK2589" s="56"/>
      <c r="BL2589" s="56"/>
      <c r="BM2589" s="56"/>
      <c r="BN2589" s="56"/>
      <c r="BO2589" s="56"/>
      <c r="BP2589" s="56"/>
      <c r="BQ2589" s="56"/>
      <c r="BR2589" s="56"/>
      <c r="BS2589" s="56"/>
      <c r="BT2589" s="56"/>
      <c r="BU2589" s="56"/>
      <c r="BV2589" s="56"/>
      <c r="BW2589" s="56"/>
      <c r="BX2589" s="56"/>
      <c r="BY2589" s="56"/>
      <c r="BZ2589" s="56"/>
      <c r="CA2589" s="56"/>
      <c r="CB2589" s="56"/>
      <c r="CC2589" s="56"/>
      <c r="CD2589" s="56"/>
      <c r="CE2589" s="56"/>
      <c r="CF2589" s="56"/>
      <c r="CG2589" s="56"/>
      <c r="CH2589" s="56"/>
      <c r="CI2589" s="56"/>
      <c r="CJ2589" s="56"/>
      <c r="CK2589" s="56"/>
      <c r="CL2589" s="56"/>
      <c r="CM2589" s="56"/>
      <c r="CN2589" s="56"/>
      <c r="CO2589" s="56"/>
      <c r="CP2589" s="56"/>
      <c r="CQ2589" s="56"/>
      <c r="CR2589" s="56"/>
      <c r="CS2589" s="56"/>
      <c r="CT2589" s="56"/>
      <c r="CU2589" s="56"/>
      <c r="CV2589" s="56"/>
      <c r="CW2589" s="56"/>
      <c r="CX2589" s="56"/>
      <c r="CY2589" s="56"/>
      <c r="CZ2589" s="56"/>
    </row>
    <row r="2590" spans="27:104" s="5" customFormat="1" x14ac:dyDescent="0.25">
      <c r="AA2590" s="56"/>
      <c r="AB2590" s="56"/>
      <c r="AC2590" s="56"/>
      <c r="AD2590" s="56"/>
      <c r="AE2590" s="56"/>
      <c r="AF2590" s="56"/>
      <c r="AG2590" s="56"/>
      <c r="AH2590" s="56"/>
      <c r="AI2590" s="56"/>
      <c r="AJ2590" s="56"/>
      <c r="AK2590" s="56"/>
      <c r="AL2590" s="56"/>
      <c r="AM2590" s="56"/>
      <c r="AN2590" s="56"/>
      <c r="AO2590" s="56"/>
      <c r="AP2590" s="56"/>
      <c r="AQ2590" s="56"/>
      <c r="AR2590" s="56"/>
      <c r="AS2590" s="56"/>
      <c r="AT2590" s="56"/>
      <c r="AU2590" s="56"/>
      <c r="AV2590" s="56"/>
      <c r="AW2590" s="56"/>
      <c r="AX2590" s="56"/>
      <c r="AY2590" s="56"/>
      <c r="AZ2590" s="56"/>
      <c r="BA2590" s="56"/>
      <c r="BB2590" s="16"/>
      <c r="BC2590" s="56"/>
      <c r="BD2590" s="56"/>
      <c r="BE2590" s="56"/>
      <c r="BF2590" s="56"/>
      <c r="BG2590" s="56"/>
      <c r="BH2590" s="56"/>
      <c r="BI2590" s="56"/>
      <c r="BJ2590" s="56"/>
      <c r="BK2590" s="56"/>
      <c r="BL2590" s="56"/>
      <c r="BM2590" s="56"/>
      <c r="BN2590" s="56"/>
      <c r="BO2590" s="56"/>
      <c r="BP2590" s="56"/>
      <c r="BQ2590" s="56"/>
      <c r="BR2590" s="56"/>
      <c r="BS2590" s="56"/>
      <c r="BT2590" s="56"/>
      <c r="BU2590" s="56"/>
      <c r="BV2590" s="56"/>
      <c r="BW2590" s="56"/>
      <c r="BX2590" s="56"/>
      <c r="BY2590" s="56"/>
      <c r="BZ2590" s="56"/>
      <c r="CA2590" s="56"/>
      <c r="CB2590" s="56"/>
      <c r="CC2590" s="56"/>
      <c r="CD2590" s="56"/>
      <c r="CE2590" s="56"/>
      <c r="CF2590" s="56"/>
      <c r="CG2590" s="56"/>
      <c r="CH2590" s="56"/>
      <c r="CI2590" s="56"/>
      <c r="CJ2590" s="56"/>
      <c r="CK2590" s="56"/>
      <c r="CL2590" s="56"/>
      <c r="CM2590" s="56"/>
      <c r="CN2590" s="56"/>
      <c r="CO2590" s="56"/>
      <c r="CP2590" s="56"/>
      <c r="CQ2590" s="56"/>
      <c r="CR2590" s="56"/>
      <c r="CS2590" s="56"/>
      <c r="CT2590" s="56"/>
      <c r="CU2590" s="56"/>
      <c r="CV2590" s="56"/>
      <c r="CW2590" s="56"/>
      <c r="CX2590" s="56"/>
      <c r="CY2590" s="56"/>
      <c r="CZ2590" s="56"/>
    </row>
    <row r="2591" spans="27:104" s="5" customFormat="1" x14ac:dyDescent="0.25">
      <c r="AA2591" s="56"/>
      <c r="AB2591" s="56"/>
      <c r="AC2591" s="56"/>
      <c r="AD2591" s="56"/>
      <c r="AE2591" s="56"/>
      <c r="AF2591" s="56"/>
      <c r="AG2591" s="56"/>
      <c r="AH2591" s="56"/>
      <c r="AI2591" s="56"/>
      <c r="AJ2591" s="56"/>
      <c r="AK2591" s="56"/>
      <c r="AL2591" s="56"/>
      <c r="AM2591" s="56"/>
      <c r="AN2591" s="56"/>
      <c r="AO2591" s="56"/>
      <c r="AP2591" s="56"/>
      <c r="AQ2591" s="56"/>
      <c r="AR2591" s="56"/>
      <c r="AS2591" s="56"/>
      <c r="AT2591" s="56"/>
      <c r="AU2591" s="56"/>
      <c r="AV2591" s="56"/>
      <c r="AW2591" s="56"/>
      <c r="AX2591" s="56"/>
      <c r="AY2591" s="56"/>
      <c r="AZ2591" s="56"/>
      <c r="BA2591" s="56"/>
      <c r="BB2591" s="16"/>
      <c r="BC2591" s="56"/>
      <c r="BD2591" s="56"/>
      <c r="BE2591" s="56"/>
      <c r="BF2591" s="56"/>
      <c r="BG2591" s="56"/>
      <c r="BH2591" s="56"/>
      <c r="BI2591" s="56"/>
      <c r="BJ2591" s="56"/>
      <c r="BK2591" s="56"/>
      <c r="BL2591" s="56"/>
      <c r="BM2591" s="56"/>
      <c r="BN2591" s="56"/>
      <c r="BO2591" s="56"/>
      <c r="BP2591" s="56"/>
      <c r="BQ2591" s="56"/>
      <c r="BR2591" s="56"/>
      <c r="BS2591" s="56"/>
      <c r="BT2591" s="56"/>
      <c r="BU2591" s="56"/>
      <c r="BV2591" s="56"/>
      <c r="BW2591" s="56"/>
      <c r="BX2591" s="56"/>
      <c r="BY2591" s="56"/>
      <c r="BZ2591" s="56"/>
      <c r="CA2591" s="56"/>
      <c r="CB2591" s="56"/>
      <c r="CC2591" s="56"/>
      <c r="CD2591" s="56"/>
      <c r="CE2591" s="56"/>
      <c r="CF2591" s="56"/>
      <c r="CG2591" s="56"/>
      <c r="CH2591" s="56"/>
      <c r="CI2591" s="56"/>
      <c r="CJ2591" s="56"/>
      <c r="CK2591" s="56"/>
      <c r="CL2591" s="56"/>
      <c r="CM2591" s="56"/>
      <c r="CN2591" s="56"/>
      <c r="CO2591" s="56"/>
      <c r="CP2591" s="56"/>
      <c r="CQ2591" s="56"/>
      <c r="CR2591" s="56"/>
      <c r="CS2591" s="56"/>
      <c r="CT2591" s="56"/>
      <c r="CU2591" s="56"/>
      <c r="CV2591" s="56"/>
      <c r="CW2591" s="56"/>
      <c r="CX2591" s="56"/>
      <c r="CY2591" s="56"/>
      <c r="CZ2591" s="56"/>
    </row>
    <row r="2592" spans="27:104" s="5" customFormat="1" x14ac:dyDescent="0.25">
      <c r="AA2592" s="56"/>
      <c r="AB2592" s="56"/>
      <c r="AC2592" s="56"/>
      <c r="AD2592" s="56"/>
      <c r="AE2592" s="56"/>
      <c r="AF2592" s="56"/>
      <c r="AG2592" s="56"/>
      <c r="AH2592" s="56"/>
      <c r="AI2592" s="56"/>
      <c r="AJ2592" s="56"/>
      <c r="AK2592" s="56"/>
      <c r="AL2592" s="56"/>
      <c r="AM2592" s="56"/>
      <c r="AN2592" s="56"/>
      <c r="AO2592" s="56"/>
      <c r="AP2592" s="56"/>
      <c r="AQ2592" s="56"/>
      <c r="AR2592" s="56"/>
      <c r="AS2592" s="56"/>
      <c r="AT2592" s="56"/>
      <c r="AU2592" s="56"/>
      <c r="AV2592" s="56"/>
      <c r="AW2592" s="56"/>
      <c r="AX2592" s="56"/>
      <c r="AY2592" s="56"/>
      <c r="AZ2592" s="56"/>
      <c r="BA2592" s="56"/>
      <c r="BB2592" s="16"/>
      <c r="BC2592" s="56"/>
      <c r="BD2592" s="56"/>
      <c r="BE2592" s="56"/>
      <c r="BF2592" s="56"/>
      <c r="BG2592" s="56"/>
      <c r="BH2592" s="56"/>
      <c r="BI2592" s="56"/>
      <c r="BJ2592" s="56"/>
      <c r="BK2592" s="56"/>
      <c r="BL2592" s="56"/>
      <c r="BM2592" s="56"/>
      <c r="BN2592" s="56"/>
      <c r="BO2592" s="56"/>
      <c r="BP2592" s="56"/>
      <c r="BQ2592" s="56"/>
      <c r="BR2592" s="56"/>
      <c r="BS2592" s="56"/>
      <c r="BT2592" s="56"/>
      <c r="BU2592" s="56"/>
      <c r="BV2592" s="56"/>
      <c r="BW2592" s="56"/>
      <c r="BX2592" s="56"/>
      <c r="BY2592" s="56"/>
      <c r="BZ2592" s="56"/>
      <c r="CA2592" s="56"/>
      <c r="CB2592" s="56"/>
      <c r="CC2592" s="56"/>
      <c r="CD2592" s="56"/>
      <c r="CE2592" s="56"/>
      <c r="CF2592" s="56"/>
      <c r="CG2592" s="56"/>
      <c r="CH2592" s="56"/>
      <c r="CI2592" s="56"/>
      <c r="CJ2592" s="56"/>
      <c r="CK2592" s="56"/>
      <c r="CL2592" s="56"/>
      <c r="CM2592" s="56"/>
      <c r="CN2592" s="56"/>
      <c r="CO2592" s="56"/>
      <c r="CP2592" s="56"/>
      <c r="CQ2592" s="56"/>
      <c r="CR2592" s="56"/>
      <c r="CS2592" s="56"/>
      <c r="CT2592" s="56"/>
      <c r="CU2592" s="56"/>
      <c r="CV2592" s="56"/>
      <c r="CW2592" s="56"/>
      <c r="CX2592" s="56"/>
      <c r="CY2592" s="56"/>
      <c r="CZ2592" s="56"/>
    </row>
    <row r="2593" spans="27:104" s="5" customFormat="1" x14ac:dyDescent="0.25">
      <c r="AA2593" s="56"/>
      <c r="AB2593" s="56"/>
      <c r="AC2593" s="56"/>
      <c r="AD2593" s="56"/>
      <c r="AE2593" s="56"/>
      <c r="AF2593" s="56"/>
      <c r="AG2593" s="56"/>
      <c r="AH2593" s="56"/>
      <c r="AI2593" s="56"/>
      <c r="AJ2593" s="56"/>
      <c r="AK2593" s="56"/>
      <c r="AL2593" s="56"/>
      <c r="AM2593" s="56"/>
      <c r="AN2593" s="56"/>
      <c r="AO2593" s="56"/>
      <c r="AP2593" s="56"/>
      <c r="AQ2593" s="56"/>
      <c r="AR2593" s="56"/>
      <c r="AS2593" s="56"/>
      <c r="AT2593" s="56"/>
      <c r="AU2593" s="56"/>
      <c r="AV2593" s="56"/>
      <c r="AW2593" s="56"/>
      <c r="AX2593" s="56"/>
      <c r="AY2593" s="56"/>
      <c r="AZ2593" s="56"/>
      <c r="BA2593" s="56"/>
      <c r="BB2593" s="16"/>
      <c r="BC2593" s="56"/>
      <c r="BD2593" s="56"/>
      <c r="BE2593" s="56"/>
      <c r="BF2593" s="56"/>
      <c r="BG2593" s="56"/>
      <c r="BH2593" s="56"/>
      <c r="BI2593" s="56"/>
      <c r="BJ2593" s="56"/>
      <c r="BK2593" s="56"/>
      <c r="BL2593" s="56"/>
      <c r="BM2593" s="56"/>
      <c r="BN2593" s="56"/>
      <c r="BO2593" s="56"/>
      <c r="BP2593" s="56"/>
      <c r="BQ2593" s="56"/>
      <c r="BR2593" s="56"/>
      <c r="BS2593" s="56"/>
      <c r="BT2593" s="56"/>
      <c r="BU2593" s="56"/>
      <c r="BV2593" s="56"/>
      <c r="BW2593" s="56"/>
      <c r="BX2593" s="56"/>
      <c r="BY2593" s="56"/>
      <c r="BZ2593" s="56"/>
      <c r="CA2593" s="56"/>
      <c r="CB2593" s="56"/>
      <c r="CC2593" s="56"/>
      <c r="CD2593" s="56"/>
      <c r="CE2593" s="56"/>
      <c r="CF2593" s="56"/>
      <c r="CG2593" s="56"/>
      <c r="CH2593" s="56"/>
      <c r="CI2593" s="56"/>
      <c r="CJ2593" s="56"/>
      <c r="CK2593" s="56"/>
      <c r="CL2593" s="56"/>
      <c r="CM2593" s="56"/>
      <c r="CN2593" s="56"/>
      <c r="CO2593" s="56"/>
      <c r="CP2593" s="56"/>
      <c r="CQ2593" s="56"/>
      <c r="CR2593" s="56"/>
      <c r="CS2593" s="56"/>
      <c r="CT2593" s="56"/>
      <c r="CU2593" s="56"/>
      <c r="CV2593" s="56"/>
      <c r="CW2593" s="56"/>
      <c r="CX2593" s="56"/>
      <c r="CY2593" s="56"/>
      <c r="CZ2593" s="56"/>
    </row>
    <row r="2594" spans="27:104" s="5" customFormat="1" x14ac:dyDescent="0.25">
      <c r="AA2594" s="56"/>
      <c r="AB2594" s="56"/>
      <c r="AC2594" s="56"/>
      <c r="AD2594" s="56"/>
      <c r="AE2594" s="56"/>
      <c r="AF2594" s="56"/>
      <c r="AG2594" s="56"/>
      <c r="AH2594" s="56"/>
      <c r="AI2594" s="56"/>
      <c r="AJ2594" s="56"/>
      <c r="AK2594" s="56"/>
      <c r="AL2594" s="56"/>
      <c r="AM2594" s="56"/>
      <c r="AN2594" s="56"/>
      <c r="AO2594" s="56"/>
      <c r="AP2594" s="56"/>
      <c r="AQ2594" s="56"/>
      <c r="AR2594" s="56"/>
      <c r="AS2594" s="56"/>
      <c r="AT2594" s="56"/>
      <c r="AU2594" s="56"/>
      <c r="AV2594" s="56"/>
      <c r="AW2594" s="56"/>
      <c r="AX2594" s="56"/>
      <c r="AY2594" s="56"/>
      <c r="AZ2594" s="56"/>
      <c r="BA2594" s="56"/>
      <c r="BB2594" s="16"/>
      <c r="BC2594" s="56"/>
      <c r="BD2594" s="56"/>
      <c r="BE2594" s="56"/>
      <c r="BF2594" s="56"/>
      <c r="BG2594" s="56"/>
      <c r="BH2594" s="56"/>
      <c r="BI2594" s="56"/>
      <c r="BJ2594" s="56"/>
      <c r="BK2594" s="56"/>
      <c r="BL2594" s="56"/>
      <c r="BM2594" s="56"/>
      <c r="BN2594" s="56"/>
      <c r="BO2594" s="56"/>
      <c r="BP2594" s="56"/>
      <c r="BQ2594" s="56"/>
      <c r="BR2594" s="56"/>
      <c r="BS2594" s="56"/>
      <c r="BT2594" s="56"/>
      <c r="BU2594" s="56"/>
      <c r="BV2594" s="56"/>
      <c r="BW2594" s="56"/>
      <c r="BX2594" s="56"/>
      <c r="BY2594" s="56"/>
      <c r="BZ2594" s="56"/>
      <c r="CA2594" s="56"/>
      <c r="CB2594" s="56"/>
      <c r="CC2594" s="56"/>
      <c r="CD2594" s="56"/>
      <c r="CE2594" s="56"/>
      <c r="CF2594" s="56"/>
      <c r="CG2594" s="56"/>
      <c r="CH2594" s="56"/>
      <c r="CI2594" s="56"/>
      <c r="CJ2594" s="56"/>
      <c r="CK2594" s="56"/>
      <c r="CL2594" s="56"/>
      <c r="CM2594" s="56"/>
      <c r="CN2594" s="56"/>
      <c r="CO2594" s="56"/>
      <c r="CP2594" s="56"/>
      <c r="CQ2594" s="56"/>
      <c r="CR2594" s="56"/>
      <c r="CS2594" s="56"/>
      <c r="CT2594" s="56"/>
      <c r="CU2594" s="56"/>
      <c r="CV2594" s="56"/>
      <c r="CW2594" s="56"/>
      <c r="CX2594" s="56"/>
      <c r="CY2594" s="56"/>
      <c r="CZ2594" s="56"/>
    </row>
    <row r="2595" spans="27:104" s="5" customFormat="1" x14ac:dyDescent="0.25">
      <c r="AA2595" s="56"/>
      <c r="AB2595" s="56"/>
      <c r="AC2595" s="56"/>
      <c r="AD2595" s="56"/>
      <c r="AE2595" s="56"/>
      <c r="AF2595" s="56"/>
      <c r="AG2595" s="56"/>
      <c r="AH2595" s="56"/>
      <c r="AI2595" s="56"/>
      <c r="AJ2595" s="56"/>
      <c r="AK2595" s="56"/>
      <c r="AL2595" s="56"/>
      <c r="AM2595" s="56"/>
      <c r="AN2595" s="56"/>
      <c r="AO2595" s="56"/>
      <c r="AP2595" s="56"/>
      <c r="AQ2595" s="56"/>
      <c r="AR2595" s="56"/>
      <c r="AS2595" s="56"/>
      <c r="AT2595" s="56"/>
      <c r="AU2595" s="56"/>
      <c r="AV2595" s="56"/>
      <c r="AW2595" s="56"/>
      <c r="AX2595" s="56"/>
      <c r="AY2595" s="56"/>
      <c r="AZ2595" s="56"/>
      <c r="BA2595" s="56"/>
      <c r="BB2595" s="16"/>
      <c r="BC2595" s="56"/>
      <c r="BD2595" s="56"/>
      <c r="BE2595" s="56"/>
      <c r="BF2595" s="56"/>
      <c r="BG2595" s="56"/>
      <c r="BH2595" s="56"/>
      <c r="BI2595" s="56"/>
      <c r="BJ2595" s="56"/>
      <c r="BK2595" s="56"/>
      <c r="BL2595" s="56"/>
      <c r="BM2595" s="56"/>
      <c r="BN2595" s="56"/>
      <c r="BO2595" s="56"/>
      <c r="BP2595" s="56"/>
      <c r="BQ2595" s="56"/>
      <c r="BR2595" s="56"/>
      <c r="BS2595" s="56"/>
      <c r="BT2595" s="56"/>
      <c r="BU2595" s="56"/>
      <c r="BV2595" s="56"/>
      <c r="BW2595" s="56"/>
      <c r="BX2595" s="56"/>
      <c r="BY2595" s="56"/>
      <c r="BZ2595" s="56"/>
      <c r="CA2595" s="56"/>
      <c r="CB2595" s="56"/>
      <c r="CC2595" s="56"/>
      <c r="CD2595" s="56"/>
      <c r="CE2595" s="56"/>
      <c r="CF2595" s="56"/>
      <c r="CG2595" s="56"/>
      <c r="CH2595" s="56"/>
      <c r="CI2595" s="56"/>
      <c r="CJ2595" s="56"/>
      <c r="CK2595" s="56"/>
      <c r="CL2595" s="56"/>
      <c r="CM2595" s="56"/>
      <c r="CN2595" s="56"/>
      <c r="CO2595" s="56"/>
      <c r="CP2595" s="56"/>
      <c r="CQ2595" s="56"/>
      <c r="CR2595" s="56"/>
      <c r="CS2595" s="56"/>
      <c r="CT2595" s="56"/>
      <c r="CU2595" s="56"/>
      <c r="CV2595" s="56"/>
      <c r="CW2595" s="56"/>
      <c r="CX2595" s="56"/>
      <c r="CY2595" s="56"/>
      <c r="CZ2595" s="56"/>
    </row>
    <row r="2596" spans="27:104" s="5" customFormat="1" x14ac:dyDescent="0.25">
      <c r="AA2596" s="56"/>
      <c r="AB2596" s="56"/>
      <c r="AC2596" s="56"/>
      <c r="AD2596" s="56"/>
      <c r="AE2596" s="56"/>
      <c r="AF2596" s="56"/>
      <c r="AG2596" s="56"/>
      <c r="AH2596" s="56"/>
      <c r="AI2596" s="56"/>
      <c r="AJ2596" s="56"/>
      <c r="AK2596" s="56"/>
      <c r="AL2596" s="56"/>
      <c r="AM2596" s="56"/>
      <c r="AN2596" s="56"/>
      <c r="AO2596" s="56"/>
      <c r="AP2596" s="56"/>
      <c r="AQ2596" s="56"/>
      <c r="AR2596" s="56"/>
      <c r="AS2596" s="56"/>
      <c r="AT2596" s="56"/>
      <c r="AU2596" s="56"/>
      <c r="AV2596" s="56"/>
      <c r="AW2596" s="56"/>
      <c r="AX2596" s="56"/>
      <c r="AY2596" s="56"/>
      <c r="AZ2596" s="56"/>
      <c r="BA2596" s="56"/>
      <c r="BB2596" s="16"/>
      <c r="BC2596" s="56"/>
      <c r="BD2596" s="56"/>
      <c r="BE2596" s="56"/>
      <c r="BF2596" s="56"/>
      <c r="BG2596" s="56"/>
      <c r="BH2596" s="56"/>
      <c r="BI2596" s="56"/>
      <c r="BJ2596" s="56"/>
      <c r="BK2596" s="56"/>
      <c r="BL2596" s="56"/>
      <c r="BM2596" s="56"/>
      <c r="BN2596" s="56"/>
      <c r="BO2596" s="56"/>
      <c r="BP2596" s="56"/>
      <c r="BQ2596" s="56"/>
      <c r="BR2596" s="56"/>
      <c r="BS2596" s="56"/>
      <c r="BT2596" s="56"/>
      <c r="BU2596" s="56"/>
      <c r="BV2596" s="56"/>
      <c r="BW2596" s="56"/>
      <c r="BX2596" s="56"/>
      <c r="BY2596" s="56"/>
      <c r="BZ2596" s="56"/>
      <c r="CA2596" s="56"/>
      <c r="CB2596" s="56"/>
      <c r="CC2596" s="56"/>
      <c r="CD2596" s="56"/>
      <c r="CE2596" s="56"/>
      <c r="CF2596" s="56"/>
      <c r="CG2596" s="56"/>
      <c r="CH2596" s="56"/>
      <c r="CI2596" s="56"/>
      <c r="CJ2596" s="56"/>
      <c r="CK2596" s="56"/>
      <c r="CL2596" s="56"/>
      <c r="CM2596" s="56"/>
      <c r="CN2596" s="56"/>
      <c r="CO2596" s="56"/>
      <c r="CP2596" s="56"/>
      <c r="CQ2596" s="56"/>
      <c r="CR2596" s="56"/>
      <c r="CS2596" s="56"/>
      <c r="CT2596" s="56"/>
      <c r="CU2596" s="56"/>
      <c r="CV2596" s="56"/>
      <c r="CW2596" s="56"/>
      <c r="CX2596" s="56"/>
      <c r="CY2596" s="56"/>
      <c r="CZ2596" s="56"/>
    </row>
    <row r="2597" spans="27:104" s="5" customFormat="1" x14ac:dyDescent="0.25">
      <c r="AA2597" s="56"/>
      <c r="AB2597" s="56"/>
      <c r="AC2597" s="56"/>
      <c r="AD2597" s="56"/>
      <c r="AE2597" s="56"/>
      <c r="AF2597" s="56"/>
      <c r="AG2597" s="56"/>
      <c r="AH2597" s="56"/>
      <c r="AI2597" s="56"/>
      <c r="AJ2597" s="56"/>
      <c r="AK2597" s="56"/>
      <c r="AL2597" s="56"/>
      <c r="AM2597" s="56"/>
      <c r="AN2597" s="56"/>
      <c r="AO2597" s="56"/>
      <c r="AP2597" s="56"/>
      <c r="AQ2597" s="56"/>
      <c r="AR2597" s="56"/>
      <c r="AS2597" s="56"/>
      <c r="AT2597" s="56"/>
      <c r="AU2597" s="56"/>
      <c r="AV2597" s="56"/>
      <c r="AW2597" s="56"/>
      <c r="AX2597" s="56"/>
      <c r="AY2597" s="56"/>
      <c r="AZ2597" s="56"/>
      <c r="BA2597" s="56"/>
      <c r="BB2597" s="16"/>
      <c r="BC2597" s="56"/>
      <c r="BD2597" s="56"/>
      <c r="BE2597" s="56"/>
      <c r="BF2597" s="56"/>
      <c r="BG2597" s="56"/>
      <c r="BH2597" s="56"/>
      <c r="BI2597" s="56"/>
      <c r="BJ2597" s="56"/>
      <c r="BK2597" s="56"/>
      <c r="BL2597" s="56"/>
      <c r="BM2597" s="56"/>
      <c r="BN2597" s="56"/>
      <c r="BO2597" s="56"/>
      <c r="BP2597" s="56"/>
      <c r="BQ2597" s="56"/>
      <c r="BR2597" s="56"/>
      <c r="BS2597" s="56"/>
      <c r="BT2597" s="56"/>
      <c r="BU2597" s="56"/>
      <c r="BV2597" s="56"/>
      <c r="BW2597" s="56"/>
      <c r="BX2597" s="56"/>
      <c r="BY2597" s="56"/>
      <c r="BZ2597" s="56"/>
      <c r="CA2597" s="56"/>
      <c r="CB2597" s="56"/>
      <c r="CC2597" s="56"/>
      <c r="CD2597" s="56"/>
      <c r="CE2597" s="56"/>
      <c r="CF2597" s="56"/>
      <c r="CG2597" s="56"/>
      <c r="CH2597" s="56"/>
      <c r="CI2597" s="56"/>
      <c r="CJ2597" s="56"/>
      <c r="CK2597" s="56"/>
      <c r="CL2597" s="56"/>
      <c r="CM2597" s="56"/>
      <c r="CN2597" s="56"/>
      <c r="CO2597" s="56"/>
      <c r="CP2597" s="56"/>
      <c r="CQ2597" s="56"/>
      <c r="CR2597" s="56"/>
      <c r="CS2597" s="56"/>
      <c r="CT2597" s="56"/>
      <c r="CU2597" s="56"/>
      <c r="CV2597" s="56"/>
      <c r="CW2597" s="56"/>
      <c r="CX2597" s="56"/>
      <c r="CY2597" s="56"/>
      <c r="CZ2597" s="56"/>
    </row>
    <row r="2598" spans="27:104" s="5" customFormat="1" x14ac:dyDescent="0.25">
      <c r="AA2598" s="56"/>
      <c r="AB2598" s="56"/>
      <c r="AC2598" s="56"/>
      <c r="AD2598" s="56"/>
      <c r="AE2598" s="56"/>
      <c r="AF2598" s="56"/>
      <c r="AG2598" s="56"/>
      <c r="AH2598" s="56"/>
      <c r="AI2598" s="56"/>
      <c r="AJ2598" s="56"/>
      <c r="AK2598" s="56"/>
      <c r="AL2598" s="56"/>
      <c r="AM2598" s="56"/>
      <c r="AN2598" s="56"/>
      <c r="AO2598" s="56"/>
      <c r="AP2598" s="56"/>
      <c r="AQ2598" s="56"/>
      <c r="AR2598" s="56"/>
      <c r="AS2598" s="56"/>
      <c r="AT2598" s="56"/>
      <c r="AU2598" s="56"/>
      <c r="AV2598" s="56"/>
      <c r="AW2598" s="56"/>
      <c r="AX2598" s="56"/>
      <c r="AY2598" s="56"/>
      <c r="AZ2598" s="56"/>
      <c r="BA2598" s="56"/>
      <c r="BB2598" s="16"/>
      <c r="BC2598" s="56"/>
      <c r="BD2598" s="56"/>
      <c r="BE2598" s="56"/>
      <c r="BF2598" s="56"/>
      <c r="BG2598" s="56"/>
      <c r="BH2598" s="56"/>
      <c r="BI2598" s="56"/>
      <c r="BJ2598" s="56"/>
      <c r="BK2598" s="56"/>
      <c r="BL2598" s="56"/>
      <c r="BM2598" s="56"/>
      <c r="BN2598" s="56"/>
      <c r="BO2598" s="56"/>
      <c r="BP2598" s="56"/>
      <c r="BQ2598" s="56"/>
      <c r="BR2598" s="56"/>
      <c r="BS2598" s="56"/>
      <c r="BT2598" s="56"/>
      <c r="BU2598" s="56"/>
      <c r="BV2598" s="56"/>
      <c r="BW2598" s="56"/>
      <c r="BX2598" s="56"/>
      <c r="BY2598" s="56"/>
      <c r="BZ2598" s="56"/>
      <c r="CA2598" s="56"/>
      <c r="CB2598" s="56"/>
      <c r="CC2598" s="56"/>
      <c r="CD2598" s="56"/>
      <c r="CE2598" s="56"/>
      <c r="CF2598" s="56"/>
      <c r="CG2598" s="56"/>
      <c r="CH2598" s="56"/>
      <c r="CI2598" s="56"/>
      <c r="CJ2598" s="56"/>
      <c r="CK2598" s="56"/>
      <c r="CL2598" s="56"/>
      <c r="CM2598" s="56"/>
      <c r="CN2598" s="56"/>
      <c r="CO2598" s="56"/>
      <c r="CP2598" s="56"/>
      <c r="CQ2598" s="56"/>
      <c r="CR2598" s="56"/>
      <c r="CS2598" s="56"/>
      <c r="CT2598" s="56"/>
      <c r="CU2598" s="56"/>
      <c r="CV2598" s="56"/>
      <c r="CW2598" s="56"/>
      <c r="CX2598" s="56"/>
      <c r="CY2598" s="56"/>
      <c r="CZ2598" s="56"/>
    </row>
    <row r="2599" spans="27:104" s="5" customFormat="1" x14ac:dyDescent="0.25">
      <c r="AA2599" s="56"/>
      <c r="AB2599" s="56"/>
      <c r="AC2599" s="56"/>
      <c r="AD2599" s="56"/>
      <c r="AE2599" s="56"/>
      <c r="AF2599" s="56"/>
      <c r="AG2599" s="56"/>
      <c r="AH2599" s="56"/>
      <c r="AI2599" s="56"/>
      <c r="AJ2599" s="56"/>
      <c r="AK2599" s="56"/>
      <c r="AL2599" s="56"/>
      <c r="AM2599" s="56"/>
      <c r="AN2599" s="56"/>
      <c r="AO2599" s="56"/>
      <c r="AP2599" s="56"/>
      <c r="AQ2599" s="56"/>
      <c r="AR2599" s="56"/>
      <c r="AS2599" s="56"/>
      <c r="AT2599" s="56"/>
      <c r="AU2599" s="56"/>
      <c r="AV2599" s="56"/>
      <c r="AW2599" s="56"/>
      <c r="AX2599" s="56"/>
      <c r="AY2599" s="56"/>
      <c r="AZ2599" s="56"/>
      <c r="BA2599" s="56"/>
      <c r="BB2599" s="16"/>
      <c r="BC2599" s="56"/>
      <c r="BD2599" s="56"/>
      <c r="BE2599" s="56"/>
      <c r="BF2599" s="56"/>
      <c r="BG2599" s="56"/>
      <c r="BH2599" s="56"/>
      <c r="BI2599" s="56"/>
      <c r="BJ2599" s="56"/>
      <c r="BK2599" s="56"/>
      <c r="BL2599" s="56"/>
      <c r="BM2599" s="56"/>
      <c r="BN2599" s="56"/>
      <c r="BO2599" s="56"/>
      <c r="BP2599" s="56"/>
      <c r="BQ2599" s="56"/>
      <c r="BR2599" s="56"/>
      <c r="BS2599" s="56"/>
      <c r="BT2599" s="56"/>
      <c r="BU2599" s="56"/>
      <c r="BV2599" s="56"/>
      <c r="BW2599" s="56"/>
      <c r="BX2599" s="56"/>
      <c r="BY2599" s="56"/>
      <c r="BZ2599" s="56"/>
      <c r="CA2599" s="56"/>
      <c r="CB2599" s="56"/>
      <c r="CC2599" s="56"/>
      <c r="CD2599" s="56"/>
      <c r="CE2599" s="56"/>
      <c r="CF2599" s="56"/>
      <c r="CG2599" s="56"/>
      <c r="CH2599" s="56"/>
      <c r="CI2599" s="56"/>
      <c r="CJ2599" s="56"/>
      <c r="CK2599" s="56"/>
      <c r="CL2599" s="56"/>
      <c r="CM2599" s="56"/>
      <c r="CN2599" s="56"/>
      <c r="CO2599" s="56"/>
      <c r="CP2599" s="56"/>
      <c r="CQ2599" s="56"/>
      <c r="CR2599" s="56"/>
      <c r="CS2599" s="56"/>
      <c r="CT2599" s="56"/>
      <c r="CU2599" s="56"/>
      <c r="CV2599" s="56"/>
      <c r="CW2599" s="56"/>
      <c r="CX2599" s="56"/>
      <c r="CY2599" s="56"/>
      <c r="CZ2599" s="56"/>
    </row>
    <row r="2600" spans="27:104" s="5" customFormat="1" x14ac:dyDescent="0.25">
      <c r="AA2600" s="56"/>
      <c r="AB2600" s="56"/>
      <c r="AC2600" s="56"/>
      <c r="AD2600" s="56"/>
      <c r="AE2600" s="56"/>
      <c r="AF2600" s="56"/>
      <c r="AG2600" s="56"/>
      <c r="AH2600" s="56"/>
      <c r="AI2600" s="56"/>
      <c r="AJ2600" s="56"/>
      <c r="AK2600" s="56"/>
      <c r="AL2600" s="56"/>
      <c r="AM2600" s="56"/>
      <c r="AN2600" s="56"/>
      <c r="AO2600" s="56"/>
      <c r="AP2600" s="56"/>
      <c r="AQ2600" s="56"/>
      <c r="AR2600" s="56"/>
      <c r="AS2600" s="56"/>
      <c r="AT2600" s="56"/>
      <c r="AU2600" s="56"/>
      <c r="AV2600" s="56"/>
      <c r="AW2600" s="56"/>
      <c r="AX2600" s="56"/>
      <c r="AY2600" s="56"/>
      <c r="AZ2600" s="56"/>
      <c r="BA2600" s="56"/>
      <c r="BB2600" s="16"/>
      <c r="BC2600" s="56"/>
      <c r="BD2600" s="56"/>
      <c r="BE2600" s="56"/>
      <c r="BF2600" s="56"/>
      <c r="BG2600" s="56"/>
      <c r="BH2600" s="56"/>
      <c r="BI2600" s="56"/>
      <c r="BJ2600" s="56"/>
      <c r="BK2600" s="56"/>
      <c r="BL2600" s="56"/>
      <c r="BM2600" s="56"/>
      <c r="BN2600" s="56"/>
      <c r="BO2600" s="56"/>
      <c r="BP2600" s="56"/>
      <c r="BQ2600" s="56"/>
      <c r="BR2600" s="56"/>
      <c r="BS2600" s="56"/>
      <c r="BT2600" s="56"/>
      <c r="BU2600" s="56"/>
      <c r="BV2600" s="56"/>
      <c r="BW2600" s="56"/>
      <c r="BX2600" s="56"/>
      <c r="BY2600" s="56"/>
      <c r="BZ2600" s="56"/>
      <c r="CA2600" s="56"/>
      <c r="CB2600" s="56"/>
      <c r="CC2600" s="56"/>
      <c r="CD2600" s="56"/>
      <c r="CE2600" s="56"/>
      <c r="CF2600" s="56"/>
      <c r="CG2600" s="56"/>
      <c r="CH2600" s="56"/>
      <c r="CI2600" s="56"/>
      <c r="CJ2600" s="56"/>
      <c r="CK2600" s="56"/>
      <c r="CL2600" s="56"/>
      <c r="CM2600" s="56"/>
      <c r="CN2600" s="56"/>
      <c r="CO2600" s="56"/>
      <c r="CP2600" s="56"/>
      <c r="CQ2600" s="56"/>
      <c r="CR2600" s="56"/>
      <c r="CS2600" s="56"/>
      <c r="CT2600" s="56"/>
      <c r="CU2600" s="56"/>
      <c r="CV2600" s="56"/>
      <c r="CW2600" s="56"/>
      <c r="CX2600" s="56"/>
      <c r="CY2600" s="56"/>
      <c r="CZ2600" s="56"/>
    </row>
    <row r="2601" spans="27:104" s="5" customFormat="1" x14ac:dyDescent="0.25">
      <c r="AA2601" s="56"/>
      <c r="AB2601" s="56"/>
      <c r="AC2601" s="56"/>
      <c r="AD2601" s="56"/>
      <c r="AE2601" s="56"/>
      <c r="AF2601" s="56"/>
      <c r="AG2601" s="56"/>
      <c r="AH2601" s="56"/>
      <c r="AI2601" s="56"/>
      <c r="AJ2601" s="56"/>
      <c r="AK2601" s="56"/>
      <c r="AL2601" s="56"/>
      <c r="AM2601" s="56"/>
      <c r="AN2601" s="56"/>
      <c r="AO2601" s="56"/>
      <c r="AP2601" s="56"/>
      <c r="AQ2601" s="56"/>
      <c r="AR2601" s="56"/>
      <c r="AS2601" s="56"/>
      <c r="AT2601" s="56"/>
      <c r="AU2601" s="56"/>
      <c r="AV2601" s="56"/>
      <c r="AW2601" s="56"/>
      <c r="AX2601" s="56"/>
      <c r="AY2601" s="56"/>
      <c r="AZ2601" s="56"/>
      <c r="BA2601" s="56"/>
      <c r="BB2601" s="16"/>
      <c r="BC2601" s="56"/>
      <c r="BD2601" s="56"/>
      <c r="BE2601" s="56"/>
      <c r="BF2601" s="56"/>
      <c r="BG2601" s="56"/>
      <c r="BH2601" s="56"/>
      <c r="BI2601" s="56"/>
      <c r="BJ2601" s="56"/>
      <c r="BK2601" s="56"/>
      <c r="BL2601" s="56"/>
      <c r="BM2601" s="56"/>
      <c r="BN2601" s="56"/>
      <c r="BO2601" s="56"/>
      <c r="BP2601" s="56"/>
      <c r="BQ2601" s="56"/>
      <c r="BR2601" s="56"/>
      <c r="BS2601" s="56"/>
      <c r="BT2601" s="56"/>
      <c r="BU2601" s="56"/>
      <c r="BV2601" s="56"/>
      <c r="BW2601" s="56"/>
      <c r="BX2601" s="56"/>
      <c r="BY2601" s="56"/>
      <c r="BZ2601" s="56"/>
      <c r="CA2601" s="56"/>
      <c r="CB2601" s="56"/>
      <c r="CC2601" s="56"/>
      <c r="CD2601" s="56"/>
      <c r="CE2601" s="56"/>
      <c r="CF2601" s="56"/>
      <c r="CG2601" s="56"/>
      <c r="CH2601" s="56"/>
      <c r="CI2601" s="56"/>
      <c r="CJ2601" s="56"/>
      <c r="CK2601" s="56"/>
      <c r="CL2601" s="56"/>
      <c r="CM2601" s="56"/>
      <c r="CN2601" s="56"/>
      <c r="CO2601" s="56"/>
      <c r="CP2601" s="56"/>
      <c r="CQ2601" s="56"/>
      <c r="CR2601" s="56"/>
      <c r="CS2601" s="56"/>
      <c r="CT2601" s="56"/>
      <c r="CU2601" s="56"/>
      <c r="CV2601" s="56"/>
      <c r="CW2601" s="56"/>
      <c r="CX2601" s="56"/>
      <c r="CY2601" s="56"/>
      <c r="CZ2601" s="56"/>
    </row>
    <row r="2602" spans="27:104" s="5" customFormat="1" x14ac:dyDescent="0.25">
      <c r="AA2602" s="56"/>
      <c r="AB2602" s="56"/>
      <c r="AC2602" s="56"/>
      <c r="AD2602" s="56"/>
      <c r="AE2602" s="56"/>
      <c r="AF2602" s="56"/>
      <c r="AG2602" s="56"/>
      <c r="AH2602" s="56"/>
      <c r="AI2602" s="56"/>
      <c r="AJ2602" s="56"/>
      <c r="AK2602" s="56"/>
      <c r="AL2602" s="56"/>
      <c r="AM2602" s="56"/>
      <c r="AN2602" s="56"/>
      <c r="AO2602" s="56"/>
      <c r="AP2602" s="56"/>
      <c r="AQ2602" s="56"/>
      <c r="AR2602" s="56"/>
      <c r="AS2602" s="56"/>
      <c r="AT2602" s="56"/>
      <c r="AU2602" s="56"/>
      <c r="AV2602" s="56"/>
      <c r="AW2602" s="56"/>
      <c r="AX2602" s="56"/>
      <c r="AY2602" s="56"/>
      <c r="AZ2602" s="56"/>
      <c r="BA2602" s="56"/>
      <c r="BB2602" s="16"/>
      <c r="BC2602" s="56"/>
      <c r="BD2602" s="56"/>
      <c r="BE2602" s="56"/>
      <c r="BF2602" s="56"/>
      <c r="BG2602" s="56"/>
      <c r="BH2602" s="56"/>
      <c r="BI2602" s="56"/>
      <c r="BJ2602" s="56"/>
      <c r="BK2602" s="56"/>
      <c r="BL2602" s="56"/>
      <c r="BM2602" s="56"/>
      <c r="BN2602" s="56"/>
      <c r="BO2602" s="56"/>
      <c r="BP2602" s="56"/>
      <c r="BQ2602" s="56"/>
      <c r="BR2602" s="56"/>
      <c r="BS2602" s="56"/>
      <c r="BT2602" s="56"/>
      <c r="BU2602" s="56"/>
      <c r="BV2602" s="56"/>
      <c r="BW2602" s="56"/>
      <c r="BX2602" s="56"/>
      <c r="BY2602" s="56"/>
      <c r="BZ2602" s="56"/>
      <c r="CA2602" s="56"/>
      <c r="CB2602" s="56"/>
      <c r="CC2602" s="56"/>
      <c r="CD2602" s="56"/>
      <c r="CE2602" s="56"/>
      <c r="CF2602" s="56"/>
      <c r="CG2602" s="56"/>
      <c r="CH2602" s="56"/>
      <c r="CI2602" s="56"/>
      <c r="CJ2602" s="56"/>
      <c r="CK2602" s="56"/>
      <c r="CL2602" s="56"/>
      <c r="CM2602" s="56"/>
      <c r="CN2602" s="56"/>
      <c r="CO2602" s="56"/>
      <c r="CP2602" s="56"/>
      <c r="CQ2602" s="56"/>
      <c r="CR2602" s="56"/>
      <c r="CS2602" s="56"/>
      <c r="CT2602" s="56"/>
      <c r="CU2602" s="56"/>
      <c r="CV2602" s="56"/>
      <c r="CW2602" s="56"/>
      <c r="CX2602" s="56"/>
      <c r="CY2602" s="56"/>
      <c r="CZ2602" s="56"/>
    </row>
    <row r="2603" spans="27:104" s="5" customFormat="1" x14ac:dyDescent="0.25">
      <c r="AA2603" s="56"/>
      <c r="AB2603" s="56"/>
      <c r="AC2603" s="56"/>
      <c r="AD2603" s="56"/>
      <c r="AE2603" s="56"/>
      <c r="AF2603" s="56"/>
      <c r="AG2603" s="56"/>
      <c r="AH2603" s="56"/>
      <c r="AI2603" s="56"/>
      <c r="AJ2603" s="56"/>
      <c r="AK2603" s="56"/>
      <c r="AL2603" s="56"/>
      <c r="AM2603" s="56"/>
      <c r="AN2603" s="56"/>
      <c r="AO2603" s="56"/>
      <c r="AP2603" s="56"/>
      <c r="AQ2603" s="56"/>
      <c r="AR2603" s="56"/>
      <c r="AS2603" s="56"/>
      <c r="AT2603" s="56"/>
      <c r="AU2603" s="56"/>
      <c r="AV2603" s="56"/>
      <c r="AW2603" s="56"/>
      <c r="AX2603" s="56"/>
      <c r="AY2603" s="56"/>
      <c r="AZ2603" s="56"/>
      <c r="BA2603" s="56"/>
      <c r="BB2603" s="16"/>
      <c r="BC2603" s="56"/>
      <c r="BD2603" s="56"/>
      <c r="BE2603" s="56"/>
      <c r="BF2603" s="56"/>
      <c r="BG2603" s="56"/>
      <c r="BH2603" s="56"/>
      <c r="BI2603" s="56"/>
      <c r="BJ2603" s="56"/>
      <c r="BK2603" s="56"/>
      <c r="BL2603" s="56"/>
      <c r="BM2603" s="56"/>
      <c r="BN2603" s="56"/>
      <c r="BO2603" s="56"/>
      <c r="BP2603" s="56"/>
      <c r="BQ2603" s="56"/>
      <c r="BR2603" s="56"/>
      <c r="BS2603" s="56"/>
      <c r="BT2603" s="56"/>
      <c r="BU2603" s="56"/>
      <c r="BV2603" s="56"/>
      <c r="BW2603" s="56"/>
      <c r="BX2603" s="56"/>
      <c r="BY2603" s="56"/>
      <c r="BZ2603" s="56"/>
      <c r="CA2603" s="56"/>
      <c r="CB2603" s="56"/>
      <c r="CC2603" s="56"/>
      <c r="CD2603" s="56"/>
      <c r="CE2603" s="56"/>
      <c r="CF2603" s="56"/>
      <c r="CG2603" s="56"/>
      <c r="CH2603" s="56"/>
      <c r="CI2603" s="56"/>
      <c r="CJ2603" s="56"/>
      <c r="CK2603" s="56"/>
      <c r="CL2603" s="56"/>
      <c r="CM2603" s="56"/>
      <c r="CN2603" s="56"/>
      <c r="CO2603" s="56"/>
      <c r="CP2603" s="56"/>
      <c r="CQ2603" s="56"/>
      <c r="CR2603" s="56"/>
      <c r="CS2603" s="56"/>
      <c r="CT2603" s="56"/>
      <c r="CU2603" s="56"/>
      <c r="CV2603" s="56"/>
      <c r="CW2603" s="56"/>
      <c r="CX2603" s="56"/>
      <c r="CY2603" s="56"/>
      <c r="CZ2603" s="56"/>
    </row>
    <row r="2604" spans="27:104" s="5" customFormat="1" x14ac:dyDescent="0.25">
      <c r="AA2604" s="56"/>
      <c r="AB2604" s="56"/>
      <c r="AC2604" s="56"/>
      <c r="AD2604" s="56"/>
      <c r="AE2604" s="56"/>
      <c r="AF2604" s="56"/>
      <c r="AG2604" s="56"/>
      <c r="AH2604" s="56"/>
      <c r="AI2604" s="56"/>
      <c r="AJ2604" s="56"/>
      <c r="AK2604" s="56"/>
      <c r="AL2604" s="56"/>
      <c r="AM2604" s="56"/>
      <c r="AN2604" s="56"/>
      <c r="AO2604" s="56"/>
      <c r="AP2604" s="56"/>
      <c r="AQ2604" s="56"/>
      <c r="AR2604" s="56"/>
      <c r="AS2604" s="56"/>
      <c r="AT2604" s="56"/>
      <c r="AU2604" s="56"/>
      <c r="AV2604" s="56"/>
      <c r="AW2604" s="56"/>
      <c r="AX2604" s="56"/>
      <c r="AY2604" s="56"/>
      <c r="AZ2604" s="56"/>
      <c r="BA2604" s="56"/>
      <c r="BB2604" s="16"/>
      <c r="BC2604" s="56"/>
      <c r="BD2604" s="56"/>
      <c r="BE2604" s="56"/>
      <c r="BF2604" s="56"/>
      <c r="BG2604" s="56"/>
      <c r="BH2604" s="56"/>
      <c r="BI2604" s="56"/>
      <c r="BJ2604" s="56"/>
      <c r="BK2604" s="56"/>
      <c r="BL2604" s="56"/>
      <c r="BM2604" s="56"/>
      <c r="BN2604" s="56"/>
      <c r="BO2604" s="56"/>
      <c r="BP2604" s="56"/>
      <c r="BQ2604" s="56"/>
      <c r="BR2604" s="56"/>
      <c r="BS2604" s="56"/>
      <c r="BT2604" s="56"/>
      <c r="BU2604" s="56"/>
      <c r="BV2604" s="56"/>
      <c r="BW2604" s="56"/>
      <c r="BX2604" s="56"/>
      <c r="BY2604" s="56"/>
      <c r="BZ2604" s="56"/>
      <c r="CA2604" s="56"/>
      <c r="CB2604" s="56"/>
      <c r="CC2604" s="56"/>
      <c r="CD2604" s="56"/>
      <c r="CE2604" s="56"/>
      <c r="CF2604" s="56"/>
      <c r="CG2604" s="56"/>
      <c r="CH2604" s="56"/>
      <c r="CI2604" s="56"/>
      <c r="CJ2604" s="56"/>
      <c r="CK2604" s="56"/>
      <c r="CL2604" s="56"/>
      <c r="CM2604" s="56"/>
      <c r="CN2604" s="56"/>
      <c r="CO2604" s="56"/>
      <c r="CP2604" s="56"/>
      <c r="CQ2604" s="56"/>
      <c r="CR2604" s="56"/>
      <c r="CS2604" s="56"/>
      <c r="CT2604" s="56"/>
      <c r="CU2604" s="56"/>
      <c r="CV2604" s="56"/>
      <c r="CW2604" s="56"/>
      <c r="CX2604" s="56"/>
      <c r="CY2604" s="56"/>
      <c r="CZ2604" s="56"/>
    </row>
    <row r="2605" spans="27:104" s="5" customFormat="1" x14ac:dyDescent="0.25">
      <c r="AA2605" s="56"/>
      <c r="AB2605" s="56"/>
      <c r="AC2605" s="56"/>
      <c r="AD2605" s="56"/>
      <c r="AE2605" s="56"/>
      <c r="AF2605" s="56"/>
      <c r="AG2605" s="56"/>
      <c r="AH2605" s="56"/>
      <c r="AI2605" s="56"/>
      <c r="AJ2605" s="56"/>
      <c r="AK2605" s="56"/>
      <c r="AL2605" s="56"/>
      <c r="AM2605" s="56"/>
      <c r="AN2605" s="56"/>
      <c r="AO2605" s="56"/>
      <c r="AP2605" s="56"/>
      <c r="AQ2605" s="56"/>
      <c r="AR2605" s="56"/>
      <c r="AS2605" s="56"/>
      <c r="AT2605" s="56"/>
      <c r="AU2605" s="56"/>
      <c r="AV2605" s="56"/>
      <c r="AW2605" s="56"/>
      <c r="AX2605" s="56"/>
      <c r="AY2605" s="56"/>
      <c r="AZ2605" s="56"/>
      <c r="BA2605" s="56"/>
      <c r="BB2605" s="16"/>
      <c r="BC2605" s="56"/>
      <c r="BD2605" s="56"/>
      <c r="BE2605" s="56"/>
      <c r="BF2605" s="56"/>
      <c r="BG2605" s="56"/>
      <c r="BH2605" s="56"/>
      <c r="BI2605" s="56"/>
      <c r="BJ2605" s="56"/>
      <c r="BK2605" s="56"/>
      <c r="BL2605" s="56"/>
      <c r="BM2605" s="56"/>
      <c r="BN2605" s="56"/>
      <c r="BO2605" s="56"/>
      <c r="BP2605" s="56"/>
      <c r="BQ2605" s="56"/>
      <c r="BR2605" s="56"/>
      <c r="BS2605" s="56"/>
      <c r="BT2605" s="56"/>
      <c r="BU2605" s="56"/>
      <c r="BV2605" s="56"/>
      <c r="BW2605" s="56"/>
      <c r="BX2605" s="56"/>
      <c r="BY2605" s="56"/>
      <c r="BZ2605" s="56"/>
      <c r="CA2605" s="56"/>
      <c r="CB2605" s="56"/>
      <c r="CC2605" s="56"/>
      <c r="CD2605" s="56"/>
      <c r="CE2605" s="56"/>
      <c r="CF2605" s="56"/>
      <c r="CG2605" s="56"/>
      <c r="CH2605" s="56"/>
      <c r="CI2605" s="56"/>
      <c r="CJ2605" s="56"/>
      <c r="CK2605" s="56"/>
      <c r="CL2605" s="56"/>
      <c r="CM2605" s="56"/>
      <c r="CN2605" s="56"/>
      <c r="CO2605" s="56"/>
      <c r="CP2605" s="56"/>
      <c r="CQ2605" s="56"/>
      <c r="CR2605" s="56"/>
      <c r="CS2605" s="56"/>
      <c r="CT2605" s="56"/>
      <c r="CU2605" s="56"/>
      <c r="CV2605" s="56"/>
      <c r="CW2605" s="56"/>
      <c r="CX2605" s="56"/>
      <c r="CY2605" s="56"/>
      <c r="CZ2605" s="56"/>
    </row>
    <row r="2606" spans="27:104" s="5" customFormat="1" x14ac:dyDescent="0.25">
      <c r="AA2606" s="56"/>
      <c r="AB2606" s="56"/>
      <c r="AC2606" s="56"/>
      <c r="AD2606" s="56"/>
      <c r="AE2606" s="56"/>
      <c r="AF2606" s="56"/>
      <c r="AG2606" s="56"/>
      <c r="AH2606" s="56"/>
      <c r="AI2606" s="56"/>
      <c r="AJ2606" s="56"/>
      <c r="AK2606" s="56"/>
      <c r="AL2606" s="56"/>
      <c r="AM2606" s="56"/>
      <c r="AN2606" s="56"/>
      <c r="AO2606" s="56"/>
      <c r="AP2606" s="56"/>
      <c r="AQ2606" s="56"/>
      <c r="AR2606" s="56"/>
      <c r="AS2606" s="56"/>
      <c r="AT2606" s="56"/>
      <c r="AU2606" s="56"/>
      <c r="AV2606" s="56"/>
      <c r="AW2606" s="56"/>
      <c r="AX2606" s="56"/>
      <c r="AY2606" s="56"/>
      <c r="AZ2606" s="56"/>
      <c r="BA2606" s="56"/>
      <c r="BB2606" s="16"/>
      <c r="BC2606" s="56"/>
      <c r="BD2606" s="56"/>
      <c r="BE2606" s="56"/>
      <c r="BF2606" s="56"/>
      <c r="BG2606" s="56"/>
      <c r="BH2606" s="56"/>
      <c r="BI2606" s="56"/>
      <c r="BJ2606" s="56"/>
      <c r="BK2606" s="56"/>
      <c r="BL2606" s="56"/>
      <c r="BM2606" s="56"/>
      <c r="BN2606" s="56"/>
      <c r="BO2606" s="56"/>
      <c r="BP2606" s="56"/>
      <c r="BQ2606" s="56"/>
      <c r="BR2606" s="56"/>
      <c r="BS2606" s="56"/>
      <c r="BT2606" s="56"/>
      <c r="BU2606" s="56"/>
      <c r="BV2606" s="56"/>
      <c r="BW2606" s="56"/>
      <c r="BX2606" s="56"/>
      <c r="BY2606" s="56"/>
      <c r="BZ2606" s="56"/>
      <c r="CA2606" s="56"/>
      <c r="CB2606" s="56"/>
      <c r="CC2606" s="56"/>
      <c r="CD2606" s="56"/>
      <c r="CE2606" s="56"/>
      <c r="CF2606" s="56"/>
      <c r="CG2606" s="56"/>
      <c r="CH2606" s="56"/>
      <c r="CI2606" s="56"/>
      <c r="CJ2606" s="56"/>
      <c r="CK2606" s="56"/>
      <c r="CL2606" s="56"/>
      <c r="CM2606" s="56"/>
      <c r="CN2606" s="56"/>
      <c r="CO2606" s="56"/>
      <c r="CP2606" s="56"/>
      <c r="CQ2606" s="56"/>
      <c r="CR2606" s="56"/>
      <c r="CS2606" s="56"/>
      <c r="CT2606" s="56"/>
      <c r="CU2606" s="56"/>
      <c r="CV2606" s="56"/>
      <c r="CW2606" s="56"/>
      <c r="CX2606" s="56"/>
      <c r="CY2606" s="56"/>
      <c r="CZ2606" s="56"/>
    </row>
    <row r="2607" spans="27:104" s="5" customFormat="1" x14ac:dyDescent="0.25">
      <c r="AA2607" s="56"/>
      <c r="AB2607" s="56"/>
      <c r="AC2607" s="56"/>
      <c r="AD2607" s="56"/>
      <c r="AE2607" s="56"/>
      <c r="AF2607" s="56"/>
      <c r="AG2607" s="56"/>
      <c r="AH2607" s="56"/>
      <c r="AI2607" s="56"/>
      <c r="AJ2607" s="56"/>
      <c r="AK2607" s="56"/>
      <c r="AL2607" s="56"/>
      <c r="AM2607" s="56"/>
      <c r="AN2607" s="56"/>
      <c r="AO2607" s="56"/>
      <c r="AP2607" s="56"/>
      <c r="AQ2607" s="56"/>
      <c r="AR2607" s="56"/>
      <c r="AS2607" s="56"/>
      <c r="AT2607" s="56"/>
      <c r="AU2607" s="56"/>
      <c r="AV2607" s="56"/>
      <c r="AW2607" s="56"/>
      <c r="AX2607" s="56"/>
      <c r="AY2607" s="56"/>
      <c r="AZ2607" s="56"/>
      <c r="BA2607" s="56"/>
      <c r="BB2607" s="16"/>
      <c r="BC2607" s="56"/>
      <c r="BD2607" s="56"/>
      <c r="BE2607" s="56"/>
      <c r="BF2607" s="56"/>
      <c r="BG2607" s="56"/>
      <c r="BH2607" s="56"/>
      <c r="BI2607" s="56"/>
      <c r="BJ2607" s="56"/>
      <c r="BK2607" s="56"/>
      <c r="BL2607" s="56"/>
      <c r="BM2607" s="56"/>
      <c r="BN2607" s="56"/>
      <c r="BO2607" s="56"/>
      <c r="BP2607" s="56"/>
      <c r="BQ2607" s="56"/>
      <c r="BR2607" s="56"/>
      <c r="BS2607" s="56"/>
      <c r="BT2607" s="56"/>
      <c r="BU2607" s="56"/>
      <c r="BV2607" s="56"/>
      <c r="BW2607" s="56"/>
      <c r="BX2607" s="56"/>
      <c r="BY2607" s="56"/>
      <c r="BZ2607" s="56"/>
      <c r="CA2607" s="56"/>
      <c r="CB2607" s="56"/>
      <c r="CC2607" s="56"/>
      <c r="CD2607" s="56"/>
      <c r="CE2607" s="56"/>
      <c r="CF2607" s="56"/>
      <c r="CG2607" s="56"/>
      <c r="CH2607" s="56"/>
      <c r="CI2607" s="56"/>
      <c r="CJ2607" s="56"/>
      <c r="CK2607" s="56"/>
      <c r="CL2607" s="56"/>
      <c r="CM2607" s="56"/>
      <c r="CN2607" s="56"/>
      <c r="CO2607" s="56"/>
      <c r="CP2607" s="56"/>
      <c r="CQ2607" s="56"/>
      <c r="CR2607" s="56"/>
      <c r="CS2607" s="56"/>
      <c r="CT2607" s="56"/>
      <c r="CU2607" s="56"/>
      <c r="CV2607" s="56"/>
      <c r="CW2607" s="56"/>
      <c r="CX2607" s="56"/>
      <c r="CY2607" s="56"/>
      <c r="CZ2607" s="56"/>
    </row>
    <row r="2608" spans="27:104" s="5" customFormat="1" x14ac:dyDescent="0.25">
      <c r="AA2608" s="56"/>
      <c r="AB2608" s="56"/>
      <c r="AC2608" s="56"/>
      <c r="AD2608" s="56"/>
      <c r="AE2608" s="56"/>
      <c r="AF2608" s="56"/>
      <c r="AG2608" s="56"/>
      <c r="AH2608" s="56"/>
      <c r="AI2608" s="56"/>
      <c r="AJ2608" s="56"/>
      <c r="AK2608" s="56"/>
      <c r="AL2608" s="56"/>
      <c r="AM2608" s="56"/>
      <c r="AN2608" s="56"/>
      <c r="AO2608" s="56"/>
      <c r="AP2608" s="56"/>
      <c r="AQ2608" s="56"/>
      <c r="AR2608" s="56"/>
      <c r="AS2608" s="56"/>
      <c r="AT2608" s="56"/>
      <c r="AU2608" s="56"/>
      <c r="AV2608" s="56"/>
      <c r="AW2608" s="56"/>
      <c r="AX2608" s="56"/>
      <c r="AY2608" s="56"/>
      <c r="AZ2608" s="56"/>
      <c r="BA2608" s="56"/>
      <c r="BB2608" s="16"/>
      <c r="BC2608" s="56"/>
      <c r="BD2608" s="56"/>
      <c r="BE2608" s="56"/>
      <c r="BF2608" s="56"/>
      <c r="BG2608" s="56"/>
      <c r="BH2608" s="56"/>
      <c r="BI2608" s="56"/>
      <c r="BJ2608" s="56"/>
      <c r="BK2608" s="56"/>
      <c r="BL2608" s="56"/>
      <c r="BM2608" s="56"/>
      <c r="BN2608" s="56"/>
      <c r="BO2608" s="56"/>
      <c r="BP2608" s="56"/>
      <c r="BQ2608" s="56"/>
      <c r="BR2608" s="56"/>
      <c r="BS2608" s="56"/>
      <c r="BT2608" s="56"/>
      <c r="BU2608" s="56"/>
      <c r="BV2608" s="56"/>
      <c r="BW2608" s="56"/>
      <c r="BX2608" s="56"/>
      <c r="BY2608" s="56"/>
      <c r="BZ2608" s="56"/>
      <c r="CA2608" s="56"/>
      <c r="CB2608" s="56"/>
      <c r="CC2608" s="56"/>
      <c r="CD2608" s="56"/>
      <c r="CE2608" s="56"/>
      <c r="CF2608" s="56"/>
      <c r="CG2608" s="56"/>
      <c r="CH2608" s="56"/>
      <c r="CI2608" s="56"/>
      <c r="CJ2608" s="56"/>
      <c r="CK2608" s="56"/>
      <c r="CL2608" s="56"/>
      <c r="CM2608" s="56"/>
      <c r="CN2608" s="56"/>
      <c r="CO2608" s="56"/>
      <c r="CP2608" s="56"/>
      <c r="CQ2608" s="56"/>
      <c r="CR2608" s="56"/>
      <c r="CS2608" s="56"/>
      <c r="CT2608" s="56"/>
      <c r="CU2608" s="56"/>
      <c r="CV2608" s="56"/>
      <c r="CW2608" s="56"/>
      <c r="CX2608" s="56"/>
      <c r="CY2608" s="56"/>
      <c r="CZ2608" s="56"/>
    </row>
    <row r="2609" spans="27:104" s="5" customFormat="1" x14ac:dyDescent="0.25">
      <c r="AA2609" s="56"/>
      <c r="AB2609" s="56"/>
      <c r="AC2609" s="56"/>
      <c r="AD2609" s="56"/>
      <c r="AE2609" s="56"/>
      <c r="AF2609" s="56"/>
      <c r="AG2609" s="56"/>
      <c r="AH2609" s="56"/>
      <c r="AI2609" s="56"/>
      <c r="AJ2609" s="56"/>
      <c r="AK2609" s="56"/>
      <c r="AL2609" s="56"/>
      <c r="AM2609" s="56"/>
      <c r="AN2609" s="56"/>
      <c r="AO2609" s="56"/>
      <c r="AP2609" s="56"/>
      <c r="AQ2609" s="56"/>
      <c r="AR2609" s="56"/>
      <c r="AS2609" s="56"/>
      <c r="AT2609" s="56"/>
      <c r="AU2609" s="56"/>
      <c r="AV2609" s="56"/>
      <c r="AW2609" s="56"/>
      <c r="AX2609" s="56"/>
      <c r="AY2609" s="56"/>
      <c r="AZ2609" s="56"/>
      <c r="BA2609" s="56"/>
      <c r="BB2609" s="16"/>
      <c r="BC2609" s="56"/>
      <c r="BD2609" s="56"/>
      <c r="BE2609" s="56"/>
      <c r="BF2609" s="56"/>
      <c r="BG2609" s="56"/>
      <c r="BH2609" s="56"/>
      <c r="BI2609" s="56"/>
      <c r="BJ2609" s="56"/>
      <c r="BK2609" s="56"/>
      <c r="BL2609" s="56"/>
      <c r="BM2609" s="56"/>
      <c r="BN2609" s="56"/>
      <c r="BO2609" s="56"/>
      <c r="BP2609" s="56"/>
      <c r="BQ2609" s="56"/>
      <c r="BR2609" s="56"/>
      <c r="BS2609" s="56"/>
      <c r="BT2609" s="56"/>
      <c r="BU2609" s="56"/>
      <c r="BV2609" s="56"/>
      <c r="BW2609" s="56"/>
      <c r="BX2609" s="56"/>
      <c r="BY2609" s="56"/>
      <c r="BZ2609" s="56"/>
      <c r="CA2609" s="56"/>
      <c r="CB2609" s="56"/>
      <c r="CC2609" s="56"/>
      <c r="CD2609" s="56"/>
      <c r="CE2609" s="56"/>
      <c r="CF2609" s="56"/>
      <c r="CG2609" s="56"/>
      <c r="CH2609" s="56"/>
      <c r="CI2609" s="56"/>
      <c r="CJ2609" s="56"/>
      <c r="CK2609" s="56"/>
      <c r="CL2609" s="56"/>
      <c r="CM2609" s="56"/>
      <c r="CN2609" s="56"/>
      <c r="CO2609" s="56"/>
      <c r="CP2609" s="56"/>
      <c r="CQ2609" s="56"/>
      <c r="CR2609" s="56"/>
      <c r="CS2609" s="56"/>
      <c r="CT2609" s="56"/>
      <c r="CU2609" s="56"/>
      <c r="CV2609" s="56"/>
      <c r="CW2609" s="56"/>
      <c r="CX2609" s="56"/>
      <c r="CY2609" s="56"/>
      <c r="CZ2609" s="56"/>
    </row>
    <row r="2610" spans="27:104" s="5" customFormat="1" x14ac:dyDescent="0.25">
      <c r="AA2610" s="56"/>
      <c r="AB2610" s="56"/>
      <c r="AC2610" s="56"/>
      <c r="AD2610" s="56"/>
      <c r="AE2610" s="56"/>
      <c r="AF2610" s="56"/>
      <c r="AG2610" s="56"/>
      <c r="AH2610" s="56"/>
      <c r="AI2610" s="56"/>
      <c r="AJ2610" s="56"/>
      <c r="AK2610" s="56"/>
      <c r="AL2610" s="56"/>
      <c r="AM2610" s="56"/>
      <c r="AN2610" s="56"/>
      <c r="AO2610" s="56"/>
      <c r="AP2610" s="56"/>
      <c r="AQ2610" s="56"/>
      <c r="AR2610" s="56"/>
      <c r="AS2610" s="56"/>
      <c r="AT2610" s="56"/>
      <c r="AU2610" s="56"/>
      <c r="AV2610" s="56"/>
      <c r="AW2610" s="56"/>
      <c r="AX2610" s="56"/>
      <c r="AY2610" s="56"/>
      <c r="AZ2610" s="56"/>
      <c r="BA2610" s="56"/>
      <c r="BB2610" s="16"/>
      <c r="BC2610" s="56"/>
      <c r="BD2610" s="56"/>
      <c r="BE2610" s="56"/>
      <c r="BF2610" s="56"/>
      <c r="BG2610" s="56"/>
      <c r="BH2610" s="56"/>
      <c r="BI2610" s="56"/>
      <c r="BJ2610" s="56"/>
      <c r="BK2610" s="56"/>
      <c r="BL2610" s="56"/>
      <c r="BM2610" s="56"/>
      <c r="BN2610" s="56"/>
      <c r="BO2610" s="56"/>
      <c r="BP2610" s="56"/>
      <c r="BQ2610" s="56"/>
      <c r="BR2610" s="56"/>
      <c r="BS2610" s="56"/>
      <c r="BT2610" s="56"/>
      <c r="BU2610" s="56"/>
      <c r="BV2610" s="56"/>
      <c r="BW2610" s="56"/>
      <c r="BX2610" s="56"/>
      <c r="BY2610" s="56"/>
      <c r="BZ2610" s="56"/>
      <c r="CA2610" s="56"/>
      <c r="CB2610" s="56"/>
      <c r="CC2610" s="56"/>
      <c r="CD2610" s="56"/>
      <c r="CE2610" s="56"/>
      <c r="CF2610" s="56"/>
      <c r="CG2610" s="56"/>
      <c r="CH2610" s="56"/>
      <c r="CI2610" s="56"/>
      <c r="CJ2610" s="56"/>
      <c r="CK2610" s="56"/>
      <c r="CL2610" s="56"/>
      <c r="CM2610" s="56"/>
      <c r="CN2610" s="56"/>
      <c r="CO2610" s="56"/>
      <c r="CP2610" s="56"/>
      <c r="CQ2610" s="56"/>
      <c r="CR2610" s="56"/>
      <c r="CS2610" s="56"/>
      <c r="CT2610" s="56"/>
      <c r="CU2610" s="56"/>
      <c r="CV2610" s="56"/>
      <c r="CW2610" s="56"/>
      <c r="CX2610" s="56"/>
      <c r="CY2610" s="56"/>
      <c r="CZ2610" s="56"/>
    </row>
    <row r="2611" spans="27:104" s="5" customFormat="1" x14ac:dyDescent="0.25">
      <c r="AA2611" s="56"/>
      <c r="AB2611" s="56"/>
      <c r="AC2611" s="56"/>
      <c r="AD2611" s="56"/>
      <c r="AE2611" s="56"/>
      <c r="AF2611" s="56"/>
      <c r="AG2611" s="56"/>
      <c r="AH2611" s="56"/>
      <c r="AI2611" s="56"/>
      <c r="AJ2611" s="56"/>
      <c r="AK2611" s="56"/>
      <c r="AL2611" s="56"/>
      <c r="AM2611" s="56"/>
      <c r="AN2611" s="56"/>
      <c r="AO2611" s="56"/>
      <c r="AP2611" s="56"/>
      <c r="AQ2611" s="56"/>
      <c r="AR2611" s="56"/>
      <c r="AS2611" s="56"/>
      <c r="AT2611" s="56"/>
      <c r="AU2611" s="56"/>
      <c r="AV2611" s="56"/>
      <c r="AW2611" s="56"/>
      <c r="AX2611" s="56"/>
      <c r="AY2611" s="56"/>
      <c r="AZ2611" s="56"/>
      <c r="BA2611" s="56"/>
      <c r="BB2611" s="16"/>
      <c r="BC2611" s="56"/>
      <c r="BD2611" s="56"/>
      <c r="BE2611" s="56"/>
      <c r="BF2611" s="56"/>
      <c r="BG2611" s="56"/>
      <c r="BH2611" s="56"/>
      <c r="BI2611" s="56"/>
      <c r="BJ2611" s="56"/>
      <c r="BK2611" s="56"/>
      <c r="BL2611" s="56"/>
      <c r="BM2611" s="56"/>
      <c r="BN2611" s="56"/>
      <c r="BO2611" s="56"/>
      <c r="BP2611" s="56"/>
      <c r="BQ2611" s="56"/>
      <c r="BR2611" s="56"/>
      <c r="BS2611" s="56"/>
      <c r="BT2611" s="56"/>
      <c r="BU2611" s="56"/>
      <c r="BV2611" s="56"/>
      <c r="BW2611" s="56"/>
      <c r="BX2611" s="56"/>
      <c r="BY2611" s="56"/>
      <c r="BZ2611" s="56"/>
      <c r="CA2611" s="56"/>
      <c r="CB2611" s="56"/>
      <c r="CC2611" s="56"/>
      <c r="CD2611" s="56"/>
      <c r="CE2611" s="56"/>
      <c r="CF2611" s="56"/>
      <c r="CG2611" s="56"/>
      <c r="CH2611" s="56"/>
      <c r="CI2611" s="56"/>
      <c r="CJ2611" s="56"/>
      <c r="CK2611" s="56"/>
      <c r="CL2611" s="56"/>
      <c r="CM2611" s="56"/>
      <c r="CN2611" s="56"/>
      <c r="CO2611" s="56"/>
      <c r="CP2611" s="56"/>
      <c r="CQ2611" s="56"/>
      <c r="CR2611" s="56"/>
      <c r="CS2611" s="56"/>
      <c r="CT2611" s="56"/>
      <c r="CU2611" s="56"/>
      <c r="CV2611" s="56"/>
      <c r="CW2611" s="56"/>
      <c r="CX2611" s="56"/>
      <c r="CY2611" s="56"/>
      <c r="CZ2611" s="56"/>
    </row>
    <row r="2612" spans="27:104" s="5" customFormat="1" x14ac:dyDescent="0.25">
      <c r="AA2612" s="56"/>
      <c r="AB2612" s="56"/>
      <c r="AC2612" s="56"/>
      <c r="AD2612" s="56"/>
      <c r="AE2612" s="56"/>
      <c r="AF2612" s="56"/>
      <c r="AG2612" s="56"/>
      <c r="AH2612" s="56"/>
      <c r="AI2612" s="56"/>
      <c r="AJ2612" s="56"/>
      <c r="AK2612" s="56"/>
      <c r="AL2612" s="56"/>
      <c r="AM2612" s="56"/>
      <c r="AN2612" s="56"/>
      <c r="AO2612" s="56"/>
      <c r="AP2612" s="56"/>
      <c r="AQ2612" s="56"/>
      <c r="AR2612" s="56"/>
      <c r="AS2612" s="56"/>
      <c r="AT2612" s="56"/>
      <c r="AU2612" s="56"/>
      <c r="AV2612" s="56"/>
      <c r="AW2612" s="56"/>
      <c r="AX2612" s="56"/>
      <c r="AY2612" s="56"/>
      <c r="AZ2612" s="56"/>
      <c r="BA2612" s="56"/>
      <c r="BB2612" s="16"/>
      <c r="BC2612" s="56"/>
      <c r="BD2612" s="56"/>
      <c r="BE2612" s="56"/>
      <c r="BF2612" s="56"/>
      <c r="BG2612" s="56"/>
      <c r="BH2612" s="56"/>
      <c r="BI2612" s="56"/>
      <c r="BJ2612" s="56"/>
      <c r="BK2612" s="56"/>
      <c r="BL2612" s="56"/>
      <c r="BM2612" s="56"/>
      <c r="BN2612" s="56"/>
      <c r="BO2612" s="56"/>
      <c r="BP2612" s="56"/>
      <c r="BQ2612" s="56"/>
      <c r="BR2612" s="56"/>
      <c r="BS2612" s="56"/>
      <c r="BT2612" s="56"/>
      <c r="BU2612" s="56"/>
      <c r="BV2612" s="56"/>
      <c r="BW2612" s="56"/>
      <c r="BX2612" s="56"/>
      <c r="BY2612" s="56"/>
      <c r="BZ2612" s="56"/>
      <c r="CA2612" s="56"/>
      <c r="CB2612" s="56"/>
      <c r="CC2612" s="56"/>
      <c r="CD2612" s="56"/>
      <c r="CE2612" s="56"/>
      <c r="CF2612" s="56"/>
      <c r="CG2612" s="56"/>
      <c r="CH2612" s="56"/>
      <c r="CI2612" s="56"/>
      <c r="CJ2612" s="56"/>
      <c r="CK2612" s="56"/>
      <c r="CL2612" s="56"/>
      <c r="CM2612" s="56"/>
      <c r="CN2612" s="56"/>
      <c r="CO2612" s="56"/>
      <c r="CP2612" s="56"/>
      <c r="CQ2612" s="56"/>
      <c r="CR2612" s="56"/>
      <c r="CS2612" s="56"/>
      <c r="CT2612" s="56"/>
      <c r="CU2612" s="56"/>
      <c r="CV2612" s="56"/>
      <c r="CW2612" s="56"/>
      <c r="CX2612" s="56"/>
      <c r="CY2612" s="56"/>
      <c r="CZ2612" s="56"/>
    </row>
    <row r="2613" spans="27:104" s="5" customFormat="1" x14ac:dyDescent="0.25">
      <c r="AA2613" s="56"/>
      <c r="AB2613" s="56"/>
      <c r="AC2613" s="56"/>
      <c r="AD2613" s="56"/>
      <c r="AE2613" s="56"/>
      <c r="AF2613" s="56"/>
      <c r="AG2613" s="56"/>
      <c r="AH2613" s="56"/>
      <c r="AI2613" s="56"/>
      <c r="AJ2613" s="56"/>
      <c r="AK2613" s="56"/>
      <c r="AL2613" s="56"/>
      <c r="AM2613" s="56"/>
      <c r="AN2613" s="56"/>
      <c r="AO2613" s="56"/>
      <c r="AP2613" s="56"/>
      <c r="AQ2613" s="56"/>
      <c r="AR2613" s="56"/>
      <c r="AS2613" s="56"/>
      <c r="AT2613" s="56"/>
      <c r="AU2613" s="56"/>
      <c r="AV2613" s="56"/>
      <c r="AW2613" s="56"/>
      <c r="AX2613" s="56"/>
      <c r="AY2613" s="56"/>
      <c r="AZ2613" s="56"/>
      <c r="BA2613" s="56"/>
      <c r="BB2613" s="16"/>
      <c r="BC2613" s="56"/>
      <c r="BD2613" s="56"/>
      <c r="BE2613" s="56"/>
      <c r="BF2613" s="56"/>
      <c r="BG2613" s="56"/>
      <c r="BH2613" s="56"/>
      <c r="BI2613" s="56"/>
      <c r="BJ2613" s="56"/>
      <c r="BK2613" s="56"/>
      <c r="BL2613" s="56"/>
      <c r="BM2613" s="56"/>
      <c r="BN2613" s="56"/>
      <c r="BO2613" s="56"/>
      <c r="BP2613" s="56"/>
      <c r="BQ2613" s="56"/>
      <c r="BR2613" s="56"/>
      <c r="BS2613" s="56"/>
      <c r="BT2613" s="56"/>
      <c r="BU2613" s="56"/>
      <c r="BV2613" s="56"/>
      <c r="BW2613" s="56"/>
      <c r="BX2613" s="56"/>
      <c r="BY2613" s="56"/>
      <c r="BZ2613" s="56"/>
      <c r="CA2613" s="56"/>
      <c r="CB2613" s="56"/>
      <c r="CC2613" s="56"/>
      <c r="CD2613" s="56"/>
      <c r="CE2613" s="56"/>
      <c r="CF2613" s="56"/>
      <c r="CG2613" s="56"/>
      <c r="CH2613" s="56"/>
      <c r="CI2613" s="56"/>
      <c r="CJ2613" s="56"/>
      <c r="CK2613" s="56"/>
      <c r="CL2613" s="56"/>
      <c r="CM2613" s="56"/>
      <c r="CN2613" s="56"/>
      <c r="CO2613" s="56"/>
      <c r="CP2613" s="56"/>
      <c r="CQ2613" s="56"/>
      <c r="CR2613" s="56"/>
      <c r="CS2613" s="56"/>
      <c r="CT2613" s="56"/>
      <c r="CU2613" s="56"/>
      <c r="CV2613" s="56"/>
      <c r="CW2613" s="56"/>
      <c r="CX2613" s="56"/>
      <c r="CY2613" s="56"/>
      <c r="CZ2613" s="56"/>
    </row>
    <row r="2614" spans="27:104" s="5" customFormat="1" x14ac:dyDescent="0.25">
      <c r="AA2614" s="56"/>
      <c r="AB2614" s="56"/>
      <c r="AC2614" s="56"/>
      <c r="AD2614" s="56"/>
      <c r="AE2614" s="56"/>
      <c r="AF2614" s="56"/>
      <c r="AG2614" s="56"/>
      <c r="AH2614" s="56"/>
      <c r="AI2614" s="56"/>
      <c r="AJ2614" s="56"/>
      <c r="AK2614" s="56"/>
      <c r="AL2614" s="56"/>
      <c r="AM2614" s="56"/>
      <c r="AN2614" s="56"/>
      <c r="AO2614" s="56"/>
      <c r="AP2614" s="56"/>
      <c r="AQ2614" s="56"/>
      <c r="AR2614" s="56"/>
      <c r="AS2614" s="56"/>
      <c r="AT2614" s="56"/>
      <c r="AU2614" s="56"/>
      <c r="AV2614" s="56"/>
      <c r="AW2614" s="56"/>
      <c r="AX2614" s="56"/>
      <c r="AY2614" s="56"/>
      <c r="AZ2614" s="56"/>
      <c r="BA2614" s="56"/>
      <c r="BB2614" s="16"/>
      <c r="BC2614" s="56"/>
      <c r="BD2614" s="56"/>
      <c r="BE2614" s="56"/>
      <c r="BF2614" s="56"/>
      <c r="BG2614" s="56"/>
      <c r="BH2614" s="56"/>
      <c r="BI2614" s="56"/>
      <c r="BJ2614" s="56"/>
      <c r="BK2614" s="56"/>
      <c r="BL2614" s="56"/>
      <c r="BM2614" s="56"/>
      <c r="BN2614" s="56"/>
      <c r="BO2614" s="56"/>
      <c r="BP2614" s="56"/>
      <c r="BQ2614" s="56"/>
      <c r="BR2614" s="56"/>
      <c r="BS2614" s="56"/>
      <c r="BT2614" s="56"/>
      <c r="BU2614" s="56"/>
      <c r="BV2614" s="56"/>
      <c r="BW2614" s="56"/>
      <c r="BX2614" s="56"/>
      <c r="BY2614" s="56"/>
      <c r="BZ2614" s="56"/>
      <c r="CA2614" s="56"/>
      <c r="CB2614" s="56"/>
      <c r="CC2614" s="56"/>
      <c r="CD2614" s="56"/>
      <c r="CE2614" s="56"/>
      <c r="CF2614" s="56"/>
      <c r="CG2614" s="56"/>
      <c r="CH2614" s="56"/>
      <c r="CI2614" s="56"/>
      <c r="CJ2614" s="56"/>
      <c r="CK2614" s="56"/>
      <c r="CL2614" s="56"/>
      <c r="CM2614" s="56"/>
      <c r="CN2614" s="56"/>
      <c r="CO2614" s="56"/>
      <c r="CP2614" s="56"/>
      <c r="CQ2614" s="56"/>
      <c r="CR2614" s="56"/>
      <c r="CS2614" s="56"/>
      <c r="CT2614" s="56"/>
      <c r="CU2614" s="56"/>
      <c r="CV2614" s="56"/>
      <c r="CW2614" s="56"/>
      <c r="CX2614" s="56"/>
      <c r="CY2614" s="56"/>
      <c r="CZ2614" s="56"/>
    </row>
    <row r="2615" spans="27:104" s="5" customFormat="1" x14ac:dyDescent="0.25">
      <c r="AA2615" s="56"/>
      <c r="AB2615" s="56"/>
      <c r="AC2615" s="56"/>
      <c r="AD2615" s="56"/>
      <c r="AE2615" s="56"/>
      <c r="AF2615" s="56"/>
      <c r="AG2615" s="56"/>
      <c r="AH2615" s="56"/>
      <c r="AI2615" s="56"/>
      <c r="AJ2615" s="56"/>
      <c r="AK2615" s="56"/>
      <c r="AL2615" s="56"/>
      <c r="AM2615" s="56"/>
      <c r="AN2615" s="56"/>
      <c r="AO2615" s="56"/>
      <c r="AP2615" s="56"/>
      <c r="AQ2615" s="56"/>
      <c r="AR2615" s="56"/>
      <c r="AS2615" s="56"/>
      <c r="AT2615" s="56"/>
      <c r="AU2615" s="56"/>
      <c r="AV2615" s="56"/>
      <c r="AW2615" s="56"/>
      <c r="AX2615" s="56"/>
      <c r="AY2615" s="56"/>
      <c r="AZ2615" s="56"/>
      <c r="BA2615" s="56"/>
      <c r="BB2615" s="16"/>
      <c r="BC2615" s="56"/>
      <c r="BD2615" s="56"/>
      <c r="BE2615" s="56"/>
      <c r="BF2615" s="56"/>
      <c r="BG2615" s="56"/>
      <c r="BH2615" s="56"/>
      <c r="BI2615" s="56"/>
      <c r="BJ2615" s="56"/>
      <c r="BK2615" s="56"/>
      <c r="BL2615" s="56"/>
      <c r="BM2615" s="56"/>
      <c r="BN2615" s="56"/>
      <c r="BO2615" s="56"/>
      <c r="BP2615" s="56"/>
      <c r="BQ2615" s="56"/>
      <c r="BR2615" s="56"/>
      <c r="BS2615" s="56"/>
      <c r="BT2615" s="56"/>
      <c r="BU2615" s="56"/>
      <c r="BV2615" s="56"/>
      <c r="BW2615" s="56"/>
      <c r="BX2615" s="56"/>
      <c r="BY2615" s="56"/>
      <c r="BZ2615" s="56"/>
      <c r="CA2615" s="56"/>
      <c r="CB2615" s="56"/>
      <c r="CC2615" s="56"/>
      <c r="CD2615" s="56"/>
      <c r="CE2615" s="56"/>
      <c r="CF2615" s="56"/>
      <c r="CG2615" s="56"/>
      <c r="CH2615" s="56"/>
      <c r="CI2615" s="56"/>
      <c r="CJ2615" s="56"/>
      <c r="CK2615" s="56"/>
      <c r="CL2615" s="56"/>
      <c r="CM2615" s="56"/>
      <c r="CN2615" s="56"/>
      <c r="CO2615" s="56"/>
      <c r="CP2615" s="56"/>
      <c r="CQ2615" s="56"/>
      <c r="CR2615" s="56"/>
      <c r="CS2615" s="56"/>
      <c r="CT2615" s="56"/>
      <c r="CU2615" s="56"/>
      <c r="CV2615" s="56"/>
      <c r="CW2615" s="56"/>
      <c r="CX2615" s="56"/>
      <c r="CY2615" s="56"/>
      <c r="CZ2615" s="56"/>
    </row>
    <row r="2616" spans="27:104" s="5" customFormat="1" x14ac:dyDescent="0.25">
      <c r="AA2616" s="56"/>
      <c r="AB2616" s="56"/>
      <c r="AC2616" s="56"/>
      <c r="AD2616" s="56"/>
      <c r="AE2616" s="56"/>
      <c r="AF2616" s="56"/>
      <c r="AG2616" s="56"/>
      <c r="AH2616" s="56"/>
      <c r="AI2616" s="56"/>
      <c r="AJ2616" s="56"/>
      <c r="AK2616" s="56"/>
      <c r="AL2616" s="56"/>
      <c r="AM2616" s="56"/>
      <c r="AN2616" s="56"/>
      <c r="AO2616" s="56"/>
      <c r="AP2616" s="56"/>
      <c r="AQ2616" s="56"/>
      <c r="AR2616" s="56"/>
      <c r="AS2616" s="56"/>
      <c r="AT2616" s="56"/>
      <c r="AU2616" s="56"/>
      <c r="AV2616" s="56"/>
      <c r="AW2616" s="56"/>
      <c r="AX2616" s="56"/>
      <c r="AY2616" s="56"/>
      <c r="AZ2616" s="56"/>
      <c r="BA2616" s="56"/>
      <c r="BB2616" s="16"/>
      <c r="BC2616" s="56"/>
      <c r="BD2616" s="56"/>
      <c r="BE2616" s="56"/>
      <c r="BF2616" s="56"/>
      <c r="BG2616" s="56"/>
      <c r="BH2616" s="56"/>
      <c r="BI2616" s="56"/>
      <c r="BJ2616" s="56"/>
      <c r="BK2616" s="56"/>
      <c r="BL2616" s="56"/>
      <c r="BM2616" s="56"/>
      <c r="BN2616" s="56"/>
      <c r="BO2616" s="56"/>
      <c r="BP2616" s="56"/>
      <c r="BQ2616" s="56"/>
      <c r="BR2616" s="56"/>
      <c r="BS2616" s="56"/>
      <c r="BT2616" s="56"/>
      <c r="BU2616" s="56"/>
      <c r="BV2616" s="56"/>
      <c r="BW2616" s="56"/>
      <c r="BX2616" s="56"/>
      <c r="BY2616" s="56"/>
      <c r="BZ2616" s="56"/>
      <c r="CA2616" s="56"/>
      <c r="CB2616" s="56"/>
      <c r="CC2616" s="56"/>
      <c r="CD2616" s="56"/>
      <c r="CE2616" s="56"/>
      <c r="CF2616" s="56"/>
      <c r="CG2616" s="56"/>
      <c r="CH2616" s="56"/>
      <c r="CI2616" s="56"/>
      <c r="CJ2616" s="56"/>
      <c r="CK2616" s="56"/>
      <c r="CL2616" s="56"/>
      <c r="CM2616" s="56"/>
      <c r="CN2616" s="56"/>
      <c r="CO2616" s="56"/>
      <c r="CP2616" s="56"/>
      <c r="CQ2616" s="56"/>
      <c r="CR2616" s="56"/>
      <c r="CS2616" s="56"/>
      <c r="CT2616" s="56"/>
      <c r="CU2616" s="56"/>
      <c r="CV2616" s="56"/>
      <c r="CW2616" s="56"/>
      <c r="CX2616" s="56"/>
      <c r="CY2616" s="56"/>
      <c r="CZ2616" s="56"/>
    </row>
    <row r="2617" spans="27:104" s="5" customFormat="1" x14ac:dyDescent="0.25">
      <c r="AA2617" s="56"/>
      <c r="AB2617" s="56"/>
      <c r="AC2617" s="56"/>
      <c r="AD2617" s="56"/>
      <c r="AE2617" s="56"/>
      <c r="AF2617" s="56"/>
      <c r="AG2617" s="56"/>
      <c r="AH2617" s="56"/>
      <c r="AI2617" s="56"/>
      <c r="AJ2617" s="56"/>
      <c r="AK2617" s="56"/>
      <c r="AL2617" s="56"/>
      <c r="AM2617" s="56"/>
      <c r="AN2617" s="56"/>
      <c r="AO2617" s="56"/>
      <c r="AP2617" s="56"/>
      <c r="AQ2617" s="56"/>
      <c r="AR2617" s="56"/>
      <c r="AS2617" s="56"/>
      <c r="AT2617" s="56"/>
      <c r="AU2617" s="56"/>
      <c r="AV2617" s="56"/>
      <c r="AW2617" s="56"/>
      <c r="AX2617" s="56"/>
      <c r="AY2617" s="56"/>
      <c r="AZ2617" s="56"/>
      <c r="BA2617" s="56"/>
      <c r="BB2617" s="16"/>
      <c r="BC2617" s="56"/>
      <c r="BD2617" s="56"/>
      <c r="BE2617" s="56"/>
      <c r="BF2617" s="56"/>
      <c r="BG2617" s="56"/>
      <c r="BH2617" s="56"/>
      <c r="BI2617" s="56"/>
      <c r="BJ2617" s="56"/>
      <c r="BK2617" s="56"/>
      <c r="BL2617" s="56"/>
      <c r="BM2617" s="56"/>
      <c r="BN2617" s="56"/>
      <c r="BO2617" s="56"/>
      <c r="BP2617" s="56"/>
      <c r="BQ2617" s="56"/>
      <c r="BR2617" s="56"/>
      <c r="BS2617" s="56"/>
      <c r="BT2617" s="56"/>
      <c r="BU2617" s="56"/>
      <c r="BV2617" s="56"/>
      <c r="BW2617" s="56"/>
      <c r="BX2617" s="56"/>
      <c r="BY2617" s="56"/>
      <c r="BZ2617" s="56"/>
      <c r="CA2617" s="56"/>
      <c r="CB2617" s="56"/>
      <c r="CC2617" s="56"/>
      <c r="CD2617" s="56"/>
      <c r="CE2617" s="56"/>
      <c r="CF2617" s="56"/>
      <c r="CG2617" s="56"/>
      <c r="CH2617" s="56"/>
      <c r="CI2617" s="56"/>
      <c r="CJ2617" s="56"/>
      <c r="CK2617" s="56"/>
      <c r="CL2617" s="56"/>
      <c r="CM2617" s="56"/>
      <c r="CN2617" s="56"/>
      <c r="CO2617" s="56"/>
      <c r="CP2617" s="56"/>
      <c r="CQ2617" s="56"/>
      <c r="CR2617" s="56"/>
      <c r="CS2617" s="56"/>
      <c r="CT2617" s="56"/>
      <c r="CU2617" s="56"/>
      <c r="CV2617" s="56"/>
      <c r="CW2617" s="56"/>
      <c r="CX2617" s="56"/>
      <c r="CY2617" s="56"/>
      <c r="CZ2617" s="56"/>
    </row>
    <row r="2618" spans="27:104" s="5" customFormat="1" x14ac:dyDescent="0.25">
      <c r="AA2618" s="56"/>
      <c r="AB2618" s="56"/>
      <c r="AC2618" s="56"/>
      <c r="AD2618" s="56"/>
      <c r="AE2618" s="56"/>
      <c r="AF2618" s="56"/>
      <c r="AG2618" s="56"/>
      <c r="AH2618" s="56"/>
      <c r="AI2618" s="56"/>
      <c r="AJ2618" s="56"/>
      <c r="AK2618" s="56"/>
      <c r="AL2618" s="56"/>
      <c r="AM2618" s="56"/>
      <c r="AN2618" s="56"/>
      <c r="AO2618" s="56"/>
      <c r="AP2618" s="56"/>
      <c r="AQ2618" s="56"/>
      <c r="AR2618" s="56"/>
      <c r="AS2618" s="56"/>
      <c r="AT2618" s="56"/>
      <c r="AU2618" s="56"/>
      <c r="AV2618" s="56"/>
      <c r="AW2618" s="56"/>
      <c r="AX2618" s="56"/>
      <c r="AY2618" s="56"/>
      <c r="AZ2618" s="56"/>
      <c r="BA2618" s="56"/>
      <c r="BB2618" s="16"/>
      <c r="BC2618" s="56"/>
      <c r="BD2618" s="56"/>
      <c r="BE2618" s="56"/>
      <c r="BF2618" s="56"/>
      <c r="BG2618" s="56"/>
      <c r="BH2618" s="56"/>
      <c r="BI2618" s="56"/>
      <c r="BJ2618" s="56"/>
      <c r="BK2618" s="56"/>
      <c r="BL2618" s="56"/>
      <c r="BM2618" s="56"/>
      <c r="BN2618" s="56"/>
      <c r="BO2618" s="56"/>
      <c r="BP2618" s="56"/>
      <c r="BQ2618" s="56"/>
      <c r="BR2618" s="56"/>
      <c r="BS2618" s="56"/>
      <c r="BT2618" s="56"/>
      <c r="BU2618" s="56"/>
      <c r="BV2618" s="56"/>
      <c r="BW2618" s="56"/>
      <c r="BX2618" s="56"/>
      <c r="BY2618" s="56"/>
      <c r="BZ2618" s="56"/>
      <c r="CA2618" s="56"/>
      <c r="CB2618" s="56"/>
      <c r="CC2618" s="56"/>
      <c r="CD2618" s="56"/>
      <c r="CE2618" s="56"/>
      <c r="CF2618" s="56"/>
      <c r="CG2618" s="56"/>
      <c r="CH2618" s="56"/>
      <c r="CI2618" s="56"/>
      <c r="CJ2618" s="56"/>
      <c r="CK2618" s="56"/>
      <c r="CL2618" s="56"/>
      <c r="CM2618" s="56"/>
      <c r="CN2618" s="56"/>
      <c r="CO2618" s="56"/>
      <c r="CP2618" s="56"/>
      <c r="CQ2618" s="56"/>
      <c r="CR2618" s="56"/>
      <c r="CS2618" s="56"/>
      <c r="CT2618" s="56"/>
      <c r="CU2618" s="56"/>
      <c r="CV2618" s="56"/>
      <c r="CW2618" s="56"/>
      <c r="CX2618" s="56"/>
      <c r="CY2618" s="56"/>
      <c r="CZ2618" s="56"/>
    </row>
    <row r="2619" spans="27:104" s="5" customFormat="1" x14ac:dyDescent="0.25">
      <c r="AA2619" s="56"/>
      <c r="AB2619" s="56"/>
      <c r="AC2619" s="56"/>
      <c r="AD2619" s="56"/>
      <c r="AE2619" s="56"/>
      <c r="AF2619" s="56"/>
      <c r="AG2619" s="56"/>
      <c r="AH2619" s="56"/>
      <c r="AI2619" s="56"/>
      <c r="AJ2619" s="56"/>
      <c r="AK2619" s="56"/>
      <c r="AL2619" s="56"/>
      <c r="AM2619" s="56"/>
      <c r="AN2619" s="56"/>
      <c r="AO2619" s="56"/>
      <c r="AP2619" s="56"/>
      <c r="AQ2619" s="56"/>
      <c r="AR2619" s="56"/>
      <c r="AS2619" s="56"/>
      <c r="AT2619" s="56"/>
      <c r="AU2619" s="56"/>
      <c r="AV2619" s="56"/>
      <c r="AW2619" s="56"/>
      <c r="AX2619" s="56"/>
      <c r="AY2619" s="56"/>
      <c r="AZ2619" s="56"/>
      <c r="BA2619" s="56"/>
      <c r="BB2619" s="16"/>
      <c r="BC2619" s="56"/>
      <c r="BD2619" s="56"/>
      <c r="BE2619" s="56"/>
      <c r="BF2619" s="56"/>
      <c r="BG2619" s="56"/>
      <c r="BH2619" s="56"/>
      <c r="BI2619" s="56"/>
      <c r="BJ2619" s="56"/>
      <c r="BK2619" s="56"/>
      <c r="BL2619" s="56"/>
      <c r="BM2619" s="56"/>
      <c r="BN2619" s="56"/>
      <c r="BO2619" s="56"/>
      <c r="BP2619" s="56"/>
      <c r="BQ2619" s="56"/>
      <c r="BR2619" s="56"/>
      <c r="BS2619" s="56"/>
      <c r="BT2619" s="56"/>
      <c r="BU2619" s="56"/>
      <c r="BV2619" s="56"/>
      <c r="BW2619" s="56"/>
      <c r="BX2619" s="56"/>
      <c r="BY2619" s="56"/>
      <c r="BZ2619" s="56"/>
      <c r="CA2619" s="56"/>
      <c r="CB2619" s="56"/>
      <c r="CC2619" s="56"/>
      <c r="CD2619" s="56"/>
      <c r="CE2619" s="56"/>
      <c r="CF2619" s="56"/>
      <c r="CG2619" s="56"/>
      <c r="CH2619" s="56"/>
      <c r="CI2619" s="56"/>
      <c r="CJ2619" s="56"/>
      <c r="CK2619" s="56"/>
      <c r="CL2619" s="56"/>
      <c r="CM2619" s="56"/>
      <c r="CN2619" s="56"/>
      <c r="CO2619" s="56"/>
      <c r="CP2619" s="56"/>
      <c r="CQ2619" s="56"/>
      <c r="CR2619" s="56"/>
      <c r="CS2619" s="56"/>
      <c r="CT2619" s="56"/>
      <c r="CU2619" s="56"/>
      <c r="CV2619" s="56"/>
      <c r="CW2619" s="56"/>
      <c r="CX2619" s="56"/>
      <c r="CY2619" s="56"/>
      <c r="CZ2619" s="56"/>
    </row>
    <row r="2620" spans="27:104" s="5" customFormat="1" x14ac:dyDescent="0.25">
      <c r="AA2620" s="56"/>
      <c r="AB2620" s="56"/>
      <c r="AC2620" s="56"/>
      <c r="AD2620" s="56"/>
      <c r="AE2620" s="56"/>
      <c r="AF2620" s="56"/>
      <c r="AG2620" s="56"/>
      <c r="AH2620" s="56"/>
      <c r="AI2620" s="56"/>
      <c r="AJ2620" s="56"/>
      <c r="AK2620" s="56"/>
      <c r="AL2620" s="56"/>
      <c r="AM2620" s="56"/>
      <c r="AN2620" s="56"/>
      <c r="AO2620" s="56"/>
      <c r="AP2620" s="56"/>
      <c r="AQ2620" s="56"/>
      <c r="AR2620" s="56"/>
      <c r="AS2620" s="56"/>
      <c r="AT2620" s="56"/>
      <c r="AU2620" s="56"/>
      <c r="AV2620" s="56"/>
      <c r="AW2620" s="56"/>
      <c r="AX2620" s="56"/>
      <c r="AY2620" s="56"/>
      <c r="AZ2620" s="56"/>
      <c r="BA2620" s="56"/>
      <c r="BB2620" s="16"/>
      <c r="BC2620" s="56"/>
      <c r="BD2620" s="56"/>
      <c r="BE2620" s="56"/>
      <c r="BF2620" s="56"/>
      <c r="BG2620" s="56"/>
      <c r="BH2620" s="56"/>
      <c r="BI2620" s="56"/>
      <c r="BJ2620" s="56"/>
      <c r="BK2620" s="56"/>
      <c r="BL2620" s="56"/>
      <c r="BM2620" s="56"/>
      <c r="BN2620" s="56"/>
      <c r="BO2620" s="56"/>
      <c r="BP2620" s="56"/>
      <c r="BQ2620" s="56"/>
      <c r="BR2620" s="56"/>
      <c r="BS2620" s="56"/>
      <c r="BT2620" s="56"/>
      <c r="BU2620" s="56"/>
      <c r="BV2620" s="56"/>
      <c r="BW2620" s="56"/>
      <c r="BX2620" s="56"/>
      <c r="BY2620" s="56"/>
      <c r="BZ2620" s="56"/>
      <c r="CA2620" s="56"/>
      <c r="CB2620" s="56"/>
      <c r="CC2620" s="56"/>
      <c r="CD2620" s="56"/>
      <c r="CE2620" s="56"/>
      <c r="CF2620" s="56"/>
      <c r="CG2620" s="56"/>
      <c r="CH2620" s="56"/>
      <c r="CI2620" s="56"/>
      <c r="CJ2620" s="56"/>
      <c r="CK2620" s="56"/>
      <c r="CL2620" s="56"/>
      <c r="CM2620" s="56"/>
      <c r="CN2620" s="56"/>
      <c r="CO2620" s="56"/>
      <c r="CP2620" s="56"/>
      <c r="CQ2620" s="56"/>
      <c r="CR2620" s="56"/>
      <c r="CS2620" s="56"/>
      <c r="CT2620" s="56"/>
      <c r="CU2620" s="56"/>
      <c r="CV2620" s="56"/>
      <c r="CW2620" s="56"/>
      <c r="CX2620" s="56"/>
      <c r="CY2620" s="56"/>
      <c r="CZ2620" s="56"/>
    </row>
    <row r="2621" spans="27:104" s="5" customFormat="1" x14ac:dyDescent="0.25">
      <c r="AA2621" s="56"/>
      <c r="AB2621" s="56"/>
      <c r="AC2621" s="56"/>
      <c r="AD2621" s="56"/>
      <c r="AE2621" s="56"/>
      <c r="AF2621" s="56"/>
      <c r="AG2621" s="56"/>
      <c r="AH2621" s="56"/>
      <c r="AI2621" s="56"/>
      <c r="AJ2621" s="56"/>
      <c r="AK2621" s="56"/>
      <c r="AL2621" s="56"/>
      <c r="AM2621" s="56"/>
      <c r="AN2621" s="56"/>
      <c r="AO2621" s="56"/>
      <c r="AP2621" s="56"/>
      <c r="AQ2621" s="56"/>
      <c r="AR2621" s="56"/>
      <c r="AS2621" s="56"/>
      <c r="AT2621" s="56"/>
      <c r="AU2621" s="56"/>
      <c r="AV2621" s="56"/>
      <c r="AW2621" s="56"/>
      <c r="AX2621" s="56"/>
      <c r="AY2621" s="56"/>
      <c r="AZ2621" s="56"/>
      <c r="BA2621" s="56"/>
      <c r="BB2621" s="16"/>
      <c r="BC2621" s="56"/>
      <c r="BD2621" s="56"/>
      <c r="BE2621" s="56"/>
      <c r="BF2621" s="56"/>
      <c r="BG2621" s="56"/>
      <c r="BH2621" s="56"/>
      <c r="BI2621" s="56"/>
      <c r="BJ2621" s="56"/>
      <c r="BK2621" s="56"/>
      <c r="BL2621" s="56"/>
      <c r="BM2621" s="56"/>
      <c r="BN2621" s="56"/>
      <c r="BO2621" s="56"/>
      <c r="BP2621" s="56"/>
      <c r="BQ2621" s="56"/>
      <c r="BR2621" s="56"/>
      <c r="BS2621" s="56"/>
      <c r="BT2621" s="56"/>
      <c r="BU2621" s="56"/>
      <c r="BV2621" s="56"/>
      <c r="BW2621" s="56"/>
      <c r="BX2621" s="56"/>
      <c r="BY2621" s="56"/>
      <c r="BZ2621" s="56"/>
      <c r="CA2621" s="56"/>
      <c r="CB2621" s="56"/>
      <c r="CC2621" s="56"/>
      <c r="CD2621" s="56"/>
      <c r="CE2621" s="56"/>
      <c r="CF2621" s="56"/>
      <c r="CG2621" s="56"/>
      <c r="CH2621" s="56"/>
      <c r="CI2621" s="56"/>
      <c r="CJ2621" s="56"/>
      <c r="CK2621" s="56"/>
      <c r="CL2621" s="56"/>
      <c r="CM2621" s="56"/>
      <c r="CN2621" s="56"/>
      <c r="CO2621" s="56"/>
      <c r="CP2621" s="56"/>
      <c r="CQ2621" s="56"/>
      <c r="CR2621" s="56"/>
      <c r="CS2621" s="56"/>
      <c r="CT2621" s="56"/>
      <c r="CU2621" s="56"/>
      <c r="CV2621" s="56"/>
      <c r="CW2621" s="56"/>
      <c r="CX2621" s="56"/>
      <c r="CY2621" s="56"/>
      <c r="CZ2621" s="56"/>
    </row>
    <row r="2622" spans="27:104" s="5" customFormat="1" x14ac:dyDescent="0.25">
      <c r="AA2622" s="56"/>
      <c r="AB2622" s="56"/>
      <c r="AC2622" s="56"/>
      <c r="AD2622" s="56"/>
      <c r="AE2622" s="56"/>
      <c r="AF2622" s="56"/>
      <c r="AG2622" s="56"/>
      <c r="AH2622" s="56"/>
      <c r="AI2622" s="56"/>
      <c r="AJ2622" s="56"/>
      <c r="AK2622" s="56"/>
      <c r="AL2622" s="56"/>
      <c r="AM2622" s="56"/>
      <c r="AN2622" s="56"/>
      <c r="AO2622" s="56"/>
      <c r="AP2622" s="56"/>
      <c r="AQ2622" s="56"/>
      <c r="AR2622" s="56"/>
      <c r="AS2622" s="56"/>
      <c r="AT2622" s="56"/>
      <c r="AU2622" s="56"/>
      <c r="AV2622" s="56"/>
      <c r="AW2622" s="56"/>
      <c r="AX2622" s="56"/>
      <c r="AY2622" s="56"/>
      <c r="AZ2622" s="56"/>
      <c r="BA2622" s="56"/>
      <c r="BB2622" s="16"/>
      <c r="BC2622" s="56"/>
      <c r="BD2622" s="56"/>
      <c r="BE2622" s="56"/>
      <c r="BF2622" s="56"/>
      <c r="BG2622" s="56"/>
      <c r="BH2622" s="56"/>
      <c r="BI2622" s="56"/>
      <c r="BJ2622" s="56"/>
      <c r="BK2622" s="56"/>
      <c r="BL2622" s="56"/>
      <c r="BM2622" s="56"/>
      <c r="BN2622" s="56"/>
      <c r="BO2622" s="56"/>
      <c r="BP2622" s="56"/>
      <c r="BQ2622" s="56"/>
      <c r="BR2622" s="56"/>
      <c r="BS2622" s="56"/>
      <c r="BT2622" s="56"/>
      <c r="BU2622" s="56"/>
      <c r="BV2622" s="56"/>
      <c r="BW2622" s="56"/>
      <c r="BX2622" s="56"/>
      <c r="BY2622" s="56"/>
      <c r="BZ2622" s="56"/>
      <c r="CA2622" s="56"/>
      <c r="CB2622" s="56"/>
      <c r="CC2622" s="56"/>
      <c r="CD2622" s="56"/>
      <c r="CE2622" s="56"/>
      <c r="CF2622" s="56"/>
      <c r="CG2622" s="56"/>
      <c r="CH2622" s="56"/>
      <c r="CI2622" s="56"/>
      <c r="CJ2622" s="56"/>
      <c r="CK2622" s="56"/>
      <c r="CL2622" s="56"/>
      <c r="CM2622" s="56"/>
      <c r="CN2622" s="56"/>
      <c r="CO2622" s="56"/>
      <c r="CP2622" s="56"/>
      <c r="CQ2622" s="56"/>
      <c r="CR2622" s="56"/>
      <c r="CS2622" s="56"/>
      <c r="CT2622" s="56"/>
      <c r="CU2622" s="56"/>
      <c r="CV2622" s="56"/>
      <c r="CW2622" s="56"/>
      <c r="CX2622" s="56"/>
      <c r="CY2622" s="56"/>
      <c r="CZ2622" s="56"/>
    </row>
    <row r="2623" spans="27:104" s="5" customFormat="1" x14ac:dyDescent="0.25">
      <c r="AA2623" s="56"/>
      <c r="AB2623" s="56"/>
      <c r="AC2623" s="56"/>
      <c r="AD2623" s="56"/>
      <c r="AE2623" s="56"/>
      <c r="AF2623" s="56"/>
      <c r="AG2623" s="56"/>
      <c r="AH2623" s="56"/>
      <c r="AI2623" s="56"/>
      <c r="AJ2623" s="56"/>
      <c r="AK2623" s="56"/>
      <c r="AL2623" s="56"/>
      <c r="AM2623" s="56"/>
      <c r="AN2623" s="56"/>
      <c r="AO2623" s="56"/>
      <c r="AP2623" s="56"/>
      <c r="AQ2623" s="56"/>
      <c r="AR2623" s="56"/>
      <c r="AS2623" s="56"/>
      <c r="AT2623" s="56"/>
      <c r="AU2623" s="56"/>
      <c r="AV2623" s="56"/>
      <c r="AW2623" s="56"/>
      <c r="AX2623" s="56"/>
      <c r="AY2623" s="56"/>
      <c r="AZ2623" s="56"/>
      <c r="BA2623" s="56"/>
      <c r="BB2623" s="16"/>
      <c r="BC2623" s="56"/>
      <c r="BD2623" s="56"/>
      <c r="BE2623" s="56"/>
      <c r="BF2623" s="56"/>
      <c r="BG2623" s="56"/>
      <c r="BH2623" s="56"/>
      <c r="BI2623" s="56"/>
      <c r="BJ2623" s="56"/>
      <c r="BK2623" s="56"/>
      <c r="BL2623" s="56"/>
      <c r="BM2623" s="56"/>
      <c r="BN2623" s="56"/>
      <c r="BO2623" s="56"/>
      <c r="BP2623" s="56"/>
      <c r="BQ2623" s="56"/>
      <c r="BR2623" s="56"/>
      <c r="BS2623" s="56"/>
      <c r="BT2623" s="56"/>
      <c r="BU2623" s="56"/>
      <c r="BV2623" s="56"/>
      <c r="BW2623" s="56"/>
      <c r="BX2623" s="56"/>
      <c r="BY2623" s="56"/>
      <c r="BZ2623" s="56"/>
      <c r="CA2623" s="56"/>
      <c r="CB2623" s="56"/>
      <c r="CC2623" s="56"/>
      <c r="CD2623" s="56"/>
      <c r="CE2623" s="56"/>
      <c r="CF2623" s="56"/>
      <c r="CG2623" s="56"/>
      <c r="CH2623" s="56"/>
      <c r="CI2623" s="56"/>
      <c r="CJ2623" s="56"/>
      <c r="CK2623" s="56"/>
      <c r="CL2623" s="56"/>
      <c r="CM2623" s="56"/>
      <c r="CN2623" s="56"/>
      <c r="CO2623" s="56"/>
      <c r="CP2623" s="56"/>
      <c r="CQ2623" s="56"/>
      <c r="CR2623" s="56"/>
      <c r="CS2623" s="56"/>
      <c r="CT2623" s="56"/>
      <c r="CU2623" s="56"/>
      <c r="CV2623" s="56"/>
      <c r="CW2623" s="56"/>
      <c r="CX2623" s="56"/>
      <c r="CY2623" s="56"/>
      <c r="CZ2623" s="56"/>
    </row>
    <row r="2624" spans="27:104" s="5" customFormat="1" x14ac:dyDescent="0.25">
      <c r="AA2624" s="56"/>
      <c r="AB2624" s="56"/>
      <c r="AC2624" s="56"/>
      <c r="AD2624" s="56"/>
      <c r="AE2624" s="56"/>
      <c r="AF2624" s="56"/>
      <c r="AG2624" s="56"/>
      <c r="AH2624" s="56"/>
      <c r="AI2624" s="56"/>
      <c r="AJ2624" s="56"/>
      <c r="AK2624" s="56"/>
      <c r="AL2624" s="56"/>
      <c r="AM2624" s="56"/>
      <c r="AN2624" s="56"/>
      <c r="AO2624" s="56"/>
      <c r="AP2624" s="56"/>
      <c r="AQ2624" s="56"/>
      <c r="AR2624" s="56"/>
      <c r="AS2624" s="56"/>
      <c r="AT2624" s="56"/>
      <c r="AU2624" s="56"/>
      <c r="AV2624" s="56"/>
      <c r="AW2624" s="56"/>
      <c r="AX2624" s="56"/>
      <c r="AY2624" s="56"/>
      <c r="AZ2624" s="56"/>
      <c r="BA2624" s="56"/>
      <c r="BB2624" s="16"/>
      <c r="BC2624" s="56"/>
      <c r="BD2624" s="56"/>
      <c r="BE2624" s="56"/>
      <c r="BF2624" s="56"/>
      <c r="BG2624" s="56"/>
      <c r="BH2624" s="56"/>
      <c r="BI2624" s="56"/>
      <c r="BJ2624" s="56"/>
      <c r="BK2624" s="56"/>
      <c r="BL2624" s="56"/>
      <c r="BM2624" s="56"/>
      <c r="BN2624" s="56"/>
      <c r="BO2624" s="56"/>
      <c r="BP2624" s="56"/>
      <c r="BQ2624" s="56"/>
      <c r="BR2624" s="56"/>
      <c r="BS2624" s="56"/>
      <c r="BT2624" s="56"/>
      <c r="BU2624" s="56"/>
      <c r="BV2624" s="56"/>
      <c r="BW2624" s="56"/>
      <c r="BX2624" s="56"/>
      <c r="BY2624" s="56"/>
      <c r="BZ2624" s="56"/>
      <c r="CA2624" s="56"/>
      <c r="CB2624" s="56"/>
      <c r="CC2624" s="56"/>
      <c r="CD2624" s="56"/>
      <c r="CE2624" s="56"/>
      <c r="CF2624" s="56"/>
      <c r="CG2624" s="56"/>
      <c r="CH2624" s="56"/>
      <c r="CI2624" s="56"/>
      <c r="CJ2624" s="56"/>
      <c r="CK2624" s="56"/>
      <c r="CL2624" s="56"/>
      <c r="CM2624" s="56"/>
      <c r="CN2624" s="56"/>
      <c r="CO2624" s="56"/>
      <c r="CP2624" s="56"/>
      <c r="CQ2624" s="56"/>
      <c r="CR2624" s="56"/>
      <c r="CS2624" s="56"/>
      <c r="CT2624" s="56"/>
      <c r="CU2624" s="56"/>
      <c r="CV2624" s="56"/>
      <c r="CW2624" s="56"/>
      <c r="CX2624" s="56"/>
      <c r="CY2624" s="56"/>
      <c r="CZ2624" s="56"/>
    </row>
    <row r="2625" spans="27:104" s="5" customFormat="1" x14ac:dyDescent="0.25">
      <c r="AA2625" s="56"/>
      <c r="AB2625" s="56"/>
      <c r="AC2625" s="56"/>
      <c r="AD2625" s="56"/>
      <c r="AE2625" s="56"/>
      <c r="AF2625" s="56"/>
      <c r="AG2625" s="56"/>
      <c r="AH2625" s="56"/>
      <c r="AI2625" s="56"/>
      <c r="AJ2625" s="56"/>
      <c r="AK2625" s="56"/>
      <c r="AL2625" s="56"/>
      <c r="AM2625" s="56"/>
      <c r="AN2625" s="56"/>
      <c r="AO2625" s="56"/>
      <c r="AP2625" s="56"/>
      <c r="AQ2625" s="56"/>
      <c r="AR2625" s="56"/>
      <c r="AS2625" s="56"/>
      <c r="AT2625" s="56"/>
      <c r="AU2625" s="56"/>
      <c r="AV2625" s="56"/>
      <c r="AW2625" s="56"/>
      <c r="AX2625" s="56"/>
      <c r="AY2625" s="56"/>
      <c r="AZ2625" s="56"/>
      <c r="BA2625" s="56"/>
      <c r="BB2625" s="16"/>
      <c r="BC2625" s="56"/>
      <c r="BD2625" s="56"/>
      <c r="BE2625" s="56"/>
      <c r="BF2625" s="56"/>
      <c r="BG2625" s="56"/>
      <c r="BH2625" s="56"/>
      <c r="BI2625" s="56"/>
      <c r="BJ2625" s="56"/>
      <c r="BK2625" s="56"/>
      <c r="BL2625" s="56"/>
      <c r="BM2625" s="56"/>
      <c r="BN2625" s="56"/>
      <c r="BO2625" s="56"/>
      <c r="BP2625" s="56"/>
      <c r="BQ2625" s="56"/>
      <c r="BR2625" s="56"/>
      <c r="BS2625" s="56"/>
      <c r="BT2625" s="56"/>
      <c r="BU2625" s="56"/>
      <c r="BV2625" s="56"/>
      <c r="BW2625" s="56"/>
      <c r="BX2625" s="56"/>
      <c r="BY2625" s="56"/>
      <c r="BZ2625" s="56"/>
      <c r="CA2625" s="56"/>
      <c r="CB2625" s="56"/>
      <c r="CC2625" s="56"/>
      <c r="CD2625" s="56"/>
      <c r="CE2625" s="56"/>
      <c r="CF2625" s="56"/>
      <c r="CG2625" s="56"/>
      <c r="CH2625" s="56"/>
      <c r="CI2625" s="56"/>
      <c r="CJ2625" s="56"/>
      <c r="CK2625" s="56"/>
      <c r="CL2625" s="56"/>
      <c r="CM2625" s="56"/>
      <c r="CN2625" s="56"/>
      <c r="CO2625" s="56"/>
      <c r="CP2625" s="56"/>
      <c r="CQ2625" s="56"/>
      <c r="CR2625" s="56"/>
      <c r="CS2625" s="56"/>
      <c r="CT2625" s="56"/>
      <c r="CU2625" s="56"/>
      <c r="CV2625" s="56"/>
      <c r="CW2625" s="56"/>
      <c r="CX2625" s="56"/>
      <c r="CY2625" s="56"/>
      <c r="CZ2625" s="56"/>
    </row>
    <row r="2626" spans="27:104" s="5" customFormat="1" x14ac:dyDescent="0.25">
      <c r="AA2626" s="56"/>
      <c r="AB2626" s="56"/>
      <c r="AC2626" s="56"/>
      <c r="AD2626" s="56"/>
      <c r="AE2626" s="56"/>
      <c r="AF2626" s="56"/>
      <c r="AG2626" s="56"/>
      <c r="AH2626" s="56"/>
      <c r="AI2626" s="56"/>
      <c r="AJ2626" s="56"/>
      <c r="AK2626" s="56"/>
      <c r="AL2626" s="56"/>
      <c r="AM2626" s="56"/>
      <c r="AN2626" s="56"/>
      <c r="AO2626" s="56"/>
      <c r="AP2626" s="56"/>
      <c r="AQ2626" s="56"/>
      <c r="AR2626" s="56"/>
      <c r="AS2626" s="56"/>
      <c r="AT2626" s="56"/>
      <c r="AU2626" s="56"/>
      <c r="AV2626" s="56"/>
      <c r="AW2626" s="56"/>
      <c r="AX2626" s="56"/>
      <c r="AY2626" s="56"/>
      <c r="AZ2626" s="56"/>
      <c r="BA2626" s="56"/>
      <c r="BB2626" s="16"/>
      <c r="BC2626" s="56"/>
      <c r="BD2626" s="56"/>
      <c r="BE2626" s="56"/>
      <c r="BF2626" s="56"/>
      <c r="BG2626" s="56"/>
      <c r="BH2626" s="56"/>
      <c r="BI2626" s="56"/>
      <c r="BJ2626" s="56"/>
      <c r="BK2626" s="56"/>
      <c r="BL2626" s="56"/>
      <c r="BM2626" s="56"/>
      <c r="BN2626" s="56"/>
      <c r="BO2626" s="56"/>
      <c r="BP2626" s="56"/>
      <c r="BQ2626" s="56"/>
      <c r="BR2626" s="56"/>
      <c r="BS2626" s="56"/>
      <c r="BT2626" s="56"/>
      <c r="BU2626" s="56"/>
      <c r="BV2626" s="56"/>
      <c r="BW2626" s="56"/>
      <c r="BX2626" s="56"/>
      <c r="BY2626" s="56"/>
      <c r="BZ2626" s="56"/>
      <c r="CA2626" s="56"/>
      <c r="CB2626" s="56"/>
      <c r="CC2626" s="56"/>
      <c r="CD2626" s="56"/>
      <c r="CE2626" s="56"/>
      <c r="CF2626" s="56"/>
      <c r="CG2626" s="56"/>
      <c r="CH2626" s="56"/>
      <c r="CI2626" s="56"/>
      <c r="CJ2626" s="56"/>
      <c r="CK2626" s="56"/>
      <c r="CL2626" s="56"/>
      <c r="CM2626" s="56"/>
      <c r="CN2626" s="56"/>
      <c r="CO2626" s="56"/>
      <c r="CP2626" s="56"/>
      <c r="CQ2626" s="56"/>
      <c r="CR2626" s="56"/>
      <c r="CS2626" s="56"/>
      <c r="CT2626" s="56"/>
      <c r="CU2626" s="56"/>
      <c r="CV2626" s="56"/>
      <c r="CW2626" s="56"/>
      <c r="CX2626" s="56"/>
      <c r="CY2626" s="56"/>
      <c r="CZ2626" s="56"/>
    </row>
    <row r="2627" spans="27:104" s="5" customFormat="1" x14ac:dyDescent="0.25">
      <c r="AA2627" s="56"/>
      <c r="AB2627" s="56"/>
      <c r="AC2627" s="56"/>
      <c r="AD2627" s="56"/>
      <c r="AE2627" s="56"/>
      <c r="AF2627" s="56"/>
      <c r="AG2627" s="56"/>
      <c r="AH2627" s="56"/>
      <c r="AI2627" s="56"/>
      <c r="AJ2627" s="56"/>
      <c r="AK2627" s="56"/>
      <c r="AL2627" s="56"/>
      <c r="AM2627" s="56"/>
      <c r="AN2627" s="56"/>
      <c r="AO2627" s="56"/>
      <c r="AP2627" s="56"/>
      <c r="AQ2627" s="56"/>
      <c r="AR2627" s="56"/>
      <c r="AS2627" s="56"/>
      <c r="AT2627" s="56"/>
      <c r="AU2627" s="56"/>
      <c r="AV2627" s="56"/>
      <c r="AW2627" s="56"/>
      <c r="AX2627" s="56"/>
      <c r="AY2627" s="56"/>
      <c r="AZ2627" s="56"/>
      <c r="BA2627" s="56"/>
      <c r="BB2627" s="16"/>
      <c r="BC2627" s="56"/>
      <c r="BD2627" s="56"/>
      <c r="BE2627" s="56"/>
      <c r="BF2627" s="56"/>
      <c r="BG2627" s="56"/>
      <c r="BH2627" s="56"/>
      <c r="BI2627" s="56"/>
      <c r="BJ2627" s="56"/>
      <c r="BK2627" s="56"/>
      <c r="BL2627" s="56"/>
      <c r="BM2627" s="56"/>
      <c r="BN2627" s="56"/>
      <c r="BO2627" s="56"/>
      <c r="BP2627" s="56"/>
      <c r="BQ2627" s="56"/>
      <c r="BR2627" s="56"/>
      <c r="BS2627" s="56"/>
      <c r="BT2627" s="56"/>
      <c r="BU2627" s="56"/>
      <c r="BV2627" s="56"/>
      <c r="BW2627" s="56"/>
      <c r="BX2627" s="56"/>
      <c r="BY2627" s="56"/>
      <c r="BZ2627" s="56"/>
      <c r="CA2627" s="56"/>
      <c r="CB2627" s="56"/>
      <c r="CC2627" s="56"/>
      <c r="CD2627" s="56"/>
      <c r="CE2627" s="56"/>
      <c r="CF2627" s="56"/>
      <c r="CG2627" s="56"/>
      <c r="CH2627" s="56"/>
      <c r="CI2627" s="56"/>
      <c r="CJ2627" s="56"/>
      <c r="CK2627" s="56"/>
      <c r="CL2627" s="56"/>
      <c r="CM2627" s="56"/>
      <c r="CN2627" s="56"/>
      <c r="CO2627" s="56"/>
      <c r="CP2627" s="56"/>
      <c r="CQ2627" s="56"/>
      <c r="CR2627" s="56"/>
      <c r="CS2627" s="56"/>
      <c r="CT2627" s="56"/>
      <c r="CU2627" s="56"/>
      <c r="CV2627" s="56"/>
      <c r="CW2627" s="56"/>
      <c r="CX2627" s="56"/>
      <c r="CY2627" s="56"/>
      <c r="CZ2627" s="56"/>
    </row>
    <row r="2628" spans="27:104" s="5" customFormat="1" x14ac:dyDescent="0.25">
      <c r="AA2628" s="56"/>
      <c r="AB2628" s="56"/>
      <c r="AC2628" s="56"/>
      <c r="AD2628" s="56"/>
      <c r="AE2628" s="56"/>
      <c r="AF2628" s="56"/>
      <c r="AG2628" s="56"/>
      <c r="AH2628" s="56"/>
      <c r="AI2628" s="56"/>
      <c r="AJ2628" s="56"/>
      <c r="AK2628" s="56"/>
      <c r="AL2628" s="56"/>
      <c r="AM2628" s="56"/>
      <c r="AN2628" s="56"/>
      <c r="AO2628" s="56"/>
      <c r="AP2628" s="56"/>
      <c r="AQ2628" s="56"/>
      <c r="AR2628" s="56"/>
      <c r="AS2628" s="56"/>
      <c r="AT2628" s="56"/>
      <c r="AU2628" s="56"/>
      <c r="AV2628" s="56"/>
      <c r="AW2628" s="56"/>
      <c r="AX2628" s="56"/>
      <c r="AY2628" s="56"/>
      <c r="AZ2628" s="56"/>
      <c r="BA2628" s="56"/>
      <c r="BB2628" s="16"/>
      <c r="BC2628" s="56"/>
      <c r="BD2628" s="56"/>
      <c r="BE2628" s="56"/>
      <c r="BF2628" s="56"/>
      <c r="BG2628" s="56"/>
      <c r="BH2628" s="56"/>
      <c r="BI2628" s="56"/>
      <c r="BJ2628" s="56"/>
      <c r="BK2628" s="56"/>
      <c r="BL2628" s="56"/>
      <c r="BM2628" s="56"/>
      <c r="BN2628" s="56"/>
      <c r="BO2628" s="56"/>
      <c r="BP2628" s="56"/>
      <c r="BQ2628" s="56"/>
      <c r="BR2628" s="56"/>
      <c r="BS2628" s="56"/>
      <c r="BT2628" s="56"/>
      <c r="BU2628" s="56"/>
      <c r="BV2628" s="56"/>
      <c r="BW2628" s="56"/>
      <c r="BX2628" s="56"/>
      <c r="BY2628" s="56"/>
      <c r="BZ2628" s="56"/>
      <c r="CA2628" s="56"/>
      <c r="CB2628" s="56"/>
      <c r="CC2628" s="56"/>
      <c r="CD2628" s="56"/>
      <c r="CE2628" s="56"/>
      <c r="CF2628" s="56"/>
      <c r="CG2628" s="56"/>
      <c r="CH2628" s="56"/>
      <c r="CI2628" s="56"/>
      <c r="CJ2628" s="56"/>
      <c r="CK2628" s="56"/>
      <c r="CL2628" s="56"/>
      <c r="CM2628" s="56"/>
      <c r="CN2628" s="56"/>
      <c r="CO2628" s="56"/>
      <c r="CP2628" s="56"/>
      <c r="CQ2628" s="56"/>
      <c r="CR2628" s="56"/>
      <c r="CS2628" s="56"/>
      <c r="CT2628" s="56"/>
      <c r="CU2628" s="56"/>
      <c r="CV2628" s="56"/>
      <c r="CW2628" s="56"/>
      <c r="CX2628" s="56"/>
      <c r="CY2628" s="56"/>
      <c r="CZ2628" s="56"/>
    </row>
    <row r="2629" spans="27:104" s="5" customFormat="1" x14ac:dyDescent="0.25">
      <c r="AA2629" s="56"/>
      <c r="AB2629" s="56"/>
      <c r="AC2629" s="56"/>
      <c r="AD2629" s="56"/>
      <c r="AE2629" s="56"/>
      <c r="AF2629" s="56"/>
      <c r="AG2629" s="56"/>
      <c r="AH2629" s="56"/>
      <c r="AI2629" s="56"/>
      <c r="AJ2629" s="56"/>
      <c r="AK2629" s="56"/>
      <c r="AL2629" s="56"/>
      <c r="AM2629" s="56"/>
      <c r="AN2629" s="56"/>
      <c r="AO2629" s="56"/>
      <c r="AP2629" s="56"/>
      <c r="AQ2629" s="56"/>
      <c r="AR2629" s="56"/>
      <c r="AS2629" s="56"/>
      <c r="AT2629" s="56"/>
      <c r="AU2629" s="56"/>
      <c r="AV2629" s="56"/>
      <c r="AW2629" s="56"/>
      <c r="AX2629" s="56"/>
      <c r="AY2629" s="56"/>
      <c r="AZ2629" s="56"/>
      <c r="BA2629" s="56"/>
      <c r="BB2629" s="16"/>
      <c r="BC2629" s="56"/>
      <c r="BD2629" s="56"/>
      <c r="BE2629" s="56"/>
      <c r="BF2629" s="56"/>
      <c r="BG2629" s="56"/>
      <c r="BH2629" s="56"/>
      <c r="BI2629" s="56"/>
      <c r="BJ2629" s="56"/>
      <c r="BK2629" s="56"/>
      <c r="BL2629" s="56"/>
      <c r="BM2629" s="56"/>
      <c r="BN2629" s="56"/>
      <c r="BO2629" s="56"/>
      <c r="BP2629" s="56"/>
      <c r="BQ2629" s="56"/>
      <c r="BR2629" s="56"/>
      <c r="BS2629" s="56"/>
      <c r="BT2629" s="56"/>
      <c r="BU2629" s="56"/>
      <c r="BV2629" s="56"/>
      <c r="BW2629" s="56"/>
      <c r="BX2629" s="56"/>
      <c r="BY2629" s="56"/>
      <c r="BZ2629" s="56"/>
      <c r="CA2629" s="56"/>
      <c r="CB2629" s="56"/>
      <c r="CC2629" s="56"/>
      <c r="CD2629" s="56"/>
      <c r="CE2629" s="56"/>
      <c r="CF2629" s="56"/>
      <c r="CG2629" s="56"/>
      <c r="CH2629" s="56"/>
      <c r="CI2629" s="56"/>
      <c r="CJ2629" s="56"/>
      <c r="CK2629" s="56"/>
      <c r="CL2629" s="56"/>
      <c r="CM2629" s="56"/>
      <c r="CN2629" s="56"/>
      <c r="CO2629" s="56"/>
      <c r="CP2629" s="56"/>
      <c r="CQ2629" s="56"/>
      <c r="CR2629" s="56"/>
      <c r="CS2629" s="56"/>
      <c r="CT2629" s="56"/>
      <c r="CU2629" s="56"/>
      <c r="CV2629" s="56"/>
      <c r="CW2629" s="56"/>
      <c r="CX2629" s="56"/>
      <c r="CY2629" s="56"/>
      <c r="CZ2629" s="56"/>
    </row>
    <row r="2630" spans="27:104" s="5" customFormat="1" x14ac:dyDescent="0.25">
      <c r="AA2630" s="56"/>
      <c r="AB2630" s="56"/>
      <c r="AC2630" s="56"/>
      <c r="AD2630" s="56"/>
      <c r="AE2630" s="56"/>
      <c r="AF2630" s="56"/>
      <c r="AG2630" s="56"/>
      <c r="AH2630" s="56"/>
      <c r="AI2630" s="56"/>
      <c r="AJ2630" s="56"/>
      <c r="AK2630" s="56"/>
      <c r="AL2630" s="56"/>
      <c r="AM2630" s="56"/>
      <c r="AN2630" s="56"/>
      <c r="AO2630" s="56"/>
      <c r="AP2630" s="56"/>
      <c r="AQ2630" s="56"/>
      <c r="AR2630" s="56"/>
      <c r="AS2630" s="56"/>
      <c r="AT2630" s="56"/>
      <c r="AU2630" s="56"/>
      <c r="AV2630" s="56"/>
      <c r="AW2630" s="56"/>
      <c r="AX2630" s="56"/>
      <c r="AY2630" s="56"/>
      <c r="AZ2630" s="56"/>
      <c r="BA2630" s="56"/>
      <c r="BB2630" s="16"/>
      <c r="BC2630" s="56"/>
      <c r="BD2630" s="56"/>
      <c r="BE2630" s="56"/>
      <c r="BF2630" s="56"/>
      <c r="BG2630" s="56"/>
      <c r="BH2630" s="56"/>
      <c r="BI2630" s="56"/>
      <c r="BJ2630" s="56"/>
      <c r="BK2630" s="56"/>
      <c r="BL2630" s="56"/>
      <c r="BM2630" s="56"/>
      <c r="BN2630" s="56"/>
      <c r="BO2630" s="56"/>
      <c r="BP2630" s="56"/>
      <c r="BQ2630" s="56"/>
      <c r="BR2630" s="56"/>
      <c r="BS2630" s="56"/>
      <c r="BT2630" s="56"/>
      <c r="BU2630" s="56"/>
      <c r="BV2630" s="56"/>
      <c r="BW2630" s="56"/>
      <c r="BX2630" s="56"/>
      <c r="BY2630" s="56"/>
      <c r="BZ2630" s="56"/>
      <c r="CA2630" s="56"/>
      <c r="CB2630" s="56"/>
      <c r="CC2630" s="56"/>
      <c r="CD2630" s="56"/>
      <c r="CE2630" s="56"/>
      <c r="CF2630" s="56"/>
      <c r="CG2630" s="56"/>
      <c r="CH2630" s="56"/>
      <c r="CI2630" s="56"/>
      <c r="CJ2630" s="56"/>
      <c r="CK2630" s="56"/>
      <c r="CL2630" s="56"/>
      <c r="CM2630" s="56"/>
      <c r="CN2630" s="56"/>
      <c r="CO2630" s="56"/>
      <c r="CP2630" s="56"/>
      <c r="CQ2630" s="56"/>
      <c r="CR2630" s="56"/>
      <c r="CS2630" s="56"/>
      <c r="CT2630" s="56"/>
      <c r="CU2630" s="56"/>
      <c r="CV2630" s="56"/>
      <c r="CW2630" s="56"/>
      <c r="CX2630" s="56"/>
      <c r="CY2630" s="56"/>
      <c r="CZ2630" s="56"/>
    </row>
    <row r="2631" spans="27:104" s="5" customFormat="1" x14ac:dyDescent="0.25">
      <c r="AA2631" s="56"/>
      <c r="AB2631" s="56"/>
      <c r="AC2631" s="56"/>
      <c r="AD2631" s="56"/>
      <c r="AE2631" s="56"/>
      <c r="AF2631" s="56"/>
      <c r="AG2631" s="56"/>
      <c r="AH2631" s="56"/>
      <c r="AI2631" s="56"/>
      <c r="AJ2631" s="56"/>
      <c r="AK2631" s="56"/>
      <c r="AL2631" s="56"/>
      <c r="AM2631" s="56"/>
      <c r="AN2631" s="56"/>
      <c r="AO2631" s="56"/>
      <c r="AP2631" s="56"/>
      <c r="AQ2631" s="56"/>
      <c r="AR2631" s="56"/>
      <c r="AS2631" s="56"/>
      <c r="AT2631" s="56"/>
      <c r="AU2631" s="56"/>
      <c r="AV2631" s="56"/>
      <c r="AW2631" s="56"/>
      <c r="AX2631" s="56"/>
      <c r="AY2631" s="56"/>
      <c r="AZ2631" s="56"/>
      <c r="BA2631" s="56"/>
      <c r="BB2631" s="16"/>
      <c r="BC2631" s="56"/>
      <c r="BD2631" s="56"/>
      <c r="BE2631" s="56"/>
      <c r="BF2631" s="56"/>
      <c r="BG2631" s="56"/>
      <c r="BH2631" s="56"/>
      <c r="BI2631" s="56"/>
      <c r="BJ2631" s="56"/>
      <c r="BK2631" s="56"/>
      <c r="BL2631" s="56"/>
      <c r="BM2631" s="56"/>
      <c r="BN2631" s="56"/>
      <c r="BO2631" s="56"/>
      <c r="BP2631" s="56"/>
      <c r="BQ2631" s="56"/>
      <c r="BR2631" s="56"/>
      <c r="BS2631" s="56"/>
      <c r="BT2631" s="56"/>
      <c r="BU2631" s="56"/>
      <c r="BV2631" s="56"/>
      <c r="BW2631" s="56"/>
      <c r="BX2631" s="56"/>
      <c r="BY2631" s="56"/>
      <c r="BZ2631" s="56"/>
      <c r="CA2631" s="56"/>
      <c r="CB2631" s="56"/>
      <c r="CC2631" s="56"/>
      <c r="CD2631" s="56"/>
      <c r="CE2631" s="56"/>
      <c r="CF2631" s="56"/>
      <c r="CG2631" s="56"/>
      <c r="CH2631" s="56"/>
      <c r="CI2631" s="56"/>
      <c r="CJ2631" s="56"/>
      <c r="CK2631" s="56"/>
      <c r="CL2631" s="56"/>
      <c r="CM2631" s="56"/>
      <c r="CN2631" s="56"/>
      <c r="CO2631" s="56"/>
      <c r="CP2631" s="56"/>
      <c r="CQ2631" s="56"/>
      <c r="CR2631" s="56"/>
      <c r="CS2631" s="56"/>
      <c r="CT2631" s="56"/>
      <c r="CU2631" s="56"/>
      <c r="CV2631" s="56"/>
      <c r="CW2631" s="56"/>
      <c r="CX2631" s="56"/>
      <c r="CY2631" s="56"/>
      <c r="CZ2631" s="56"/>
    </row>
    <row r="2632" spans="27:104" s="5" customFormat="1" x14ac:dyDescent="0.25">
      <c r="AA2632" s="56"/>
      <c r="AB2632" s="56"/>
      <c r="AC2632" s="56"/>
      <c r="AD2632" s="56"/>
      <c r="AE2632" s="56"/>
      <c r="AF2632" s="56"/>
      <c r="AG2632" s="56"/>
      <c r="AH2632" s="56"/>
      <c r="AI2632" s="56"/>
      <c r="AJ2632" s="56"/>
      <c r="AK2632" s="56"/>
      <c r="AL2632" s="56"/>
      <c r="AM2632" s="56"/>
      <c r="AN2632" s="56"/>
      <c r="AO2632" s="56"/>
      <c r="AP2632" s="56"/>
      <c r="AQ2632" s="56"/>
      <c r="AR2632" s="56"/>
      <c r="AS2632" s="56"/>
      <c r="AT2632" s="56"/>
      <c r="AU2632" s="56"/>
      <c r="AV2632" s="56"/>
      <c r="AW2632" s="56"/>
      <c r="AX2632" s="56"/>
      <c r="AY2632" s="56"/>
      <c r="AZ2632" s="56"/>
      <c r="BA2632" s="56"/>
      <c r="BB2632" s="16"/>
      <c r="BC2632" s="56"/>
      <c r="BD2632" s="56"/>
      <c r="BE2632" s="56"/>
      <c r="BF2632" s="56"/>
      <c r="BG2632" s="56"/>
      <c r="BH2632" s="56"/>
      <c r="BI2632" s="56"/>
      <c r="BJ2632" s="56"/>
      <c r="BK2632" s="56"/>
      <c r="BL2632" s="56"/>
      <c r="BM2632" s="56"/>
      <c r="BN2632" s="56"/>
      <c r="BO2632" s="56"/>
      <c r="BP2632" s="56"/>
      <c r="BQ2632" s="56"/>
      <c r="BR2632" s="56"/>
      <c r="BS2632" s="56"/>
      <c r="BT2632" s="56"/>
      <c r="BU2632" s="56"/>
      <c r="BV2632" s="56"/>
      <c r="BW2632" s="56"/>
      <c r="BX2632" s="56"/>
      <c r="BY2632" s="56"/>
      <c r="BZ2632" s="56"/>
      <c r="CA2632" s="56"/>
      <c r="CB2632" s="56"/>
      <c r="CC2632" s="56"/>
      <c r="CD2632" s="56"/>
      <c r="CE2632" s="56"/>
      <c r="CF2632" s="56"/>
      <c r="CG2632" s="56"/>
      <c r="CH2632" s="56"/>
      <c r="CI2632" s="56"/>
      <c r="CJ2632" s="56"/>
      <c r="CK2632" s="56"/>
      <c r="CL2632" s="56"/>
      <c r="CM2632" s="56"/>
      <c r="CN2632" s="56"/>
      <c r="CO2632" s="56"/>
      <c r="CP2632" s="56"/>
      <c r="CQ2632" s="56"/>
      <c r="CR2632" s="56"/>
      <c r="CS2632" s="56"/>
      <c r="CT2632" s="56"/>
      <c r="CU2632" s="56"/>
      <c r="CV2632" s="56"/>
      <c r="CW2632" s="56"/>
      <c r="CX2632" s="56"/>
      <c r="CY2632" s="56"/>
      <c r="CZ2632" s="56"/>
    </row>
    <row r="2633" spans="27:104" s="5" customFormat="1" x14ac:dyDescent="0.25">
      <c r="AA2633" s="56"/>
      <c r="AB2633" s="56"/>
      <c r="AC2633" s="56"/>
      <c r="AD2633" s="56"/>
      <c r="AE2633" s="56"/>
      <c r="AF2633" s="56"/>
      <c r="AG2633" s="56"/>
      <c r="AH2633" s="56"/>
      <c r="AI2633" s="56"/>
      <c r="AJ2633" s="56"/>
      <c r="AK2633" s="56"/>
      <c r="AL2633" s="56"/>
      <c r="AM2633" s="56"/>
      <c r="AN2633" s="56"/>
      <c r="AO2633" s="56"/>
      <c r="AP2633" s="56"/>
      <c r="AQ2633" s="56"/>
      <c r="AR2633" s="56"/>
      <c r="AS2633" s="56"/>
      <c r="AT2633" s="56"/>
      <c r="AU2633" s="56"/>
      <c r="AV2633" s="56"/>
      <c r="AW2633" s="56"/>
      <c r="AX2633" s="56"/>
      <c r="AY2633" s="56"/>
      <c r="AZ2633" s="56"/>
      <c r="BA2633" s="56"/>
      <c r="BB2633" s="16"/>
      <c r="BC2633" s="56"/>
      <c r="BD2633" s="56"/>
      <c r="BE2633" s="56"/>
      <c r="BF2633" s="56"/>
      <c r="BG2633" s="56"/>
      <c r="BH2633" s="56"/>
      <c r="BI2633" s="56"/>
      <c r="BJ2633" s="56"/>
      <c r="BK2633" s="56"/>
      <c r="BL2633" s="56"/>
      <c r="BM2633" s="56"/>
      <c r="BN2633" s="56"/>
      <c r="BO2633" s="56"/>
      <c r="BP2633" s="56"/>
      <c r="BQ2633" s="56"/>
      <c r="BR2633" s="56"/>
      <c r="BS2633" s="56"/>
      <c r="BT2633" s="56"/>
      <c r="BU2633" s="56"/>
      <c r="BV2633" s="56"/>
      <c r="BW2633" s="56"/>
      <c r="BX2633" s="56"/>
      <c r="BY2633" s="56"/>
      <c r="BZ2633" s="56"/>
      <c r="CA2633" s="56"/>
      <c r="CB2633" s="56"/>
      <c r="CC2633" s="56"/>
      <c r="CD2633" s="56"/>
      <c r="CE2633" s="56"/>
      <c r="CF2633" s="56"/>
      <c r="CG2633" s="56"/>
      <c r="CH2633" s="56"/>
      <c r="CI2633" s="56"/>
      <c r="CJ2633" s="56"/>
      <c r="CK2633" s="56"/>
      <c r="CL2633" s="56"/>
      <c r="CM2633" s="56"/>
      <c r="CN2633" s="56"/>
      <c r="CO2633" s="56"/>
      <c r="CP2633" s="56"/>
      <c r="CQ2633" s="56"/>
      <c r="CR2633" s="56"/>
      <c r="CS2633" s="56"/>
      <c r="CT2633" s="56"/>
      <c r="CU2633" s="56"/>
      <c r="CV2633" s="56"/>
      <c r="CW2633" s="56"/>
      <c r="CX2633" s="56"/>
      <c r="CY2633" s="56"/>
      <c r="CZ2633" s="56"/>
    </row>
    <row r="2634" spans="27:104" s="5" customFormat="1" x14ac:dyDescent="0.25">
      <c r="AA2634" s="56"/>
      <c r="AB2634" s="56"/>
      <c r="AC2634" s="56"/>
      <c r="AD2634" s="56"/>
      <c r="AE2634" s="56"/>
      <c r="AF2634" s="56"/>
      <c r="AG2634" s="56"/>
      <c r="AH2634" s="56"/>
      <c r="AI2634" s="56"/>
      <c r="AJ2634" s="56"/>
      <c r="AK2634" s="56"/>
      <c r="AL2634" s="56"/>
      <c r="AM2634" s="56"/>
      <c r="AN2634" s="56"/>
      <c r="AO2634" s="56"/>
      <c r="AP2634" s="56"/>
      <c r="AQ2634" s="56"/>
      <c r="AR2634" s="56"/>
      <c r="AS2634" s="56"/>
      <c r="AT2634" s="56"/>
      <c r="AU2634" s="56"/>
      <c r="AV2634" s="56"/>
      <c r="AW2634" s="56"/>
      <c r="AX2634" s="56"/>
      <c r="AY2634" s="56"/>
      <c r="AZ2634" s="56"/>
      <c r="BA2634" s="56"/>
      <c r="BB2634" s="16"/>
      <c r="BC2634" s="56"/>
      <c r="BD2634" s="56"/>
      <c r="BE2634" s="56"/>
      <c r="BF2634" s="56"/>
      <c r="BG2634" s="56"/>
      <c r="BH2634" s="56"/>
      <c r="BI2634" s="56"/>
      <c r="BJ2634" s="56"/>
      <c r="BK2634" s="56"/>
      <c r="BL2634" s="56"/>
      <c r="BM2634" s="56"/>
      <c r="BN2634" s="56"/>
      <c r="BO2634" s="56"/>
      <c r="BP2634" s="56"/>
      <c r="BQ2634" s="56"/>
      <c r="BR2634" s="56"/>
      <c r="BS2634" s="56"/>
      <c r="BT2634" s="56"/>
      <c r="BU2634" s="56"/>
      <c r="BV2634" s="56"/>
      <c r="BW2634" s="56"/>
      <c r="BX2634" s="56"/>
      <c r="BY2634" s="56"/>
      <c r="BZ2634" s="56"/>
      <c r="CA2634" s="56"/>
      <c r="CB2634" s="56"/>
      <c r="CC2634" s="56"/>
      <c r="CD2634" s="56"/>
      <c r="CE2634" s="56"/>
      <c r="CF2634" s="56"/>
      <c r="CG2634" s="56"/>
      <c r="CH2634" s="56"/>
      <c r="CI2634" s="56"/>
      <c r="CJ2634" s="56"/>
      <c r="CK2634" s="56"/>
      <c r="CL2634" s="56"/>
      <c r="CM2634" s="56"/>
      <c r="CN2634" s="56"/>
      <c r="CO2634" s="56"/>
      <c r="CP2634" s="56"/>
      <c r="CQ2634" s="56"/>
      <c r="CR2634" s="56"/>
      <c r="CS2634" s="56"/>
      <c r="CT2634" s="56"/>
      <c r="CU2634" s="56"/>
      <c r="CV2634" s="56"/>
      <c r="CW2634" s="56"/>
      <c r="CX2634" s="56"/>
      <c r="CY2634" s="56"/>
      <c r="CZ2634" s="56"/>
    </row>
    <row r="2635" spans="27:104" s="5" customFormat="1" x14ac:dyDescent="0.25">
      <c r="AA2635" s="56"/>
      <c r="AB2635" s="56"/>
      <c r="AC2635" s="56"/>
      <c r="AD2635" s="56"/>
      <c r="AE2635" s="56"/>
      <c r="AF2635" s="56"/>
      <c r="AG2635" s="56"/>
      <c r="AH2635" s="56"/>
      <c r="AI2635" s="56"/>
      <c r="AJ2635" s="56"/>
      <c r="AK2635" s="56"/>
      <c r="AL2635" s="56"/>
      <c r="AM2635" s="56"/>
      <c r="AN2635" s="56"/>
      <c r="AO2635" s="56"/>
      <c r="AP2635" s="56"/>
      <c r="AQ2635" s="56"/>
      <c r="AR2635" s="56"/>
      <c r="AS2635" s="56"/>
      <c r="AT2635" s="56"/>
      <c r="AU2635" s="56"/>
      <c r="AV2635" s="56"/>
      <c r="AW2635" s="56"/>
      <c r="AX2635" s="56"/>
      <c r="AY2635" s="56"/>
      <c r="AZ2635" s="56"/>
      <c r="BA2635" s="56"/>
      <c r="BB2635" s="16"/>
      <c r="BC2635" s="56"/>
      <c r="BD2635" s="56"/>
      <c r="BE2635" s="56"/>
      <c r="BF2635" s="56"/>
      <c r="BG2635" s="56"/>
      <c r="BH2635" s="56"/>
      <c r="BI2635" s="56"/>
      <c r="BJ2635" s="56"/>
      <c r="BK2635" s="56"/>
      <c r="BL2635" s="56"/>
      <c r="BM2635" s="56"/>
      <c r="BN2635" s="56"/>
      <c r="BO2635" s="56"/>
      <c r="BP2635" s="56"/>
      <c r="BQ2635" s="56"/>
      <c r="BR2635" s="56"/>
      <c r="BS2635" s="56"/>
      <c r="BT2635" s="56"/>
      <c r="BU2635" s="56"/>
      <c r="BV2635" s="56"/>
      <c r="BW2635" s="56"/>
      <c r="BX2635" s="56"/>
      <c r="BY2635" s="56"/>
      <c r="BZ2635" s="56"/>
      <c r="CA2635" s="56"/>
      <c r="CB2635" s="56"/>
      <c r="CC2635" s="56"/>
      <c r="CD2635" s="56"/>
      <c r="CE2635" s="56"/>
      <c r="CF2635" s="56"/>
      <c r="CG2635" s="56"/>
      <c r="CH2635" s="56"/>
      <c r="CI2635" s="56"/>
      <c r="CJ2635" s="56"/>
      <c r="CK2635" s="56"/>
      <c r="CL2635" s="56"/>
      <c r="CM2635" s="56"/>
      <c r="CN2635" s="56"/>
      <c r="CO2635" s="56"/>
      <c r="CP2635" s="56"/>
      <c r="CQ2635" s="56"/>
      <c r="CR2635" s="56"/>
      <c r="CS2635" s="56"/>
      <c r="CT2635" s="56"/>
      <c r="CU2635" s="56"/>
      <c r="CV2635" s="56"/>
      <c r="CW2635" s="56"/>
      <c r="CX2635" s="56"/>
      <c r="CY2635" s="56"/>
      <c r="CZ2635" s="56"/>
    </row>
    <row r="2636" spans="27:104" s="5" customFormat="1" x14ac:dyDescent="0.25">
      <c r="AA2636" s="56"/>
      <c r="AB2636" s="56"/>
      <c r="AC2636" s="56"/>
      <c r="AD2636" s="56"/>
      <c r="AE2636" s="56"/>
      <c r="AF2636" s="56"/>
      <c r="AG2636" s="56"/>
      <c r="AH2636" s="56"/>
      <c r="AI2636" s="56"/>
      <c r="AJ2636" s="56"/>
      <c r="AK2636" s="56"/>
      <c r="AL2636" s="56"/>
      <c r="AM2636" s="56"/>
      <c r="AN2636" s="56"/>
      <c r="AO2636" s="56"/>
      <c r="AP2636" s="56"/>
      <c r="AQ2636" s="56"/>
      <c r="AR2636" s="56"/>
      <c r="AS2636" s="56"/>
      <c r="AT2636" s="56"/>
      <c r="AU2636" s="56"/>
      <c r="AV2636" s="56"/>
      <c r="AW2636" s="56"/>
      <c r="AX2636" s="56"/>
      <c r="AY2636" s="56"/>
      <c r="AZ2636" s="56"/>
      <c r="BA2636" s="56"/>
      <c r="BB2636" s="16"/>
      <c r="BC2636" s="56"/>
      <c r="BD2636" s="56"/>
      <c r="BE2636" s="56"/>
      <c r="BF2636" s="56"/>
      <c r="BG2636" s="56"/>
      <c r="BH2636" s="56"/>
      <c r="BI2636" s="56"/>
      <c r="BJ2636" s="56"/>
      <c r="BK2636" s="56"/>
      <c r="BL2636" s="56"/>
      <c r="BM2636" s="56"/>
      <c r="BN2636" s="56"/>
      <c r="BO2636" s="56"/>
      <c r="BP2636" s="56"/>
      <c r="BQ2636" s="56"/>
      <c r="BR2636" s="56"/>
      <c r="BS2636" s="56"/>
      <c r="BT2636" s="56"/>
      <c r="BU2636" s="56"/>
      <c r="BV2636" s="56"/>
      <c r="BW2636" s="56"/>
      <c r="BX2636" s="56"/>
      <c r="BY2636" s="56"/>
      <c r="BZ2636" s="56"/>
      <c r="CA2636" s="56"/>
      <c r="CB2636" s="56"/>
      <c r="CC2636" s="56"/>
      <c r="CD2636" s="56"/>
      <c r="CE2636" s="56"/>
      <c r="CF2636" s="56"/>
      <c r="CG2636" s="56"/>
      <c r="CH2636" s="56"/>
      <c r="CI2636" s="56"/>
      <c r="CJ2636" s="56"/>
      <c r="CK2636" s="56"/>
      <c r="CL2636" s="56"/>
      <c r="CM2636" s="56"/>
      <c r="CN2636" s="56"/>
      <c r="CO2636" s="56"/>
      <c r="CP2636" s="56"/>
      <c r="CQ2636" s="56"/>
      <c r="CR2636" s="56"/>
      <c r="CS2636" s="56"/>
      <c r="CT2636" s="56"/>
      <c r="CU2636" s="56"/>
      <c r="CV2636" s="56"/>
      <c r="CW2636" s="56"/>
      <c r="CX2636" s="56"/>
      <c r="CY2636" s="56"/>
      <c r="CZ2636" s="56"/>
    </row>
    <row r="2637" spans="27:104" s="5" customFormat="1" x14ac:dyDescent="0.25">
      <c r="AA2637" s="56"/>
      <c r="AB2637" s="56"/>
      <c r="AC2637" s="56"/>
      <c r="AD2637" s="56"/>
      <c r="AE2637" s="56"/>
      <c r="AF2637" s="56"/>
      <c r="AG2637" s="56"/>
      <c r="AH2637" s="56"/>
      <c r="AI2637" s="56"/>
      <c r="AJ2637" s="56"/>
      <c r="AK2637" s="56"/>
      <c r="AL2637" s="56"/>
      <c r="AM2637" s="56"/>
      <c r="AN2637" s="56"/>
      <c r="AO2637" s="56"/>
      <c r="AP2637" s="56"/>
      <c r="AQ2637" s="56"/>
      <c r="AR2637" s="56"/>
      <c r="AS2637" s="56"/>
      <c r="AT2637" s="56"/>
      <c r="AU2637" s="56"/>
      <c r="AV2637" s="56"/>
      <c r="AW2637" s="56"/>
      <c r="AX2637" s="56"/>
      <c r="AY2637" s="56"/>
      <c r="AZ2637" s="56"/>
      <c r="BA2637" s="56"/>
      <c r="BB2637" s="16"/>
      <c r="BC2637" s="56"/>
      <c r="BD2637" s="56"/>
      <c r="BE2637" s="56"/>
      <c r="BF2637" s="56"/>
      <c r="BG2637" s="56"/>
      <c r="BH2637" s="56"/>
      <c r="BI2637" s="56"/>
      <c r="BJ2637" s="56"/>
      <c r="BK2637" s="56"/>
      <c r="BL2637" s="56"/>
      <c r="BM2637" s="56"/>
      <c r="BN2637" s="56"/>
      <c r="BO2637" s="56"/>
      <c r="BP2637" s="56"/>
      <c r="BQ2637" s="56"/>
      <c r="BR2637" s="56"/>
      <c r="BS2637" s="56"/>
      <c r="BT2637" s="56"/>
      <c r="BU2637" s="56"/>
      <c r="BV2637" s="56"/>
      <c r="BW2637" s="56"/>
      <c r="BX2637" s="56"/>
      <c r="BY2637" s="56"/>
      <c r="BZ2637" s="56"/>
      <c r="CA2637" s="56"/>
      <c r="CB2637" s="56"/>
      <c r="CC2637" s="56"/>
      <c r="CD2637" s="56"/>
      <c r="CE2637" s="56"/>
      <c r="CF2637" s="56"/>
      <c r="CG2637" s="56"/>
      <c r="CH2637" s="56"/>
      <c r="CI2637" s="56"/>
      <c r="CJ2637" s="56"/>
      <c r="CK2637" s="56"/>
      <c r="CL2637" s="56"/>
      <c r="CM2637" s="56"/>
      <c r="CN2637" s="56"/>
      <c r="CO2637" s="56"/>
      <c r="CP2637" s="56"/>
      <c r="CQ2637" s="56"/>
      <c r="CR2637" s="56"/>
      <c r="CS2637" s="56"/>
      <c r="CT2637" s="56"/>
      <c r="CU2637" s="56"/>
      <c r="CV2637" s="56"/>
      <c r="CW2637" s="56"/>
      <c r="CX2637" s="56"/>
      <c r="CY2637" s="56"/>
      <c r="CZ2637" s="56"/>
    </row>
    <row r="2638" spans="27:104" s="5" customFormat="1" x14ac:dyDescent="0.25">
      <c r="AA2638" s="56"/>
      <c r="AB2638" s="56"/>
      <c r="AC2638" s="56"/>
      <c r="AD2638" s="56"/>
      <c r="AE2638" s="56"/>
      <c r="AF2638" s="56"/>
      <c r="AG2638" s="56"/>
      <c r="AH2638" s="56"/>
      <c r="AI2638" s="56"/>
      <c r="AJ2638" s="56"/>
      <c r="AK2638" s="56"/>
      <c r="AL2638" s="56"/>
      <c r="AM2638" s="56"/>
      <c r="AN2638" s="56"/>
      <c r="AO2638" s="56"/>
      <c r="AP2638" s="56"/>
      <c r="AQ2638" s="56"/>
      <c r="AR2638" s="56"/>
      <c r="AS2638" s="56"/>
      <c r="AT2638" s="56"/>
      <c r="AU2638" s="56"/>
      <c r="AV2638" s="56"/>
      <c r="AW2638" s="56"/>
      <c r="AX2638" s="56"/>
      <c r="AY2638" s="56"/>
      <c r="AZ2638" s="56"/>
      <c r="BA2638" s="56"/>
      <c r="BB2638" s="16"/>
      <c r="BC2638" s="56"/>
      <c r="BD2638" s="56"/>
      <c r="BE2638" s="56"/>
      <c r="BF2638" s="56"/>
      <c r="BG2638" s="56"/>
      <c r="BH2638" s="56"/>
      <c r="BI2638" s="56"/>
      <c r="BJ2638" s="56"/>
      <c r="BK2638" s="56"/>
      <c r="BL2638" s="56"/>
      <c r="BM2638" s="56"/>
      <c r="BN2638" s="56"/>
      <c r="BO2638" s="56"/>
      <c r="BP2638" s="56"/>
      <c r="BQ2638" s="56"/>
      <c r="BR2638" s="56"/>
      <c r="BS2638" s="56"/>
      <c r="BT2638" s="56"/>
      <c r="BU2638" s="56"/>
      <c r="BV2638" s="56"/>
      <c r="BW2638" s="56"/>
      <c r="BX2638" s="56"/>
      <c r="BY2638" s="56"/>
      <c r="BZ2638" s="56"/>
      <c r="CA2638" s="56"/>
      <c r="CB2638" s="56"/>
      <c r="CC2638" s="56"/>
      <c r="CD2638" s="56"/>
      <c r="CE2638" s="56"/>
      <c r="CF2638" s="56"/>
      <c r="CG2638" s="56"/>
      <c r="CH2638" s="56"/>
      <c r="CI2638" s="56"/>
      <c r="CJ2638" s="56"/>
      <c r="CK2638" s="56"/>
      <c r="CL2638" s="56"/>
      <c r="CM2638" s="56"/>
      <c r="CN2638" s="56"/>
      <c r="CO2638" s="56"/>
      <c r="CP2638" s="56"/>
      <c r="CQ2638" s="56"/>
      <c r="CR2638" s="56"/>
      <c r="CS2638" s="56"/>
      <c r="CT2638" s="56"/>
      <c r="CU2638" s="56"/>
      <c r="CV2638" s="56"/>
      <c r="CW2638" s="56"/>
      <c r="CX2638" s="56"/>
      <c r="CY2638" s="56"/>
      <c r="CZ2638" s="56"/>
    </row>
    <row r="2639" spans="27:104" s="5" customFormat="1" x14ac:dyDescent="0.25">
      <c r="AA2639" s="56"/>
      <c r="AB2639" s="56"/>
      <c r="AC2639" s="56"/>
      <c r="AD2639" s="56"/>
      <c r="AE2639" s="56"/>
      <c r="AF2639" s="56"/>
      <c r="AG2639" s="56"/>
      <c r="AH2639" s="56"/>
      <c r="AI2639" s="56"/>
      <c r="AJ2639" s="56"/>
      <c r="AK2639" s="56"/>
      <c r="AL2639" s="56"/>
      <c r="AM2639" s="56"/>
      <c r="AN2639" s="56"/>
      <c r="AO2639" s="56"/>
      <c r="AP2639" s="56"/>
      <c r="AQ2639" s="56"/>
      <c r="AR2639" s="56"/>
      <c r="AS2639" s="56"/>
      <c r="AT2639" s="56"/>
      <c r="AU2639" s="56"/>
      <c r="AV2639" s="56"/>
      <c r="AW2639" s="56"/>
      <c r="AX2639" s="56"/>
      <c r="AY2639" s="56"/>
      <c r="AZ2639" s="56"/>
      <c r="BA2639" s="56"/>
      <c r="BB2639" s="16"/>
      <c r="BC2639" s="56"/>
      <c r="BD2639" s="56"/>
      <c r="BE2639" s="56"/>
      <c r="BF2639" s="56"/>
      <c r="BG2639" s="56"/>
      <c r="BH2639" s="56"/>
      <c r="BI2639" s="56"/>
      <c r="BJ2639" s="56"/>
      <c r="BK2639" s="56"/>
      <c r="BL2639" s="56"/>
      <c r="BM2639" s="56"/>
      <c r="BN2639" s="56"/>
      <c r="BO2639" s="56"/>
      <c r="BP2639" s="56"/>
      <c r="BQ2639" s="56"/>
      <c r="BR2639" s="56"/>
      <c r="BS2639" s="56"/>
      <c r="BT2639" s="56"/>
      <c r="BU2639" s="56"/>
      <c r="BV2639" s="56"/>
      <c r="BW2639" s="56"/>
      <c r="BX2639" s="56"/>
      <c r="BY2639" s="56"/>
      <c r="BZ2639" s="56"/>
      <c r="CA2639" s="56"/>
      <c r="CB2639" s="56"/>
      <c r="CC2639" s="56"/>
      <c r="CD2639" s="56"/>
      <c r="CE2639" s="56"/>
      <c r="CF2639" s="56"/>
      <c r="CG2639" s="56"/>
      <c r="CH2639" s="56"/>
      <c r="CI2639" s="56"/>
      <c r="CJ2639" s="56"/>
      <c r="CK2639" s="56"/>
      <c r="CL2639" s="56"/>
      <c r="CM2639" s="56"/>
      <c r="CN2639" s="56"/>
      <c r="CO2639" s="56"/>
      <c r="CP2639" s="56"/>
      <c r="CQ2639" s="56"/>
      <c r="CR2639" s="56"/>
      <c r="CS2639" s="56"/>
      <c r="CT2639" s="56"/>
      <c r="CU2639" s="56"/>
      <c r="CV2639" s="56"/>
      <c r="CW2639" s="56"/>
      <c r="CX2639" s="56"/>
      <c r="CY2639" s="56"/>
      <c r="CZ2639" s="56"/>
    </row>
    <row r="2640" spans="27:104" s="5" customFormat="1" x14ac:dyDescent="0.25">
      <c r="AA2640" s="56"/>
      <c r="AB2640" s="56"/>
      <c r="AC2640" s="56"/>
      <c r="AD2640" s="56"/>
      <c r="AE2640" s="56"/>
      <c r="AF2640" s="56"/>
      <c r="AG2640" s="56"/>
      <c r="AH2640" s="56"/>
      <c r="AI2640" s="56"/>
      <c r="AJ2640" s="56"/>
      <c r="AK2640" s="56"/>
      <c r="AL2640" s="56"/>
      <c r="AM2640" s="56"/>
      <c r="AN2640" s="56"/>
      <c r="AO2640" s="56"/>
      <c r="AP2640" s="56"/>
      <c r="AQ2640" s="56"/>
      <c r="AR2640" s="56"/>
      <c r="AS2640" s="56"/>
      <c r="AT2640" s="56"/>
      <c r="AU2640" s="56"/>
      <c r="AV2640" s="56"/>
      <c r="AW2640" s="56"/>
      <c r="AX2640" s="56"/>
      <c r="AY2640" s="56"/>
      <c r="AZ2640" s="56"/>
      <c r="BA2640" s="56"/>
      <c r="BB2640" s="16"/>
      <c r="BC2640" s="56"/>
      <c r="BD2640" s="56"/>
      <c r="BE2640" s="56"/>
      <c r="BF2640" s="56"/>
      <c r="BG2640" s="56"/>
      <c r="BH2640" s="56"/>
      <c r="BI2640" s="56"/>
      <c r="BJ2640" s="56"/>
      <c r="BK2640" s="56"/>
      <c r="BL2640" s="56"/>
      <c r="BM2640" s="56"/>
      <c r="BN2640" s="56"/>
      <c r="BO2640" s="56"/>
      <c r="BP2640" s="56"/>
      <c r="BQ2640" s="56"/>
      <c r="BR2640" s="56"/>
      <c r="BS2640" s="56"/>
      <c r="BT2640" s="56"/>
      <c r="BU2640" s="56"/>
      <c r="BV2640" s="56"/>
      <c r="BW2640" s="56"/>
      <c r="BX2640" s="56"/>
      <c r="BY2640" s="56"/>
      <c r="BZ2640" s="56"/>
      <c r="CA2640" s="56"/>
      <c r="CB2640" s="56"/>
      <c r="CC2640" s="56"/>
      <c r="CD2640" s="56"/>
      <c r="CE2640" s="56"/>
      <c r="CF2640" s="56"/>
      <c r="CG2640" s="56"/>
      <c r="CH2640" s="56"/>
      <c r="CI2640" s="56"/>
      <c r="CJ2640" s="56"/>
      <c r="CK2640" s="56"/>
      <c r="CL2640" s="56"/>
      <c r="CM2640" s="56"/>
      <c r="CN2640" s="56"/>
      <c r="CO2640" s="56"/>
      <c r="CP2640" s="56"/>
      <c r="CQ2640" s="56"/>
      <c r="CR2640" s="56"/>
      <c r="CS2640" s="56"/>
      <c r="CT2640" s="56"/>
      <c r="CU2640" s="56"/>
      <c r="CV2640" s="56"/>
      <c r="CW2640" s="56"/>
      <c r="CX2640" s="56"/>
      <c r="CY2640" s="56"/>
      <c r="CZ2640" s="56"/>
    </row>
    <row r="2641" spans="27:104" s="5" customFormat="1" x14ac:dyDescent="0.25">
      <c r="AA2641" s="56"/>
      <c r="AB2641" s="56"/>
      <c r="AC2641" s="56"/>
      <c r="AD2641" s="56"/>
      <c r="AE2641" s="56"/>
      <c r="AF2641" s="56"/>
      <c r="AG2641" s="56"/>
      <c r="AH2641" s="56"/>
      <c r="AI2641" s="56"/>
      <c r="AJ2641" s="56"/>
      <c r="AK2641" s="56"/>
      <c r="AL2641" s="56"/>
      <c r="AM2641" s="56"/>
      <c r="AN2641" s="56"/>
      <c r="AO2641" s="56"/>
      <c r="AP2641" s="56"/>
      <c r="AQ2641" s="56"/>
      <c r="AR2641" s="56"/>
      <c r="AS2641" s="56"/>
      <c r="AT2641" s="56"/>
      <c r="AU2641" s="56"/>
      <c r="AV2641" s="56"/>
      <c r="AW2641" s="56"/>
      <c r="AX2641" s="56"/>
      <c r="AY2641" s="56"/>
      <c r="AZ2641" s="56"/>
      <c r="BA2641" s="56"/>
      <c r="BB2641" s="16"/>
      <c r="BC2641" s="56"/>
      <c r="BD2641" s="56"/>
      <c r="BE2641" s="56"/>
      <c r="BF2641" s="56"/>
      <c r="BG2641" s="56"/>
      <c r="BH2641" s="56"/>
      <c r="BI2641" s="56"/>
      <c r="BJ2641" s="56"/>
      <c r="BK2641" s="56"/>
      <c r="BL2641" s="56"/>
      <c r="BM2641" s="56"/>
      <c r="BN2641" s="56"/>
      <c r="BO2641" s="56"/>
      <c r="BP2641" s="56"/>
      <c r="BQ2641" s="56"/>
      <c r="BR2641" s="56"/>
      <c r="BS2641" s="56"/>
      <c r="BT2641" s="56"/>
      <c r="BU2641" s="56"/>
      <c r="BV2641" s="56"/>
      <c r="BW2641" s="56"/>
      <c r="BX2641" s="56"/>
      <c r="BY2641" s="56"/>
      <c r="BZ2641" s="56"/>
      <c r="CA2641" s="56"/>
      <c r="CB2641" s="56"/>
      <c r="CC2641" s="56"/>
      <c r="CD2641" s="56"/>
      <c r="CE2641" s="56"/>
      <c r="CF2641" s="56"/>
      <c r="CG2641" s="56"/>
      <c r="CH2641" s="56"/>
      <c r="CI2641" s="56"/>
      <c r="CJ2641" s="56"/>
      <c r="CK2641" s="56"/>
      <c r="CL2641" s="56"/>
      <c r="CM2641" s="56"/>
      <c r="CN2641" s="56"/>
      <c r="CO2641" s="56"/>
      <c r="CP2641" s="56"/>
      <c r="CQ2641" s="56"/>
      <c r="CR2641" s="56"/>
      <c r="CS2641" s="56"/>
      <c r="CT2641" s="56"/>
      <c r="CU2641" s="56"/>
      <c r="CV2641" s="56"/>
      <c r="CW2641" s="56"/>
      <c r="CX2641" s="56"/>
      <c r="CY2641" s="56"/>
      <c r="CZ2641" s="56"/>
    </row>
    <row r="2642" spans="27:104" s="5" customFormat="1" x14ac:dyDescent="0.25">
      <c r="AA2642" s="56"/>
      <c r="AB2642" s="56"/>
      <c r="AC2642" s="56"/>
      <c r="AD2642" s="56"/>
      <c r="AE2642" s="56"/>
      <c r="AF2642" s="56"/>
      <c r="AG2642" s="56"/>
      <c r="AH2642" s="56"/>
      <c r="AI2642" s="56"/>
      <c r="AJ2642" s="56"/>
      <c r="AK2642" s="56"/>
      <c r="AL2642" s="56"/>
      <c r="AM2642" s="56"/>
      <c r="AN2642" s="56"/>
      <c r="AO2642" s="56"/>
      <c r="AP2642" s="56"/>
      <c r="AQ2642" s="56"/>
      <c r="AR2642" s="56"/>
      <c r="AS2642" s="56"/>
      <c r="AT2642" s="56"/>
      <c r="AU2642" s="56"/>
      <c r="AV2642" s="56"/>
      <c r="AW2642" s="56"/>
      <c r="AX2642" s="56"/>
      <c r="AY2642" s="56"/>
      <c r="AZ2642" s="56"/>
      <c r="BA2642" s="56"/>
      <c r="BB2642" s="16"/>
      <c r="BC2642" s="56"/>
      <c r="BD2642" s="56"/>
      <c r="BE2642" s="56"/>
      <c r="BF2642" s="56"/>
      <c r="BG2642" s="56"/>
      <c r="BH2642" s="56"/>
      <c r="BI2642" s="56"/>
      <c r="BJ2642" s="56"/>
      <c r="BK2642" s="56"/>
      <c r="BL2642" s="56"/>
      <c r="BM2642" s="56"/>
      <c r="BN2642" s="56"/>
      <c r="BO2642" s="56"/>
      <c r="BP2642" s="56"/>
      <c r="BQ2642" s="56"/>
      <c r="BR2642" s="56"/>
      <c r="BS2642" s="56"/>
      <c r="BT2642" s="56"/>
      <c r="BU2642" s="56"/>
      <c r="BV2642" s="56"/>
      <c r="BW2642" s="56"/>
      <c r="BX2642" s="56"/>
      <c r="BY2642" s="56"/>
      <c r="BZ2642" s="56"/>
      <c r="CA2642" s="56"/>
      <c r="CB2642" s="56"/>
      <c r="CC2642" s="56"/>
      <c r="CD2642" s="56"/>
      <c r="CE2642" s="56"/>
      <c r="CF2642" s="56"/>
      <c r="CG2642" s="56"/>
      <c r="CH2642" s="56"/>
      <c r="CI2642" s="56"/>
      <c r="CJ2642" s="56"/>
      <c r="CK2642" s="56"/>
      <c r="CL2642" s="56"/>
      <c r="CM2642" s="56"/>
      <c r="CN2642" s="56"/>
      <c r="CO2642" s="56"/>
      <c r="CP2642" s="56"/>
      <c r="CQ2642" s="56"/>
      <c r="CR2642" s="56"/>
      <c r="CS2642" s="56"/>
      <c r="CT2642" s="56"/>
      <c r="CU2642" s="56"/>
      <c r="CV2642" s="56"/>
      <c r="CW2642" s="56"/>
      <c r="CX2642" s="56"/>
      <c r="CY2642" s="56"/>
      <c r="CZ2642" s="56"/>
    </row>
    <row r="2643" spans="27:104" s="5" customFormat="1" x14ac:dyDescent="0.25">
      <c r="AA2643" s="56"/>
      <c r="AB2643" s="56"/>
      <c r="AC2643" s="56"/>
      <c r="AD2643" s="56"/>
      <c r="AE2643" s="56"/>
      <c r="AF2643" s="56"/>
      <c r="AG2643" s="56"/>
      <c r="AH2643" s="56"/>
      <c r="AI2643" s="56"/>
      <c r="AJ2643" s="56"/>
      <c r="AK2643" s="56"/>
      <c r="AL2643" s="56"/>
      <c r="AM2643" s="56"/>
      <c r="AN2643" s="56"/>
      <c r="AO2643" s="56"/>
      <c r="AP2643" s="56"/>
      <c r="AQ2643" s="56"/>
      <c r="AR2643" s="56"/>
      <c r="AS2643" s="56"/>
      <c r="AT2643" s="56"/>
      <c r="AU2643" s="56"/>
      <c r="AV2643" s="56"/>
      <c r="AW2643" s="56"/>
      <c r="AX2643" s="56"/>
      <c r="AY2643" s="56"/>
      <c r="AZ2643" s="56"/>
      <c r="BA2643" s="56"/>
      <c r="BB2643" s="16"/>
      <c r="BC2643" s="56"/>
      <c r="BD2643" s="56"/>
      <c r="BE2643" s="56"/>
      <c r="BF2643" s="56"/>
      <c r="BG2643" s="56"/>
      <c r="BH2643" s="56"/>
      <c r="BI2643" s="56"/>
      <c r="BJ2643" s="56"/>
      <c r="BK2643" s="56"/>
      <c r="BL2643" s="56"/>
      <c r="BM2643" s="56"/>
      <c r="BN2643" s="56"/>
      <c r="BO2643" s="56"/>
      <c r="BP2643" s="56"/>
      <c r="BQ2643" s="56"/>
      <c r="BR2643" s="56"/>
      <c r="BS2643" s="56"/>
      <c r="BT2643" s="56"/>
      <c r="BU2643" s="56"/>
      <c r="BV2643" s="56"/>
      <c r="BW2643" s="56"/>
      <c r="BX2643" s="56"/>
      <c r="BY2643" s="56"/>
      <c r="BZ2643" s="56"/>
      <c r="CA2643" s="56"/>
      <c r="CB2643" s="56"/>
      <c r="CC2643" s="56"/>
      <c r="CD2643" s="56"/>
      <c r="CE2643" s="56"/>
      <c r="CF2643" s="56"/>
      <c r="CG2643" s="56"/>
      <c r="CH2643" s="56"/>
      <c r="CI2643" s="56"/>
      <c r="CJ2643" s="56"/>
      <c r="CK2643" s="56"/>
      <c r="CL2643" s="56"/>
      <c r="CM2643" s="56"/>
      <c r="CN2643" s="56"/>
      <c r="CO2643" s="56"/>
      <c r="CP2643" s="56"/>
      <c r="CQ2643" s="56"/>
      <c r="CR2643" s="56"/>
      <c r="CS2643" s="56"/>
      <c r="CT2643" s="56"/>
      <c r="CU2643" s="56"/>
      <c r="CV2643" s="56"/>
      <c r="CW2643" s="56"/>
      <c r="CX2643" s="56"/>
      <c r="CY2643" s="56"/>
      <c r="CZ2643" s="56"/>
    </row>
    <row r="2644" spans="27:104" s="5" customFormat="1" x14ac:dyDescent="0.25">
      <c r="AA2644" s="56"/>
      <c r="AB2644" s="56"/>
      <c r="AC2644" s="56"/>
      <c r="AD2644" s="56"/>
      <c r="AE2644" s="56"/>
      <c r="AF2644" s="56"/>
      <c r="AG2644" s="56"/>
      <c r="AH2644" s="56"/>
      <c r="AI2644" s="56"/>
      <c r="AJ2644" s="56"/>
      <c r="AK2644" s="56"/>
      <c r="AL2644" s="56"/>
      <c r="AM2644" s="56"/>
      <c r="AN2644" s="56"/>
      <c r="AO2644" s="56"/>
      <c r="AP2644" s="56"/>
      <c r="AQ2644" s="56"/>
      <c r="AR2644" s="56"/>
      <c r="AS2644" s="56"/>
      <c r="AT2644" s="56"/>
      <c r="AU2644" s="56"/>
      <c r="AV2644" s="56"/>
      <c r="AW2644" s="56"/>
      <c r="AX2644" s="56"/>
      <c r="AY2644" s="56"/>
      <c r="AZ2644" s="56"/>
      <c r="BA2644" s="56"/>
      <c r="BB2644" s="16"/>
      <c r="BC2644" s="56"/>
      <c r="BD2644" s="56"/>
      <c r="BE2644" s="56"/>
      <c r="BF2644" s="56"/>
      <c r="BG2644" s="56"/>
      <c r="BH2644" s="56"/>
      <c r="BI2644" s="56"/>
      <c r="BJ2644" s="56"/>
      <c r="BK2644" s="56"/>
      <c r="BL2644" s="56"/>
      <c r="BM2644" s="56"/>
      <c r="BN2644" s="56"/>
      <c r="BO2644" s="56"/>
      <c r="BP2644" s="56"/>
      <c r="BQ2644" s="56"/>
      <c r="BR2644" s="56"/>
      <c r="BS2644" s="56"/>
      <c r="BT2644" s="56"/>
      <c r="BU2644" s="56"/>
      <c r="BV2644" s="56"/>
      <c r="BW2644" s="56"/>
      <c r="BX2644" s="56"/>
      <c r="BY2644" s="56"/>
      <c r="BZ2644" s="56"/>
      <c r="CA2644" s="56"/>
      <c r="CB2644" s="56"/>
      <c r="CC2644" s="56"/>
      <c r="CD2644" s="56"/>
      <c r="CE2644" s="56"/>
      <c r="CF2644" s="56"/>
      <c r="CG2644" s="56"/>
      <c r="CH2644" s="56"/>
      <c r="CI2644" s="56"/>
      <c r="CJ2644" s="56"/>
      <c r="CK2644" s="56"/>
      <c r="CL2644" s="56"/>
      <c r="CM2644" s="56"/>
      <c r="CN2644" s="56"/>
      <c r="CO2644" s="56"/>
      <c r="CP2644" s="56"/>
      <c r="CQ2644" s="56"/>
      <c r="CR2644" s="56"/>
      <c r="CS2644" s="56"/>
      <c r="CT2644" s="56"/>
      <c r="CU2644" s="56"/>
      <c r="CV2644" s="56"/>
      <c r="CW2644" s="56"/>
      <c r="CX2644" s="56"/>
      <c r="CY2644" s="56"/>
      <c r="CZ2644" s="56"/>
    </row>
    <row r="2645" spans="27:104" s="5" customFormat="1" x14ac:dyDescent="0.25">
      <c r="AA2645" s="56"/>
      <c r="AB2645" s="56"/>
      <c r="AC2645" s="56"/>
      <c r="AD2645" s="56"/>
      <c r="AE2645" s="56"/>
      <c r="AF2645" s="56"/>
      <c r="AG2645" s="56"/>
      <c r="AH2645" s="56"/>
      <c r="AI2645" s="56"/>
      <c r="AJ2645" s="56"/>
      <c r="AK2645" s="56"/>
      <c r="AL2645" s="56"/>
      <c r="AM2645" s="56"/>
      <c r="AN2645" s="56"/>
      <c r="AO2645" s="56"/>
      <c r="AP2645" s="56"/>
      <c r="AQ2645" s="56"/>
      <c r="AR2645" s="56"/>
      <c r="AS2645" s="56"/>
      <c r="AT2645" s="56"/>
      <c r="AU2645" s="56"/>
      <c r="AV2645" s="56"/>
      <c r="AW2645" s="56"/>
      <c r="AX2645" s="56"/>
      <c r="AY2645" s="56"/>
      <c r="AZ2645" s="56"/>
      <c r="BA2645" s="56"/>
      <c r="BB2645" s="16"/>
      <c r="BC2645" s="56"/>
      <c r="BD2645" s="56"/>
      <c r="BE2645" s="56"/>
      <c r="BF2645" s="56"/>
      <c r="BG2645" s="56"/>
      <c r="BH2645" s="56"/>
      <c r="BI2645" s="56"/>
      <c r="BJ2645" s="56"/>
      <c r="BK2645" s="56"/>
      <c r="BL2645" s="56"/>
      <c r="BM2645" s="56"/>
      <c r="BN2645" s="56"/>
      <c r="BO2645" s="56"/>
      <c r="BP2645" s="56"/>
      <c r="BQ2645" s="56"/>
      <c r="BR2645" s="56"/>
      <c r="BS2645" s="56"/>
      <c r="BT2645" s="56"/>
      <c r="BU2645" s="56"/>
      <c r="BV2645" s="56"/>
      <c r="BW2645" s="56"/>
      <c r="BX2645" s="56"/>
      <c r="BY2645" s="56"/>
      <c r="BZ2645" s="56"/>
      <c r="CA2645" s="56"/>
      <c r="CB2645" s="56"/>
      <c r="CC2645" s="56"/>
      <c r="CD2645" s="56"/>
      <c r="CE2645" s="56"/>
      <c r="CF2645" s="56"/>
      <c r="CG2645" s="56"/>
      <c r="CH2645" s="56"/>
      <c r="CI2645" s="56"/>
      <c r="CJ2645" s="56"/>
      <c r="CK2645" s="56"/>
      <c r="CL2645" s="56"/>
      <c r="CM2645" s="56"/>
      <c r="CN2645" s="56"/>
      <c r="CO2645" s="56"/>
      <c r="CP2645" s="56"/>
      <c r="CQ2645" s="56"/>
      <c r="CR2645" s="56"/>
      <c r="CS2645" s="56"/>
      <c r="CT2645" s="56"/>
      <c r="CU2645" s="56"/>
      <c r="CV2645" s="56"/>
      <c r="CW2645" s="56"/>
      <c r="CX2645" s="56"/>
      <c r="CY2645" s="56"/>
      <c r="CZ2645" s="56"/>
    </row>
    <row r="2646" spans="27:104" s="5" customFormat="1" x14ac:dyDescent="0.25">
      <c r="AA2646" s="56"/>
      <c r="AB2646" s="56"/>
      <c r="AC2646" s="56"/>
      <c r="AD2646" s="56"/>
      <c r="AE2646" s="56"/>
      <c r="AF2646" s="56"/>
      <c r="AG2646" s="56"/>
      <c r="AH2646" s="56"/>
      <c r="AI2646" s="56"/>
      <c r="AJ2646" s="56"/>
      <c r="AK2646" s="56"/>
      <c r="AL2646" s="56"/>
      <c r="AM2646" s="56"/>
      <c r="AN2646" s="56"/>
      <c r="AO2646" s="56"/>
      <c r="AP2646" s="56"/>
      <c r="AQ2646" s="56"/>
      <c r="AR2646" s="56"/>
      <c r="AS2646" s="56"/>
      <c r="AT2646" s="56"/>
      <c r="AU2646" s="56"/>
      <c r="AV2646" s="56"/>
      <c r="AW2646" s="56"/>
      <c r="AX2646" s="56"/>
      <c r="AY2646" s="56"/>
      <c r="AZ2646" s="56"/>
      <c r="BA2646" s="56"/>
      <c r="BB2646" s="16"/>
      <c r="BC2646" s="56"/>
      <c r="BD2646" s="56"/>
      <c r="BE2646" s="56"/>
      <c r="BF2646" s="56"/>
      <c r="BG2646" s="56"/>
      <c r="BH2646" s="56"/>
      <c r="BI2646" s="56"/>
      <c r="BJ2646" s="56"/>
      <c r="BK2646" s="56"/>
      <c r="BL2646" s="56"/>
      <c r="BM2646" s="56"/>
      <c r="BN2646" s="56"/>
      <c r="BO2646" s="56"/>
      <c r="BP2646" s="56"/>
      <c r="BQ2646" s="56"/>
      <c r="BR2646" s="56"/>
      <c r="BS2646" s="56"/>
      <c r="BT2646" s="56"/>
      <c r="BU2646" s="56"/>
      <c r="BV2646" s="56"/>
      <c r="BW2646" s="56"/>
      <c r="BX2646" s="56"/>
      <c r="BY2646" s="56"/>
      <c r="BZ2646" s="56"/>
      <c r="CA2646" s="56"/>
      <c r="CB2646" s="56"/>
      <c r="CC2646" s="56"/>
      <c r="CD2646" s="56"/>
      <c r="CE2646" s="56"/>
      <c r="CF2646" s="56"/>
      <c r="CG2646" s="56"/>
      <c r="CH2646" s="56"/>
      <c r="CI2646" s="56"/>
      <c r="CJ2646" s="56"/>
      <c r="CK2646" s="56"/>
      <c r="CL2646" s="56"/>
      <c r="CM2646" s="56"/>
      <c r="CN2646" s="56"/>
      <c r="CO2646" s="56"/>
      <c r="CP2646" s="56"/>
      <c r="CQ2646" s="56"/>
      <c r="CR2646" s="56"/>
      <c r="CS2646" s="56"/>
      <c r="CT2646" s="56"/>
      <c r="CU2646" s="56"/>
      <c r="CV2646" s="56"/>
      <c r="CW2646" s="56"/>
      <c r="CX2646" s="56"/>
      <c r="CY2646" s="56"/>
      <c r="CZ2646" s="56"/>
    </row>
    <row r="2647" spans="27:104" s="5" customFormat="1" x14ac:dyDescent="0.25">
      <c r="AA2647" s="56"/>
      <c r="AB2647" s="56"/>
      <c r="AC2647" s="56"/>
      <c r="AD2647" s="56"/>
      <c r="AE2647" s="56"/>
      <c r="AF2647" s="56"/>
      <c r="AG2647" s="56"/>
      <c r="AH2647" s="56"/>
      <c r="AI2647" s="56"/>
      <c r="AJ2647" s="56"/>
      <c r="AK2647" s="56"/>
      <c r="AL2647" s="56"/>
      <c r="AM2647" s="56"/>
      <c r="AN2647" s="56"/>
      <c r="AO2647" s="56"/>
      <c r="AP2647" s="56"/>
      <c r="AQ2647" s="56"/>
      <c r="AR2647" s="56"/>
      <c r="AS2647" s="56"/>
      <c r="AT2647" s="56"/>
      <c r="AU2647" s="56"/>
      <c r="AV2647" s="56"/>
      <c r="AW2647" s="56"/>
      <c r="AX2647" s="56"/>
      <c r="AY2647" s="56"/>
      <c r="AZ2647" s="56"/>
      <c r="BA2647" s="56"/>
      <c r="BB2647" s="16"/>
      <c r="BC2647" s="56"/>
      <c r="BD2647" s="56"/>
      <c r="BE2647" s="56"/>
      <c r="BF2647" s="56"/>
      <c r="BG2647" s="56"/>
      <c r="BH2647" s="56"/>
      <c r="BI2647" s="56"/>
      <c r="BJ2647" s="56"/>
      <c r="BK2647" s="56"/>
      <c r="BL2647" s="56"/>
      <c r="BM2647" s="56"/>
      <c r="BN2647" s="56"/>
      <c r="BO2647" s="56"/>
      <c r="BP2647" s="56"/>
      <c r="BQ2647" s="56"/>
      <c r="BR2647" s="56"/>
      <c r="BS2647" s="56"/>
      <c r="BT2647" s="56"/>
      <c r="BU2647" s="56"/>
      <c r="BV2647" s="56"/>
      <c r="BW2647" s="56"/>
      <c r="BX2647" s="56"/>
      <c r="BY2647" s="56"/>
      <c r="BZ2647" s="56"/>
      <c r="CA2647" s="56"/>
      <c r="CB2647" s="56"/>
      <c r="CC2647" s="56"/>
      <c r="CD2647" s="56"/>
      <c r="CE2647" s="56"/>
      <c r="CF2647" s="56"/>
      <c r="CG2647" s="56"/>
      <c r="CH2647" s="56"/>
      <c r="CI2647" s="56"/>
      <c r="CJ2647" s="56"/>
      <c r="CK2647" s="56"/>
      <c r="CL2647" s="56"/>
      <c r="CM2647" s="56"/>
      <c r="CN2647" s="56"/>
      <c r="CO2647" s="56"/>
      <c r="CP2647" s="56"/>
      <c r="CQ2647" s="56"/>
      <c r="CR2647" s="56"/>
      <c r="CS2647" s="56"/>
      <c r="CT2647" s="56"/>
      <c r="CU2647" s="56"/>
      <c r="CV2647" s="56"/>
      <c r="CW2647" s="56"/>
      <c r="CX2647" s="56"/>
      <c r="CY2647" s="56"/>
      <c r="CZ2647" s="56"/>
    </row>
    <row r="2648" spans="27:104" s="5" customFormat="1" x14ac:dyDescent="0.25">
      <c r="AA2648" s="56"/>
      <c r="AB2648" s="56"/>
      <c r="AC2648" s="56"/>
      <c r="AD2648" s="56"/>
      <c r="AE2648" s="56"/>
      <c r="AF2648" s="56"/>
      <c r="AG2648" s="56"/>
      <c r="AH2648" s="56"/>
      <c r="AI2648" s="56"/>
      <c r="AJ2648" s="56"/>
      <c r="AK2648" s="56"/>
      <c r="AL2648" s="56"/>
      <c r="AM2648" s="56"/>
      <c r="AN2648" s="56"/>
      <c r="AO2648" s="56"/>
      <c r="AP2648" s="56"/>
      <c r="AQ2648" s="56"/>
      <c r="AR2648" s="56"/>
      <c r="AS2648" s="56"/>
      <c r="AT2648" s="56"/>
      <c r="AU2648" s="56"/>
      <c r="AV2648" s="56"/>
      <c r="AW2648" s="56"/>
      <c r="AX2648" s="56"/>
      <c r="AY2648" s="56"/>
      <c r="AZ2648" s="56"/>
      <c r="BA2648" s="56"/>
      <c r="BB2648" s="16"/>
      <c r="BC2648" s="56"/>
      <c r="BD2648" s="56"/>
      <c r="BE2648" s="56"/>
      <c r="BF2648" s="56"/>
      <c r="BG2648" s="56"/>
      <c r="BH2648" s="56"/>
      <c r="BI2648" s="56"/>
      <c r="BJ2648" s="56"/>
      <c r="BK2648" s="56"/>
      <c r="BL2648" s="56"/>
      <c r="BM2648" s="56"/>
      <c r="BN2648" s="56"/>
      <c r="BO2648" s="56"/>
      <c r="BP2648" s="56"/>
      <c r="BQ2648" s="56"/>
      <c r="BR2648" s="56"/>
      <c r="BS2648" s="56"/>
      <c r="BT2648" s="56"/>
      <c r="BU2648" s="56"/>
      <c r="BV2648" s="56"/>
      <c r="BW2648" s="56"/>
      <c r="BX2648" s="56"/>
      <c r="BY2648" s="56"/>
      <c r="BZ2648" s="56"/>
      <c r="CA2648" s="56"/>
      <c r="CB2648" s="56"/>
      <c r="CC2648" s="56"/>
      <c r="CD2648" s="56"/>
      <c r="CE2648" s="56"/>
      <c r="CF2648" s="56"/>
      <c r="CG2648" s="56"/>
      <c r="CH2648" s="56"/>
      <c r="CI2648" s="56"/>
      <c r="CJ2648" s="56"/>
      <c r="CK2648" s="56"/>
      <c r="CL2648" s="56"/>
      <c r="CM2648" s="56"/>
      <c r="CN2648" s="56"/>
      <c r="CO2648" s="56"/>
      <c r="CP2648" s="56"/>
      <c r="CQ2648" s="56"/>
      <c r="CR2648" s="56"/>
      <c r="CS2648" s="56"/>
      <c r="CT2648" s="56"/>
      <c r="CU2648" s="56"/>
      <c r="CV2648" s="56"/>
      <c r="CW2648" s="56"/>
      <c r="CX2648" s="56"/>
      <c r="CY2648" s="56"/>
      <c r="CZ2648" s="56"/>
    </row>
    <row r="2649" spans="27:104" s="5" customFormat="1" x14ac:dyDescent="0.25">
      <c r="AA2649" s="56"/>
      <c r="AB2649" s="56"/>
      <c r="AC2649" s="56"/>
      <c r="AD2649" s="56"/>
      <c r="AE2649" s="56"/>
      <c r="AF2649" s="56"/>
      <c r="AG2649" s="56"/>
      <c r="AH2649" s="56"/>
      <c r="AI2649" s="56"/>
      <c r="AJ2649" s="56"/>
      <c r="AK2649" s="56"/>
      <c r="AL2649" s="56"/>
      <c r="AM2649" s="56"/>
      <c r="AN2649" s="56"/>
      <c r="AO2649" s="56"/>
      <c r="AP2649" s="56"/>
      <c r="AQ2649" s="56"/>
      <c r="AR2649" s="56"/>
      <c r="AS2649" s="56"/>
      <c r="AT2649" s="56"/>
      <c r="AU2649" s="56"/>
      <c r="AV2649" s="56"/>
      <c r="AW2649" s="56"/>
      <c r="AX2649" s="56"/>
      <c r="AY2649" s="56"/>
      <c r="AZ2649" s="56"/>
      <c r="BA2649" s="56"/>
      <c r="BB2649" s="16"/>
      <c r="BC2649" s="56"/>
      <c r="BD2649" s="56"/>
      <c r="BE2649" s="56"/>
      <c r="BF2649" s="56"/>
      <c r="BG2649" s="56"/>
      <c r="BH2649" s="56"/>
      <c r="BI2649" s="56"/>
      <c r="BJ2649" s="56"/>
      <c r="BK2649" s="56"/>
      <c r="BL2649" s="56"/>
      <c r="BM2649" s="56"/>
      <c r="BN2649" s="56"/>
      <c r="BO2649" s="56"/>
      <c r="BP2649" s="56"/>
      <c r="BQ2649" s="56"/>
      <c r="BR2649" s="56"/>
      <c r="BS2649" s="56"/>
      <c r="BT2649" s="56"/>
      <c r="BU2649" s="56"/>
      <c r="BV2649" s="56"/>
      <c r="BW2649" s="56"/>
      <c r="BX2649" s="56"/>
      <c r="BY2649" s="56"/>
      <c r="BZ2649" s="56"/>
      <c r="CA2649" s="56"/>
      <c r="CB2649" s="56"/>
      <c r="CC2649" s="56"/>
      <c r="CD2649" s="56"/>
      <c r="CE2649" s="56"/>
      <c r="CF2649" s="56"/>
      <c r="CG2649" s="56"/>
      <c r="CH2649" s="56"/>
      <c r="CI2649" s="56"/>
      <c r="CJ2649" s="56"/>
      <c r="CK2649" s="56"/>
      <c r="CL2649" s="56"/>
      <c r="CM2649" s="56"/>
      <c r="CN2649" s="56"/>
      <c r="CO2649" s="56"/>
      <c r="CP2649" s="56"/>
      <c r="CQ2649" s="56"/>
      <c r="CR2649" s="56"/>
      <c r="CS2649" s="56"/>
      <c r="CT2649" s="56"/>
      <c r="CU2649" s="56"/>
      <c r="CV2649" s="56"/>
      <c r="CW2649" s="56"/>
      <c r="CX2649" s="56"/>
      <c r="CY2649" s="56"/>
      <c r="CZ2649" s="56"/>
    </row>
    <row r="2650" spans="27:104" s="5" customFormat="1" x14ac:dyDescent="0.25">
      <c r="AA2650" s="56"/>
      <c r="AB2650" s="56"/>
      <c r="AC2650" s="56"/>
      <c r="AD2650" s="56"/>
      <c r="AE2650" s="56"/>
      <c r="AF2650" s="56"/>
      <c r="AG2650" s="56"/>
      <c r="AH2650" s="56"/>
      <c r="AI2650" s="56"/>
      <c r="AJ2650" s="56"/>
      <c r="AK2650" s="56"/>
      <c r="AL2650" s="56"/>
      <c r="AM2650" s="56"/>
      <c r="AN2650" s="56"/>
      <c r="AO2650" s="56"/>
      <c r="AP2650" s="56"/>
      <c r="AQ2650" s="56"/>
      <c r="AR2650" s="56"/>
      <c r="AS2650" s="56"/>
      <c r="AT2650" s="56"/>
      <c r="AU2650" s="56"/>
      <c r="AV2650" s="56"/>
      <c r="AW2650" s="56"/>
      <c r="AX2650" s="56"/>
      <c r="AY2650" s="56"/>
      <c r="AZ2650" s="56"/>
      <c r="BA2650" s="56"/>
      <c r="BB2650" s="16"/>
      <c r="BC2650" s="56"/>
      <c r="BD2650" s="56"/>
      <c r="BE2650" s="56"/>
      <c r="BF2650" s="56"/>
      <c r="BG2650" s="56"/>
      <c r="BH2650" s="56"/>
      <c r="BI2650" s="56"/>
      <c r="BJ2650" s="56"/>
      <c r="BK2650" s="56"/>
      <c r="BL2650" s="56"/>
      <c r="BM2650" s="56"/>
      <c r="BN2650" s="56"/>
      <c r="BO2650" s="56"/>
      <c r="BP2650" s="56"/>
      <c r="BQ2650" s="56"/>
      <c r="BR2650" s="56"/>
      <c r="BS2650" s="56"/>
      <c r="BT2650" s="56"/>
      <c r="BU2650" s="56"/>
      <c r="BV2650" s="56"/>
      <c r="BW2650" s="56"/>
      <c r="BX2650" s="56"/>
      <c r="BY2650" s="56"/>
      <c r="BZ2650" s="56"/>
      <c r="CA2650" s="56"/>
      <c r="CB2650" s="56"/>
      <c r="CC2650" s="56"/>
      <c r="CD2650" s="56"/>
      <c r="CE2650" s="56"/>
      <c r="CF2650" s="56"/>
      <c r="CG2650" s="56"/>
      <c r="CH2650" s="56"/>
      <c r="CI2650" s="56"/>
      <c r="CJ2650" s="56"/>
      <c r="CK2650" s="56"/>
      <c r="CL2650" s="56"/>
      <c r="CM2650" s="56"/>
      <c r="CN2650" s="56"/>
      <c r="CO2650" s="56"/>
      <c r="CP2650" s="56"/>
      <c r="CQ2650" s="56"/>
      <c r="CR2650" s="56"/>
      <c r="CS2650" s="56"/>
      <c r="CT2650" s="56"/>
      <c r="CU2650" s="56"/>
      <c r="CV2650" s="56"/>
      <c r="CW2650" s="56"/>
      <c r="CX2650" s="56"/>
      <c r="CY2650" s="56"/>
      <c r="CZ2650" s="56"/>
    </row>
    <row r="2651" spans="27:104" s="5" customFormat="1" x14ac:dyDescent="0.25">
      <c r="AA2651" s="56"/>
      <c r="AB2651" s="56"/>
      <c r="AC2651" s="56"/>
      <c r="AD2651" s="56"/>
      <c r="AE2651" s="56"/>
      <c r="AF2651" s="56"/>
      <c r="AG2651" s="56"/>
      <c r="AH2651" s="56"/>
      <c r="AI2651" s="56"/>
      <c r="AJ2651" s="56"/>
      <c r="AK2651" s="56"/>
      <c r="AL2651" s="56"/>
      <c r="AM2651" s="56"/>
      <c r="AN2651" s="56"/>
      <c r="AO2651" s="56"/>
      <c r="AP2651" s="56"/>
      <c r="AQ2651" s="56"/>
      <c r="AR2651" s="56"/>
      <c r="AS2651" s="56"/>
      <c r="AT2651" s="56"/>
      <c r="AU2651" s="56"/>
      <c r="AV2651" s="56"/>
      <c r="AW2651" s="56"/>
      <c r="AX2651" s="56"/>
      <c r="AY2651" s="56"/>
      <c r="AZ2651" s="56"/>
      <c r="BA2651" s="56"/>
      <c r="BB2651" s="16"/>
      <c r="BC2651" s="56"/>
      <c r="BD2651" s="56"/>
      <c r="BE2651" s="56"/>
      <c r="BF2651" s="56"/>
      <c r="BG2651" s="56"/>
      <c r="BH2651" s="56"/>
      <c r="BI2651" s="56"/>
      <c r="BJ2651" s="56"/>
      <c r="BK2651" s="56"/>
      <c r="BL2651" s="56"/>
      <c r="BM2651" s="56"/>
      <c r="BN2651" s="56"/>
      <c r="BO2651" s="56"/>
      <c r="BP2651" s="56"/>
      <c r="BQ2651" s="56"/>
      <c r="BR2651" s="56"/>
      <c r="BS2651" s="56"/>
      <c r="BT2651" s="56"/>
      <c r="BU2651" s="56"/>
      <c r="BV2651" s="56"/>
      <c r="BW2651" s="56"/>
      <c r="BX2651" s="56"/>
      <c r="BY2651" s="56"/>
      <c r="BZ2651" s="56"/>
      <c r="CA2651" s="56"/>
      <c r="CB2651" s="56"/>
      <c r="CC2651" s="56"/>
      <c r="CD2651" s="56"/>
      <c r="CE2651" s="56"/>
      <c r="CF2651" s="56"/>
      <c r="CG2651" s="56"/>
      <c r="CH2651" s="56"/>
      <c r="CI2651" s="56"/>
      <c r="CJ2651" s="56"/>
      <c r="CK2651" s="56"/>
      <c r="CL2651" s="56"/>
      <c r="CM2651" s="56"/>
      <c r="CN2651" s="56"/>
      <c r="CO2651" s="56"/>
      <c r="CP2651" s="56"/>
      <c r="CQ2651" s="56"/>
      <c r="CR2651" s="56"/>
      <c r="CS2651" s="56"/>
      <c r="CT2651" s="56"/>
      <c r="CU2651" s="56"/>
      <c r="CV2651" s="56"/>
      <c r="CW2651" s="56"/>
      <c r="CX2651" s="56"/>
      <c r="CY2651" s="56"/>
      <c r="CZ2651" s="56"/>
    </row>
    <row r="2652" spans="27:104" s="5" customFormat="1" x14ac:dyDescent="0.25">
      <c r="AA2652" s="56"/>
      <c r="AB2652" s="56"/>
      <c r="AC2652" s="56"/>
      <c r="AD2652" s="56"/>
      <c r="AE2652" s="56"/>
      <c r="AF2652" s="56"/>
      <c r="AG2652" s="56"/>
      <c r="AH2652" s="56"/>
      <c r="AI2652" s="56"/>
      <c r="AJ2652" s="56"/>
      <c r="AK2652" s="56"/>
      <c r="AL2652" s="56"/>
      <c r="AM2652" s="56"/>
      <c r="AN2652" s="56"/>
      <c r="AO2652" s="56"/>
      <c r="AP2652" s="56"/>
      <c r="AQ2652" s="56"/>
      <c r="AR2652" s="56"/>
      <c r="AS2652" s="56"/>
      <c r="AT2652" s="56"/>
      <c r="AU2652" s="56"/>
      <c r="AV2652" s="56"/>
      <c r="AW2652" s="56"/>
      <c r="AX2652" s="56"/>
      <c r="AY2652" s="56"/>
      <c r="AZ2652" s="56"/>
      <c r="BA2652" s="56"/>
      <c r="BB2652" s="16"/>
      <c r="BC2652" s="56"/>
      <c r="BD2652" s="56"/>
      <c r="BE2652" s="56"/>
      <c r="BF2652" s="56"/>
      <c r="BG2652" s="56"/>
      <c r="BH2652" s="56"/>
      <c r="BI2652" s="56"/>
      <c r="BJ2652" s="56"/>
      <c r="BK2652" s="56"/>
      <c r="BL2652" s="56"/>
      <c r="BM2652" s="56"/>
      <c r="BN2652" s="56"/>
      <c r="BO2652" s="56"/>
      <c r="BP2652" s="56"/>
      <c r="BQ2652" s="56"/>
      <c r="BR2652" s="56"/>
      <c r="BS2652" s="56"/>
      <c r="BT2652" s="56"/>
      <c r="BU2652" s="56"/>
      <c r="BV2652" s="56"/>
      <c r="BW2652" s="56"/>
      <c r="BX2652" s="56"/>
      <c r="BY2652" s="56"/>
      <c r="BZ2652" s="56"/>
      <c r="CA2652" s="56"/>
      <c r="CB2652" s="56"/>
      <c r="CC2652" s="56"/>
      <c r="CD2652" s="56"/>
      <c r="CE2652" s="56"/>
      <c r="CF2652" s="56"/>
      <c r="CG2652" s="56"/>
      <c r="CH2652" s="56"/>
      <c r="CI2652" s="56"/>
      <c r="CJ2652" s="56"/>
      <c r="CK2652" s="56"/>
      <c r="CL2652" s="56"/>
      <c r="CM2652" s="56"/>
      <c r="CN2652" s="56"/>
      <c r="CO2652" s="56"/>
      <c r="CP2652" s="56"/>
      <c r="CQ2652" s="56"/>
      <c r="CR2652" s="56"/>
      <c r="CS2652" s="56"/>
      <c r="CT2652" s="56"/>
      <c r="CU2652" s="56"/>
      <c r="CV2652" s="56"/>
      <c r="CW2652" s="56"/>
      <c r="CX2652" s="56"/>
      <c r="CY2652" s="56"/>
      <c r="CZ2652" s="56"/>
    </row>
    <row r="2653" spans="27:104" s="5" customFormat="1" x14ac:dyDescent="0.25">
      <c r="AA2653" s="56"/>
      <c r="AB2653" s="56"/>
      <c r="AC2653" s="56"/>
      <c r="AD2653" s="56"/>
      <c r="AE2653" s="56"/>
      <c r="AF2653" s="56"/>
      <c r="AG2653" s="56"/>
      <c r="AH2653" s="56"/>
      <c r="AI2653" s="56"/>
      <c r="AJ2653" s="56"/>
      <c r="AK2653" s="56"/>
      <c r="AL2653" s="56"/>
      <c r="AM2653" s="56"/>
      <c r="AN2653" s="56"/>
      <c r="AO2653" s="56"/>
      <c r="AP2653" s="56"/>
      <c r="AQ2653" s="56"/>
      <c r="AR2653" s="56"/>
      <c r="AS2653" s="56"/>
      <c r="AT2653" s="56"/>
      <c r="AU2653" s="56"/>
      <c r="AV2653" s="56"/>
      <c r="AW2653" s="56"/>
      <c r="AX2653" s="56"/>
      <c r="AY2653" s="56"/>
      <c r="AZ2653" s="56"/>
      <c r="BA2653" s="56"/>
      <c r="BB2653" s="16"/>
      <c r="BC2653" s="56"/>
      <c r="BD2653" s="56"/>
      <c r="BE2653" s="56"/>
      <c r="BF2653" s="56"/>
      <c r="BG2653" s="56"/>
      <c r="BH2653" s="56"/>
      <c r="BI2653" s="56"/>
      <c r="BJ2653" s="56"/>
      <c r="BK2653" s="56"/>
      <c r="BL2653" s="56"/>
      <c r="BM2653" s="56"/>
      <c r="BN2653" s="56"/>
      <c r="BO2653" s="56"/>
      <c r="BP2653" s="56"/>
      <c r="BQ2653" s="56"/>
      <c r="BR2653" s="56"/>
      <c r="BS2653" s="56"/>
      <c r="BT2653" s="56"/>
      <c r="BU2653" s="56"/>
      <c r="BV2653" s="56"/>
      <c r="BW2653" s="56"/>
      <c r="BX2653" s="56"/>
      <c r="BY2653" s="56"/>
      <c r="BZ2653" s="56"/>
      <c r="CA2653" s="56"/>
      <c r="CB2653" s="56"/>
      <c r="CC2653" s="56"/>
      <c r="CD2653" s="56"/>
      <c r="CE2653" s="56"/>
      <c r="CF2653" s="56"/>
      <c r="CG2653" s="56"/>
      <c r="CH2653" s="56"/>
      <c r="CI2653" s="56"/>
      <c r="CJ2653" s="56"/>
      <c r="CK2653" s="56"/>
      <c r="CL2653" s="56"/>
      <c r="CM2653" s="56"/>
      <c r="CN2653" s="56"/>
      <c r="CO2653" s="56"/>
      <c r="CP2653" s="56"/>
      <c r="CQ2653" s="56"/>
      <c r="CR2653" s="56"/>
      <c r="CS2653" s="56"/>
      <c r="CT2653" s="56"/>
      <c r="CU2653" s="56"/>
      <c r="CV2653" s="56"/>
      <c r="CW2653" s="56"/>
      <c r="CX2653" s="56"/>
      <c r="CY2653" s="56"/>
      <c r="CZ2653" s="56"/>
    </row>
    <row r="2654" spans="27:104" s="5" customFormat="1" x14ac:dyDescent="0.25">
      <c r="AA2654" s="56"/>
      <c r="AB2654" s="56"/>
      <c r="AC2654" s="56"/>
      <c r="AD2654" s="56"/>
      <c r="AE2654" s="56"/>
      <c r="AF2654" s="56"/>
      <c r="AG2654" s="56"/>
      <c r="AH2654" s="56"/>
      <c r="AI2654" s="56"/>
      <c r="AJ2654" s="56"/>
      <c r="AK2654" s="56"/>
      <c r="AL2654" s="56"/>
      <c r="AM2654" s="56"/>
      <c r="AN2654" s="56"/>
      <c r="AO2654" s="56"/>
      <c r="AP2654" s="56"/>
      <c r="AQ2654" s="56"/>
      <c r="AR2654" s="56"/>
      <c r="AS2654" s="56"/>
      <c r="AT2654" s="56"/>
      <c r="AU2654" s="56"/>
      <c r="AV2654" s="56"/>
      <c r="AW2654" s="56"/>
      <c r="AX2654" s="56"/>
      <c r="AY2654" s="56"/>
      <c r="AZ2654" s="56"/>
      <c r="BA2654" s="56"/>
      <c r="BB2654" s="16"/>
      <c r="BC2654" s="56"/>
      <c r="BD2654" s="56"/>
      <c r="BE2654" s="56"/>
      <c r="BF2654" s="56"/>
      <c r="BG2654" s="56"/>
      <c r="BH2654" s="56"/>
      <c r="BI2654" s="56"/>
      <c r="BJ2654" s="56"/>
      <c r="BK2654" s="56"/>
      <c r="BL2654" s="56"/>
      <c r="BM2654" s="56"/>
      <c r="BN2654" s="56"/>
      <c r="BO2654" s="56"/>
      <c r="BP2654" s="56"/>
      <c r="BQ2654" s="56"/>
      <c r="BR2654" s="56"/>
      <c r="BS2654" s="56"/>
      <c r="BT2654" s="56"/>
      <c r="BU2654" s="56"/>
      <c r="BV2654" s="56"/>
      <c r="BW2654" s="56"/>
      <c r="BX2654" s="56"/>
      <c r="BY2654" s="56"/>
      <c r="BZ2654" s="56"/>
      <c r="CA2654" s="56"/>
      <c r="CB2654" s="56"/>
      <c r="CC2654" s="56"/>
      <c r="CD2654" s="56"/>
      <c r="CE2654" s="56"/>
      <c r="CF2654" s="56"/>
      <c r="CG2654" s="56"/>
      <c r="CH2654" s="56"/>
      <c r="CI2654" s="56"/>
      <c r="CJ2654" s="56"/>
      <c r="CK2654" s="56"/>
      <c r="CL2654" s="56"/>
      <c r="CM2654" s="56"/>
      <c r="CN2654" s="56"/>
      <c r="CO2654" s="56"/>
      <c r="CP2654" s="56"/>
      <c r="CQ2654" s="56"/>
      <c r="CR2654" s="56"/>
      <c r="CS2654" s="56"/>
      <c r="CT2654" s="56"/>
      <c r="CU2654" s="56"/>
      <c r="CV2654" s="56"/>
      <c r="CW2654" s="56"/>
      <c r="CX2654" s="56"/>
      <c r="CY2654" s="56"/>
      <c r="CZ2654" s="56"/>
    </row>
    <row r="2655" spans="27:104" s="5" customFormat="1" x14ac:dyDescent="0.25">
      <c r="AA2655" s="56"/>
      <c r="AB2655" s="56"/>
      <c r="AC2655" s="56"/>
      <c r="AD2655" s="56"/>
      <c r="AE2655" s="56"/>
      <c r="AF2655" s="56"/>
      <c r="AG2655" s="56"/>
      <c r="AH2655" s="56"/>
      <c r="AI2655" s="56"/>
      <c r="AJ2655" s="56"/>
      <c r="AK2655" s="56"/>
      <c r="AL2655" s="56"/>
      <c r="AM2655" s="56"/>
      <c r="AN2655" s="56"/>
      <c r="AO2655" s="56"/>
      <c r="AP2655" s="56"/>
      <c r="AQ2655" s="56"/>
      <c r="AR2655" s="56"/>
      <c r="AS2655" s="56"/>
      <c r="AT2655" s="56"/>
      <c r="AU2655" s="56"/>
      <c r="AV2655" s="56"/>
      <c r="AW2655" s="56"/>
      <c r="AX2655" s="56"/>
      <c r="AY2655" s="56"/>
      <c r="AZ2655" s="56"/>
      <c r="BA2655" s="56"/>
      <c r="BB2655" s="16"/>
      <c r="BC2655" s="56"/>
      <c r="BD2655" s="56"/>
      <c r="BE2655" s="56"/>
      <c r="BF2655" s="56"/>
      <c r="BG2655" s="56"/>
      <c r="BH2655" s="56"/>
      <c r="BI2655" s="56"/>
      <c r="BJ2655" s="56"/>
      <c r="BK2655" s="56"/>
      <c r="BL2655" s="56"/>
      <c r="BM2655" s="56"/>
      <c r="BN2655" s="56"/>
      <c r="BO2655" s="56"/>
      <c r="BP2655" s="56"/>
      <c r="BQ2655" s="56"/>
      <c r="BR2655" s="56"/>
      <c r="BS2655" s="56"/>
      <c r="BT2655" s="56"/>
      <c r="BU2655" s="56"/>
      <c r="BV2655" s="56"/>
      <c r="BW2655" s="56"/>
      <c r="BX2655" s="56"/>
      <c r="BY2655" s="56"/>
      <c r="BZ2655" s="56"/>
      <c r="CA2655" s="56"/>
      <c r="CB2655" s="56"/>
      <c r="CC2655" s="56"/>
      <c r="CD2655" s="56"/>
      <c r="CE2655" s="56"/>
      <c r="CF2655" s="56"/>
      <c r="CG2655" s="56"/>
      <c r="CH2655" s="56"/>
      <c r="CI2655" s="56"/>
      <c r="CJ2655" s="56"/>
      <c r="CK2655" s="56"/>
      <c r="CL2655" s="56"/>
      <c r="CM2655" s="56"/>
      <c r="CN2655" s="56"/>
      <c r="CO2655" s="56"/>
      <c r="CP2655" s="56"/>
      <c r="CQ2655" s="56"/>
      <c r="CR2655" s="56"/>
      <c r="CS2655" s="56"/>
      <c r="CT2655" s="56"/>
      <c r="CU2655" s="56"/>
      <c r="CV2655" s="56"/>
      <c r="CW2655" s="56"/>
      <c r="CX2655" s="56"/>
      <c r="CY2655" s="56"/>
      <c r="CZ2655" s="56"/>
    </row>
    <row r="2656" spans="27:104" s="5" customFormat="1" x14ac:dyDescent="0.25">
      <c r="AA2656" s="56"/>
      <c r="AB2656" s="56"/>
      <c r="AC2656" s="56"/>
      <c r="AD2656" s="56"/>
      <c r="AE2656" s="56"/>
      <c r="AF2656" s="56"/>
      <c r="AG2656" s="56"/>
      <c r="AH2656" s="56"/>
      <c r="AI2656" s="56"/>
      <c r="AJ2656" s="56"/>
      <c r="AK2656" s="56"/>
      <c r="AL2656" s="56"/>
      <c r="AM2656" s="56"/>
      <c r="AN2656" s="56"/>
      <c r="AO2656" s="56"/>
      <c r="AP2656" s="56"/>
      <c r="AQ2656" s="56"/>
      <c r="AR2656" s="56"/>
      <c r="AS2656" s="56"/>
      <c r="AT2656" s="56"/>
      <c r="AU2656" s="56"/>
      <c r="AV2656" s="56"/>
      <c r="AW2656" s="56"/>
      <c r="AX2656" s="56"/>
      <c r="AY2656" s="56"/>
      <c r="AZ2656" s="56"/>
      <c r="BA2656" s="56"/>
      <c r="BB2656" s="16"/>
      <c r="BC2656" s="56"/>
      <c r="BD2656" s="56"/>
      <c r="BE2656" s="56"/>
      <c r="BF2656" s="56"/>
      <c r="BG2656" s="56"/>
      <c r="BH2656" s="56"/>
      <c r="BI2656" s="56"/>
      <c r="BJ2656" s="56"/>
      <c r="BK2656" s="56"/>
      <c r="BL2656" s="56"/>
      <c r="BM2656" s="56"/>
      <c r="BN2656" s="56"/>
      <c r="BO2656" s="56"/>
      <c r="BP2656" s="56"/>
      <c r="BQ2656" s="56"/>
      <c r="BR2656" s="56"/>
      <c r="BS2656" s="56"/>
      <c r="BT2656" s="56"/>
      <c r="BU2656" s="56"/>
      <c r="BV2656" s="56"/>
      <c r="BW2656" s="56"/>
      <c r="BX2656" s="56"/>
      <c r="BY2656" s="56"/>
      <c r="BZ2656" s="56"/>
      <c r="CA2656" s="56"/>
      <c r="CB2656" s="56"/>
      <c r="CC2656" s="56"/>
      <c r="CD2656" s="56"/>
      <c r="CE2656" s="56"/>
      <c r="CF2656" s="56"/>
      <c r="CG2656" s="56"/>
      <c r="CH2656" s="56"/>
      <c r="CI2656" s="56"/>
      <c r="CJ2656" s="56"/>
      <c r="CK2656" s="56"/>
      <c r="CL2656" s="56"/>
      <c r="CM2656" s="56"/>
      <c r="CN2656" s="56"/>
      <c r="CO2656" s="56"/>
      <c r="CP2656" s="56"/>
      <c r="CQ2656" s="56"/>
      <c r="CR2656" s="56"/>
      <c r="CS2656" s="56"/>
      <c r="CT2656" s="56"/>
      <c r="CU2656" s="56"/>
      <c r="CV2656" s="56"/>
      <c r="CW2656" s="56"/>
      <c r="CX2656" s="56"/>
      <c r="CY2656" s="56"/>
      <c r="CZ2656" s="56"/>
    </row>
    <row r="2657" spans="27:104" s="5" customFormat="1" x14ac:dyDescent="0.25">
      <c r="AA2657" s="56"/>
      <c r="AB2657" s="56"/>
      <c r="AC2657" s="56"/>
      <c r="AD2657" s="56"/>
      <c r="AE2657" s="56"/>
      <c r="AF2657" s="56"/>
      <c r="AG2657" s="56"/>
      <c r="AH2657" s="56"/>
      <c r="AI2657" s="56"/>
      <c r="AJ2657" s="56"/>
      <c r="AK2657" s="56"/>
      <c r="AL2657" s="56"/>
      <c r="AM2657" s="56"/>
      <c r="AN2657" s="56"/>
      <c r="AO2657" s="56"/>
      <c r="AP2657" s="56"/>
      <c r="AQ2657" s="56"/>
      <c r="AR2657" s="56"/>
      <c r="AS2657" s="56"/>
      <c r="AT2657" s="56"/>
      <c r="AU2657" s="56"/>
      <c r="AV2657" s="56"/>
      <c r="AW2657" s="56"/>
      <c r="AX2657" s="56"/>
      <c r="AY2657" s="56"/>
      <c r="AZ2657" s="56"/>
      <c r="BA2657" s="56"/>
      <c r="BB2657" s="16"/>
      <c r="BC2657" s="56"/>
      <c r="BD2657" s="56"/>
      <c r="BE2657" s="56"/>
      <c r="BF2657" s="56"/>
      <c r="BG2657" s="56"/>
      <c r="BH2657" s="56"/>
      <c r="BI2657" s="56"/>
      <c r="BJ2657" s="56"/>
      <c r="BK2657" s="56"/>
      <c r="BL2657" s="56"/>
      <c r="BM2657" s="56"/>
      <c r="BN2657" s="56"/>
      <c r="BO2657" s="56"/>
      <c r="BP2657" s="56"/>
      <c r="BQ2657" s="56"/>
      <c r="BR2657" s="56"/>
      <c r="BS2657" s="56"/>
      <c r="BT2657" s="56"/>
      <c r="BU2657" s="56"/>
      <c r="BV2657" s="56"/>
      <c r="BW2657" s="56"/>
      <c r="BX2657" s="56"/>
      <c r="BY2657" s="56"/>
      <c r="BZ2657" s="56"/>
      <c r="CA2657" s="56"/>
      <c r="CB2657" s="56"/>
      <c r="CC2657" s="56"/>
      <c r="CD2657" s="56"/>
      <c r="CE2657" s="56"/>
      <c r="CF2657" s="56"/>
      <c r="CG2657" s="56"/>
      <c r="CH2657" s="56"/>
      <c r="CI2657" s="56"/>
      <c r="CJ2657" s="56"/>
      <c r="CK2657" s="56"/>
      <c r="CL2657" s="56"/>
      <c r="CM2657" s="56"/>
      <c r="CN2657" s="56"/>
      <c r="CO2657" s="56"/>
      <c r="CP2657" s="56"/>
      <c r="CQ2657" s="56"/>
      <c r="CR2657" s="56"/>
      <c r="CS2657" s="56"/>
      <c r="CT2657" s="56"/>
      <c r="CU2657" s="56"/>
      <c r="CV2657" s="56"/>
      <c r="CW2657" s="56"/>
      <c r="CX2657" s="56"/>
      <c r="CY2657" s="56"/>
      <c r="CZ2657" s="56"/>
    </row>
    <row r="2658" spans="27:104" s="5" customFormat="1" x14ac:dyDescent="0.25">
      <c r="AA2658" s="56"/>
      <c r="AB2658" s="56"/>
      <c r="AC2658" s="56"/>
      <c r="AD2658" s="56"/>
      <c r="AE2658" s="56"/>
      <c r="AF2658" s="56"/>
      <c r="AG2658" s="56"/>
      <c r="AH2658" s="56"/>
      <c r="AI2658" s="56"/>
      <c r="AJ2658" s="56"/>
      <c r="AK2658" s="56"/>
      <c r="AL2658" s="56"/>
      <c r="AM2658" s="56"/>
      <c r="AN2658" s="56"/>
      <c r="AO2658" s="56"/>
      <c r="AP2658" s="56"/>
      <c r="AQ2658" s="56"/>
      <c r="AR2658" s="56"/>
      <c r="AS2658" s="56"/>
      <c r="AT2658" s="56"/>
      <c r="AU2658" s="56"/>
      <c r="AV2658" s="56"/>
      <c r="AW2658" s="56"/>
      <c r="AX2658" s="56"/>
      <c r="AY2658" s="56"/>
      <c r="AZ2658" s="56"/>
      <c r="BA2658" s="56"/>
      <c r="BB2658" s="16"/>
      <c r="BC2658" s="56"/>
      <c r="BD2658" s="56"/>
      <c r="BE2658" s="56"/>
      <c r="BF2658" s="56"/>
      <c r="BG2658" s="56"/>
      <c r="BH2658" s="56"/>
      <c r="BI2658" s="56"/>
      <c r="BJ2658" s="56"/>
      <c r="BK2658" s="56"/>
      <c r="BL2658" s="56"/>
      <c r="BM2658" s="56"/>
      <c r="BN2658" s="56"/>
      <c r="BO2658" s="56"/>
      <c r="BP2658" s="56"/>
      <c r="BQ2658" s="56"/>
      <c r="BR2658" s="56"/>
      <c r="BS2658" s="56"/>
      <c r="BT2658" s="56"/>
      <c r="BU2658" s="56"/>
      <c r="BV2658" s="56"/>
      <c r="BW2658" s="56"/>
      <c r="BX2658" s="56"/>
      <c r="BY2658" s="56"/>
      <c r="BZ2658" s="56"/>
      <c r="CA2658" s="56"/>
      <c r="CB2658" s="56"/>
      <c r="CC2658" s="56"/>
      <c r="CD2658" s="56"/>
      <c r="CE2658" s="56"/>
      <c r="CF2658" s="56"/>
      <c r="CG2658" s="56"/>
      <c r="CH2658" s="56"/>
      <c r="CI2658" s="56"/>
      <c r="CJ2658" s="56"/>
      <c r="CK2658" s="56"/>
      <c r="CL2658" s="56"/>
      <c r="CM2658" s="56"/>
      <c r="CN2658" s="56"/>
      <c r="CO2658" s="56"/>
      <c r="CP2658" s="56"/>
      <c r="CQ2658" s="56"/>
      <c r="CR2658" s="56"/>
      <c r="CS2658" s="56"/>
      <c r="CT2658" s="56"/>
      <c r="CU2658" s="56"/>
      <c r="CV2658" s="56"/>
      <c r="CW2658" s="56"/>
      <c r="CX2658" s="56"/>
      <c r="CY2658" s="56"/>
      <c r="CZ2658" s="56"/>
    </row>
    <row r="2659" spans="27:104" s="5" customFormat="1" x14ac:dyDescent="0.25">
      <c r="AA2659" s="56"/>
      <c r="AB2659" s="56"/>
      <c r="AC2659" s="56"/>
      <c r="AD2659" s="56"/>
      <c r="AE2659" s="56"/>
      <c r="AF2659" s="56"/>
      <c r="AG2659" s="56"/>
      <c r="AH2659" s="56"/>
      <c r="AI2659" s="56"/>
      <c r="AJ2659" s="56"/>
      <c r="AK2659" s="56"/>
      <c r="AL2659" s="56"/>
      <c r="AM2659" s="56"/>
      <c r="AN2659" s="56"/>
      <c r="AO2659" s="56"/>
      <c r="AP2659" s="56"/>
      <c r="AQ2659" s="56"/>
      <c r="AR2659" s="56"/>
      <c r="AS2659" s="56"/>
      <c r="AT2659" s="56"/>
      <c r="AU2659" s="56"/>
      <c r="AV2659" s="56"/>
      <c r="AW2659" s="56"/>
      <c r="AX2659" s="56"/>
      <c r="AY2659" s="56"/>
      <c r="AZ2659" s="56"/>
      <c r="BA2659" s="56"/>
      <c r="BB2659" s="16"/>
      <c r="BC2659" s="56"/>
      <c r="BD2659" s="56"/>
      <c r="BE2659" s="56"/>
      <c r="BF2659" s="56"/>
      <c r="BG2659" s="56"/>
      <c r="BH2659" s="56"/>
      <c r="BI2659" s="56"/>
      <c r="BJ2659" s="56"/>
      <c r="BK2659" s="56"/>
      <c r="BL2659" s="56"/>
      <c r="BM2659" s="56"/>
      <c r="BN2659" s="56"/>
      <c r="BO2659" s="56"/>
      <c r="BP2659" s="56"/>
      <c r="BQ2659" s="56"/>
      <c r="BR2659" s="56"/>
      <c r="BS2659" s="56"/>
      <c r="BT2659" s="56"/>
      <c r="BU2659" s="56"/>
      <c r="BV2659" s="56"/>
      <c r="BW2659" s="56"/>
      <c r="BX2659" s="56"/>
      <c r="BY2659" s="56"/>
      <c r="BZ2659" s="56"/>
      <c r="CA2659" s="56"/>
      <c r="CB2659" s="56"/>
      <c r="CC2659" s="56"/>
      <c r="CD2659" s="56"/>
      <c r="CE2659" s="56"/>
      <c r="CF2659" s="56"/>
      <c r="CG2659" s="56"/>
      <c r="CH2659" s="56"/>
      <c r="CI2659" s="56"/>
      <c r="CJ2659" s="56"/>
      <c r="CK2659" s="56"/>
      <c r="CL2659" s="56"/>
      <c r="CM2659" s="56"/>
      <c r="CN2659" s="56"/>
      <c r="CO2659" s="56"/>
      <c r="CP2659" s="56"/>
      <c r="CQ2659" s="56"/>
      <c r="CR2659" s="56"/>
      <c r="CS2659" s="56"/>
      <c r="CT2659" s="56"/>
      <c r="CU2659" s="56"/>
      <c r="CV2659" s="56"/>
      <c r="CW2659" s="56"/>
      <c r="CX2659" s="56"/>
      <c r="CY2659" s="56"/>
      <c r="CZ2659" s="56"/>
    </row>
    <row r="2660" spans="27:104" s="5" customFormat="1" x14ac:dyDescent="0.25">
      <c r="AA2660" s="56"/>
      <c r="AB2660" s="56"/>
      <c r="AC2660" s="56"/>
      <c r="AD2660" s="56"/>
      <c r="AE2660" s="56"/>
      <c r="AF2660" s="56"/>
      <c r="AG2660" s="56"/>
      <c r="AH2660" s="56"/>
      <c r="AI2660" s="56"/>
      <c r="AJ2660" s="56"/>
      <c r="AK2660" s="56"/>
      <c r="AL2660" s="56"/>
      <c r="AM2660" s="56"/>
      <c r="AN2660" s="56"/>
      <c r="AO2660" s="56"/>
      <c r="AP2660" s="56"/>
      <c r="AQ2660" s="56"/>
      <c r="AR2660" s="56"/>
      <c r="AS2660" s="56"/>
      <c r="AT2660" s="56"/>
      <c r="AU2660" s="56"/>
      <c r="AV2660" s="56"/>
      <c r="AW2660" s="56"/>
      <c r="AX2660" s="56"/>
      <c r="AY2660" s="56"/>
      <c r="AZ2660" s="56"/>
      <c r="BA2660" s="56"/>
      <c r="BB2660" s="16"/>
      <c r="BC2660" s="56"/>
      <c r="BD2660" s="56"/>
      <c r="BE2660" s="56"/>
      <c r="BF2660" s="56"/>
      <c r="BG2660" s="56"/>
      <c r="BH2660" s="56"/>
      <c r="BI2660" s="56"/>
      <c r="BJ2660" s="56"/>
      <c r="BK2660" s="56"/>
      <c r="BL2660" s="56"/>
      <c r="BM2660" s="56"/>
      <c r="BN2660" s="56"/>
      <c r="BO2660" s="56"/>
      <c r="BP2660" s="56"/>
      <c r="BQ2660" s="56"/>
      <c r="BR2660" s="56"/>
      <c r="BS2660" s="56"/>
      <c r="BT2660" s="56"/>
      <c r="BU2660" s="56"/>
      <c r="BV2660" s="56"/>
      <c r="BW2660" s="56"/>
      <c r="BX2660" s="56"/>
      <c r="BY2660" s="56"/>
      <c r="BZ2660" s="56"/>
      <c r="CA2660" s="56"/>
      <c r="CB2660" s="56"/>
      <c r="CC2660" s="56"/>
      <c r="CD2660" s="56"/>
      <c r="CE2660" s="56"/>
      <c r="CF2660" s="56"/>
      <c r="CG2660" s="56"/>
      <c r="CH2660" s="56"/>
      <c r="CI2660" s="56"/>
      <c r="CJ2660" s="56"/>
      <c r="CK2660" s="56"/>
      <c r="CL2660" s="56"/>
      <c r="CM2660" s="56"/>
      <c r="CN2660" s="56"/>
      <c r="CO2660" s="56"/>
      <c r="CP2660" s="56"/>
      <c r="CQ2660" s="56"/>
      <c r="CR2660" s="56"/>
      <c r="CS2660" s="56"/>
      <c r="CT2660" s="56"/>
      <c r="CU2660" s="56"/>
      <c r="CV2660" s="56"/>
      <c r="CW2660" s="56"/>
      <c r="CX2660" s="56"/>
      <c r="CY2660" s="56"/>
      <c r="CZ2660" s="56"/>
    </row>
    <row r="2661" spans="27:104" s="5" customFormat="1" x14ac:dyDescent="0.25">
      <c r="AA2661" s="56"/>
      <c r="AB2661" s="56"/>
      <c r="AC2661" s="56"/>
      <c r="AD2661" s="56"/>
      <c r="AE2661" s="56"/>
      <c r="AF2661" s="56"/>
      <c r="AG2661" s="56"/>
      <c r="AH2661" s="56"/>
      <c r="AI2661" s="56"/>
      <c r="AJ2661" s="56"/>
      <c r="AK2661" s="56"/>
      <c r="AL2661" s="56"/>
      <c r="AM2661" s="56"/>
      <c r="AN2661" s="56"/>
      <c r="AO2661" s="56"/>
      <c r="AP2661" s="56"/>
      <c r="AQ2661" s="56"/>
      <c r="AR2661" s="56"/>
      <c r="AS2661" s="56"/>
      <c r="AT2661" s="56"/>
      <c r="AU2661" s="56"/>
      <c r="AV2661" s="56"/>
      <c r="AW2661" s="56"/>
      <c r="AX2661" s="56"/>
      <c r="AY2661" s="56"/>
      <c r="AZ2661" s="56"/>
      <c r="BA2661" s="56"/>
      <c r="BB2661" s="16"/>
      <c r="BC2661" s="56"/>
      <c r="BD2661" s="56"/>
      <c r="BE2661" s="56"/>
      <c r="BF2661" s="56"/>
      <c r="BG2661" s="56"/>
      <c r="BH2661" s="56"/>
      <c r="BI2661" s="56"/>
      <c r="BJ2661" s="56"/>
      <c r="BK2661" s="56"/>
      <c r="BL2661" s="56"/>
      <c r="BM2661" s="56"/>
      <c r="BN2661" s="56"/>
      <c r="BO2661" s="56"/>
      <c r="BP2661" s="56"/>
      <c r="BQ2661" s="56"/>
      <c r="BR2661" s="56"/>
      <c r="BS2661" s="56"/>
      <c r="BT2661" s="56"/>
      <c r="BU2661" s="56"/>
      <c r="BV2661" s="56"/>
      <c r="BW2661" s="56"/>
      <c r="BX2661" s="56"/>
      <c r="BY2661" s="56"/>
      <c r="BZ2661" s="56"/>
      <c r="CA2661" s="56"/>
      <c r="CB2661" s="56"/>
      <c r="CC2661" s="56"/>
      <c r="CD2661" s="56"/>
      <c r="CE2661" s="56"/>
      <c r="CF2661" s="56"/>
      <c r="CG2661" s="56"/>
      <c r="CH2661" s="56"/>
      <c r="CI2661" s="56"/>
      <c r="CJ2661" s="56"/>
      <c r="CK2661" s="56"/>
      <c r="CL2661" s="56"/>
      <c r="CM2661" s="56"/>
      <c r="CN2661" s="56"/>
      <c r="CO2661" s="56"/>
      <c r="CP2661" s="56"/>
      <c r="CQ2661" s="56"/>
      <c r="CR2661" s="56"/>
      <c r="CS2661" s="56"/>
      <c r="CT2661" s="56"/>
      <c r="CU2661" s="56"/>
      <c r="CV2661" s="56"/>
      <c r="CW2661" s="56"/>
      <c r="CX2661" s="56"/>
      <c r="CY2661" s="56"/>
      <c r="CZ2661" s="56"/>
    </row>
    <row r="2662" spans="27:104" s="5" customFormat="1" x14ac:dyDescent="0.25">
      <c r="AA2662" s="56"/>
      <c r="AB2662" s="56"/>
      <c r="AC2662" s="56"/>
      <c r="AD2662" s="56"/>
      <c r="AE2662" s="56"/>
      <c r="AF2662" s="56"/>
      <c r="AG2662" s="56"/>
      <c r="AH2662" s="56"/>
      <c r="AI2662" s="56"/>
      <c r="AJ2662" s="56"/>
      <c r="AK2662" s="56"/>
      <c r="AL2662" s="56"/>
      <c r="AM2662" s="56"/>
      <c r="AN2662" s="56"/>
      <c r="AO2662" s="56"/>
      <c r="AP2662" s="56"/>
      <c r="AQ2662" s="56"/>
      <c r="AR2662" s="56"/>
      <c r="AS2662" s="56"/>
      <c r="AT2662" s="56"/>
      <c r="AU2662" s="56"/>
      <c r="AV2662" s="56"/>
      <c r="AW2662" s="56"/>
      <c r="AX2662" s="56"/>
      <c r="AY2662" s="56"/>
      <c r="AZ2662" s="56"/>
      <c r="BA2662" s="56"/>
      <c r="BB2662" s="16"/>
      <c r="BC2662" s="56"/>
      <c r="BD2662" s="56"/>
      <c r="BE2662" s="56"/>
      <c r="BF2662" s="56"/>
      <c r="BG2662" s="56"/>
      <c r="BH2662" s="56"/>
      <c r="BI2662" s="56"/>
      <c r="BJ2662" s="56"/>
      <c r="BK2662" s="56"/>
      <c r="BL2662" s="56"/>
      <c r="BM2662" s="56"/>
      <c r="BN2662" s="56"/>
      <c r="BO2662" s="56"/>
      <c r="BP2662" s="56"/>
      <c r="BQ2662" s="56"/>
      <c r="BR2662" s="56"/>
      <c r="BS2662" s="56"/>
      <c r="BT2662" s="56"/>
      <c r="BU2662" s="56"/>
      <c r="BV2662" s="56"/>
      <c r="BW2662" s="56"/>
      <c r="BX2662" s="56"/>
      <c r="BY2662" s="56"/>
      <c r="BZ2662" s="56"/>
      <c r="CA2662" s="56"/>
      <c r="CB2662" s="56"/>
      <c r="CC2662" s="56"/>
      <c r="CD2662" s="56"/>
      <c r="CE2662" s="56"/>
      <c r="CF2662" s="56"/>
      <c r="CG2662" s="56"/>
      <c r="CH2662" s="56"/>
      <c r="CI2662" s="56"/>
      <c r="CJ2662" s="56"/>
      <c r="CK2662" s="56"/>
      <c r="CL2662" s="56"/>
      <c r="CM2662" s="56"/>
      <c r="CN2662" s="56"/>
      <c r="CO2662" s="56"/>
      <c r="CP2662" s="56"/>
      <c r="CQ2662" s="56"/>
      <c r="CR2662" s="56"/>
      <c r="CS2662" s="56"/>
      <c r="CT2662" s="56"/>
      <c r="CU2662" s="56"/>
      <c r="CV2662" s="56"/>
      <c r="CW2662" s="56"/>
      <c r="CX2662" s="56"/>
      <c r="CY2662" s="56"/>
      <c r="CZ2662" s="56"/>
    </row>
    <row r="2663" spans="27:104" s="5" customFormat="1" x14ac:dyDescent="0.25">
      <c r="AA2663" s="56"/>
      <c r="AB2663" s="56"/>
      <c r="AC2663" s="56"/>
      <c r="AD2663" s="56"/>
      <c r="AE2663" s="56"/>
      <c r="AF2663" s="56"/>
      <c r="AG2663" s="56"/>
      <c r="AH2663" s="56"/>
      <c r="AI2663" s="56"/>
      <c r="AJ2663" s="56"/>
      <c r="AK2663" s="56"/>
      <c r="AL2663" s="56"/>
      <c r="AM2663" s="56"/>
      <c r="AN2663" s="56"/>
      <c r="AO2663" s="56"/>
      <c r="AP2663" s="56"/>
      <c r="AQ2663" s="56"/>
      <c r="AR2663" s="56"/>
      <c r="AS2663" s="56"/>
      <c r="AT2663" s="56"/>
      <c r="AU2663" s="56"/>
      <c r="AV2663" s="56"/>
      <c r="AW2663" s="56"/>
      <c r="AX2663" s="56"/>
      <c r="AY2663" s="56"/>
      <c r="AZ2663" s="56"/>
      <c r="BA2663" s="56"/>
      <c r="BB2663" s="16"/>
      <c r="BC2663" s="56"/>
      <c r="BD2663" s="56"/>
      <c r="BE2663" s="56"/>
      <c r="BF2663" s="56"/>
      <c r="BG2663" s="56"/>
      <c r="BH2663" s="56"/>
      <c r="BI2663" s="56"/>
      <c r="BJ2663" s="56"/>
      <c r="BK2663" s="56"/>
      <c r="BL2663" s="56"/>
      <c r="BM2663" s="56"/>
      <c r="BN2663" s="56"/>
      <c r="BO2663" s="56"/>
      <c r="BP2663" s="56"/>
      <c r="BQ2663" s="56"/>
      <c r="BR2663" s="56"/>
      <c r="BS2663" s="56"/>
      <c r="BT2663" s="56"/>
      <c r="BU2663" s="56"/>
      <c r="BV2663" s="56"/>
      <c r="BW2663" s="56"/>
      <c r="BX2663" s="56"/>
      <c r="BY2663" s="56"/>
      <c r="BZ2663" s="56"/>
      <c r="CA2663" s="56"/>
      <c r="CB2663" s="56"/>
      <c r="CC2663" s="56"/>
      <c r="CD2663" s="56"/>
      <c r="CE2663" s="56"/>
      <c r="CF2663" s="56"/>
      <c r="CG2663" s="56"/>
      <c r="CH2663" s="56"/>
      <c r="CI2663" s="56"/>
      <c r="CJ2663" s="56"/>
      <c r="CK2663" s="56"/>
      <c r="CL2663" s="56"/>
      <c r="CM2663" s="56"/>
      <c r="CN2663" s="56"/>
      <c r="CO2663" s="56"/>
      <c r="CP2663" s="56"/>
      <c r="CQ2663" s="56"/>
      <c r="CR2663" s="56"/>
      <c r="CS2663" s="56"/>
      <c r="CT2663" s="56"/>
      <c r="CU2663" s="56"/>
      <c r="CV2663" s="56"/>
      <c r="CW2663" s="56"/>
      <c r="CX2663" s="56"/>
      <c r="CY2663" s="56"/>
      <c r="CZ2663" s="56"/>
    </row>
    <row r="2664" spans="27:104" s="5" customFormat="1" x14ac:dyDescent="0.25">
      <c r="AA2664" s="56"/>
      <c r="AB2664" s="56"/>
      <c r="AC2664" s="56"/>
      <c r="AD2664" s="56"/>
      <c r="AE2664" s="56"/>
      <c r="AF2664" s="56"/>
      <c r="AG2664" s="56"/>
      <c r="AH2664" s="56"/>
      <c r="AI2664" s="56"/>
      <c r="AJ2664" s="56"/>
      <c r="AK2664" s="56"/>
      <c r="AL2664" s="56"/>
      <c r="AM2664" s="56"/>
      <c r="AN2664" s="56"/>
      <c r="AO2664" s="56"/>
      <c r="AP2664" s="56"/>
      <c r="AQ2664" s="56"/>
      <c r="AR2664" s="56"/>
      <c r="AS2664" s="56"/>
      <c r="AT2664" s="56"/>
      <c r="AU2664" s="56"/>
      <c r="AV2664" s="56"/>
      <c r="AW2664" s="56"/>
      <c r="AX2664" s="56"/>
      <c r="AY2664" s="56"/>
      <c r="AZ2664" s="56"/>
      <c r="BA2664" s="56"/>
      <c r="BB2664" s="16"/>
      <c r="BC2664" s="56"/>
      <c r="BD2664" s="56"/>
      <c r="BE2664" s="56"/>
      <c r="BF2664" s="56"/>
      <c r="BG2664" s="56"/>
      <c r="BH2664" s="56"/>
      <c r="BI2664" s="56"/>
      <c r="BJ2664" s="56"/>
      <c r="BK2664" s="56"/>
      <c r="BL2664" s="56"/>
      <c r="BM2664" s="56"/>
      <c r="BN2664" s="56"/>
      <c r="BO2664" s="56"/>
      <c r="BP2664" s="56"/>
      <c r="BQ2664" s="56"/>
      <c r="BR2664" s="56"/>
      <c r="BS2664" s="56"/>
      <c r="BT2664" s="56"/>
      <c r="BU2664" s="56"/>
      <c r="BV2664" s="56"/>
      <c r="BW2664" s="56"/>
      <c r="BX2664" s="56"/>
      <c r="BY2664" s="56"/>
      <c r="BZ2664" s="56"/>
      <c r="CA2664" s="56"/>
      <c r="CB2664" s="56"/>
      <c r="CC2664" s="56"/>
      <c r="CD2664" s="56"/>
      <c r="CE2664" s="56"/>
      <c r="CF2664" s="56"/>
      <c r="CG2664" s="56"/>
      <c r="CH2664" s="56"/>
      <c r="CI2664" s="56"/>
      <c r="CJ2664" s="56"/>
      <c r="CK2664" s="56"/>
      <c r="CL2664" s="56"/>
      <c r="CM2664" s="56"/>
      <c r="CN2664" s="56"/>
      <c r="CO2664" s="56"/>
      <c r="CP2664" s="56"/>
      <c r="CQ2664" s="56"/>
      <c r="CR2664" s="56"/>
      <c r="CS2664" s="56"/>
      <c r="CT2664" s="56"/>
      <c r="CU2664" s="56"/>
      <c r="CV2664" s="56"/>
      <c r="CW2664" s="56"/>
      <c r="CX2664" s="56"/>
      <c r="CY2664" s="56"/>
      <c r="CZ2664" s="56"/>
    </row>
    <row r="2665" spans="27:104" s="5" customFormat="1" x14ac:dyDescent="0.25">
      <c r="AA2665" s="56"/>
      <c r="AB2665" s="56"/>
      <c r="AC2665" s="56"/>
      <c r="AD2665" s="56"/>
      <c r="AE2665" s="56"/>
      <c r="AF2665" s="56"/>
      <c r="AG2665" s="56"/>
      <c r="AH2665" s="56"/>
      <c r="AI2665" s="56"/>
      <c r="AJ2665" s="56"/>
      <c r="AK2665" s="56"/>
      <c r="AL2665" s="56"/>
      <c r="AM2665" s="56"/>
      <c r="AN2665" s="56"/>
      <c r="AO2665" s="56"/>
      <c r="AP2665" s="56"/>
      <c r="AQ2665" s="56"/>
      <c r="AR2665" s="56"/>
      <c r="AS2665" s="56"/>
      <c r="AT2665" s="56"/>
      <c r="AU2665" s="56"/>
      <c r="AV2665" s="56"/>
      <c r="AW2665" s="56"/>
      <c r="AX2665" s="56"/>
      <c r="AY2665" s="56"/>
      <c r="AZ2665" s="56"/>
      <c r="BA2665" s="56"/>
      <c r="BB2665" s="16"/>
      <c r="BC2665" s="56"/>
      <c r="BD2665" s="56"/>
      <c r="BE2665" s="56"/>
      <c r="BF2665" s="56"/>
      <c r="BG2665" s="56"/>
      <c r="BH2665" s="56"/>
      <c r="BI2665" s="56"/>
      <c r="BJ2665" s="56"/>
      <c r="BK2665" s="56"/>
      <c r="BL2665" s="56"/>
      <c r="BM2665" s="56"/>
      <c r="BN2665" s="56"/>
      <c r="BO2665" s="56"/>
      <c r="BP2665" s="56"/>
      <c r="BQ2665" s="56"/>
      <c r="BR2665" s="56"/>
      <c r="BS2665" s="56"/>
      <c r="BT2665" s="56"/>
      <c r="BU2665" s="56"/>
      <c r="BV2665" s="56"/>
      <c r="BW2665" s="56"/>
      <c r="BX2665" s="56"/>
      <c r="BY2665" s="56"/>
      <c r="BZ2665" s="56"/>
      <c r="CA2665" s="56"/>
      <c r="CB2665" s="56"/>
      <c r="CC2665" s="56"/>
      <c r="CD2665" s="56"/>
      <c r="CE2665" s="56"/>
      <c r="CF2665" s="56"/>
      <c r="CG2665" s="56"/>
      <c r="CH2665" s="56"/>
      <c r="CI2665" s="56"/>
      <c r="CJ2665" s="56"/>
      <c r="CK2665" s="56"/>
      <c r="CL2665" s="56"/>
      <c r="CM2665" s="56"/>
      <c r="CN2665" s="56"/>
      <c r="CO2665" s="56"/>
      <c r="CP2665" s="56"/>
      <c r="CQ2665" s="56"/>
      <c r="CR2665" s="56"/>
      <c r="CS2665" s="56"/>
      <c r="CT2665" s="56"/>
      <c r="CU2665" s="56"/>
      <c r="CV2665" s="56"/>
      <c r="CW2665" s="56"/>
      <c r="CX2665" s="56"/>
      <c r="CY2665" s="56"/>
      <c r="CZ2665" s="56"/>
    </row>
    <row r="2666" spans="27:104" s="5" customFormat="1" x14ac:dyDescent="0.25">
      <c r="AA2666" s="56"/>
      <c r="AB2666" s="56"/>
      <c r="AC2666" s="56"/>
      <c r="AD2666" s="56"/>
      <c r="AE2666" s="56"/>
      <c r="AF2666" s="56"/>
      <c r="AG2666" s="56"/>
      <c r="AH2666" s="56"/>
      <c r="AI2666" s="56"/>
      <c r="AJ2666" s="56"/>
      <c r="AK2666" s="56"/>
      <c r="AL2666" s="56"/>
      <c r="AM2666" s="56"/>
      <c r="AN2666" s="56"/>
      <c r="AO2666" s="56"/>
      <c r="AP2666" s="56"/>
      <c r="AQ2666" s="56"/>
      <c r="AR2666" s="56"/>
      <c r="AS2666" s="56"/>
      <c r="AT2666" s="56"/>
      <c r="AU2666" s="56"/>
      <c r="AV2666" s="56"/>
      <c r="AW2666" s="56"/>
      <c r="AX2666" s="56"/>
      <c r="AY2666" s="56"/>
      <c r="AZ2666" s="56"/>
      <c r="BA2666" s="56"/>
      <c r="BB2666" s="16"/>
      <c r="BC2666" s="56"/>
      <c r="BD2666" s="56"/>
      <c r="BE2666" s="56"/>
      <c r="BF2666" s="56"/>
      <c r="BG2666" s="56"/>
      <c r="BH2666" s="56"/>
      <c r="BI2666" s="56"/>
      <c r="BJ2666" s="56"/>
      <c r="BK2666" s="56"/>
      <c r="BL2666" s="56"/>
      <c r="BM2666" s="56"/>
      <c r="BN2666" s="56"/>
      <c r="BO2666" s="56"/>
      <c r="BP2666" s="56"/>
      <c r="BQ2666" s="56"/>
      <c r="BR2666" s="56"/>
      <c r="BS2666" s="56"/>
      <c r="BT2666" s="56"/>
      <c r="BU2666" s="56"/>
      <c r="BV2666" s="56"/>
      <c r="BW2666" s="56"/>
      <c r="BX2666" s="56"/>
      <c r="BY2666" s="56"/>
      <c r="BZ2666" s="56"/>
      <c r="CA2666" s="56"/>
      <c r="CB2666" s="56"/>
      <c r="CC2666" s="56"/>
      <c r="CD2666" s="56"/>
      <c r="CE2666" s="56"/>
      <c r="CF2666" s="56"/>
      <c r="CG2666" s="56"/>
      <c r="CH2666" s="56"/>
      <c r="CI2666" s="56"/>
      <c r="CJ2666" s="56"/>
      <c r="CK2666" s="56"/>
      <c r="CL2666" s="56"/>
      <c r="CM2666" s="56"/>
      <c r="CN2666" s="56"/>
      <c r="CO2666" s="56"/>
      <c r="CP2666" s="56"/>
      <c r="CQ2666" s="56"/>
      <c r="CR2666" s="56"/>
      <c r="CS2666" s="56"/>
      <c r="CT2666" s="56"/>
      <c r="CU2666" s="56"/>
      <c r="CV2666" s="56"/>
      <c r="CW2666" s="56"/>
      <c r="CX2666" s="56"/>
      <c r="CY2666" s="56"/>
      <c r="CZ2666" s="56"/>
    </row>
    <row r="2667" spans="27:104" s="5" customFormat="1" x14ac:dyDescent="0.25">
      <c r="AA2667" s="56"/>
      <c r="AB2667" s="56"/>
      <c r="AC2667" s="56"/>
      <c r="AD2667" s="56"/>
      <c r="AE2667" s="56"/>
      <c r="AF2667" s="56"/>
      <c r="AG2667" s="56"/>
      <c r="AH2667" s="56"/>
      <c r="AI2667" s="56"/>
      <c r="AJ2667" s="56"/>
      <c r="AK2667" s="56"/>
      <c r="AL2667" s="56"/>
      <c r="AM2667" s="56"/>
      <c r="AN2667" s="56"/>
      <c r="AO2667" s="56"/>
      <c r="AP2667" s="56"/>
      <c r="AQ2667" s="56"/>
      <c r="AR2667" s="56"/>
      <c r="AS2667" s="56"/>
      <c r="AT2667" s="56"/>
      <c r="AU2667" s="56"/>
      <c r="AV2667" s="56"/>
      <c r="AW2667" s="56"/>
      <c r="AX2667" s="56"/>
      <c r="AY2667" s="56"/>
      <c r="AZ2667" s="56"/>
      <c r="BA2667" s="56"/>
      <c r="BB2667" s="16"/>
      <c r="BC2667" s="56"/>
      <c r="BD2667" s="56"/>
      <c r="BE2667" s="56"/>
      <c r="BF2667" s="56"/>
      <c r="BG2667" s="56"/>
      <c r="BH2667" s="56"/>
      <c r="BI2667" s="56"/>
      <c r="BJ2667" s="56"/>
      <c r="BK2667" s="56"/>
      <c r="BL2667" s="56"/>
      <c r="BM2667" s="56"/>
      <c r="BN2667" s="56"/>
      <c r="BO2667" s="56"/>
      <c r="BP2667" s="56"/>
      <c r="BQ2667" s="56"/>
      <c r="BR2667" s="56"/>
      <c r="BS2667" s="56"/>
      <c r="BT2667" s="56"/>
      <c r="BU2667" s="56"/>
      <c r="BV2667" s="56"/>
      <c r="BW2667" s="56"/>
      <c r="BX2667" s="56"/>
      <c r="BY2667" s="56"/>
      <c r="BZ2667" s="56"/>
      <c r="CA2667" s="56"/>
      <c r="CB2667" s="56"/>
      <c r="CC2667" s="56"/>
      <c r="CD2667" s="56"/>
      <c r="CE2667" s="56"/>
      <c r="CF2667" s="56"/>
      <c r="CG2667" s="56"/>
      <c r="CH2667" s="56"/>
      <c r="CI2667" s="56"/>
      <c r="CJ2667" s="56"/>
      <c r="CK2667" s="56"/>
      <c r="CL2667" s="56"/>
      <c r="CM2667" s="56"/>
      <c r="CN2667" s="56"/>
      <c r="CO2667" s="56"/>
      <c r="CP2667" s="56"/>
      <c r="CQ2667" s="56"/>
      <c r="CR2667" s="56"/>
      <c r="CS2667" s="56"/>
      <c r="CT2667" s="56"/>
      <c r="CU2667" s="56"/>
      <c r="CV2667" s="56"/>
      <c r="CW2667" s="56"/>
      <c r="CX2667" s="56"/>
      <c r="CY2667" s="56"/>
      <c r="CZ2667" s="56"/>
    </row>
    <row r="2668" spans="27:104" s="5" customFormat="1" x14ac:dyDescent="0.25">
      <c r="AA2668" s="56"/>
      <c r="AB2668" s="56"/>
      <c r="AC2668" s="56"/>
      <c r="AD2668" s="56"/>
      <c r="AE2668" s="56"/>
      <c r="AF2668" s="56"/>
      <c r="AG2668" s="56"/>
      <c r="AH2668" s="56"/>
      <c r="AI2668" s="56"/>
      <c r="AJ2668" s="56"/>
      <c r="AK2668" s="56"/>
      <c r="AL2668" s="56"/>
      <c r="AM2668" s="56"/>
      <c r="AN2668" s="56"/>
      <c r="AO2668" s="56"/>
      <c r="AP2668" s="56"/>
      <c r="AQ2668" s="56"/>
      <c r="AR2668" s="56"/>
      <c r="AS2668" s="56"/>
      <c r="AT2668" s="56"/>
      <c r="AU2668" s="56"/>
      <c r="AV2668" s="56"/>
      <c r="AW2668" s="56"/>
      <c r="AX2668" s="56"/>
      <c r="AY2668" s="56"/>
      <c r="AZ2668" s="56"/>
      <c r="BA2668" s="56"/>
      <c r="BB2668" s="16"/>
      <c r="BC2668" s="56"/>
      <c r="BD2668" s="56"/>
      <c r="BE2668" s="56"/>
      <c r="BF2668" s="56"/>
      <c r="BG2668" s="56"/>
      <c r="BH2668" s="56"/>
      <c r="BI2668" s="56"/>
      <c r="BJ2668" s="56"/>
      <c r="BK2668" s="56"/>
      <c r="BL2668" s="56"/>
      <c r="BM2668" s="56"/>
      <c r="BN2668" s="56"/>
      <c r="BO2668" s="56"/>
      <c r="BP2668" s="56"/>
      <c r="BQ2668" s="56"/>
      <c r="BR2668" s="56"/>
      <c r="BS2668" s="56"/>
      <c r="BT2668" s="56"/>
      <c r="BU2668" s="56"/>
      <c r="BV2668" s="56"/>
      <c r="BW2668" s="56"/>
      <c r="BX2668" s="56"/>
      <c r="BY2668" s="56"/>
      <c r="BZ2668" s="56"/>
      <c r="CA2668" s="56"/>
      <c r="CB2668" s="56"/>
      <c r="CC2668" s="56"/>
      <c r="CD2668" s="56"/>
      <c r="CE2668" s="56"/>
      <c r="CF2668" s="56"/>
      <c r="CG2668" s="56"/>
      <c r="CH2668" s="56"/>
      <c r="CI2668" s="56"/>
      <c r="CJ2668" s="56"/>
      <c r="CK2668" s="56"/>
      <c r="CL2668" s="56"/>
      <c r="CM2668" s="56"/>
      <c r="CN2668" s="56"/>
      <c r="CO2668" s="56"/>
      <c r="CP2668" s="56"/>
      <c r="CQ2668" s="56"/>
      <c r="CR2668" s="56"/>
      <c r="CS2668" s="56"/>
      <c r="CT2668" s="56"/>
      <c r="CU2668" s="56"/>
      <c r="CV2668" s="56"/>
      <c r="CW2668" s="56"/>
      <c r="CX2668" s="56"/>
      <c r="CY2668" s="56"/>
      <c r="CZ2668" s="56"/>
    </row>
    <row r="2669" spans="27:104" s="5" customFormat="1" x14ac:dyDescent="0.25">
      <c r="AA2669" s="56"/>
      <c r="AB2669" s="56"/>
      <c r="AC2669" s="56"/>
      <c r="AD2669" s="56"/>
      <c r="AE2669" s="56"/>
      <c r="AF2669" s="56"/>
      <c r="AG2669" s="56"/>
      <c r="AH2669" s="56"/>
      <c r="AI2669" s="56"/>
      <c r="AJ2669" s="56"/>
      <c r="AK2669" s="56"/>
      <c r="AL2669" s="56"/>
      <c r="AM2669" s="56"/>
      <c r="AN2669" s="56"/>
      <c r="AO2669" s="56"/>
      <c r="AP2669" s="56"/>
      <c r="AQ2669" s="56"/>
      <c r="AR2669" s="56"/>
      <c r="AS2669" s="56"/>
      <c r="AT2669" s="56"/>
      <c r="AU2669" s="56"/>
      <c r="AV2669" s="56"/>
      <c r="AW2669" s="56"/>
      <c r="AX2669" s="56"/>
      <c r="AY2669" s="56"/>
      <c r="AZ2669" s="56"/>
      <c r="BA2669" s="56"/>
      <c r="BB2669" s="16"/>
      <c r="BC2669" s="56"/>
      <c r="BD2669" s="56"/>
      <c r="BE2669" s="56"/>
      <c r="BF2669" s="56"/>
      <c r="BG2669" s="56"/>
      <c r="BH2669" s="56"/>
      <c r="BI2669" s="56"/>
      <c r="BJ2669" s="56"/>
      <c r="BK2669" s="56"/>
      <c r="BL2669" s="56"/>
      <c r="BM2669" s="56"/>
      <c r="BN2669" s="56"/>
      <c r="BO2669" s="56"/>
      <c r="BP2669" s="56"/>
      <c r="BQ2669" s="56"/>
      <c r="BR2669" s="56"/>
      <c r="BS2669" s="56"/>
      <c r="BT2669" s="56"/>
      <c r="BU2669" s="56"/>
      <c r="BV2669" s="56"/>
      <c r="BW2669" s="56"/>
      <c r="BX2669" s="56"/>
      <c r="BY2669" s="56"/>
      <c r="BZ2669" s="56"/>
      <c r="CA2669" s="56"/>
      <c r="CB2669" s="56"/>
      <c r="CC2669" s="56"/>
      <c r="CD2669" s="56"/>
      <c r="CE2669" s="56"/>
      <c r="CF2669" s="56"/>
      <c r="CG2669" s="56"/>
      <c r="CH2669" s="56"/>
      <c r="CI2669" s="56"/>
      <c r="CJ2669" s="56"/>
      <c r="CK2669" s="56"/>
      <c r="CL2669" s="56"/>
      <c r="CM2669" s="56"/>
      <c r="CN2669" s="56"/>
      <c r="CO2669" s="56"/>
      <c r="CP2669" s="56"/>
      <c r="CQ2669" s="56"/>
      <c r="CR2669" s="56"/>
      <c r="CS2669" s="56"/>
      <c r="CT2669" s="56"/>
      <c r="CU2669" s="56"/>
      <c r="CV2669" s="56"/>
      <c r="CW2669" s="56"/>
      <c r="CX2669" s="56"/>
      <c r="CY2669" s="56"/>
      <c r="CZ2669" s="56"/>
    </row>
    <row r="2670" spans="27:104" s="5" customFormat="1" x14ac:dyDescent="0.25">
      <c r="AA2670" s="56"/>
      <c r="AB2670" s="56"/>
      <c r="AC2670" s="56"/>
      <c r="AD2670" s="56"/>
      <c r="AE2670" s="56"/>
      <c r="AF2670" s="56"/>
      <c r="AG2670" s="56"/>
      <c r="AH2670" s="56"/>
      <c r="AI2670" s="56"/>
      <c r="AJ2670" s="56"/>
      <c r="AK2670" s="56"/>
      <c r="AL2670" s="56"/>
      <c r="AM2670" s="56"/>
      <c r="AN2670" s="56"/>
      <c r="AO2670" s="56"/>
      <c r="AP2670" s="56"/>
      <c r="AQ2670" s="56"/>
      <c r="AR2670" s="56"/>
      <c r="AS2670" s="56"/>
      <c r="AT2670" s="56"/>
      <c r="AU2670" s="56"/>
      <c r="AV2670" s="56"/>
      <c r="AW2670" s="56"/>
      <c r="AX2670" s="56"/>
      <c r="AY2670" s="56"/>
      <c r="AZ2670" s="56"/>
      <c r="BA2670" s="56"/>
      <c r="BB2670" s="16"/>
      <c r="BC2670" s="56"/>
      <c r="BD2670" s="56"/>
      <c r="BE2670" s="56"/>
      <c r="BF2670" s="56"/>
      <c r="BG2670" s="56"/>
      <c r="BH2670" s="56"/>
      <c r="BI2670" s="56"/>
      <c r="BJ2670" s="56"/>
      <c r="BK2670" s="56"/>
      <c r="BL2670" s="56"/>
      <c r="BM2670" s="56"/>
      <c r="BN2670" s="56"/>
      <c r="BO2670" s="56"/>
      <c r="BP2670" s="56"/>
      <c r="BQ2670" s="56"/>
      <c r="BR2670" s="56"/>
      <c r="BS2670" s="56"/>
      <c r="BT2670" s="56"/>
      <c r="BU2670" s="56"/>
      <c r="BV2670" s="56"/>
      <c r="BW2670" s="56"/>
      <c r="BX2670" s="56"/>
      <c r="BY2670" s="56"/>
      <c r="BZ2670" s="56"/>
      <c r="CA2670" s="56"/>
      <c r="CB2670" s="56"/>
      <c r="CC2670" s="56"/>
      <c r="CD2670" s="56"/>
      <c r="CE2670" s="56"/>
      <c r="CF2670" s="56"/>
      <c r="CG2670" s="56"/>
      <c r="CH2670" s="56"/>
      <c r="CI2670" s="56"/>
      <c r="CJ2670" s="56"/>
      <c r="CK2670" s="56"/>
      <c r="CL2670" s="56"/>
      <c r="CM2670" s="56"/>
      <c r="CN2670" s="56"/>
      <c r="CO2670" s="56"/>
      <c r="CP2670" s="56"/>
      <c r="CQ2670" s="56"/>
      <c r="CR2670" s="56"/>
      <c r="CS2670" s="56"/>
      <c r="CT2670" s="56"/>
      <c r="CU2670" s="56"/>
      <c r="CV2670" s="56"/>
      <c r="CW2670" s="56"/>
      <c r="CX2670" s="56"/>
      <c r="CY2670" s="56"/>
      <c r="CZ2670" s="56"/>
    </row>
    <row r="2671" spans="27:104" s="5" customFormat="1" x14ac:dyDescent="0.25">
      <c r="AA2671" s="56"/>
      <c r="AB2671" s="56"/>
      <c r="AC2671" s="56"/>
      <c r="AD2671" s="56"/>
      <c r="AE2671" s="56"/>
      <c r="AF2671" s="56"/>
      <c r="AG2671" s="56"/>
      <c r="AH2671" s="56"/>
      <c r="AI2671" s="56"/>
      <c r="AJ2671" s="56"/>
      <c r="AK2671" s="56"/>
      <c r="AL2671" s="56"/>
      <c r="AM2671" s="56"/>
      <c r="AN2671" s="56"/>
      <c r="AO2671" s="56"/>
      <c r="AP2671" s="56"/>
      <c r="AQ2671" s="56"/>
      <c r="AR2671" s="56"/>
      <c r="AS2671" s="56"/>
      <c r="AT2671" s="56"/>
      <c r="AU2671" s="56"/>
      <c r="AV2671" s="56"/>
      <c r="AW2671" s="56"/>
      <c r="AX2671" s="56"/>
      <c r="AY2671" s="56"/>
      <c r="AZ2671" s="56"/>
      <c r="BA2671" s="56"/>
      <c r="BB2671" s="16"/>
      <c r="BC2671" s="56"/>
      <c r="BD2671" s="56"/>
      <c r="BE2671" s="56"/>
      <c r="BF2671" s="56"/>
      <c r="BG2671" s="56"/>
      <c r="BH2671" s="56"/>
      <c r="BI2671" s="56"/>
      <c r="BJ2671" s="56"/>
      <c r="BK2671" s="56"/>
      <c r="BL2671" s="56"/>
      <c r="BM2671" s="56"/>
      <c r="BN2671" s="56"/>
      <c r="BO2671" s="56"/>
      <c r="BP2671" s="56"/>
      <c r="BQ2671" s="56"/>
      <c r="BR2671" s="56"/>
      <c r="BS2671" s="56"/>
      <c r="BT2671" s="56"/>
      <c r="BU2671" s="56"/>
      <c r="BV2671" s="56"/>
      <c r="BW2671" s="56"/>
      <c r="BX2671" s="56"/>
      <c r="BY2671" s="56"/>
      <c r="BZ2671" s="56"/>
      <c r="CA2671" s="56"/>
      <c r="CB2671" s="56"/>
      <c r="CC2671" s="56"/>
      <c r="CD2671" s="56"/>
      <c r="CE2671" s="56"/>
      <c r="CF2671" s="56"/>
      <c r="CG2671" s="56"/>
      <c r="CH2671" s="56"/>
      <c r="CI2671" s="56"/>
      <c r="CJ2671" s="56"/>
      <c r="CK2671" s="56"/>
      <c r="CL2671" s="56"/>
      <c r="CM2671" s="56"/>
      <c r="CN2671" s="56"/>
      <c r="CO2671" s="56"/>
      <c r="CP2671" s="56"/>
      <c r="CQ2671" s="56"/>
      <c r="CR2671" s="56"/>
      <c r="CS2671" s="56"/>
      <c r="CT2671" s="56"/>
      <c r="CU2671" s="56"/>
      <c r="CV2671" s="56"/>
      <c r="CW2671" s="56"/>
      <c r="CX2671" s="56"/>
      <c r="CY2671" s="56"/>
      <c r="CZ2671" s="56"/>
    </row>
    <row r="2672" spans="27:104" s="5" customFormat="1" x14ac:dyDescent="0.25">
      <c r="AA2672" s="56"/>
      <c r="AB2672" s="56"/>
      <c r="AC2672" s="56"/>
      <c r="AD2672" s="56"/>
      <c r="AE2672" s="56"/>
      <c r="AF2672" s="56"/>
      <c r="AG2672" s="56"/>
      <c r="AH2672" s="56"/>
      <c r="AI2672" s="56"/>
      <c r="AJ2672" s="56"/>
      <c r="AK2672" s="56"/>
      <c r="AL2672" s="56"/>
      <c r="AM2672" s="56"/>
      <c r="AN2672" s="56"/>
      <c r="AO2672" s="56"/>
      <c r="AP2672" s="56"/>
      <c r="AQ2672" s="56"/>
      <c r="AR2672" s="56"/>
      <c r="AS2672" s="56"/>
      <c r="AT2672" s="56"/>
      <c r="AU2672" s="56"/>
      <c r="AV2672" s="56"/>
      <c r="AW2672" s="56"/>
      <c r="AX2672" s="56"/>
      <c r="AY2672" s="56"/>
      <c r="AZ2672" s="56"/>
      <c r="BA2672" s="56"/>
      <c r="BB2672" s="16"/>
      <c r="BC2672" s="56"/>
      <c r="BD2672" s="56"/>
      <c r="BE2672" s="56"/>
      <c r="BF2672" s="56"/>
      <c r="BG2672" s="56"/>
      <c r="BH2672" s="56"/>
      <c r="BI2672" s="56"/>
      <c r="BJ2672" s="56"/>
      <c r="BK2672" s="56"/>
      <c r="BL2672" s="56"/>
      <c r="BM2672" s="56"/>
      <c r="BN2672" s="56"/>
      <c r="BO2672" s="56"/>
      <c r="BP2672" s="56"/>
      <c r="BQ2672" s="56"/>
      <c r="BR2672" s="56"/>
      <c r="BS2672" s="56"/>
      <c r="BT2672" s="56"/>
      <c r="BU2672" s="56"/>
      <c r="BV2672" s="56"/>
      <c r="BW2672" s="56"/>
      <c r="BX2672" s="56"/>
      <c r="BY2672" s="56"/>
      <c r="BZ2672" s="56"/>
      <c r="CA2672" s="56"/>
      <c r="CB2672" s="56"/>
      <c r="CC2672" s="56"/>
      <c r="CD2672" s="56"/>
      <c r="CE2672" s="56"/>
      <c r="CF2672" s="56"/>
      <c r="CG2672" s="56"/>
      <c r="CH2672" s="56"/>
      <c r="CI2672" s="56"/>
      <c r="CJ2672" s="56"/>
      <c r="CK2672" s="56"/>
      <c r="CL2672" s="56"/>
      <c r="CM2672" s="56"/>
      <c r="CN2672" s="56"/>
      <c r="CO2672" s="56"/>
      <c r="CP2672" s="56"/>
      <c r="CQ2672" s="56"/>
      <c r="CR2672" s="56"/>
      <c r="CS2672" s="56"/>
      <c r="CT2672" s="56"/>
      <c r="CU2672" s="56"/>
      <c r="CV2672" s="56"/>
      <c r="CW2672" s="56"/>
      <c r="CX2672" s="56"/>
      <c r="CY2672" s="56"/>
      <c r="CZ2672" s="56"/>
    </row>
    <row r="2673" spans="27:104" s="5" customFormat="1" x14ac:dyDescent="0.25">
      <c r="AA2673" s="56"/>
      <c r="AB2673" s="56"/>
      <c r="AC2673" s="56"/>
      <c r="AD2673" s="56"/>
      <c r="AE2673" s="56"/>
      <c r="AF2673" s="56"/>
      <c r="AG2673" s="56"/>
      <c r="AH2673" s="56"/>
      <c r="AI2673" s="56"/>
      <c r="AJ2673" s="56"/>
      <c r="AK2673" s="56"/>
      <c r="AL2673" s="56"/>
      <c r="AM2673" s="56"/>
      <c r="AN2673" s="56"/>
      <c r="AO2673" s="56"/>
      <c r="AP2673" s="56"/>
      <c r="AQ2673" s="56"/>
      <c r="AR2673" s="56"/>
      <c r="AS2673" s="56"/>
      <c r="AT2673" s="56"/>
      <c r="AU2673" s="56"/>
      <c r="AV2673" s="56"/>
      <c r="AW2673" s="56"/>
      <c r="AX2673" s="56"/>
      <c r="AY2673" s="56"/>
      <c r="AZ2673" s="56"/>
      <c r="BA2673" s="56"/>
      <c r="BB2673" s="16"/>
      <c r="BC2673" s="56"/>
      <c r="BD2673" s="56"/>
      <c r="BE2673" s="56"/>
      <c r="BF2673" s="56"/>
      <c r="BG2673" s="56"/>
      <c r="BH2673" s="56"/>
      <c r="BI2673" s="56"/>
      <c r="BJ2673" s="56"/>
      <c r="BK2673" s="56"/>
      <c r="BL2673" s="56"/>
      <c r="BM2673" s="56"/>
      <c r="BN2673" s="56"/>
      <c r="BO2673" s="56"/>
      <c r="BP2673" s="56"/>
      <c r="BQ2673" s="56"/>
      <c r="BR2673" s="56"/>
      <c r="BS2673" s="56"/>
      <c r="BT2673" s="56"/>
      <c r="BU2673" s="56"/>
      <c r="BV2673" s="56"/>
      <c r="BW2673" s="56"/>
      <c r="BX2673" s="56"/>
      <c r="BY2673" s="56"/>
      <c r="BZ2673" s="56"/>
      <c r="CA2673" s="56"/>
      <c r="CB2673" s="56"/>
      <c r="CC2673" s="56"/>
      <c r="CD2673" s="56"/>
      <c r="CE2673" s="56"/>
      <c r="CF2673" s="56"/>
      <c r="CG2673" s="56"/>
      <c r="CH2673" s="56"/>
      <c r="CI2673" s="56"/>
      <c r="CJ2673" s="56"/>
      <c r="CK2673" s="56"/>
      <c r="CL2673" s="56"/>
      <c r="CM2673" s="56"/>
      <c r="CN2673" s="56"/>
      <c r="CO2673" s="56"/>
      <c r="CP2673" s="56"/>
      <c r="CQ2673" s="56"/>
      <c r="CR2673" s="56"/>
      <c r="CS2673" s="56"/>
      <c r="CT2673" s="56"/>
      <c r="CU2673" s="56"/>
      <c r="CV2673" s="56"/>
      <c r="CW2673" s="56"/>
      <c r="CX2673" s="56"/>
      <c r="CY2673" s="56"/>
      <c r="CZ2673" s="56"/>
    </row>
    <row r="2674" spans="27:104" s="5" customFormat="1" x14ac:dyDescent="0.25">
      <c r="AA2674" s="56"/>
      <c r="AB2674" s="56"/>
      <c r="AC2674" s="56"/>
      <c r="AD2674" s="56"/>
      <c r="AE2674" s="56"/>
      <c r="AF2674" s="56"/>
      <c r="AG2674" s="56"/>
      <c r="AH2674" s="56"/>
      <c r="AI2674" s="56"/>
      <c r="AJ2674" s="56"/>
      <c r="AK2674" s="56"/>
      <c r="AL2674" s="56"/>
      <c r="AM2674" s="56"/>
      <c r="AN2674" s="56"/>
      <c r="AO2674" s="56"/>
      <c r="AP2674" s="56"/>
      <c r="AQ2674" s="56"/>
      <c r="AR2674" s="56"/>
      <c r="AS2674" s="56"/>
      <c r="AT2674" s="56"/>
      <c r="AU2674" s="56"/>
      <c r="AV2674" s="56"/>
      <c r="AW2674" s="56"/>
      <c r="AX2674" s="56"/>
      <c r="AY2674" s="56"/>
      <c r="AZ2674" s="56"/>
      <c r="BA2674" s="56"/>
      <c r="BB2674" s="16"/>
      <c r="BC2674" s="56"/>
      <c r="BD2674" s="56"/>
      <c r="BE2674" s="56"/>
      <c r="BF2674" s="56"/>
      <c r="BG2674" s="56"/>
      <c r="BH2674" s="56"/>
      <c r="BI2674" s="56"/>
      <c r="BJ2674" s="56"/>
      <c r="BK2674" s="56"/>
      <c r="BL2674" s="56"/>
      <c r="BM2674" s="56"/>
      <c r="BN2674" s="56"/>
      <c r="BO2674" s="56"/>
      <c r="BP2674" s="56"/>
      <c r="BQ2674" s="56"/>
      <c r="BR2674" s="56"/>
      <c r="BS2674" s="56"/>
      <c r="BT2674" s="56"/>
      <c r="BU2674" s="56"/>
      <c r="BV2674" s="56"/>
      <c r="BW2674" s="56"/>
      <c r="BX2674" s="56"/>
      <c r="BY2674" s="56"/>
      <c r="BZ2674" s="56"/>
      <c r="CA2674" s="56"/>
      <c r="CB2674" s="56"/>
      <c r="CC2674" s="56"/>
      <c r="CD2674" s="56"/>
      <c r="CE2674" s="56"/>
      <c r="CF2674" s="56"/>
      <c r="CG2674" s="56"/>
      <c r="CH2674" s="56"/>
      <c r="CI2674" s="56"/>
      <c r="CJ2674" s="56"/>
      <c r="CK2674" s="56"/>
      <c r="CL2674" s="56"/>
      <c r="CM2674" s="56"/>
      <c r="CN2674" s="56"/>
      <c r="CO2674" s="56"/>
      <c r="CP2674" s="56"/>
      <c r="CQ2674" s="56"/>
      <c r="CR2674" s="56"/>
      <c r="CS2674" s="56"/>
      <c r="CT2674" s="56"/>
      <c r="CU2674" s="56"/>
      <c r="CV2674" s="56"/>
      <c r="CW2674" s="56"/>
      <c r="CX2674" s="56"/>
      <c r="CY2674" s="56"/>
      <c r="CZ2674" s="56"/>
    </row>
    <row r="2675" spans="27:104" s="5" customFormat="1" x14ac:dyDescent="0.25">
      <c r="AA2675" s="56"/>
      <c r="AB2675" s="56"/>
      <c r="AC2675" s="56"/>
      <c r="AD2675" s="56"/>
      <c r="AE2675" s="56"/>
      <c r="AF2675" s="56"/>
      <c r="AG2675" s="56"/>
      <c r="AH2675" s="56"/>
      <c r="AI2675" s="56"/>
      <c r="AJ2675" s="56"/>
      <c r="AK2675" s="56"/>
      <c r="AL2675" s="56"/>
      <c r="AM2675" s="56"/>
      <c r="AN2675" s="56"/>
      <c r="AO2675" s="56"/>
      <c r="AP2675" s="56"/>
      <c r="AQ2675" s="56"/>
      <c r="AR2675" s="56"/>
      <c r="AS2675" s="56"/>
      <c r="AT2675" s="56"/>
      <c r="AU2675" s="56"/>
      <c r="AV2675" s="56"/>
      <c r="AW2675" s="56"/>
      <c r="AX2675" s="56"/>
      <c r="AY2675" s="56"/>
      <c r="AZ2675" s="56"/>
      <c r="BA2675" s="56"/>
      <c r="BB2675" s="16"/>
      <c r="BC2675" s="56"/>
      <c r="BD2675" s="56"/>
      <c r="BE2675" s="56"/>
      <c r="BF2675" s="56"/>
      <c r="BG2675" s="56"/>
      <c r="BH2675" s="56"/>
      <c r="BI2675" s="56"/>
      <c r="BJ2675" s="56"/>
      <c r="BK2675" s="56"/>
      <c r="BL2675" s="56"/>
      <c r="BM2675" s="56"/>
      <c r="BN2675" s="56"/>
      <c r="BO2675" s="56"/>
      <c r="BP2675" s="56"/>
      <c r="BQ2675" s="56"/>
      <c r="BR2675" s="56"/>
      <c r="BS2675" s="56"/>
      <c r="BT2675" s="56"/>
      <c r="BU2675" s="56"/>
      <c r="BV2675" s="56"/>
      <c r="BW2675" s="56"/>
      <c r="BX2675" s="56"/>
      <c r="BY2675" s="56"/>
      <c r="BZ2675" s="56"/>
      <c r="CA2675" s="56"/>
      <c r="CB2675" s="56"/>
      <c r="CC2675" s="56"/>
      <c r="CD2675" s="56"/>
      <c r="CE2675" s="56"/>
      <c r="CF2675" s="56"/>
      <c r="CG2675" s="56"/>
      <c r="CH2675" s="56"/>
      <c r="CI2675" s="56"/>
      <c r="CJ2675" s="56"/>
      <c r="CK2675" s="56"/>
      <c r="CL2675" s="56"/>
      <c r="CM2675" s="56"/>
      <c r="CN2675" s="56"/>
      <c r="CO2675" s="56"/>
      <c r="CP2675" s="56"/>
      <c r="CQ2675" s="56"/>
      <c r="CR2675" s="56"/>
      <c r="CS2675" s="56"/>
      <c r="CT2675" s="56"/>
      <c r="CU2675" s="56"/>
      <c r="CV2675" s="56"/>
      <c r="CW2675" s="56"/>
      <c r="CX2675" s="56"/>
      <c r="CY2675" s="56"/>
      <c r="CZ2675" s="56"/>
    </row>
    <row r="2676" spans="27:104" s="5" customFormat="1" x14ac:dyDescent="0.25">
      <c r="AA2676" s="56"/>
      <c r="AB2676" s="56"/>
      <c r="AC2676" s="56"/>
      <c r="AD2676" s="56"/>
      <c r="AE2676" s="56"/>
      <c r="AF2676" s="56"/>
      <c r="AG2676" s="56"/>
      <c r="AH2676" s="56"/>
      <c r="AI2676" s="56"/>
      <c r="AJ2676" s="56"/>
      <c r="AK2676" s="56"/>
      <c r="AL2676" s="56"/>
      <c r="AM2676" s="56"/>
      <c r="AN2676" s="56"/>
      <c r="AO2676" s="56"/>
      <c r="AP2676" s="56"/>
      <c r="AQ2676" s="56"/>
      <c r="AR2676" s="56"/>
      <c r="AS2676" s="56"/>
      <c r="AT2676" s="56"/>
      <c r="AU2676" s="56"/>
      <c r="AV2676" s="56"/>
      <c r="AW2676" s="56"/>
      <c r="AX2676" s="56"/>
      <c r="AY2676" s="56"/>
      <c r="AZ2676" s="56"/>
      <c r="BA2676" s="56"/>
      <c r="BB2676" s="16"/>
      <c r="BC2676" s="56"/>
      <c r="BD2676" s="56"/>
      <c r="BE2676" s="56"/>
      <c r="BF2676" s="56"/>
      <c r="BG2676" s="56"/>
      <c r="BH2676" s="56"/>
      <c r="BI2676" s="56"/>
      <c r="BJ2676" s="56"/>
      <c r="BK2676" s="56"/>
      <c r="BL2676" s="56"/>
      <c r="BM2676" s="56"/>
      <c r="BN2676" s="56"/>
      <c r="BO2676" s="56"/>
      <c r="BP2676" s="56"/>
      <c r="BQ2676" s="56"/>
      <c r="BR2676" s="56"/>
      <c r="BS2676" s="56"/>
      <c r="BT2676" s="56"/>
      <c r="BU2676" s="56"/>
      <c r="BV2676" s="56"/>
      <c r="BW2676" s="56"/>
      <c r="BX2676" s="56"/>
      <c r="BY2676" s="56"/>
      <c r="BZ2676" s="56"/>
      <c r="CA2676" s="56"/>
      <c r="CB2676" s="56"/>
      <c r="CC2676" s="56"/>
      <c r="CD2676" s="56"/>
      <c r="CE2676" s="56"/>
      <c r="CF2676" s="56"/>
      <c r="CG2676" s="56"/>
      <c r="CH2676" s="56"/>
      <c r="CI2676" s="56"/>
      <c r="CJ2676" s="56"/>
      <c r="CK2676" s="56"/>
      <c r="CL2676" s="56"/>
      <c r="CM2676" s="56"/>
      <c r="CN2676" s="56"/>
      <c r="CO2676" s="56"/>
      <c r="CP2676" s="56"/>
      <c r="CQ2676" s="56"/>
      <c r="CR2676" s="56"/>
      <c r="CS2676" s="56"/>
      <c r="CT2676" s="56"/>
      <c r="CU2676" s="56"/>
      <c r="CV2676" s="56"/>
      <c r="CW2676" s="56"/>
      <c r="CX2676" s="56"/>
      <c r="CY2676" s="56"/>
      <c r="CZ2676" s="56"/>
    </row>
    <row r="2677" spans="27:104" s="5" customFormat="1" x14ac:dyDescent="0.25">
      <c r="AA2677" s="56"/>
      <c r="AB2677" s="56"/>
      <c r="AC2677" s="56"/>
      <c r="AD2677" s="56"/>
      <c r="AE2677" s="56"/>
      <c r="AF2677" s="56"/>
      <c r="AG2677" s="56"/>
      <c r="AH2677" s="56"/>
      <c r="AI2677" s="56"/>
      <c r="AJ2677" s="56"/>
      <c r="AK2677" s="56"/>
      <c r="AL2677" s="56"/>
      <c r="AM2677" s="56"/>
      <c r="AN2677" s="56"/>
      <c r="AO2677" s="56"/>
      <c r="AP2677" s="56"/>
      <c r="AQ2677" s="56"/>
      <c r="AR2677" s="56"/>
      <c r="AS2677" s="56"/>
      <c r="AT2677" s="56"/>
      <c r="AU2677" s="56"/>
      <c r="AV2677" s="56"/>
      <c r="AW2677" s="56"/>
      <c r="AX2677" s="56"/>
      <c r="AY2677" s="56"/>
      <c r="AZ2677" s="56"/>
      <c r="BA2677" s="56"/>
      <c r="BB2677" s="16"/>
      <c r="BC2677" s="56"/>
      <c r="BD2677" s="56"/>
      <c r="BE2677" s="56"/>
      <c r="BF2677" s="56"/>
      <c r="BG2677" s="56"/>
      <c r="BH2677" s="56"/>
      <c r="BI2677" s="56"/>
      <c r="BJ2677" s="56"/>
      <c r="BK2677" s="56"/>
      <c r="BL2677" s="56"/>
      <c r="BM2677" s="56"/>
      <c r="BN2677" s="56"/>
      <c r="BO2677" s="56"/>
      <c r="BP2677" s="56"/>
      <c r="BQ2677" s="56"/>
      <c r="BR2677" s="56"/>
      <c r="BS2677" s="56"/>
      <c r="BT2677" s="56"/>
      <c r="BU2677" s="56"/>
      <c r="BV2677" s="56"/>
      <c r="BW2677" s="56"/>
      <c r="BX2677" s="56"/>
      <c r="BY2677" s="56"/>
      <c r="BZ2677" s="56"/>
      <c r="CA2677" s="56"/>
      <c r="CB2677" s="56"/>
      <c r="CC2677" s="56"/>
      <c r="CD2677" s="56"/>
      <c r="CE2677" s="56"/>
      <c r="CF2677" s="56"/>
      <c r="CG2677" s="56"/>
      <c r="CH2677" s="56"/>
      <c r="CI2677" s="56"/>
      <c r="CJ2677" s="56"/>
      <c r="CK2677" s="56"/>
      <c r="CL2677" s="56"/>
      <c r="CM2677" s="56"/>
      <c r="CN2677" s="56"/>
      <c r="CO2677" s="56"/>
      <c r="CP2677" s="56"/>
      <c r="CQ2677" s="56"/>
      <c r="CR2677" s="56"/>
      <c r="CS2677" s="56"/>
      <c r="CT2677" s="56"/>
      <c r="CU2677" s="56"/>
      <c r="CV2677" s="56"/>
      <c r="CW2677" s="56"/>
      <c r="CX2677" s="56"/>
      <c r="CY2677" s="56"/>
      <c r="CZ2677" s="56"/>
    </row>
    <row r="2678" spans="27:104" s="5" customFormat="1" x14ac:dyDescent="0.25">
      <c r="AA2678" s="56"/>
      <c r="AB2678" s="56"/>
      <c r="AC2678" s="56"/>
      <c r="AD2678" s="56"/>
      <c r="AE2678" s="56"/>
      <c r="AF2678" s="56"/>
      <c r="AG2678" s="56"/>
      <c r="AH2678" s="56"/>
      <c r="AI2678" s="56"/>
      <c r="AJ2678" s="56"/>
      <c r="AK2678" s="56"/>
      <c r="AL2678" s="56"/>
      <c r="AM2678" s="56"/>
      <c r="AN2678" s="56"/>
      <c r="AO2678" s="56"/>
      <c r="AP2678" s="56"/>
      <c r="AQ2678" s="56"/>
      <c r="AR2678" s="56"/>
      <c r="AS2678" s="56"/>
      <c r="AT2678" s="56"/>
      <c r="AU2678" s="56"/>
      <c r="AV2678" s="56"/>
      <c r="AW2678" s="56"/>
      <c r="AX2678" s="56"/>
      <c r="AY2678" s="56"/>
      <c r="AZ2678" s="56"/>
      <c r="BA2678" s="56"/>
      <c r="BB2678" s="16"/>
      <c r="BC2678" s="56"/>
      <c r="BD2678" s="56"/>
      <c r="BE2678" s="56"/>
      <c r="BF2678" s="56"/>
      <c r="BG2678" s="56"/>
      <c r="BH2678" s="56"/>
      <c r="BI2678" s="56"/>
      <c r="BJ2678" s="56"/>
      <c r="BK2678" s="56"/>
      <c r="BL2678" s="56"/>
      <c r="BM2678" s="56"/>
      <c r="BN2678" s="56"/>
      <c r="BO2678" s="56"/>
      <c r="BP2678" s="56"/>
      <c r="BQ2678" s="56"/>
      <c r="BR2678" s="56"/>
      <c r="BS2678" s="56"/>
      <c r="BT2678" s="56"/>
      <c r="BU2678" s="56"/>
      <c r="BV2678" s="56"/>
      <c r="BW2678" s="56"/>
      <c r="BX2678" s="56"/>
      <c r="BY2678" s="56"/>
      <c r="BZ2678" s="56"/>
      <c r="CA2678" s="56"/>
      <c r="CB2678" s="56"/>
      <c r="CC2678" s="56"/>
      <c r="CD2678" s="56"/>
      <c r="CE2678" s="56"/>
      <c r="CF2678" s="56"/>
      <c r="CG2678" s="56"/>
      <c r="CH2678" s="56"/>
      <c r="CI2678" s="56"/>
      <c r="CJ2678" s="56"/>
      <c r="CK2678" s="56"/>
      <c r="CL2678" s="56"/>
      <c r="CM2678" s="56"/>
      <c r="CN2678" s="56"/>
      <c r="CO2678" s="56"/>
      <c r="CP2678" s="56"/>
      <c r="CQ2678" s="56"/>
      <c r="CR2678" s="56"/>
      <c r="CS2678" s="56"/>
      <c r="CT2678" s="56"/>
      <c r="CU2678" s="56"/>
      <c r="CV2678" s="56"/>
      <c r="CW2678" s="56"/>
      <c r="CX2678" s="56"/>
      <c r="CY2678" s="56"/>
      <c r="CZ2678" s="56"/>
    </row>
    <row r="2679" spans="27:104" s="5" customFormat="1" x14ac:dyDescent="0.25">
      <c r="AA2679" s="56"/>
      <c r="AB2679" s="56"/>
      <c r="AC2679" s="56"/>
      <c r="AD2679" s="56"/>
      <c r="AE2679" s="56"/>
      <c r="AF2679" s="56"/>
      <c r="AG2679" s="56"/>
      <c r="AH2679" s="56"/>
      <c r="AI2679" s="56"/>
      <c r="AJ2679" s="56"/>
      <c r="AK2679" s="56"/>
      <c r="AL2679" s="56"/>
      <c r="AM2679" s="56"/>
      <c r="AN2679" s="56"/>
      <c r="AO2679" s="56"/>
      <c r="AP2679" s="56"/>
      <c r="AQ2679" s="56"/>
      <c r="AR2679" s="56"/>
      <c r="AS2679" s="56"/>
      <c r="AT2679" s="56"/>
      <c r="AU2679" s="56"/>
      <c r="AV2679" s="56"/>
      <c r="AW2679" s="56"/>
      <c r="AX2679" s="56"/>
      <c r="AY2679" s="56"/>
      <c r="AZ2679" s="56"/>
      <c r="BA2679" s="56"/>
      <c r="BB2679" s="16"/>
      <c r="BC2679" s="56"/>
      <c r="BD2679" s="56"/>
      <c r="BE2679" s="56"/>
      <c r="BF2679" s="56"/>
      <c r="BG2679" s="56"/>
      <c r="BH2679" s="56"/>
      <c r="BI2679" s="56"/>
      <c r="BJ2679" s="56"/>
      <c r="BK2679" s="56"/>
      <c r="BL2679" s="56"/>
      <c r="BM2679" s="56"/>
      <c r="BN2679" s="56"/>
      <c r="BO2679" s="56"/>
      <c r="BP2679" s="56"/>
      <c r="BQ2679" s="56"/>
      <c r="BR2679" s="56"/>
      <c r="BS2679" s="56"/>
      <c r="BT2679" s="56"/>
      <c r="BU2679" s="56"/>
      <c r="BV2679" s="56"/>
      <c r="BW2679" s="56"/>
      <c r="BX2679" s="56"/>
      <c r="BY2679" s="56"/>
      <c r="BZ2679" s="56"/>
      <c r="CA2679" s="56"/>
      <c r="CB2679" s="56"/>
      <c r="CC2679" s="56"/>
      <c r="CD2679" s="56"/>
      <c r="CE2679" s="56"/>
      <c r="CF2679" s="56"/>
      <c r="CG2679" s="56"/>
      <c r="CH2679" s="56"/>
      <c r="CI2679" s="56"/>
      <c r="CJ2679" s="56"/>
      <c r="CK2679" s="56"/>
      <c r="CL2679" s="56"/>
      <c r="CM2679" s="56"/>
      <c r="CN2679" s="56"/>
      <c r="CO2679" s="56"/>
      <c r="CP2679" s="56"/>
      <c r="CQ2679" s="56"/>
      <c r="CR2679" s="56"/>
      <c r="CS2679" s="56"/>
      <c r="CT2679" s="56"/>
      <c r="CU2679" s="56"/>
      <c r="CV2679" s="56"/>
      <c r="CW2679" s="56"/>
      <c r="CX2679" s="56"/>
      <c r="CY2679" s="56"/>
      <c r="CZ2679" s="56"/>
    </row>
    <row r="2680" spans="27:104" s="5" customFormat="1" x14ac:dyDescent="0.25">
      <c r="AA2680" s="56"/>
      <c r="AB2680" s="56"/>
      <c r="AC2680" s="56"/>
      <c r="AD2680" s="56"/>
      <c r="AE2680" s="56"/>
      <c r="AF2680" s="56"/>
      <c r="AG2680" s="56"/>
      <c r="AH2680" s="56"/>
      <c r="AI2680" s="56"/>
      <c r="AJ2680" s="56"/>
      <c r="AK2680" s="56"/>
      <c r="AL2680" s="56"/>
      <c r="AM2680" s="56"/>
      <c r="AN2680" s="56"/>
      <c r="AO2680" s="56"/>
      <c r="AP2680" s="56"/>
      <c r="AQ2680" s="56"/>
      <c r="AR2680" s="56"/>
      <c r="AS2680" s="56"/>
      <c r="AT2680" s="56"/>
      <c r="AU2680" s="56"/>
      <c r="AV2680" s="56"/>
      <c r="AW2680" s="56"/>
      <c r="AX2680" s="56"/>
      <c r="AY2680" s="56"/>
      <c r="AZ2680" s="56"/>
      <c r="BA2680" s="56"/>
      <c r="BB2680" s="16"/>
      <c r="BC2680" s="56"/>
      <c r="BD2680" s="56"/>
      <c r="BE2680" s="56"/>
      <c r="BF2680" s="56"/>
      <c r="BG2680" s="56"/>
      <c r="BH2680" s="56"/>
      <c r="BI2680" s="56"/>
      <c r="BJ2680" s="56"/>
      <c r="BK2680" s="56"/>
      <c r="BL2680" s="56"/>
      <c r="BM2680" s="56"/>
      <c r="BN2680" s="56"/>
      <c r="BO2680" s="56"/>
      <c r="BP2680" s="56"/>
      <c r="BQ2680" s="56"/>
      <c r="BR2680" s="56"/>
      <c r="BS2680" s="56"/>
      <c r="BT2680" s="56"/>
      <c r="BU2680" s="56"/>
      <c r="BV2680" s="56"/>
      <c r="BW2680" s="56"/>
      <c r="BX2680" s="56"/>
      <c r="BY2680" s="56"/>
      <c r="BZ2680" s="56"/>
      <c r="CA2680" s="56"/>
      <c r="CB2680" s="56"/>
      <c r="CC2680" s="56"/>
      <c r="CD2680" s="56"/>
      <c r="CE2680" s="56"/>
      <c r="CF2680" s="56"/>
      <c r="CG2680" s="56"/>
      <c r="CH2680" s="56"/>
      <c r="CI2680" s="56"/>
      <c r="CJ2680" s="56"/>
      <c r="CK2680" s="56"/>
      <c r="CL2680" s="56"/>
      <c r="CM2680" s="56"/>
      <c r="CN2680" s="56"/>
      <c r="CO2680" s="56"/>
      <c r="CP2680" s="56"/>
      <c r="CQ2680" s="56"/>
      <c r="CR2680" s="56"/>
      <c r="CS2680" s="56"/>
      <c r="CT2680" s="56"/>
      <c r="CU2680" s="56"/>
      <c r="CV2680" s="56"/>
      <c r="CW2680" s="56"/>
      <c r="CX2680" s="56"/>
      <c r="CY2680" s="56"/>
      <c r="CZ2680" s="56"/>
    </row>
    <row r="2681" spans="27:104" s="5" customFormat="1" x14ac:dyDescent="0.25">
      <c r="AA2681" s="56"/>
      <c r="AB2681" s="56"/>
      <c r="AC2681" s="56"/>
      <c r="AD2681" s="56"/>
      <c r="AE2681" s="56"/>
      <c r="AF2681" s="56"/>
      <c r="AG2681" s="56"/>
      <c r="AH2681" s="56"/>
      <c r="AI2681" s="56"/>
      <c r="AJ2681" s="56"/>
      <c r="AK2681" s="56"/>
      <c r="AL2681" s="56"/>
      <c r="AM2681" s="56"/>
      <c r="AN2681" s="56"/>
      <c r="AO2681" s="56"/>
      <c r="AP2681" s="56"/>
      <c r="AQ2681" s="56"/>
      <c r="AR2681" s="56"/>
      <c r="AS2681" s="56"/>
      <c r="AT2681" s="56"/>
      <c r="AU2681" s="56"/>
      <c r="AV2681" s="56"/>
      <c r="AW2681" s="56"/>
      <c r="AX2681" s="56"/>
      <c r="AY2681" s="56"/>
      <c r="AZ2681" s="56"/>
      <c r="BA2681" s="56"/>
      <c r="BB2681" s="16"/>
      <c r="BC2681" s="56"/>
      <c r="BD2681" s="56"/>
      <c r="BE2681" s="56"/>
      <c r="BF2681" s="56"/>
      <c r="BG2681" s="56"/>
      <c r="BH2681" s="56"/>
      <c r="BI2681" s="56"/>
      <c r="BJ2681" s="56"/>
      <c r="BK2681" s="56"/>
      <c r="BL2681" s="56"/>
      <c r="BM2681" s="56"/>
      <c r="BN2681" s="56"/>
      <c r="BO2681" s="56"/>
      <c r="BP2681" s="56"/>
      <c r="BQ2681" s="56"/>
      <c r="BR2681" s="56"/>
      <c r="BS2681" s="56"/>
      <c r="BT2681" s="56"/>
      <c r="BU2681" s="56"/>
      <c r="BV2681" s="56"/>
      <c r="BW2681" s="56"/>
      <c r="BX2681" s="56"/>
      <c r="BY2681" s="56"/>
      <c r="BZ2681" s="56"/>
      <c r="CA2681" s="56"/>
      <c r="CB2681" s="56"/>
      <c r="CC2681" s="56"/>
      <c r="CD2681" s="56"/>
      <c r="CE2681" s="56"/>
      <c r="CF2681" s="56"/>
      <c r="CG2681" s="56"/>
      <c r="CH2681" s="56"/>
      <c r="CI2681" s="56"/>
      <c r="CJ2681" s="56"/>
      <c r="CK2681" s="56"/>
      <c r="CL2681" s="56"/>
      <c r="CM2681" s="56"/>
      <c r="CN2681" s="56"/>
      <c r="CO2681" s="56"/>
      <c r="CP2681" s="56"/>
      <c r="CQ2681" s="56"/>
      <c r="CR2681" s="56"/>
      <c r="CS2681" s="56"/>
      <c r="CT2681" s="56"/>
      <c r="CU2681" s="56"/>
      <c r="CV2681" s="56"/>
      <c r="CW2681" s="56"/>
      <c r="CX2681" s="56"/>
      <c r="CY2681" s="56"/>
      <c r="CZ2681" s="56"/>
    </row>
    <row r="2682" spans="27:104" s="5" customFormat="1" x14ac:dyDescent="0.25">
      <c r="AA2682" s="56"/>
      <c r="AB2682" s="56"/>
      <c r="AC2682" s="56"/>
      <c r="AD2682" s="56"/>
      <c r="AE2682" s="56"/>
      <c r="AF2682" s="56"/>
      <c r="AG2682" s="56"/>
      <c r="AH2682" s="56"/>
      <c r="AI2682" s="56"/>
      <c r="AJ2682" s="56"/>
      <c r="AK2682" s="56"/>
      <c r="AL2682" s="56"/>
      <c r="AM2682" s="56"/>
      <c r="AN2682" s="56"/>
      <c r="AO2682" s="56"/>
      <c r="AP2682" s="56"/>
      <c r="AQ2682" s="56"/>
      <c r="AR2682" s="56"/>
      <c r="AS2682" s="56"/>
      <c r="AT2682" s="56"/>
      <c r="AU2682" s="56"/>
      <c r="AV2682" s="56"/>
      <c r="AW2682" s="56"/>
      <c r="AX2682" s="56"/>
      <c r="AY2682" s="56"/>
      <c r="AZ2682" s="56"/>
      <c r="BA2682" s="56"/>
      <c r="BB2682" s="16"/>
      <c r="BC2682" s="56"/>
      <c r="BD2682" s="56"/>
      <c r="BE2682" s="56"/>
      <c r="BF2682" s="56"/>
      <c r="BG2682" s="56"/>
      <c r="BH2682" s="56"/>
      <c r="BI2682" s="56"/>
      <c r="BJ2682" s="56"/>
      <c r="BK2682" s="56"/>
      <c r="BL2682" s="56"/>
      <c r="BM2682" s="56"/>
      <c r="BN2682" s="56"/>
      <c r="BO2682" s="56"/>
      <c r="BP2682" s="56"/>
      <c r="BQ2682" s="56"/>
      <c r="BR2682" s="56"/>
      <c r="BS2682" s="56"/>
      <c r="BT2682" s="56"/>
      <c r="BU2682" s="56"/>
      <c r="BV2682" s="56"/>
      <c r="BW2682" s="56"/>
      <c r="BX2682" s="56"/>
      <c r="BY2682" s="56"/>
      <c r="BZ2682" s="56"/>
      <c r="CA2682" s="56"/>
      <c r="CB2682" s="56"/>
      <c r="CC2682" s="56"/>
      <c r="CD2682" s="56"/>
      <c r="CE2682" s="56"/>
      <c r="CF2682" s="56"/>
      <c r="CG2682" s="56"/>
      <c r="CH2682" s="56"/>
      <c r="CI2682" s="56"/>
      <c r="CJ2682" s="56"/>
      <c r="CK2682" s="56"/>
      <c r="CL2682" s="56"/>
      <c r="CM2682" s="56"/>
      <c r="CN2682" s="56"/>
      <c r="CO2682" s="56"/>
      <c r="CP2682" s="56"/>
      <c r="CQ2682" s="56"/>
      <c r="CR2682" s="56"/>
      <c r="CS2682" s="56"/>
      <c r="CT2682" s="56"/>
      <c r="CU2682" s="56"/>
      <c r="CV2682" s="56"/>
      <c r="CW2682" s="56"/>
      <c r="CX2682" s="56"/>
      <c r="CY2682" s="56"/>
      <c r="CZ2682" s="56"/>
    </row>
    <row r="2683" spans="27:104" s="5" customFormat="1" x14ac:dyDescent="0.25">
      <c r="AA2683" s="56"/>
      <c r="AB2683" s="56"/>
      <c r="AC2683" s="56"/>
      <c r="AD2683" s="56"/>
      <c r="AE2683" s="56"/>
      <c r="AF2683" s="56"/>
      <c r="AG2683" s="56"/>
      <c r="AH2683" s="56"/>
      <c r="AI2683" s="56"/>
      <c r="AJ2683" s="56"/>
      <c r="AK2683" s="56"/>
      <c r="AL2683" s="56"/>
      <c r="AM2683" s="56"/>
      <c r="AN2683" s="56"/>
      <c r="AO2683" s="56"/>
      <c r="AP2683" s="56"/>
      <c r="AQ2683" s="56"/>
      <c r="AR2683" s="56"/>
      <c r="AS2683" s="56"/>
      <c r="AT2683" s="56"/>
      <c r="AU2683" s="56"/>
      <c r="AV2683" s="56"/>
      <c r="AW2683" s="56"/>
      <c r="AX2683" s="56"/>
      <c r="AY2683" s="56"/>
      <c r="AZ2683" s="56"/>
      <c r="BA2683" s="56"/>
      <c r="BB2683" s="16"/>
      <c r="BC2683" s="56"/>
      <c r="BD2683" s="56"/>
      <c r="BE2683" s="56"/>
      <c r="BF2683" s="56"/>
      <c r="BG2683" s="56"/>
      <c r="BH2683" s="56"/>
      <c r="BI2683" s="56"/>
      <c r="BJ2683" s="56"/>
      <c r="BK2683" s="56"/>
      <c r="BL2683" s="56"/>
      <c r="BM2683" s="56"/>
      <c r="BN2683" s="56"/>
      <c r="BO2683" s="56"/>
      <c r="BP2683" s="56"/>
      <c r="BQ2683" s="56"/>
      <c r="BR2683" s="56"/>
      <c r="BS2683" s="56"/>
      <c r="BT2683" s="56"/>
      <c r="BU2683" s="56"/>
      <c r="BV2683" s="56"/>
      <c r="BW2683" s="56"/>
      <c r="BX2683" s="56"/>
      <c r="BY2683" s="56"/>
      <c r="BZ2683" s="56"/>
      <c r="CA2683" s="56"/>
      <c r="CB2683" s="56"/>
      <c r="CC2683" s="56"/>
      <c r="CD2683" s="56"/>
      <c r="CE2683" s="56"/>
      <c r="CF2683" s="56"/>
      <c r="CG2683" s="56"/>
      <c r="CH2683" s="56"/>
      <c r="CI2683" s="56"/>
      <c r="CJ2683" s="56"/>
      <c r="CK2683" s="56"/>
      <c r="CL2683" s="56"/>
      <c r="CM2683" s="56"/>
      <c r="CN2683" s="56"/>
      <c r="CO2683" s="56"/>
      <c r="CP2683" s="56"/>
      <c r="CQ2683" s="56"/>
      <c r="CR2683" s="56"/>
      <c r="CS2683" s="56"/>
      <c r="CT2683" s="56"/>
      <c r="CU2683" s="56"/>
      <c r="CV2683" s="56"/>
      <c r="CW2683" s="56"/>
      <c r="CX2683" s="56"/>
      <c r="CY2683" s="56"/>
      <c r="CZ2683" s="56"/>
    </row>
    <row r="2684" spans="27:104" s="5" customFormat="1" x14ac:dyDescent="0.25">
      <c r="AA2684" s="56"/>
      <c r="AB2684" s="56"/>
      <c r="AC2684" s="56"/>
      <c r="AD2684" s="56"/>
      <c r="AE2684" s="56"/>
      <c r="AF2684" s="56"/>
      <c r="AG2684" s="56"/>
      <c r="AH2684" s="56"/>
      <c r="AI2684" s="56"/>
      <c r="AJ2684" s="56"/>
      <c r="AK2684" s="56"/>
      <c r="AL2684" s="56"/>
      <c r="AM2684" s="56"/>
      <c r="AN2684" s="56"/>
      <c r="AO2684" s="56"/>
      <c r="AP2684" s="56"/>
      <c r="AQ2684" s="56"/>
      <c r="AR2684" s="56"/>
      <c r="AS2684" s="56"/>
      <c r="AT2684" s="56"/>
      <c r="AU2684" s="56"/>
      <c r="AV2684" s="56"/>
      <c r="AW2684" s="56"/>
      <c r="AX2684" s="56"/>
      <c r="AY2684" s="56"/>
      <c r="AZ2684" s="56"/>
      <c r="BA2684" s="56"/>
      <c r="BB2684" s="16"/>
      <c r="BC2684" s="56"/>
      <c r="BD2684" s="56"/>
      <c r="BE2684" s="56"/>
      <c r="BF2684" s="56"/>
      <c r="BG2684" s="56"/>
      <c r="BH2684" s="56"/>
      <c r="BI2684" s="56"/>
      <c r="BJ2684" s="56"/>
      <c r="BK2684" s="56"/>
      <c r="BL2684" s="56"/>
      <c r="BM2684" s="56"/>
      <c r="BN2684" s="56"/>
      <c r="BO2684" s="56"/>
      <c r="BP2684" s="56"/>
      <c r="BQ2684" s="56"/>
      <c r="BR2684" s="56"/>
      <c r="BS2684" s="56"/>
      <c r="BT2684" s="56"/>
      <c r="BU2684" s="56"/>
      <c r="BV2684" s="56"/>
      <c r="BW2684" s="56"/>
      <c r="BX2684" s="56"/>
      <c r="BY2684" s="56"/>
      <c r="BZ2684" s="56"/>
      <c r="CA2684" s="56"/>
      <c r="CB2684" s="56"/>
      <c r="CC2684" s="56"/>
      <c r="CD2684" s="56"/>
      <c r="CE2684" s="56"/>
      <c r="CF2684" s="56"/>
      <c r="CG2684" s="56"/>
      <c r="CH2684" s="56"/>
      <c r="CI2684" s="56"/>
      <c r="CJ2684" s="56"/>
      <c r="CK2684" s="56"/>
      <c r="CL2684" s="56"/>
      <c r="CM2684" s="56"/>
      <c r="CN2684" s="56"/>
      <c r="CO2684" s="56"/>
      <c r="CP2684" s="56"/>
      <c r="CQ2684" s="56"/>
      <c r="CR2684" s="56"/>
      <c r="CS2684" s="56"/>
      <c r="CT2684" s="56"/>
      <c r="CU2684" s="56"/>
      <c r="CV2684" s="56"/>
      <c r="CW2684" s="56"/>
      <c r="CX2684" s="56"/>
      <c r="CY2684" s="56"/>
      <c r="CZ2684" s="56"/>
    </row>
    <row r="2685" spans="27:104" s="5" customFormat="1" x14ac:dyDescent="0.25">
      <c r="AA2685" s="56"/>
      <c r="AB2685" s="56"/>
      <c r="AC2685" s="56"/>
      <c r="AD2685" s="56"/>
      <c r="AE2685" s="56"/>
      <c r="AF2685" s="56"/>
      <c r="AG2685" s="56"/>
      <c r="AH2685" s="56"/>
      <c r="AI2685" s="56"/>
      <c r="AJ2685" s="56"/>
      <c r="AK2685" s="56"/>
      <c r="AL2685" s="56"/>
      <c r="AM2685" s="56"/>
      <c r="AN2685" s="56"/>
      <c r="AO2685" s="56"/>
      <c r="AP2685" s="56"/>
      <c r="AQ2685" s="56"/>
      <c r="AR2685" s="56"/>
      <c r="AS2685" s="56"/>
      <c r="AT2685" s="56"/>
      <c r="AU2685" s="56"/>
      <c r="AV2685" s="56"/>
      <c r="AW2685" s="56"/>
      <c r="AX2685" s="56"/>
      <c r="AY2685" s="56"/>
      <c r="AZ2685" s="56"/>
      <c r="BA2685" s="56"/>
      <c r="BB2685" s="16"/>
      <c r="BC2685" s="56"/>
      <c r="BD2685" s="56"/>
      <c r="BE2685" s="56"/>
      <c r="BF2685" s="56"/>
      <c r="BG2685" s="56"/>
      <c r="BH2685" s="56"/>
      <c r="BI2685" s="56"/>
      <c r="BJ2685" s="56"/>
      <c r="BK2685" s="56"/>
      <c r="BL2685" s="56"/>
      <c r="BM2685" s="56"/>
      <c r="BN2685" s="56"/>
      <c r="BO2685" s="56"/>
      <c r="BP2685" s="56"/>
      <c r="BQ2685" s="56"/>
      <c r="BR2685" s="56"/>
      <c r="BS2685" s="56"/>
      <c r="BT2685" s="56"/>
      <c r="BU2685" s="56"/>
      <c r="BV2685" s="56"/>
      <c r="BW2685" s="56"/>
      <c r="BX2685" s="56"/>
      <c r="BY2685" s="56"/>
      <c r="BZ2685" s="56"/>
      <c r="CA2685" s="56"/>
      <c r="CB2685" s="56"/>
      <c r="CC2685" s="56"/>
      <c r="CD2685" s="56"/>
      <c r="CE2685" s="56"/>
      <c r="CF2685" s="56"/>
      <c r="CG2685" s="56"/>
      <c r="CH2685" s="56"/>
      <c r="CI2685" s="56"/>
      <c r="CJ2685" s="56"/>
      <c r="CK2685" s="56"/>
      <c r="CL2685" s="56"/>
      <c r="CM2685" s="56"/>
      <c r="CN2685" s="56"/>
      <c r="CO2685" s="56"/>
      <c r="CP2685" s="56"/>
      <c r="CQ2685" s="56"/>
      <c r="CR2685" s="56"/>
      <c r="CS2685" s="56"/>
      <c r="CT2685" s="56"/>
      <c r="CU2685" s="56"/>
      <c r="CV2685" s="56"/>
      <c r="CW2685" s="56"/>
      <c r="CX2685" s="56"/>
      <c r="CY2685" s="56"/>
      <c r="CZ2685" s="56"/>
    </row>
    <row r="2686" spans="27:104" s="5" customFormat="1" x14ac:dyDescent="0.25">
      <c r="AA2686" s="56"/>
      <c r="AB2686" s="56"/>
      <c r="AC2686" s="56"/>
      <c r="AD2686" s="56"/>
      <c r="AE2686" s="56"/>
      <c r="AF2686" s="56"/>
      <c r="AG2686" s="56"/>
      <c r="AH2686" s="56"/>
      <c r="AI2686" s="56"/>
      <c r="AJ2686" s="56"/>
      <c r="AK2686" s="56"/>
      <c r="AL2686" s="56"/>
      <c r="AM2686" s="56"/>
      <c r="AN2686" s="56"/>
      <c r="AO2686" s="56"/>
      <c r="AP2686" s="56"/>
      <c r="AQ2686" s="56"/>
      <c r="AR2686" s="56"/>
      <c r="AS2686" s="56"/>
      <c r="AT2686" s="56"/>
      <c r="AU2686" s="56"/>
      <c r="AV2686" s="56"/>
      <c r="AW2686" s="56"/>
      <c r="AX2686" s="56"/>
      <c r="AY2686" s="56"/>
      <c r="AZ2686" s="56"/>
      <c r="BA2686" s="56"/>
      <c r="BB2686" s="16"/>
      <c r="BC2686" s="56"/>
      <c r="BD2686" s="56"/>
      <c r="BE2686" s="56"/>
      <c r="BF2686" s="56"/>
      <c r="BG2686" s="56"/>
      <c r="BH2686" s="56"/>
      <c r="BI2686" s="56"/>
      <c r="BJ2686" s="56"/>
      <c r="BK2686" s="56"/>
      <c r="BL2686" s="56"/>
      <c r="BM2686" s="56"/>
      <c r="BN2686" s="56"/>
      <c r="BO2686" s="56"/>
      <c r="BP2686" s="56"/>
      <c r="BQ2686" s="56"/>
      <c r="BR2686" s="56"/>
      <c r="BS2686" s="56"/>
      <c r="BT2686" s="56"/>
      <c r="BU2686" s="56"/>
      <c r="BV2686" s="56"/>
      <c r="BW2686" s="56"/>
      <c r="BX2686" s="56"/>
      <c r="BY2686" s="56"/>
      <c r="BZ2686" s="56"/>
      <c r="CA2686" s="56"/>
      <c r="CB2686" s="56"/>
      <c r="CC2686" s="56"/>
      <c r="CD2686" s="56"/>
      <c r="CE2686" s="56"/>
      <c r="CF2686" s="56"/>
      <c r="CG2686" s="56"/>
      <c r="CH2686" s="56"/>
      <c r="CI2686" s="56"/>
      <c r="CJ2686" s="56"/>
      <c r="CK2686" s="56"/>
      <c r="CL2686" s="56"/>
      <c r="CM2686" s="56"/>
      <c r="CN2686" s="56"/>
      <c r="CO2686" s="56"/>
      <c r="CP2686" s="56"/>
      <c r="CQ2686" s="56"/>
      <c r="CR2686" s="56"/>
      <c r="CS2686" s="56"/>
      <c r="CT2686" s="56"/>
      <c r="CU2686" s="56"/>
      <c r="CV2686" s="56"/>
      <c r="CW2686" s="56"/>
      <c r="CX2686" s="56"/>
      <c r="CY2686" s="56"/>
      <c r="CZ2686" s="56"/>
    </row>
    <row r="2687" spans="27:104" s="5" customFormat="1" x14ac:dyDescent="0.25">
      <c r="AA2687" s="56"/>
      <c r="AB2687" s="56"/>
      <c r="AC2687" s="56"/>
      <c r="AD2687" s="56"/>
      <c r="AE2687" s="56"/>
      <c r="AF2687" s="56"/>
      <c r="AG2687" s="56"/>
      <c r="AH2687" s="56"/>
      <c r="AI2687" s="56"/>
      <c r="AJ2687" s="56"/>
      <c r="AK2687" s="56"/>
      <c r="AL2687" s="56"/>
      <c r="AM2687" s="56"/>
      <c r="AN2687" s="56"/>
      <c r="AO2687" s="56"/>
      <c r="AP2687" s="56"/>
      <c r="AQ2687" s="56"/>
      <c r="AR2687" s="56"/>
      <c r="AS2687" s="56"/>
      <c r="AT2687" s="56"/>
      <c r="AU2687" s="56"/>
      <c r="AV2687" s="56"/>
      <c r="AW2687" s="56"/>
      <c r="AX2687" s="56"/>
      <c r="AY2687" s="56"/>
      <c r="AZ2687" s="56"/>
      <c r="BA2687" s="56"/>
      <c r="BB2687" s="16"/>
      <c r="BC2687" s="56"/>
      <c r="BD2687" s="56"/>
      <c r="BE2687" s="56"/>
      <c r="BF2687" s="56"/>
      <c r="BG2687" s="56"/>
      <c r="BH2687" s="56"/>
      <c r="BI2687" s="56"/>
      <c r="BJ2687" s="56"/>
      <c r="BK2687" s="56"/>
      <c r="BL2687" s="56"/>
      <c r="BM2687" s="56"/>
      <c r="BN2687" s="56"/>
      <c r="BO2687" s="56"/>
      <c r="BP2687" s="56"/>
      <c r="BQ2687" s="56"/>
      <c r="BR2687" s="56"/>
      <c r="BS2687" s="56"/>
      <c r="BT2687" s="56"/>
      <c r="BU2687" s="56"/>
      <c r="BV2687" s="56"/>
      <c r="BW2687" s="56"/>
      <c r="BX2687" s="56"/>
      <c r="BY2687" s="56"/>
      <c r="BZ2687" s="56"/>
      <c r="CA2687" s="56"/>
      <c r="CB2687" s="56"/>
      <c r="CC2687" s="56"/>
      <c r="CD2687" s="56"/>
      <c r="CE2687" s="56"/>
      <c r="CF2687" s="56"/>
      <c r="CG2687" s="56"/>
      <c r="CH2687" s="56"/>
      <c r="CI2687" s="56"/>
      <c r="CJ2687" s="56"/>
      <c r="CK2687" s="56"/>
      <c r="CL2687" s="56"/>
      <c r="CM2687" s="56"/>
      <c r="CN2687" s="56"/>
      <c r="CO2687" s="56"/>
      <c r="CP2687" s="56"/>
      <c r="CQ2687" s="56"/>
      <c r="CR2687" s="56"/>
      <c r="CS2687" s="56"/>
      <c r="CT2687" s="56"/>
      <c r="CU2687" s="56"/>
      <c r="CV2687" s="56"/>
      <c r="CW2687" s="56"/>
      <c r="CX2687" s="56"/>
      <c r="CY2687" s="56"/>
      <c r="CZ2687" s="56"/>
    </row>
    <row r="2688" spans="27:104" s="5" customFormat="1" x14ac:dyDescent="0.25">
      <c r="AA2688" s="56"/>
      <c r="AB2688" s="56"/>
      <c r="AC2688" s="56"/>
      <c r="AD2688" s="56"/>
      <c r="AE2688" s="56"/>
      <c r="AF2688" s="56"/>
      <c r="AG2688" s="56"/>
      <c r="AH2688" s="56"/>
      <c r="AI2688" s="56"/>
      <c r="AJ2688" s="56"/>
      <c r="AK2688" s="56"/>
      <c r="AL2688" s="56"/>
      <c r="AM2688" s="56"/>
      <c r="AN2688" s="56"/>
      <c r="AO2688" s="56"/>
      <c r="AP2688" s="56"/>
      <c r="AQ2688" s="56"/>
      <c r="AR2688" s="56"/>
      <c r="AS2688" s="56"/>
      <c r="AT2688" s="56"/>
      <c r="AU2688" s="56"/>
      <c r="AV2688" s="56"/>
      <c r="AW2688" s="56"/>
      <c r="AX2688" s="56"/>
      <c r="AY2688" s="56"/>
      <c r="AZ2688" s="56"/>
      <c r="BA2688" s="56"/>
      <c r="BB2688" s="16"/>
      <c r="BC2688" s="56"/>
      <c r="BD2688" s="56"/>
      <c r="BE2688" s="56"/>
      <c r="BF2688" s="56"/>
      <c r="BG2688" s="56"/>
      <c r="BH2688" s="56"/>
      <c r="BI2688" s="56"/>
      <c r="BJ2688" s="56"/>
      <c r="BK2688" s="56"/>
      <c r="BL2688" s="56"/>
      <c r="BM2688" s="56"/>
      <c r="BN2688" s="56"/>
      <c r="BO2688" s="56"/>
      <c r="BP2688" s="56"/>
      <c r="BQ2688" s="56"/>
      <c r="BR2688" s="56"/>
      <c r="BS2688" s="56"/>
      <c r="BT2688" s="56"/>
      <c r="BU2688" s="56"/>
      <c r="BV2688" s="56"/>
      <c r="BW2688" s="56"/>
      <c r="BX2688" s="56"/>
      <c r="BY2688" s="56"/>
      <c r="BZ2688" s="56"/>
      <c r="CA2688" s="56"/>
      <c r="CB2688" s="56"/>
      <c r="CC2688" s="56"/>
      <c r="CD2688" s="56"/>
      <c r="CE2688" s="56"/>
      <c r="CF2688" s="56"/>
      <c r="CG2688" s="56"/>
      <c r="CH2688" s="56"/>
      <c r="CI2688" s="56"/>
      <c r="CJ2688" s="56"/>
      <c r="CK2688" s="56"/>
      <c r="CL2688" s="56"/>
      <c r="CM2688" s="56"/>
      <c r="CN2688" s="56"/>
      <c r="CO2688" s="56"/>
      <c r="CP2688" s="56"/>
      <c r="CQ2688" s="56"/>
      <c r="CR2688" s="56"/>
      <c r="CS2688" s="56"/>
      <c r="CT2688" s="56"/>
      <c r="CU2688" s="56"/>
      <c r="CV2688" s="56"/>
      <c r="CW2688" s="56"/>
      <c r="CX2688" s="56"/>
      <c r="CY2688" s="56"/>
      <c r="CZ2688" s="56"/>
    </row>
    <row r="2689" spans="27:104" s="5" customFormat="1" x14ac:dyDescent="0.25">
      <c r="AA2689" s="56"/>
      <c r="AB2689" s="56"/>
      <c r="AC2689" s="56"/>
      <c r="AD2689" s="56"/>
      <c r="AE2689" s="56"/>
      <c r="AF2689" s="56"/>
      <c r="AG2689" s="56"/>
      <c r="AH2689" s="56"/>
      <c r="AI2689" s="56"/>
      <c r="AJ2689" s="56"/>
      <c r="AK2689" s="56"/>
      <c r="AL2689" s="56"/>
      <c r="AM2689" s="56"/>
      <c r="AN2689" s="56"/>
      <c r="AO2689" s="56"/>
      <c r="AP2689" s="56"/>
      <c r="AQ2689" s="56"/>
      <c r="AR2689" s="56"/>
      <c r="AS2689" s="56"/>
      <c r="AT2689" s="56"/>
      <c r="AU2689" s="56"/>
      <c r="AV2689" s="56"/>
      <c r="AW2689" s="56"/>
      <c r="AX2689" s="56"/>
      <c r="AY2689" s="56"/>
      <c r="AZ2689" s="56"/>
      <c r="BA2689" s="56"/>
      <c r="BB2689" s="16"/>
      <c r="BC2689" s="56"/>
      <c r="BD2689" s="56"/>
      <c r="BE2689" s="56"/>
      <c r="BF2689" s="56"/>
      <c r="BG2689" s="56"/>
      <c r="BH2689" s="56"/>
      <c r="BI2689" s="56"/>
      <c r="BJ2689" s="56"/>
      <c r="BK2689" s="56"/>
      <c r="BL2689" s="56"/>
      <c r="BM2689" s="56"/>
      <c r="BN2689" s="56"/>
      <c r="BO2689" s="56"/>
      <c r="BP2689" s="56"/>
      <c r="BQ2689" s="56"/>
      <c r="BR2689" s="56"/>
      <c r="BS2689" s="56"/>
      <c r="BT2689" s="56"/>
      <c r="BU2689" s="56"/>
      <c r="BV2689" s="56"/>
      <c r="BW2689" s="56"/>
      <c r="BX2689" s="56"/>
      <c r="BY2689" s="56"/>
      <c r="BZ2689" s="56"/>
      <c r="CA2689" s="56"/>
      <c r="CB2689" s="56"/>
      <c r="CC2689" s="56"/>
      <c r="CD2689" s="56"/>
      <c r="CE2689" s="56"/>
      <c r="CF2689" s="56"/>
      <c r="CG2689" s="56"/>
      <c r="CH2689" s="56"/>
      <c r="CI2689" s="56"/>
      <c r="CJ2689" s="56"/>
      <c r="CK2689" s="56"/>
      <c r="CL2689" s="56"/>
      <c r="CM2689" s="56"/>
      <c r="CN2689" s="56"/>
      <c r="CO2689" s="56"/>
      <c r="CP2689" s="56"/>
      <c r="CQ2689" s="56"/>
      <c r="CR2689" s="56"/>
      <c r="CS2689" s="56"/>
      <c r="CT2689" s="56"/>
      <c r="CU2689" s="56"/>
      <c r="CV2689" s="56"/>
      <c r="CW2689" s="56"/>
      <c r="CX2689" s="56"/>
      <c r="CY2689" s="56"/>
      <c r="CZ2689" s="56"/>
    </row>
    <row r="2690" spans="27:104" s="5" customFormat="1" x14ac:dyDescent="0.25">
      <c r="AA2690" s="56"/>
      <c r="AB2690" s="56"/>
      <c r="AC2690" s="56"/>
      <c r="AD2690" s="56"/>
      <c r="AE2690" s="56"/>
      <c r="AF2690" s="56"/>
      <c r="AG2690" s="56"/>
      <c r="AH2690" s="56"/>
      <c r="AI2690" s="56"/>
      <c r="AJ2690" s="56"/>
      <c r="AK2690" s="56"/>
      <c r="AL2690" s="56"/>
      <c r="AM2690" s="56"/>
      <c r="AN2690" s="56"/>
      <c r="AO2690" s="56"/>
      <c r="AP2690" s="56"/>
      <c r="AQ2690" s="56"/>
      <c r="AR2690" s="56"/>
      <c r="AS2690" s="56"/>
      <c r="AT2690" s="56"/>
      <c r="AU2690" s="56"/>
      <c r="AV2690" s="56"/>
      <c r="AW2690" s="56"/>
      <c r="AX2690" s="56"/>
      <c r="AY2690" s="56"/>
      <c r="AZ2690" s="56"/>
      <c r="BA2690" s="56"/>
      <c r="BB2690" s="16"/>
      <c r="BC2690" s="56"/>
      <c r="BD2690" s="56"/>
      <c r="BE2690" s="56"/>
      <c r="BF2690" s="56"/>
      <c r="BG2690" s="56"/>
      <c r="BH2690" s="56"/>
      <c r="BI2690" s="56"/>
      <c r="BJ2690" s="56"/>
      <c r="BK2690" s="56"/>
      <c r="BL2690" s="56"/>
      <c r="BM2690" s="56"/>
      <c r="BN2690" s="56"/>
      <c r="BO2690" s="56"/>
      <c r="BP2690" s="56"/>
      <c r="BQ2690" s="56"/>
      <c r="BR2690" s="56"/>
      <c r="BS2690" s="56"/>
      <c r="BT2690" s="56"/>
      <c r="BU2690" s="56"/>
      <c r="BV2690" s="56"/>
      <c r="BW2690" s="56"/>
      <c r="BX2690" s="56"/>
      <c r="BY2690" s="56"/>
      <c r="BZ2690" s="56"/>
      <c r="CA2690" s="56"/>
      <c r="CB2690" s="56"/>
      <c r="CC2690" s="56"/>
      <c r="CD2690" s="56"/>
      <c r="CE2690" s="56"/>
      <c r="CF2690" s="56"/>
      <c r="CG2690" s="56"/>
      <c r="CH2690" s="56"/>
      <c r="CI2690" s="56"/>
      <c r="CJ2690" s="56"/>
      <c r="CK2690" s="56"/>
      <c r="CL2690" s="56"/>
      <c r="CM2690" s="56"/>
      <c r="CN2690" s="56"/>
      <c r="CO2690" s="56"/>
      <c r="CP2690" s="56"/>
      <c r="CQ2690" s="56"/>
      <c r="CR2690" s="56"/>
      <c r="CS2690" s="56"/>
      <c r="CT2690" s="56"/>
      <c r="CU2690" s="56"/>
      <c r="CV2690" s="56"/>
      <c r="CW2690" s="56"/>
      <c r="CX2690" s="56"/>
      <c r="CY2690" s="56"/>
      <c r="CZ2690" s="56"/>
    </row>
    <row r="2691" spans="27:104" s="5" customFormat="1" x14ac:dyDescent="0.25">
      <c r="AA2691" s="56"/>
      <c r="AB2691" s="56"/>
      <c r="AC2691" s="56"/>
      <c r="AD2691" s="56"/>
      <c r="AE2691" s="56"/>
      <c r="AF2691" s="56"/>
      <c r="AG2691" s="56"/>
      <c r="AH2691" s="56"/>
      <c r="AI2691" s="56"/>
      <c r="AJ2691" s="56"/>
      <c r="AK2691" s="56"/>
      <c r="AL2691" s="56"/>
      <c r="AM2691" s="56"/>
      <c r="AN2691" s="56"/>
      <c r="AO2691" s="56"/>
      <c r="AP2691" s="56"/>
      <c r="AQ2691" s="56"/>
      <c r="AR2691" s="56"/>
      <c r="AS2691" s="56"/>
      <c r="AT2691" s="56"/>
      <c r="AU2691" s="56"/>
      <c r="AV2691" s="56"/>
      <c r="AW2691" s="56"/>
      <c r="AX2691" s="56"/>
      <c r="AY2691" s="56"/>
      <c r="AZ2691" s="56"/>
      <c r="BA2691" s="56"/>
      <c r="BB2691" s="16"/>
      <c r="BC2691" s="56"/>
      <c r="BD2691" s="56"/>
      <c r="BE2691" s="56"/>
      <c r="BF2691" s="56"/>
      <c r="BG2691" s="56"/>
      <c r="BH2691" s="56"/>
      <c r="BI2691" s="56"/>
      <c r="BJ2691" s="56"/>
      <c r="BK2691" s="56"/>
      <c r="BL2691" s="56"/>
      <c r="BM2691" s="56"/>
      <c r="BN2691" s="56"/>
      <c r="BO2691" s="56"/>
      <c r="BP2691" s="56"/>
      <c r="BQ2691" s="56"/>
      <c r="BR2691" s="56"/>
      <c r="BS2691" s="56"/>
      <c r="BT2691" s="56"/>
      <c r="BU2691" s="56"/>
      <c r="BV2691" s="56"/>
      <c r="BW2691" s="56"/>
      <c r="BX2691" s="56"/>
      <c r="BY2691" s="56"/>
      <c r="BZ2691" s="56"/>
      <c r="CA2691" s="56"/>
      <c r="CB2691" s="56"/>
      <c r="CC2691" s="56"/>
      <c r="CD2691" s="56"/>
      <c r="CE2691" s="56"/>
      <c r="CF2691" s="56"/>
      <c r="CG2691" s="56"/>
      <c r="CH2691" s="56"/>
      <c r="CI2691" s="56"/>
      <c r="CJ2691" s="56"/>
      <c r="CK2691" s="56"/>
      <c r="CL2691" s="56"/>
      <c r="CM2691" s="56"/>
      <c r="CN2691" s="56"/>
      <c r="CO2691" s="56"/>
      <c r="CP2691" s="56"/>
      <c r="CQ2691" s="56"/>
      <c r="CR2691" s="56"/>
      <c r="CS2691" s="56"/>
      <c r="CT2691" s="56"/>
      <c r="CU2691" s="56"/>
      <c r="CV2691" s="56"/>
      <c r="CW2691" s="56"/>
      <c r="CX2691" s="56"/>
      <c r="CY2691" s="56"/>
      <c r="CZ2691" s="56"/>
    </row>
    <row r="2692" spans="27:104" s="5" customFormat="1" x14ac:dyDescent="0.25">
      <c r="AA2692" s="56"/>
      <c r="AB2692" s="56"/>
      <c r="AC2692" s="56"/>
      <c r="AD2692" s="56"/>
      <c r="AE2692" s="56"/>
      <c r="AF2692" s="56"/>
      <c r="AG2692" s="56"/>
      <c r="AH2692" s="56"/>
      <c r="AI2692" s="56"/>
      <c r="AJ2692" s="56"/>
      <c r="AK2692" s="56"/>
      <c r="AL2692" s="56"/>
      <c r="AM2692" s="56"/>
      <c r="AN2692" s="56"/>
      <c r="AO2692" s="56"/>
      <c r="AP2692" s="56"/>
      <c r="AQ2692" s="56"/>
      <c r="AR2692" s="56"/>
      <c r="AS2692" s="56"/>
      <c r="AT2692" s="56"/>
      <c r="AU2692" s="56"/>
      <c r="AV2692" s="56"/>
      <c r="AW2692" s="56"/>
      <c r="AX2692" s="56"/>
      <c r="AY2692" s="56"/>
      <c r="AZ2692" s="56"/>
      <c r="BA2692" s="56"/>
      <c r="BB2692" s="16"/>
      <c r="BC2692" s="56"/>
      <c r="BD2692" s="56"/>
      <c r="BE2692" s="56"/>
      <c r="BF2692" s="56"/>
      <c r="BG2692" s="56"/>
      <c r="BH2692" s="56"/>
      <c r="BI2692" s="56"/>
      <c r="BJ2692" s="56"/>
      <c r="BK2692" s="56"/>
      <c r="BL2692" s="56"/>
      <c r="BM2692" s="56"/>
      <c r="BN2692" s="56"/>
      <c r="BO2692" s="56"/>
      <c r="BP2692" s="56"/>
      <c r="BQ2692" s="56"/>
      <c r="BR2692" s="56"/>
      <c r="BS2692" s="56"/>
      <c r="BT2692" s="56"/>
      <c r="BU2692" s="56"/>
      <c r="BV2692" s="56"/>
      <c r="BW2692" s="56"/>
      <c r="BX2692" s="56"/>
      <c r="BY2692" s="56"/>
      <c r="BZ2692" s="56"/>
      <c r="CA2692" s="56"/>
      <c r="CB2692" s="56"/>
      <c r="CC2692" s="56"/>
      <c r="CD2692" s="56"/>
      <c r="CE2692" s="56"/>
      <c r="CF2692" s="56"/>
      <c r="CG2692" s="56"/>
      <c r="CH2692" s="56"/>
      <c r="CI2692" s="56"/>
      <c r="CJ2692" s="56"/>
      <c r="CK2692" s="56"/>
      <c r="CL2692" s="56"/>
      <c r="CM2692" s="56"/>
      <c r="CN2692" s="56"/>
      <c r="CO2692" s="56"/>
      <c r="CP2692" s="56"/>
      <c r="CQ2692" s="56"/>
      <c r="CR2692" s="56"/>
      <c r="CS2692" s="56"/>
      <c r="CT2692" s="56"/>
      <c r="CU2692" s="56"/>
      <c r="CV2692" s="56"/>
      <c r="CW2692" s="56"/>
      <c r="CX2692" s="56"/>
      <c r="CY2692" s="56"/>
      <c r="CZ2692" s="56"/>
    </row>
    <row r="2693" spans="27:104" s="5" customFormat="1" x14ac:dyDescent="0.25">
      <c r="AA2693" s="56"/>
      <c r="AB2693" s="56"/>
      <c r="AC2693" s="56"/>
      <c r="AD2693" s="56"/>
      <c r="AE2693" s="56"/>
      <c r="AF2693" s="56"/>
      <c r="AG2693" s="56"/>
      <c r="AH2693" s="56"/>
      <c r="AI2693" s="56"/>
      <c r="AJ2693" s="56"/>
      <c r="AK2693" s="56"/>
      <c r="AL2693" s="56"/>
      <c r="AM2693" s="56"/>
      <c r="AN2693" s="56"/>
      <c r="AO2693" s="56"/>
      <c r="AP2693" s="56"/>
      <c r="AQ2693" s="56"/>
      <c r="AR2693" s="56"/>
      <c r="AS2693" s="56"/>
      <c r="AT2693" s="56"/>
      <c r="AU2693" s="56"/>
      <c r="AV2693" s="56"/>
      <c r="AW2693" s="56"/>
      <c r="AX2693" s="56"/>
      <c r="AY2693" s="56"/>
      <c r="AZ2693" s="56"/>
      <c r="BA2693" s="56"/>
      <c r="BB2693" s="16"/>
      <c r="BC2693" s="56"/>
      <c r="BD2693" s="56"/>
      <c r="BE2693" s="56"/>
      <c r="BF2693" s="56"/>
      <c r="BG2693" s="56"/>
      <c r="BH2693" s="56"/>
      <c r="BI2693" s="56"/>
      <c r="BJ2693" s="56"/>
      <c r="BK2693" s="56"/>
      <c r="BL2693" s="56"/>
      <c r="BM2693" s="56"/>
      <c r="BN2693" s="56"/>
      <c r="BO2693" s="56"/>
      <c r="BP2693" s="56"/>
      <c r="BQ2693" s="56"/>
      <c r="BR2693" s="56"/>
      <c r="BS2693" s="56"/>
      <c r="BT2693" s="56"/>
      <c r="BU2693" s="56"/>
      <c r="BV2693" s="56"/>
      <c r="BW2693" s="56"/>
      <c r="BX2693" s="56"/>
      <c r="BY2693" s="56"/>
      <c r="BZ2693" s="56"/>
      <c r="CA2693" s="56"/>
      <c r="CB2693" s="56"/>
      <c r="CC2693" s="56"/>
      <c r="CD2693" s="56"/>
      <c r="CE2693" s="56"/>
      <c r="CF2693" s="56"/>
      <c r="CG2693" s="56"/>
      <c r="CH2693" s="56"/>
      <c r="CI2693" s="56"/>
      <c r="CJ2693" s="56"/>
      <c r="CK2693" s="56"/>
      <c r="CL2693" s="56"/>
      <c r="CM2693" s="56"/>
      <c r="CN2693" s="56"/>
      <c r="CO2693" s="56"/>
      <c r="CP2693" s="56"/>
      <c r="CQ2693" s="56"/>
      <c r="CR2693" s="56"/>
      <c r="CS2693" s="56"/>
      <c r="CT2693" s="56"/>
      <c r="CU2693" s="56"/>
      <c r="CV2693" s="56"/>
      <c r="CW2693" s="56"/>
      <c r="CX2693" s="56"/>
      <c r="CY2693" s="56"/>
      <c r="CZ2693" s="56"/>
    </row>
    <row r="2694" spans="27:104" s="5" customFormat="1" x14ac:dyDescent="0.25">
      <c r="AA2694" s="56"/>
      <c r="AB2694" s="56"/>
      <c r="AC2694" s="56"/>
      <c r="AD2694" s="56"/>
      <c r="AE2694" s="56"/>
      <c r="AF2694" s="56"/>
      <c r="AG2694" s="56"/>
      <c r="AH2694" s="56"/>
      <c r="AI2694" s="56"/>
      <c r="AJ2694" s="56"/>
      <c r="AK2694" s="56"/>
      <c r="AL2694" s="56"/>
      <c r="AM2694" s="56"/>
      <c r="AN2694" s="56"/>
      <c r="AO2694" s="56"/>
      <c r="AP2694" s="56"/>
      <c r="AQ2694" s="56"/>
      <c r="AR2694" s="56"/>
      <c r="AS2694" s="56"/>
      <c r="AT2694" s="56"/>
      <c r="AU2694" s="56"/>
      <c r="AV2694" s="56"/>
      <c r="AW2694" s="56"/>
      <c r="AX2694" s="56"/>
      <c r="AY2694" s="56"/>
      <c r="AZ2694" s="56"/>
      <c r="BA2694" s="56"/>
      <c r="BB2694" s="16"/>
      <c r="BC2694" s="56"/>
      <c r="BD2694" s="56"/>
      <c r="BE2694" s="56"/>
      <c r="BF2694" s="56"/>
      <c r="BG2694" s="56"/>
      <c r="BH2694" s="56"/>
      <c r="BI2694" s="56"/>
      <c r="BJ2694" s="56"/>
      <c r="BK2694" s="56"/>
      <c r="BL2694" s="56"/>
      <c r="BM2694" s="56"/>
      <c r="BN2694" s="56"/>
      <c r="BO2694" s="56"/>
      <c r="BP2694" s="56"/>
      <c r="BQ2694" s="56"/>
      <c r="BR2694" s="56"/>
      <c r="BS2694" s="56"/>
      <c r="BT2694" s="56"/>
      <c r="BU2694" s="56"/>
      <c r="BV2694" s="56"/>
      <c r="BW2694" s="56"/>
      <c r="BX2694" s="56"/>
      <c r="BY2694" s="56"/>
      <c r="BZ2694" s="56"/>
      <c r="CA2694" s="56"/>
      <c r="CB2694" s="56"/>
      <c r="CC2694" s="56"/>
      <c r="CD2694" s="56"/>
      <c r="CE2694" s="56"/>
      <c r="CF2694" s="56"/>
      <c r="CG2694" s="56"/>
      <c r="CH2694" s="56"/>
      <c r="CI2694" s="56"/>
      <c r="CJ2694" s="56"/>
      <c r="CK2694" s="56"/>
      <c r="CL2694" s="56"/>
      <c r="CM2694" s="56"/>
      <c r="CN2694" s="56"/>
      <c r="CO2694" s="56"/>
      <c r="CP2694" s="56"/>
      <c r="CQ2694" s="56"/>
      <c r="CR2694" s="56"/>
      <c r="CS2694" s="56"/>
      <c r="CT2694" s="56"/>
      <c r="CU2694" s="56"/>
      <c r="CV2694" s="56"/>
      <c r="CW2694" s="56"/>
      <c r="CX2694" s="56"/>
      <c r="CY2694" s="56"/>
      <c r="CZ2694" s="56"/>
    </row>
    <row r="2695" spans="27:104" s="5" customFormat="1" x14ac:dyDescent="0.25">
      <c r="AA2695" s="56"/>
      <c r="AB2695" s="56"/>
      <c r="AC2695" s="56"/>
      <c r="AD2695" s="56"/>
      <c r="AE2695" s="56"/>
      <c r="AF2695" s="56"/>
      <c r="AG2695" s="56"/>
      <c r="AH2695" s="56"/>
      <c r="AI2695" s="56"/>
      <c r="AJ2695" s="56"/>
      <c r="AK2695" s="56"/>
      <c r="AL2695" s="56"/>
      <c r="AM2695" s="56"/>
      <c r="AN2695" s="56"/>
      <c r="AO2695" s="56"/>
      <c r="AP2695" s="56"/>
      <c r="AQ2695" s="56"/>
      <c r="AR2695" s="56"/>
      <c r="AS2695" s="56"/>
      <c r="AT2695" s="56"/>
      <c r="AU2695" s="56"/>
      <c r="AV2695" s="56"/>
      <c r="AW2695" s="56"/>
      <c r="AX2695" s="56"/>
      <c r="AY2695" s="56"/>
      <c r="AZ2695" s="56"/>
      <c r="BA2695" s="56"/>
      <c r="BB2695" s="16"/>
      <c r="BC2695" s="56"/>
      <c r="BD2695" s="56"/>
      <c r="BE2695" s="56"/>
      <c r="BF2695" s="56"/>
      <c r="BG2695" s="56"/>
      <c r="BH2695" s="56"/>
      <c r="BI2695" s="56"/>
      <c r="BJ2695" s="56"/>
      <c r="BK2695" s="56"/>
      <c r="BL2695" s="56"/>
      <c r="BM2695" s="56"/>
      <c r="BN2695" s="56"/>
      <c r="BO2695" s="56"/>
      <c r="BP2695" s="56"/>
      <c r="BQ2695" s="56"/>
      <c r="BR2695" s="56"/>
      <c r="BS2695" s="56"/>
      <c r="BT2695" s="56"/>
      <c r="BU2695" s="56"/>
      <c r="BV2695" s="56"/>
      <c r="BW2695" s="56"/>
      <c r="BX2695" s="56"/>
      <c r="BY2695" s="56"/>
      <c r="BZ2695" s="56"/>
      <c r="CA2695" s="56"/>
      <c r="CB2695" s="56"/>
      <c r="CC2695" s="56"/>
      <c r="CD2695" s="56"/>
      <c r="CE2695" s="56"/>
      <c r="CF2695" s="56"/>
      <c r="CG2695" s="56"/>
      <c r="CH2695" s="56"/>
      <c r="CI2695" s="56"/>
      <c r="CJ2695" s="56"/>
      <c r="CK2695" s="56"/>
      <c r="CL2695" s="56"/>
      <c r="CM2695" s="56"/>
      <c r="CN2695" s="56"/>
      <c r="CO2695" s="56"/>
      <c r="CP2695" s="56"/>
      <c r="CQ2695" s="56"/>
      <c r="CR2695" s="56"/>
      <c r="CS2695" s="56"/>
      <c r="CT2695" s="56"/>
      <c r="CU2695" s="56"/>
      <c r="CV2695" s="56"/>
      <c r="CW2695" s="56"/>
      <c r="CX2695" s="56"/>
      <c r="CY2695" s="56"/>
      <c r="CZ2695" s="56"/>
    </row>
    <row r="2696" spans="27:104" s="5" customFormat="1" x14ac:dyDescent="0.25">
      <c r="AA2696" s="56"/>
      <c r="AB2696" s="56"/>
      <c r="AC2696" s="56"/>
      <c r="AD2696" s="56"/>
      <c r="AE2696" s="56"/>
      <c r="AF2696" s="56"/>
      <c r="AG2696" s="56"/>
      <c r="AH2696" s="56"/>
      <c r="AI2696" s="56"/>
      <c r="AJ2696" s="56"/>
      <c r="AK2696" s="56"/>
      <c r="AL2696" s="56"/>
      <c r="AM2696" s="56"/>
      <c r="AN2696" s="56"/>
      <c r="AO2696" s="56"/>
      <c r="AP2696" s="56"/>
      <c r="AQ2696" s="56"/>
      <c r="AR2696" s="56"/>
      <c r="AS2696" s="56"/>
      <c r="AT2696" s="56"/>
      <c r="AU2696" s="56"/>
      <c r="AV2696" s="56"/>
      <c r="AW2696" s="56"/>
      <c r="AX2696" s="56"/>
      <c r="AY2696" s="56"/>
      <c r="AZ2696" s="56"/>
      <c r="BA2696" s="56"/>
      <c r="BB2696" s="16"/>
      <c r="BC2696" s="56"/>
      <c r="BD2696" s="56"/>
      <c r="BE2696" s="56"/>
      <c r="BF2696" s="56"/>
      <c r="BG2696" s="56"/>
      <c r="BH2696" s="56"/>
      <c r="BI2696" s="56"/>
      <c r="BJ2696" s="56"/>
      <c r="BK2696" s="56"/>
      <c r="BL2696" s="56"/>
      <c r="BM2696" s="56"/>
      <c r="BN2696" s="56"/>
      <c r="BO2696" s="56"/>
      <c r="BP2696" s="56"/>
      <c r="BQ2696" s="56"/>
      <c r="BR2696" s="56"/>
      <c r="BS2696" s="56"/>
      <c r="BT2696" s="56"/>
      <c r="BU2696" s="56"/>
      <c r="BV2696" s="56"/>
      <c r="BW2696" s="56"/>
      <c r="BX2696" s="56"/>
      <c r="BY2696" s="56"/>
      <c r="BZ2696" s="56"/>
      <c r="CA2696" s="56"/>
      <c r="CB2696" s="56"/>
      <c r="CC2696" s="56"/>
      <c r="CD2696" s="56"/>
      <c r="CE2696" s="56"/>
      <c r="CF2696" s="56"/>
      <c r="CG2696" s="56"/>
      <c r="CH2696" s="56"/>
      <c r="CI2696" s="56"/>
      <c r="CJ2696" s="56"/>
      <c r="CK2696" s="56"/>
      <c r="CL2696" s="56"/>
      <c r="CM2696" s="56"/>
      <c r="CN2696" s="56"/>
      <c r="CO2696" s="56"/>
      <c r="CP2696" s="56"/>
      <c r="CQ2696" s="56"/>
      <c r="CR2696" s="56"/>
      <c r="CS2696" s="56"/>
      <c r="CT2696" s="56"/>
      <c r="CU2696" s="56"/>
      <c r="CV2696" s="56"/>
      <c r="CW2696" s="56"/>
      <c r="CX2696" s="56"/>
      <c r="CY2696" s="56"/>
      <c r="CZ2696" s="56"/>
    </row>
    <row r="2697" spans="27:104" s="5" customFormat="1" x14ac:dyDescent="0.25">
      <c r="AA2697" s="56"/>
      <c r="AB2697" s="56"/>
      <c r="AC2697" s="56"/>
      <c r="AD2697" s="56"/>
      <c r="AE2697" s="56"/>
      <c r="AF2697" s="56"/>
      <c r="AG2697" s="56"/>
      <c r="AH2697" s="56"/>
      <c r="AI2697" s="56"/>
      <c r="AJ2697" s="56"/>
      <c r="AK2697" s="56"/>
      <c r="AL2697" s="56"/>
      <c r="AM2697" s="56"/>
      <c r="AN2697" s="56"/>
      <c r="AO2697" s="56"/>
      <c r="AP2697" s="56"/>
      <c r="AQ2697" s="56"/>
      <c r="AR2697" s="56"/>
      <c r="AS2697" s="56"/>
      <c r="AT2697" s="56"/>
      <c r="AU2697" s="56"/>
      <c r="AV2697" s="56"/>
      <c r="AW2697" s="56"/>
      <c r="AX2697" s="56"/>
      <c r="AY2697" s="56"/>
      <c r="AZ2697" s="56"/>
      <c r="BA2697" s="56"/>
      <c r="BB2697" s="16"/>
      <c r="BC2697" s="56"/>
      <c r="BD2697" s="56"/>
      <c r="BE2697" s="56"/>
      <c r="BF2697" s="56"/>
      <c r="BG2697" s="56"/>
      <c r="BH2697" s="56"/>
      <c r="BI2697" s="56"/>
      <c r="BJ2697" s="56"/>
      <c r="BK2697" s="56"/>
      <c r="BL2697" s="56"/>
      <c r="BM2697" s="56"/>
      <c r="BN2697" s="56"/>
      <c r="BO2697" s="56"/>
      <c r="BP2697" s="56"/>
      <c r="BQ2697" s="56"/>
      <c r="BR2697" s="56"/>
      <c r="BS2697" s="56"/>
      <c r="BT2697" s="56"/>
      <c r="BU2697" s="56"/>
      <c r="BV2697" s="56"/>
      <c r="BW2697" s="56"/>
      <c r="BX2697" s="56"/>
      <c r="BY2697" s="56"/>
      <c r="BZ2697" s="56"/>
      <c r="CA2697" s="56"/>
      <c r="CB2697" s="56"/>
      <c r="CC2697" s="56"/>
      <c r="CD2697" s="56"/>
      <c r="CE2697" s="56"/>
      <c r="CF2697" s="56"/>
      <c r="CG2697" s="56"/>
      <c r="CH2697" s="56"/>
      <c r="CI2697" s="56"/>
      <c r="CJ2697" s="56"/>
      <c r="CK2697" s="56"/>
      <c r="CL2697" s="56"/>
      <c r="CM2697" s="56"/>
      <c r="CN2697" s="56"/>
      <c r="CO2697" s="56"/>
      <c r="CP2697" s="56"/>
      <c r="CQ2697" s="56"/>
      <c r="CR2697" s="56"/>
      <c r="CS2697" s="56"/>
      <c r="CT2697" s="56"/>
      <c r="CU2697" s="56"/>
      <c r="CV2697" s="56"/>
      <c r="CW2697" s="56"/>
      <c r="CX2697" s="56"/>
      <c r="CY2697" s="56"/>
      <c r="CZ2697" s="56"/>
    </row>
    <row r="2698" spans="27:104" s="5" customFormat="1" x14ac:dyDescent="0.25">
      <c r="AA2698" s="56"/>
      <c r="AB2698" s="56"/>
      <c r="AC2698" s="56"/>
      <c r="AD2698" s="56"/>
      <c r="AE2698" s="56"/>
      <c r="AF2698" s="56"/>
      <c r="AG2698" s="56"/>
      <c r="AH2698" s="56"/>
      <c r="AI2698" s="56"/>
      <c r="AJ2698" s="56"/>
      <c r="AK2698" s="56"/>
      <c r="AL2698" s="56"/>
      <c r="AM2698" s="56"/>
      <c r="AN2698" s="56"/>
      <c r="AO2698" s="56"/>
      <c r="AP2698" s="56"/>
      <c r="AQ2698" s="56"/>
      <c r="AR2698" s="56"/>
      <c r="AS2698" s="56"/>
      <c r="AT2698" s="56"/>
      <c r="AU2698" s="56"/>
      <c r="AV2698" s="56"/>
      <c r="AW2698" s="56"/>
      <c r="AX2698" s="56"/>
      <c r="AY2698" s="56"/>
      <c r="AZ2698" s="56"/>
      <c r="BA2698" s="56"/>
      <c r="BB2698" s="16"/>
      <c r="BC2698" s="56"/>
      <c r="BD2698" s="56"/>
      <c r="BE2698" s="56"/>
      <c r="BF2698" s="56"/>
      <c r="BG2698" s="56"/>
      <c r="BH2698" s="56"/>
      <c r="BI2698" s="56"/>
      <c r="BJ2698" s="56"/>
      <c r="BK2698" s="56"/>
      <c r="BL2698" s="56"/>
      <c r="BM2698" s="56"/>
      <c r="BN2698" s="56"/>
      <c r="BO2698" s="56"/>
      <c r="BP2698" s="56"/>
      <c r="BQ2698" s="56"/>
      <c r="BR2698" s="56"/>
      <c r="BS2698" s="56"/>
      <c r="BT2698" s="56"/>
      <c r="BU2698" s="56"/>
      <c r="BV2698" s="56"/>
      <c r="BW2698" s="56"/>
      <c r="BX2698" s="56"/>
      <c r="BY2698" s="56"/>
      <c r="BZ2698" s="56"/>
      <c r="CA2698" s="56"/>
      <c r="CB2698" s="56"/>
      <c r="CC2698" s="56"/>
      <c r="CD2698" s="56"/>
      <c r="CE2698" s="56"/>
      <c r="CF2698" s="56"/>
      <c r="CG2698" s="56"/>
      <c r="CH2698" s="56"/>
      <c r="CI2698" s="56"/>
      <c r="CJ2698" s="56"/>
      <c r="CK2698" s="56"/>
      <c r="CL2698" s="56"/>
      <c r="CM2698" s="56"/>
      <c r="CN2698" s="56"/>
      <c r="CO2698" s="56"/>
      <c r="CP2698" s="56"/>
      <c r="CQ2698" s="56"/>
      <c r="CR2698" s="56"/>
      <c r="CS2698" s="56"/>
      <c r="CT2698" s="56"/>
      <c r="CU2698" s="56"/>
      <c r="CV2698" s="56"/>
      <c r="CW2698" s="56"/>
      <c r="CX2698" s="56"/>
      <c r="CY2698" s="56"/>
      <c r="CZ2698" s="56"/>
    </row>
    <row r="2699" spans="27:104" s="5" customFormat="1" x14ac:dyDescent="0.25">
      <c r="AA2699" s="56"/>
      <c r="AB2699" s="56"/>
      <c r="AC2699" s="56"/>
      <c r="AD2699" s="56"/>
      <c r="AE2699" s="56"/>
      <c r="AF2699" s="56"/>
      <c r="AG2699" s="56"/>
      <c r="AH2699" s="56"/>
      <c r="AI2699" s="56"/>
      <c r="AJ2699" s="56"/>
      <c r="AK2699" s="56"/>
      <c r="AL2699" s="56"/>
      <c r="AM2699" s="56"/>
      <c r="AN2699" s="56"/>
      <c r="AO2699" s="56"/>
      <c r="AP2699" s="56"/>
      <c r="AQ2699" s="56"/>
      <c r="AR2699" s="56"/>
      <c r="AS2699" s="56"/>
      <c r="AT2699" s="56"/>
      <c r="AU2699" s="56"/>
      <c r="AV2699" s="56"/>
      <c r="AW2699" s="56"/>
      <c r="AX2699" s="56"/>
      <c r="AY2699" s="56"/>
      <c r="AZ2699" s="56"/>
      <c r="BA2699" s="56"/>
      <c r="BB2699" s="16"/>
      <c r="BC2699" s="56"/>
      <c r="BD2699" s="56"/>
      <c r="BE2699" s="56"/>
      <c r="BF2699" s="56"/>
      <c r="BG2699" s="56"/>
      <c r="BH2699" s="56"/>
      <c r="BI2699" s="56"/>
      <c r="BJ2699" s="56"/>
      <c r="BK2699" s="56"/>
      <c r="BL2699" s="56"/>
      <c r="BM2699" s="56"/>
      <c r="BN2699" s="56"/>
      <c r="BO2699" s="56"/>
      <c r="BP2699" s="56"/>
      <c r="BQ2699" s="56"/>
      <c r="BR2699" s="56"/>
      <c r="BS2699" s="56"/>
      <c r="BT2699" s="56"/>
      <c r="BU2699" s="56"/>
      <c r="BV2699" s="56"/>
      <c r="BW2699" s="56"/>
      <c r="BX2699" s="56"/>
      <c r="BY2699" s="56"/>
      <c r="BZ2699" s="56"/>
      <c r="CA2699" s="56"/>
      <c r="CB2699" s="56"/>
      <c r="CC2699" s="56"/>
      <c r="CD2699" s="56"/>
      <c r="CE2699" s="56"/>
      <c r="CF2699" s="56"/>
      <c r="CG2699" s="56"/>
      <c r="CH2699" s="56"/>
      <c r="CI2699" s="56"/>
      <c r="CJ2699" s="56"/>
      <c r="CK2699" s="56"/>
      <c r="CL2699" s="56"/>
      <c r="CM2699" s="56"/>
      <c r="CN2699" s="56"/>
      <c r="CO2699" s="56"/>
      <c r="CP2699" s="56"/>
      <c r="CQ2699" s="56"/>
      <c r="CR2699" s="56"/>
      <c r="CS2699" s="56"/>
      <c r="CT2699" s="56"/>
      <c r="CU2699" s="56"/>
      <c r="CV2699" s="56"/>
      <c r="CW2699" s="56"/>
      <c r="CX2699" s="56"/>
      <c r="CY2699" s="56"/>
      <c r="CZ2699" s="56"/>
    </row>
    <row r="2700" spans="27:104" s="5" customFormat="1" x14ac:dyDescent="0.25">
      <c r="AA2700" s="56"/>
      <c r="AB2700" s="56"/>
      <c r="AC2700" s="56"/>
      <c r="AD2700" s="56"/>
      <c r="AE2700" s="56"/>
      <c r="AF2700" s="56"/>
      <c r="AG2700" s="56"/>
      <c r="AH2700" s="56"/>
      <c r="AI2700" s="56"/>
      <c r="AJ2700" s="56"/>
      <c r="AK2700" s="56"/>
      <c r="AL2700" s="56"/>
      <c r="AM2700" s="56"/>
      <c r="AN2700" s="56"/>
      <c r="AO2700" s="56"/>
      <c r="AP2700" s="56"/>
      <c r="AQ2700" s="56"/>
      <c r="AR2700" s="56"/>
      <c r="AS2700" s="56"/>
      <c r="AT2700" s="56"/>
      <c r="AU2700" s="56"/>
      <c r="AV2700" s="56"/>
      <c r="AW2700" s="56"/>
      <c r="AX2700" s="56"/>
      <c r="AY2700" s="56"/>
      <c r="AZ2700" s="56"/>
      <c r="BA2700" s="56"/>
      <c r="BB2700" s="16"/>
      <c r="BC2700" s="56"/>
      <c r="BD2700" s="56"/>
      <c r="BE2700" s="56"/>
      <c r="BF2700" s="56"/>
      <c r="BG2700" s="56"/>
      <c r="BH2700" s="56"/>
      <c r="BI2700" s="56"/>
      <c r="BJ2700" s="56"/>
      <c r="BK2700" s="56"/>
      <c r="BL2700" s="56"/>
      <c r="BM2700" s="56"/>
      <c r="BN2700" s="56"/>
      <c r="BO2700" s="56"/>
      <c r="BP2700" s="56"/>
      <c r="BQ2700" s="56"/>
      <c r="BR2700" s="56"/>
      <c r="BS2700" s="56"/>
      <c r="BT2700" s="56"/>
      <c r="BU2700" s="56"/>
      <c r="BV2700" s="56"/>
      <c r="BW2700" s="56"/>
      <c r="BX2700" s="56"/>
      <c r="BY2700" s="56"/>
      <c r="BZ2700" s="56"/>
      <c r="CA2700" s="56"/>
      <c r="CB2700" s="56"/>
      <c r="CC2700" s="56"/>
      <c r="CD2700" s="56"/>
      <c r="CE2700" s="56"/>
      <c r="CF2700" s="56"/>
      <c r="CG2700" s="56"/>
      <c r="CH2700" s="56"/>
      <c r="CI2700" s="56"/>
      <c r="CJ2700" s="56"/>
      <c r="CK2700" s="56"/>
      <c r="CL2700" s="56"/>
      <c r="CM2700" s="56"/>
      <c r="CN2700" s="56"/>
      <c r="CO2700" s="56"/>
      <c r="CP2700" s="56"/>
      <c r="CQ2700" s="56"/>
      <c r="CR2700" s="56"/>
      <c r="CS2700" s="56"/>
      <c r="CT2700" s="56"/>
      <c r="CU2700" s="56"/>
      <c r="CV2700" s="56"/>
      <c r="CW2700" s="56"/>
      <c r="CX2700" s="56"/>
      <c r="CY2700" s="56"/>
      <c r="CZ2700" s="56"/>
    </row>
    <row r="2701" spans="27:104" s="5" customFormat="1" x14ac:dyDescent="0.25">
      <c r="AA2701" s="56"/>
      <c r="AB2701" s="56"/>
      <c r="AC2701" s="56"/>
      <c r="AD2701" s="56"/>
      <c r="AE2701" s="56"/>
      <c r="AF2701" s="56"/>
      <c r="AG2701" s="56"/>
      <c r="AH2701" s="56"/>
      <c r="AI2701" s="56"/>
      <c r="AJ2701" s="56"/>
      <c r="AK2701" s="56"/>
      <c r="AL2701" s="56"/>
      <c r="AM2701" s="56"/>
      <c r="AN2701" s="56"/>
      <c r="AO2701" s="56"/>
      <c r="AP2701" s="56"/>
      <c r="AQ2701" s="56"/>
      <c r="AR2701" s="56"/>
      <c r="AS2701" s="56"/>
      <c r="AT2701" s="56"/>
      <c r="AU2701" s="56"/>
      <c r="AV2701" s="56"/>
      <c r="AW2701" s="56"/>
      <c r="AX2701" s="56"/>
      <c r="AY2701" s="56"/>
      <c r="AZ2701" s="56"/>
      <c r="BA2701" s="56"/>
      <c r="BB2701" s="16"/>
      <c r="BC2701" s="56"/>
      <c r="BD2701" s="56"/>
      <c r="BE2701" s="56"/>
      <c r="BF2701" s="56"/>
      <c r="BG2701" s="56"/>
      <c r="BH2701" s="56"/>
      <c r="BI2701" s="56"/>
      <c r="BJ2701" s="56"/>
      <c r="BK2701" s="56"/>
      <c r="BL2701" s="56"/>
      <c r="BM2701" s="56"/>
      <c r="BN2701" s="56"/>
      <c r="BO2701" s="56"/>
      <c r="BP2701" s="56"/>
      <c r="BQ2701" s="56"/>
      <c r="BR2701" s="56"/>
      <c r="BS2701" s="56"/>
      <c r="BT2701" s="56"/>
      <c r="BU2701" s="56"/>
      <c r="BV2701" s="56"/>
      <c r="BW2701" s="56"/>
      <c r="BX2701" s="56"/>
      <c r="BY2701" s="56"/>
      <c r="BZ2701" s="56"/>
      <c r="CA2701" s="56"/>
      <c r="CB2701" s="56"/>
      <c r="CC2701" s="56"/>
      <c r="CD2701" s="56"/>
      <c r="CE2701" s="56"/>
      <c r="CF2701" s="56"/>
      <c r="CG2701" s="56"/>
      <c r="CH2701" s="56"/>
      <c r="CI2701" s="56"/>
      <c r="CJ2701" s="56"/>
      <c r="CK2701" s="56"/>
      <c r="CL2701" s="56"/>
      <c r="CM2701" s="56"/>
      <c r="CN2701" s="56"/>
      <c r="CO2701" s="56"/>
      <c r="CP2701" s="56"/>
      <c r="CQ2701" s="56"/>
      <c r="CR2701" s="56"/>
      <c r="CS2701" s="56"/>
      <c r="CT2701" s="56"/>
      <c r="CU2701" s="56"/>
      <c r="CV2701" s="56"/>
      <c r="CW2701" s="56"/>
      <c r="CX2701" s="56"/>
      <c r="CY2701" s="56"/>
      <c r="CZ2701" s="56"/>
    </row>
    <row r="2702" spans="27:104" s="5" customFormat="1" x14ac:dyDescent="0.25">
      <c r="AA2702" s="56"/>
      <c r="AB2702" s="56"/>
      <c r="AC2702" s="56"/>
      <c r="AD2702" s="56"/>
      <c r="AE2702" s="56"/>
      <c r="AF2702" s="56"/>
      <c r="AG2702" s="56"/>
      <c r="AH2702" s="56"/>
      <c r="AI2702" s="56"/>
      <c r="AJ2702" s="56"/>
      <c r="AK2702" s="56"/>
      <c r="AL2702" s="56"/>
      <c r="AM2702" s="56"/>
      <c r="AN2702" s="56"/>
      <c r="AO2702" s="56"/>
      <c r="AP2702" s="56"/>
      <c r="AQ2702" s="56"/>
      <c r="AR2702" s="56"/>
      <c r="AS2702" s="56"/>
      <c r="AT2702" s="56"/>
      <c r="AU2702" s="56"/>
      <c r="AV2702" s="56"/>
      <c r="AW2702" s="56"/>
      <c r="AX2702" s="56"/>
      <c r="AY2702" s="56"/>
      <c r="AZ2702" s="56"/>
      <c r="BA2702" s="56"/>
      <c r="BB2702" s="16"/>
      <c r="BC2702" s="56"/>
      <c r="BD2702" s="56"/>
      <c r="BE2702" s="56"/>
      <c r="BF2702" s="56"/>
      <c r="BG2702" s="56"/>
      <c r="BH2702" s="56"/>
      <c r="BI2702" s="56"/>
      <c r="BJ2702" s="56"/>
      <c r="BK2702" s="56"/>
      <c r="BL2702" s="56"/>
      <c r="BM2702" s="56"/>
      <c r="BN2702" s="56"/>
      <c r="BO2702" s="56"/>
      <c r="BP2702" s="56"/>
      <c r="BQ2702" s="56"/>
      <c r="BR2702" s="56"/>
      <c r="BS2702" s="56"/>
      <c r="BT2702" s="56"/>
      <c r="BU2702" s="56"/>
      <c r="BV2702" s="56"/>
      <c r="BW2702" s="56"/>
      <c r="BX2702" s="56"/>
      <c r="BY2702" s="56"/>
      <c r="BZ2702" s="56"/>
      <c r="CA2702" s="56"/>
      <c r="CB2702" s="56"/>
      <c r="CC2702" s="56"/>
      <c r="CD2702" s="56"/>
      <c r="CE2702" s="56"/>
      <c r="CF2702" s="56"/>
      <c r="CG2702" s="56"/>
      <c r="CH2702" s="56"/>
      <c r="CI2702" s="56"/>
      <c r="CJ2702" s="56"/>
      <c r="CK2702" s="56"/>
      <c r="CL2702" s="56"/>
      <c r="CM2702" s="56"/>
      <c r="CN2702" s="56"/>
      <c r="CO2702" s="56"/>
      <c r="CP2702" s="56"/>
      <c r="CQ2702" s="56"/>
      <c r="CR2702" s="56"/>
      <c r="CS2702" s="56"/>
      <c r="CT2702" s="56"/>
      <c r="CU2702" s="56"/>
      <c r="CV2702" s="56"/>
      <c r="CW2702" s="56"/>
      <c r="CX2702" s="56"/>
      <c r="CY2702" s="56"/>
      <c r="CZ2702" s="56"/>
    </row>
    <row r="2703" spans="27:104" s="5" customFormat="1" x14ac:dyDescent="0.25">
      <c r="AA2703" s="56"/>
      <c r="AB2703" s="56"/>
      <c r="AC2703" s="56"/>
      <c r="AD2703" s="56"/>
      <c r="AE2703" s="56"/>
      <c r="AF2703" s="56"/>
      <c r="AG2703" s="56"/>
      <c r="AH2703" s="56"/>
      <c r="AI2703" s="56"/>
      <c r="AJ2703" s="56"/>
      <c r="AK2703" s="56"/>
      <c r="AL2703" s="56"/>
      <c r="AM2703" s="56"/>
      <c r="AN2703" s="56"/>
      <c r="AO2703" s="56"/>
      <c r="AP2703" s="56"/>
      <c r="AQ2703" s="56"/>
      <c r="AR2703" s="56"/>
      <c r="AS2703" s="56"/>
      <c r="AT2703" s="56"/>
      <c r="AU2703" s="56"/>
      <c r="AV2703" s="56"/>
      <c r="AW2703" s="56"/>
      <c r="AX2703" s="56"/>
      <c r="AY2703" s="56"/>
      <c r="AZ2703" s="56"/>
      <c r="BA2703" s="56"/>
      <c r="BB2703" s="16"/>
      <c r="BC2703" s="56"/>
      <c r="BD2703" s="56"/>
      <c r="BE2703" s="56"/>
      <c r="BF2703" s="56"/>
      <c r="BG2703" s="56"/>
      <c r="BH2703" s="56"/>
      <c r="BI2703" s="56"/>
      <c r="BJ2703" s="56"/>
      <c r="BK2703" s="56"/>
      <c r="BL2703" s="56"/>
      <c r="BM2703" s="56"/>
      <c r="BN2703" s="56"/>
      <c r="BO2703" s="56"/>
      <c r="BP2703" s="56"/>
      <c r="BQ2703" s="56"/>
      <c r="BR2703" s="56"/>
      <c r="BS2703" s="56"/>
      <c r="BT2703" s="56"/>
      <c r="BU2703" s="56"/>
      <c r="BV2703" s="56"/>
      <c r="BW2703" s="56"/>
      <c r="BX2703" s="56"/>
      <c r="BY2703" s="56"/>
      <c r="BZ2703" s="56"/>
      <c r="CA2703" s="56"/>
      <c r="CB2703" s="56"/>
      <c r="CC2703" s="56"/>
      <c r="CD2703" s="56"/>
      <c r="CE2703" s="56"/>
      <c r="CF2703" s="56"/>
      <c r="CG2703" s="56"/>
      <c r="CH2703" s="56"/>
      <c r="CI2703" s="56"/>
      <c r="CJ2703" s="56"/>
      <c r="CK2703" s="56"/>
      <c r="CL2703" s="56"/>
      <c r="CM2703" s="56"/>
      <c r="CN2703" s="56"/>
      <c r="CO2703" s="56"/>
      <c r="CP2703" s="56"/>
      <c r="CQ2703" s="56"/>
      <c r="CR2703" s="56"/>
      <c r="CS2703" s="56"/>
      <c r="CT2703" s="56"/>
      <c r="CU2703" s="56"/>
      <c r="CV2703" s="56"/>
      <c r="CW2703" s="56"/>
      <c r="CX2703" s="56"/>
      <c r="CY2703" s="56"/>
      <c r="CZ2703" s="56"/>
    </row>
    <row r="2704" spans="27:104" s="5" customFormat="1" x14ac:dyDescent="0.25">
      <c r="AA2704" s="56"/>
      <c r="AB2704" s="56"/>
      <c r="AC2704" s="56"/>
      <c r="AD2704" s="56"/>
      <c r="AE2704" s="56"/>
      <c r="AF2704" s="56"/>
      <c r="AG2704" s="56"/>
      <c r="AH2704" s="56"/>
      <c r="AI2704" s="56"/>
      <c r="AJ2704" s="56"/>
      <c r="AK2704" s="56"/>
      <c r="AL2704" s="56"/>
      <c r="AM2704" s="56"/>
      <c r="AN2704" s="56"/>
      <c r="AO2704" s="56"/>
      <c r="AP2704" s="56"/>
      <c r="AQ2704" s="56"/>
      <c r="AR2704" s="56"/>
      <c r="AS2704" s="56"/>
      <c r="AT2704" s="56"/>
      <c r="AU2704" s="56"/>
      <c r="AV2704" s="56"/>
      <c r="AW2704" s="56"/>
      <c r="AX2704" s="56"/>
      <c r="AY2704" s="56"/>
      <c r="AZ2704" s="56"/>
      <c r="BA2704" s="56"/>
      <c r="BB2704" s="16"/>
      <c r="BC2704" s="56"/>
      <c r="BD2704" s="56"/>
      <c r="BE2704" s="56"/>
      <c r="BF2704" s="56"/>
      <c r="BG2704" s="56"/>
      <c r="BH2704" s="56"/>
      <c r="BI2704" s="56"/>
      <c r="BJ2704" s="56"/>
      <c r="BK2704" s="56"/>
      <c r="BL2704" s="56"/>
      <c r="BM2704" s="56"/>
      <c r="BN2704" s="56"/>
      <c r="BO2704" s="56"/>
      <c r="BP2704" s="56"/>
      <c r="BQ2704" s="56"/>
      <c r="BR2704" s="56"/>
      <c r="BS2704" s="56"/>
      <c r="BT2704" s="56"/>
      <c r="BU2704" s="56"/>
      <c r="BV2704" s="56"/>
      <c r="BW2704" s="56"/>
      <c r="BX2704" s="56"/>
      <c r="BY2704" s="56"/>
      <c r="BZ2704" s="56"/>
      <c r="CA2704" s="56"/>
      <c r="CB2704" s="56"/>
      <c r="CC2704" s="56"/>
      <c r="CD2704" s="56"/>
      <c r="CE2704" s="56"/>
      <c r="CF2704" s="56"/>
      <c r="CG2704" s="56"/>
      <c r="CH2704" s="56"/>
      <c r="CI2704" s="56"/>
      <c r="CJ2704" s="56"/>
      <c r="CK2704" s="56"/>
      <c r="CL2704" s="56"/>
      <c r="CM2704" s="56"/>
      <c r="CN2704" s="56"/>
      <c r="CO2704" s="56"/>
      <c r="CP2704" s="56"/>
      <c r="CQ2704" s="56"/>
      <c r="CR2704" s="56"/>
      <c r="CS2704" s="56"/>
      <c r="CT2704" s="56"/>
      <c r="CU2704" s="56"/>
      <c r="CV2704" s="56"/>
      <c r="CW2704" s="56"/>
      <c r="CX2704" s="56"/>
      <c r="CY2704" s="56"/>
      <c r="CZ2704" s="56"/>
    </row>
    <row r="2705" spans="27:104" s="5" customFormat="1" x14ac:dyDescent="0.25">
      <c r="AA2705" s="56"/>
      <c r="AB2705" s="56"/>
      <c r="AC2705" s="56"/>
      <c r="AD2705" s="56"/>
      <c r="AE2705" s="56"/>
      <c r="AF2705" s="56"/>
      <c r="AG2705" s="56"/>
      <c r="AH2705" s="56"/>
      <c r="AI2705" s="56"/>
      <c r="AJ2705" s="56"/>
      <c r="AK2705" s="56"/>
      <c r="AL2705" s="56"/>
      <c r="AM2705" s="56"/>
      <c r="AN2705" s="56"/>
      <c r="AO2705" s="56"/>
      <c r="AP2705" s="56"/>
      <c r="AQ2705" s="56"/>
      <c r="AR2705" s="56"/>
      <c r="AS2705" s="56"/>
      <c r="AT2705" s="56"/>
      <c r="AU2705" s="56"/>
      <c r="AV2705" s="56"/>
      <c r="AW2705" s="56"/>
      <c r="AX2705" s="56"/>
      <c r="AY2705" s="56"/>
      <c r="AZ2705" s="56"/>
      <c r="BA2705" s="56"/>
      <c r="BB2705" s="16"/>
      <c r="BC2705" s="56"/>
      <c r="BD2705" s="56"/>
      <c r="BE2705" s="56"/>
      <c r="BF2705" s="56"/>
      <c r="BG2705" s="56"/>
      <c r="BH2705" s="56"/>
      <c r="BI2705" s="56"/>
      <c r="BJ2705" s="56"/>
      <c r="BK2705" s="56"/>
      <c r="BL2705" s="56"/>
      <c r="BM2705" s="56"/>
      <c r="BN2705" s="56"/>
      <c r="BO2705" s="56"/>
      <c r="BP2705" s="56"/>
      <c r="BQ2705" s="56"/>
      <c r="BR2705" s="56"/>
      <c r="BS2705" s="56"/>
      <c r="BT2705" s="56"/>
      <c r="BU2705" s="56"/>
      <c r="BV2705" s="56"/>
      <c r="BW2705" s="56"/>
      <c r="BX2705" s="56"/>
      <c r="BY2705" s="56"/>
      <c r="BZ2705" s="56"/>
      <c r="CA2705" s="56"/>
      <c r="CB2705" s="56"/>
      <c r="CC2705" s="56"/>
      <c r="CD2705" s="56"/>
      <c r="CE2705" s="56"/>
      <c r="CF2705" s="56"/>
      <c r="CG2705" s="56"/>
      <c r="CH2705" s="56"/>
      <c r="CI2705" s="56"/>
      <c r="CJ2705" s="56"/>
      <c r="CK2705" s="56"/>
      <c r="CL2705" s="56"/>
      <c r="CM2705" s="56"/>
      <c r="CN2705" s="56"/>
      <c r="CO2705" s="56"/>
      <c r="CP2705" s="56"/>
      <c r="CQ2705" s="56"/>
      <c r="CR2705" s="56"/>
      <c r="CS2705" s="56"/>
      <c r="CT2705" s="56"/>
      <c r="CU2705" s="56"/>
      <c r="CV2705" s="56"/>
      <c r="CW2705" s="56"/>
      <c r="CX2705" s="56"/>
      <c r="CY2705" s="56"/>
      <c r="CZ2705" s="56"/>
    </row>
    <row r="2706" spans="27:104" s="5" customFormat="1" x14ac:dyDescent="0.25">
      <c r="AA2706" s="56"/>
      <c r="AB2706" s="56"/>
      <c r="AC2706" s="56"/>
      <c r="AD2706" s="56"/>
      <c r="AE2706" s="56"/>
      <c r="AF2706" s="56"/>
      <c r="AG2706" s="56"/>
      <c r="AH2706" s="56"/>
      <c r="AI2706" s="56"/>
      <c r="AJ2706" s="56"/>
      <c r="AK2706" s="56"/>
      <c r="AL2706" s="56"/>
      <c r="AM2706" s="56"/>
      <c r="AN2706" s="56"/>
      <c r="AO2706" s="56"/>
      <c r="AP2706" s="56"/>
      <c r="AQ2706" s="56"/>
      <c r="AR2706" s="56"/>
      <c r="AS2706" s="56"/>
      <c r="AT2706" s="56"/>
      <c r="AU2706" s="56"/>
      <c r="AV2706" s="56"/>
      <c r="AW2706" s="56"/>
      <c r="AX2706" s="56"/>
      <c r="AY2706" s="56"/>
      <c r="AZ2706" s="56"/>
      <c r="BA2706" s="56"/>
      <c r="BB2706" s="16"/>
      <c r="BC2706" s="56"/>
      <c r="BD2706" s="56"/>
      <c r="BE2706" s="56"/>
      <c r="BF2706" s="56"/>
      <c r="BG2706" s="56"/>
      <c r="BH2706" s="56"/>
      <c r="BI2706" s="56"/>
      <c r="BJ2706" s="56"/>
      <c r="BK2706" s="56"/>
      <c r="BL2706" s="56"/>
      <c r="BM2706" s="56"/>
      <c r="BN2706" s="56"/>
      <c r="BO2706" s="56"/>
      <c r="BP2706" s="56"/>
      <c r="BQ2706" s="56"/>
      <c r="BR2706" s="56"/>
      <c r="BS2706" s="56"/>
      <c r="BT2706" s="56"/>
      <c r="BU2706" s="56"/>
      <c r="BV2706" s="56"/>
      <c r="BW2706" s="56"/>
      <c r="BX2706" s="56"/>
      <c r="BY2706" s="56"/>
      <c r="BZ2706" s="56"/>
      <c r="CA2706" s="56"/>
      <c r="CB2706" s="56"/>
      <c r="CC2706" s="56"/>
      <c r="CD2706" s="56"/>
      <c r="CE2706" s="56"/>
      <c r="CF2706" s="56"/>
      <c r="CG2706" s="56"/>
      <c r="CH2706" s="56"/>
      <c r="CI2706" s="56"/>
      <c r="CJ2706" s="56"/>
      <c r="CK2706" s="56"/>
      <c r="CL2706" s="56"/>
      <c r="CM2706" s="56"/>
      <c r="CN2706" s="56"/>
      <c r="CO2706" s="56"/>
      <c r="CP2706" s="56"/>
      <c r="CQ2706" s="56"/>
      <c r="CR2706" s="56"/>
      <c r="CS2706" s="56"/>
      <c r="CT2706" s="56"/>
      <c r="CU2706" s="56"/>
      <c r="CV2706" s="56"/>
      <c r="CW2706" s="56"/>
      <c r="CX2706" s="56"/>
      <c r="CY2706" s="56"/>
      <c r="CZ2706" s="56"/>
    </row>
    <row r="2707" spans="27:104" s="5" customFormat="1" x14ac:dyDescent="0.25">
      <c r="AA2707" s="56"/>
      <c r="AB2707" s="56"/>
      <c r="AC2707" s="56"/>
      <c r="AD2707" s="56"/>
      <c r="AE2707" s="56"/>
      <c r="AF2707" s="56"/>
      <c r="AG2707" s="56"/>
      <c r="AH2707" s="56"/>
      <c r="AI2707" s="56"/>
      <c r="AJ2707" s="56"/>
      <c r="AK2707" s="56"/>
      <c r="AL2707" s="56"/>
      <c r="AM2707" s="56"/>
      <c r="AN2707" s="56"/>
      <c r="AO2707" s="56"/>
      <c r="AP2707" s="56"/>
      <c r="AQ2707" s="56"/>
      <c r="AR2707" s="56"/>
      <c r="AS2707" s="56"/>
      <c r="AT2707" s="56"/>
      <c r="AU2707" s="56"/>
      <c r="AV2707" s="56"/>
      <c r="AW2707" s="56"/>
      <c r="AX2707" s="56"/>
      <c r="AY2707" s="56"/>
      <c r="AZ2707" s="56"/>
      <c r="BA2707" s="56"/>
      <c r="BB2707" s="16"/>
      <c r="BC2707" s="56"/>
      <c r="BD2707" s="56"/>
      <c r="BE2707" s="56"/>
      <c r="BF2707" s="56"/>
      <c r="BG2707" s="56"/>
      <c r="BH2707" s="56"/>
      <c r="BI2707" s="56"/>
      <c r="BJ2707" s="56"/>
      <c r="BK2707" s="56"/>
      <c r="BL2707" s="56"/>
      <c r="BM2707" s="56"/>
      <c r="BN2707" s="56"/>
      <c r="BO2707" s="56"/>
      <c r="BP2707" s="56"/>
      <c r="BQ2707" s="56"/>
      <c r="BR2707" s="56"/>
      <c r="BS2707" s="56"/>
      <c r="BT2707" s="56"/>
      <c r="BU2707" s="56"/>
      <c r="BV2707" s="56"/>
      <c r="BW2707" s="56"/>
      <c r="BX2707" s="56"/>
      <c r="BY2707" s="56"/>
      <c r="BZ2707" s="56"/>
      <c r="CA2707" s="56"/>
      <c r="CB2707" s="56"/>
      <c r="CC2707" s="56"/>
      <c r="CD2707" s="56"/>
      <c r="CE2707" s="56"/>
      <c r="CF2707" s="56"/>
      <c r="CG2707" s="56"/>
      <c r="CH2707" s="56"/>
      <c r="CI2707" s="56"/>
      <c r="CJ2707" s="56"/>
      <c r="CK2707" s="56"/>
      <c r="CL2707" s="56"/>
      <c r="CM2707" s="56"/>
      <c r="CN2707" s="56"/>
      <c r="CO2707" s="56"/>
      <c r="CP2707" s="56"/>
      <c r="CQ2707" s="56"/>
      <c r="CR2707" s="56"/>
      <c r="CS2707" s="56"/>
      <c r="CT2707" s="56"/>
      <c r="CU2707" s="56"/>
      <c r="CV2707" s="56"/>
      <c r="CW2707" s="56"/>
      <c r="CX2707" s="56"/>
      <c r="CY2707" s="56"/>
      <c r="CZ2707" s="56"/>
    </row>
    <row r="2708" spans="27:104" s="5" customFormat="1" x14ac:dyDescent="0.25">
      <c r="AA2708" s="56"/>
      <c r="AB2708" s="56"/>
      <c r="AC2708" s="56"/>
      <c r="AD2708" s="56"/>
      <c r="AE2708" s="56"/>
      <c r="AF2708" s="56"/>
      <c r="AG2708" s="56"/>
      <c r="AH2708" s="56"/>
      <c r="AI2708" s="56"/>
      <c r="AJ2708" s="56"/>
      <c r="AK2708" s="56"/>
      <c r="AL2708" s="56"/>
      <c r="AM2708" s="56"/>
      <c r="AN2708" s="56"/>
      <c r="AO2708" s="56"/>
      <c r="AP2708" s="56"/>
      <c r="AQ2708" s="56"/>
      <c r="AR2708" s="56"/>
      <c r="AS2708" s="56"/>
      <c r="AT2708" s="56"/>
      <c r="AU2708" s="56"/>
      <c r="AV2708" s="56"/>
      <c r="AW2708" s="56"/>
      <c r="AX2708" s="56"/>
      <c r="AY2708" s="56"/>
      <c r="AZ2708" s="56"/>
      <c r="BA2708" s="56"/>
      <c r="BB2708" s="16"/>
      <c r="BC2708" s="56"/>
      <c r="BD2708" s="56"/>
      <c r="BE2708" s="56"/>
      <c r="BF2708" s="56"/>
      <c r="BG2708" s="56"/>
      <c r="BH2708" s="56"/>
      <c r="BI2708" s="56"/>
      <c r="BJ2708" s="56"/>
      <c r="BK2708" s="56"/>
      <c r="BL2708" s="56"/>
      <c r="BM2708" s="56"/>
      <c r="BN2708" s="56"/>
      <c r="BO2708" s="56"/>
      <c r="BP2708" s="56"/>
      <c r="BQ2708" s="56"/>
      <c r="BR2708" s="56"/>
      <c r="BS2708" s="56"/>
      <c r="BT2708" s="56"/>
      <c r="BU2708" s="56"/>
      <c r="BV2708" s="56"/>
      <c r="BW2708" s="56"/>
      <c r="BX2708" s="56"/>
      <c r="BY2708" s="56"/>
      <c r="BZ2708" s="56"/>
      <c r="CA2708" s="56"/>
      <c r="CB2708" s="56"/>
      <c r="CC2708" s="56"/>
      <c r="CD2708" s="56"/>
      <c r="CE2708" s="56"/>
      <c r="CF2708" s="56"/>
      <c r="CG2708" s="56"/>
      <c r="CH2708" s="56"/>
      <c r="CI2708" s="56"/>
      <c r="CJ2708" s="56"/>
      <c r="CK2708" s="56"/>
      <c r="CL2708" s="56"/>
      <c r="CM2708" s="56"/>
      <c r="CN2708" s="56"/>
      <c r="CO2708" s="56"/>
      <c r="CP2708" s="56"/>
      <c r="CQ2708" s="56"/>
      <c r="CR2708" s="56"/>
      <c r="CS2708" s="56"/>
      <c r="CT2708" s="56"/>
      <c r="CU2708" s="56"/>
      <c r="CV2708" s="56"/>
      <c r="CW2708" s="56"/>
      <c r="CX2708" s="56"/>
      <c r="CY2708" s="56"/>
      <c r="CZ2708" s="56"/>
    </row>
    <row r="2709" spans="27:104" s="5" customFormat="1" x14ac:dyDescent="0.25">
      <c r="AA2709" s="56"/>
      <c r="AB2709" s="56"/>
      <c r="AC2709" s="56"/>
      <c r="AD2709" s="56"/>
      <c r="AE2709" s="56"/>
      <c r="AF2709" s="56"/>
      <c r="AG2709" s="56"/>
      <c r="AH2709" s="56"/>
      <c r="AI2709" s="56"/>
      <c r="AJ2709" s="56"/>
      <c r="AK2709" s="56"/>
      <c r="AL2709" s="56"/>
      <c r="AM2709" s="56"/>
      <c r="AN2709" s="56"/>
      <c r="AO2709" s="56"/>
      <c r="AP2709" s="56"/>
      <c r="AQ2709" s="56"/>
      <c r="AR2709" s="56"/>
      <c r="AS2709" s="56"/>
      <c r="AT2709" s="56"/>
      <c r="AU2709" s="56"/>
      <c r="AV2709" s="56"/>
      <c r="AW2709" s="56"/>
      <c r="AX2709" s="56"/>
      <c r="AY2709" s="56"/>
      <c r="AZ2709" s="56"/>
      <c r="BA2709" s="56"/>
      <c r="BB2709" s="16"/>
      <c r="BC2709" s="56"/>
      <c r="BD2709" s="56"/>
      <c r="BE2709" s="56"/>
      <c r="BF2709" s="56"/>
      <c r="BG2709" s="56"/>
      <c r="BH2709" s="56"/>
      <c r="BI2709" s="56"/>
      <c r="BJ2709" s="56"/>
      <c r="BK2709" s="56"/>
      <c r="BL2709" s="56"/>
      <c r="BM2709" s="56"/>
      <c r="BN2709" s="56"/>
      <c r="BO2709" s="56"/>
      <c r="BP2709" s="56"/>
      <c r="BQ2709" s="56"/>
      <c r="BR2709" s="56"/>
      <c r="BS2709" s="56"/>
      <c r="BT2709" s="56"/>
      <c r="BU2709" s="56"/>
      <c r="BV2709" s="56"/>
      <c r="BW2709" s="56"/>
      <c r="BX2709" s="56"/>
      <c r="BY2709" s="56"/>
      <c r="BZ2709" s="56"/>
      <c r="CA2709" s="56"/>
      <c r="CB2709" s="56"/>
      <c r="CC2709" s="56"/>
      <c r="CD2709" s="56"/>
      <c r="CE2709" s="56"/>
      <c r="CF2709" s="56"/>
      <c r="CG2709" s="56"/>
      <c r="CH2709" s="56"/>
      <c r="CI2709" s="56"/>
      <c r="CJ2709" s="56"/>
      <c r="CK2709" s="56"/>
      <c r="CL2709" s="56"/>
      <c r="CM2709" s="56"/>
      <c r="CN2709" s="56"/>
      <c r="CO2709" s="56"/>
      <c r="CP2709" s="56"/>
      <c r="CQ2709" s="56"/>
      <c r="CR2709" s="56"/>
      <c r="CS2709" s="56"/>
      <c r="CT2709" s="56"/>
      <c r="CU2709" s="56"/>
      <c r="CV2709" s="56"/>
      <c r="CW2709" s="56"/>
      <c r="CX2709" s="56"/>
      <c r="CY2709" s="56"/>
      <c r="CZ2709" s="56"/>
    </row>
    <row r="2710" spans="27:104" s="5" customFormat="1" x14ac:dyDescent="0.25">
      <c r="AA2710" s="56"/>
      <c r="AB2710" s="56"/>
      <c r="AC2710" s="56"/>
      <c r="AD2710" s="56"/>
      <c r="AE2710" s="56"/>
      <c r="AF2710" s="56"/>
      <c r="AG2710" s="56"/>
      <c r="AH2710" s="56"/>
      <c r="AI2710" s="56"/>
      <c r="AJ2710" s="56"/>
      <c r="AK2710" s="56"/>
      <c r="AL2710" s="56"/>
      <c r="AM2710" s="56"/>
      <c r="AN2710" s="56"/>
      <c r="AO2710" s="56"/>
      <c r="AP2710" s="56"/>
      <c r="AQ2710" s="56"/>
      <c r="AR2710" s="56"/>
      <c r="AS2710" s="56"/>
      <c r="AT2710" s="56"/>
      <c r="AU2710" s="56"/>
      <c r="AV2710" s="56"/>
      <c r="AW2710" s="56"/>
      <c r="AX2710" s="56"/>
      <c r="AY2710" s="56"/>
      <c r="AZ2710" s="56"/>
      <c r="BA2710" s="56"/>
      <c r="BB2710" s="16"/>
      <c r="BC2710" s="56"/>
      <c r="BD2710" s="56"/>
      <c r="BE2710" s="56"/>
      <c r="BF2710" s="56"/>
      <c r="BG2710" s="56"/>
      <c r="BH2710" s="56"/>
      <c r="BI2710" s="56"/>
      <c r="BJ2710" s="56"/>
      <c r="BK2710" s="56"/>
      <c r="BL2710" s="56"/>
      <c r="BM2710" s="56"/>
      <c r="BN2710" s="56"/>
      <c r="BO2710" s="56"/>
      <c r="BP2710" s="56"/>
      <c r="BQ2710" s="56"/>
      <c r="BR2710" s="56"/>
      <c r="BS2710" s="56"/>
      <c r="BT2710" s="56"/>
      <c r="BU2710" s="56"/>
      <c r="BV2710" s="56"/>
      <c r="BW2710" s="56"/>
      <c r="BX2710" s="56"/>
      <c r="BY2710" s="56"/>
      <c r="BZ2710" s="56"/>
      <c r="CA2710" s="56"/>
      <c r="CB2710" s="56"/>
      <c r="CC2710" s="56"/>
      <c r="CD2710" s="56"/>
      <c r="CE2710" s="56"/>
      <c r="CF2710" s="56"/>
      <c r="CG2710" s="56"/>
      <c r="CH2710" s="56"/>
      <c r="CI2710" s="56"/>
      <c r="CJ2710" s="56"/>
      <c r="CK2710" s="56"/>
      <c r="CL2710" s="56"/>
      <c r="CM2710" s="56"/>
      <c r="CN2710" s="56"/>
      <c r="CO2710" s="56"/>
      <c r="CP2710" s="56"/>
      <c r="CQ2710" s="56"/>
      <c r="CR2710" s="56"/>
      <c r="CS2710" s="56"/>
      <c r="CT2710" s="56"/>
      <c r="CU2710" s="56"/>
      <c r="CV2710" s="56"/>
      <c r="CW2710" s="56"/>
      <c r="CX2710" s="56"/>
      <c r="CY2710" s="56"/>
      <c r="CZ2710" s="56"/>
    </row>
    <row r="2711" spans="27:104" s="5" customFormat="1" x14ac:dyDescent="0.25">
      <c r="AA2711" s="56"/>
      <c r="AB2711" s="56"/>
      <c r="AC2711" s="56"/>
      <c r="AD2711" s="56"/>
      <c r="AE2711" s="56"/>
      <c r="AF2711" s="56"/>
      <c r="AG2711" s="56"/>
      <c r="AH2711" s="56"/>
      <c r="AI2711" s="56"/>
      <c r="AJ2711" s="56"/>
      <c r="AK2711" s="56"/>
      <c r="AL2711" s="56"/>
      <c r="AM2711" s="56"/>
      <c r="AN2711" s="56"/>
      <c r="AO2711" s="56"/>
      <c r="AP2711" s="56"/>
      <c r="AQ2711" s="56"/>
      <c r="AR2711" s="56"/>
      <c r="AS2711" s="56"/>
      <c r="AT2711" s="56"/>
      <c r="AU2711" s="56"/>
      <c r="AV2711" s="56"/>
      <c r="AW2711" s="56"/>
      <c r="AX2711" s="56"/>
      <c r="AY2711" s="56"/>
      <c r="AZ2711" s="56"/>
      <c r="BA2711" s="56"/>
      <c r="BB2711" s="16"/>
      <c r="BC2711" s="56"/>
      <c r="BD2711" s="56"/>
      <c r="BE2711" s="56"/>
      <c r="BF2711" s="56"/>
      <c r="BG2711" s="56"/>
      <c r="BH2711" s="56"/>
      <c r="BI2711" s="56"/>
      <c r="BJ2711" s="56"/>
      <c r="BK2711" s="56"/>
      <c r="BL2711" s="56"/>
      <c r="BM2711" s="56"/>
      <c r="BN2711" s="56"/>
      <c r="BO2711" s="56"/>
      <c r="BP2711" s="56"/>
      <c r="BQ2711" s="56"/>
      <c r="BR2711" s="56"/>
      <c r="BS2711" s="56"/>
      <c r="BT2711" s="56"/>
      <c r="BU2711" s="56"/>
      <c r="BV2711" s="56"/>
      <c r="BW2711" s="56"/>
      <c r="BX2711" s="56"/>
      <c r="BY2711" s="56"/>
      <c r="BZ2711" s="56"/>
      <c r="CA2711" s="56"/>
      <c r="CB2711" s="56"/>
      <c r="CC2711" s="56"/>
      <c r="CD2711" s="56"/>
      <c r="CE2711" s="56"/>
      <c r="CF2711" s="56"/>
      <c r="CG2711" s="56"/>
      <c r="CH2711" s="56"/>
      <c r="CI2711" s="56"/>
      <c r="CJ2711" s="56"/>
      <c r="CK2711" s="56"/>
      <c r="CL2711" s="56"/>
      <c r="CM2711" s="56"/>
      <c r="CN2711" s="56"/>
      <c r="CO2711" s="56"/>
      <c r="CP2711" s="56"/>
      <c r="CQ2711" s="56"/>
      <c r="CR2711" s="56"/>
      <c r="CS2711" s="56"/>
      <c r="CT2711" s="56"/>
      <c r="CU2711" s="56"/>
      <c r="CV2711" s="56"/>
      <c r="CW2711" s="56"/>
      <c r="CX2711" s="56"/>
      <c r="CY2711" s="56"/>
      <c r="CZ2711" s="56"/>
    </row>
    <row r="2712" spans="27:104" s="5" customFormat="1" x14ac:dyDescent="0.25">
      <c r="AA2712" s="56"/>
      <c r="AB2712" s="56"/>
      <c r="AC2712" s="56"/>
      <c r="AD2712" s="56"/>
      <c r="AE2712" s="56"/>
      <c r="AF2712" s="56"/>
      <c r="AG2712" s="56"/>
      <c r="AH2712" s="56"/>
      <c r="AI2712" s="56"/>
      <c r="AJ2712" s="56"/>
      <c r="AK2712" s="56"/>
      <c r="AL2712" s="56"/>
      <c r="AM2712" s="56"/>
      <c r="AN2712" s="56"/>
      <c r="AO2712" s="56"/>
      <c r="AP2712" s="56"/>
      <c r="AQ2712" s="56"/>
      <c r="AR2712" s="56"/>
      <c r="AS2712" s="56"/>
      <c r="AT2712" s="56"/>
      <c r="AU2712" s="56"/>
      <c r="AV2712" s="56"/>
      <c r="AW2712" s="56"/>
      <c r="AX2712" s="56"/>
      <c r="AY2712" s="56"/>
      <c r="AZ2712" s="56"/>
      <c r="BA2712" s="56"/>
      <c r="BB2712" s="16"/>
      <c r="BC2712" s="56"/>
      <c r="BD2712" s="56"/>
      <c r="BE2712" s="56"/>
      <c r="BF2712" s="56"/>
      <c r="BG2712" s="56"/>
      <c r="BH2712" s="56"/>
      <c r="BI2712" s="56"/>
      <c r="BJ2712" s="56"/>
      <c r="BK2712" s="56"/>
      <c r="BL2712" s="56"/>
      <c r="BM2712" s="56"/>
      <c r="BN2712" s="56"/>
      <c r="BO2712" s="56"/>
      <c r="BP2712" s="56"/>
      <c r="BQ2712" s="56"/>
      <c r="BR2712" s="56"/>
      <c r="BS2712" s="56"/>
      <c r="BT2712" s="56"/>
      <c r="BU2712" s="56"/>
      <c r="BV2712" s="56"/>
      <c r="BW2712" s="56"/>
      <c r="BX2712" s="56"/>
      <c r="BY2712" s="56"/>
      <c r="BZ2712" s="56"/>
      <c r="CA2712" s="56"/>
      <c r="CB2712" s="56"/>
      <c r="CC2712" s="56"/>
      <c r="CD2712" s="56"/>
      <c r="CE2712" s="56"/>
      <c r="CF2712" s="56"/>
      <c r="CG2712" s="56"/>
      <c r="CH2712" s="56"/>
      <c r="CI2712" s="56"/>
      <c r="CJ2712" s="56"/>
      <c r="CK2712" s="56"/>
      <c r="CL2712" s="56"/>
      <c r="CM2712" s="56"/>
      <c r="CN2712" s="56"/>
      <c r="CO2712" s="56"/>
      <c r="CP2712" s="56"/>
      <c r="CQ2712" s="56"/>
      <c r="CR2712" s="56"/>
      <c r="CS2712" s="56"/>
      <c r="CT2712" s="56"/>
      <c r="CU2712" s="56"/>
      <c r="CV2712" s="56"/>
      <c r="CW2712" s="56"/>
      <c r="CX2712" s="56"/>
      <c r="CY2712" s="56"/>
      <c r="CZ2712" s="56"/>
    </row>
    <row r="2713" spans="27:104" s="5" customFormat="1" x14ac:dyDescent="0.25">
      <c r="AA2713" s="56"/>
      <c r="AB2713" s="56"/>
      <c r="AC2713" s="56"/>
      <c r="AD2713" s="56"/>
      <c r="AE2713" s="56"/>
      <c r="AF2713" s="56"/>
      <c r="AG2713" s="56"/>
      <c r="AH2713" s="56"/>
      <c r="AI2713" s="56"/>
      <c r="AJ2713" s="56"/>
      <c r="AK2713" s="56"/>
      <c r="AL2713" s="56"/>
      <c r="AM2713" s="56"/>
      <c r="AN2713" s="56"/>
      <c r="AO2713" s="56"/>
      <c r="AP2713" s="56"/>
      <c r="AQ2713" s="56"/>
      <c r="AR2713" s="56"/>
      <c r="AS2713" s="56"/>
      <c r="AT2713" s="56"/>
      <c r="AU2713" s="56"/>
      <c r="AV2713" s="56"/>
      <c r="AW2713" s="56"/>
      <c r="AX2713" s="56"/>
      <c r="AY2713" s="56"/>
      <c r="AZ2713" s="56"/>
      <c r="BA2713" s="56"/>
      <c r="BB2713" s="16"/>
      <c r="BC2713" s="56"/>
      <c r="BD2713" s="56"/>
      <c r="BE2713" s="56"/>
      <c r="BF2713" s="56"/>
      <c r="BG2713" s="56"/>
      <c r="BH2713" s="56"/>
      <c r="BI2713" s="56"/>
      <c r="BJ2713" s="56"/>
      <c r="BK2713" s="56"/>
      <c r="BL2713" s="56"/>
      <c r="BM2713" s="56"/>
      <c r="BN2713" s="56"/>
      <c r="BO2713" s="56"/>
      <c r="BP2713" s="56"/>
      <c r="BQ2713" s="56"/>
      <c r="BR2713" s="56"/>
      <c r="BS2713" s="56"/>
      <c r="BT2713" s="56"/>
      <c r="BU2713" s="56"/>
      <c r="BV2713" s="56"/>
      <c r="BW2713" s="56"/>
      <c r="BX2713" s="56"/>
      <c r="BY2713" s="56"/>
      <c r="BZ2713" s="56"/>
      <c r="CA2713" s="56"/>
      <c r="CB2713" s="56"/>
      <c r="CC2713" s="56"/>
      <c r="CD2713" s="56"/>
      <c r="CE2713" s="56"/>
      <c r="CF2713" s="56"/>
      <c r="CG2713" s="56"/>
      <c r="CH2713" s="56"/>
      <c r="CI2713" s="56"/>
      <c r="CJ2713" s="56"/>
      <c r="CK2713" s="56"/>
      <c r="CL2713" s="56"/>
      <c r="CM2713" s="56"/>
      <c r="CN2713" s="56"/>
      <c r="CO2713" s="56"/>
      <c r="CP2713" s="56"/>
      <c r="CQ2713" s="56"/>
      <c r="CR2713" s="56"/>
      <c r="CS2713" s="56"/>
      <c r="CT2713" s="56"/>
      <c r="CU2713" s="56"/>
      <c r="CV2713" s="56"/>
      <c r="CW2713" s="56"/>
      <c r="CX2713" s="56"/>
      <c r="CY2713" s="56"/>
      <c r="CZ2713" s="56"/>
    </row>
    <row r="2714" spans="27:104" s="5" customFormat="1" x14ac:dyDescent="0.25">
      <c r="AA2714" s="56"/>
      <c r="AB2714" s="56"/>
      <c r="AC2714" s="56"/>
      <c r="AD2714" s="56"/>
      <c r="AE2714" s="56"/>
      <c r="AF2714" s="56"/>
      <c r="AG2714" s="56"/>
      <c r="AH2714" s="56"/>
      <c r="AI2714" s="56"/>
      <c r="AJ2714" s="56"/>
      <c r="AK2714" s="56"/>
      <c r="AL2714" s="56"/>
      <c r="AM2714" s="56"/>
      <c r="AN2714" s="56"/>
      <c r="AO2714" s="56"/>
      <c r="AP2714" s="56"/>
      <c r="AQ2714" s="56"/>
      <c r="AR2714" s="56"/>
      <c r="AS2714" s="56"/>
      <c r="AT2714" s="56"/>
      <c r="AU2714" s="56"/>
      <c r="AV2714" s="56"/>
      <c r="AW2714" s="56"/>
      <c r="AX2714" s="56"/>
      <c r="AY2714" s="56"/>
      <c r="AZ2714" s="56"/>
      <c r="BA2714" s="56"/>
      <c r="BB2714" s="16"/>
      <c r="BC2714" s="56"/>
      <c r="BD2714" s="56"/>
      <c r="BE2714" s="56"/>
      <c r="BF2714" s="56"/>
      <c r="BG2714" s="56"/>
      <c r="BH2714" s="56"/>
      <c r="BI2714" s="56"/>
      <c r="BJ2714" s="56"/>
      <c r="BK2714" s="56"/>
      <c r="BL2714" s="56"/>
      <c r="BM2714" s="56"/>
      <c r="BN2714" s="56"/>
      <c r="BO2714" s="56"/>
      <c r="BP2714" s="56"/>
      <c r="BQ2714" s="56"/>
      <c r="BR2714" s="56"/>
      <c r="BS2714" s="56"/>
      <c r="BT2714" s="56"/>
      <c r="BU2714" s="56"/>
      <c r="BV2714" s="56"/>
      <c r="BW2714" s="56"/>
      <c r="BX2714" s="56"/>
      <c r="BY2714" s="56"/>
      <c r="BZ2714" s="56"/>
      <c r="CA2714" s="56"/>
      <c r="CB2714" s="56"/>
      <c r="CC2714" s="56"/>
      <c r="CD2714" s="56"/>
      <c r="CE2714" s="56"/>
      <c r="CF2714" s="56"/>
      <c r="CG2714" s="56"/>
      <c r="CH2714" s="56"/>
      <c r="CI2714" s="56"/>
      <c r="CJ2714" s="56"/>
      <c r="CK2714" s="56"/>
      <c r="CL2714" s="56"/>
      <c r="CM2714" s="56"/>
      <c r="CN2714" s="56"/>
      <c r="CO2714" s="56"/>
      <c r="CP2714" s="56"/>
      <c r="CQ2714" s="56"/>
      <c r="CR2714" s="56"/>
      <c r="CS2714" s="56"/>
      <c r="CT2714" s="56"/>
      <c r="CU2714" s="56"/>
      <c r="CV2714" s="56"/>
      <c r="CW2714" s="56"/>
      <c r="CX2714" s="56"/>
      <c r="CY2714" s="56"/>
      <c r="CZ2714" s="56"/>
    </row>
    <row r="2715" spans="27:104" s="5" customFormat="1" x14ac:dyDescent="0.25">
      <c r="AA2715" s="56"/>
      <c r="AB2715" s="56"/>
      <c r="AC2715" s="56"/>
      <c r="AD2715" s="56"/>
      <c r="AE2715" s="56"/>
      <c r="AF2715" s="56"/>
      <c r="AG2715" s="56"/>
      <c r="AH2715" s="56"/>
      <c r="AI2715" s="56"/>
      <c r="AJ2715" s="56"/>
      <c r="AK2715" s="56"/>
      <c r="AL2715" s="56"/>
      <c r="AM2715" s="56"/>
      <c r="AN2715" s="56"/>
      <c r="AO2715" s="56"/>
      <c r="AP2715" s="56"/>
      <c r="AQ2715" s="56"/>
      <c r="AR2715" s="56"/>
      <c r="AS2715" s="56"/>
      <c r="AT2715" s="56"/>
      <c r="AU2715" s="56"/>
      <c r="AV2715" s="56"/>
      <c r="AW2715" s="56"/>
      <c r="AX2715" s="56"/>
      <c r="AY2715" s="56"/>
      <c r="AZ2715" s="56"/>
      <c r="BA2715" s="56"/>
      <c r="BB2715" s="16"/>
      <c r="BC2715" s="56"/>
      <c r="BD2715" s="56"/>
      <c r="BE2715" s="56"/>
      <c r="BF2715" s="56"/>
      <c r="BG2715" s="56"/>
      <c r="BH2715" s="56"/>
      <c r="BI2715" s="56"/>
      <c r="BJ2715" s="56"/>
      <c r="BK2715" s="56"/>
      <c r="BL2715" s="56"/>
      <c r="BM2715" s="56"/>
      <c r="BN2715" s="56"/>
      <c r="BO2715" s="56"/>
      <c r="BP2715" s="56"/>
      <c r="BQ2715" s="56"/>
      <c r="BR2715" s="56"/>
      <c r="BS2715" s="56"/>
      <c r="BT2715" s="56"/>
      <c r="BU2715" s="56"/>
      <c r="BV2715" s="56"/>
      <c r="BW2715" s="56"/>
      <c r="BX2715" s="56"/>
      <c r="BY2715" s="56"/>
      <c r="BZ2715" s="56"/>
      <c r="CA2715" s="56"/>
      <c r="CB2715" s="56"/>
      <c r="CC2715" s="56"/>
      <c r="CD2715" s="56"/>
      <c r="CE2715" s="56"/>
      <c r="CF2715" s="56"/>
      <c r="CG2715" s="56"/>
      <c r="CH2715" s="56"/>
      <c r="CI2715" s="56"/>
      <c r="CJ2715" s="56"/>
      <c r="CK2715" s="56"/>
      <c r="CL2715" s="56"/>
      <c r="CM2715" s="56"/>
      <c r="CN2715" s="56"/>
      <c r="CO2715" s="56"/>
      <c r="CP2715" s="56"/>
      <c r="CQ2715" s="56"/>
      <c r="CR2715" s="56"/>
      <c r="CS2715" s="56"/>
      <c r="CT2715" s="56"/>
      <c r="CU2715" s="56"/>
      <c r="CV2715" s="56"/>
      <c r="CW2715" s="56"/>
      <c r="CX2715" s="56"/>
      <c r="CY2715" s="56"/>
      <c r="CZ2715" s="56"/>
    </row>
    <row r="2716" spans="27:104" s="5" customFormat="1" x14ac:dyDescent="0.25">
      <c r="AA2716" s="56"/>
      <c r="AB2716" s="56"/>
      <c r="AC2716" s="56"/>
      <c r="AD2716" s="56"/>
      <c r="AE2716" s="56"/>
      <c r="AF2716" s="56"/>
      <c r="AG2716" s="56"/>
      <c r="AH2716" s="56"/>
      <c r="AI2716" s="56"/>
      <c r="AJ2716" s="56"/>
      <c r="AK2716" s="56"/>
      <c r="AL2716" s="56"/>
      <c r="AM2716" s="56"/>
      <c r="AN2716" s="56"/>
      <c r="AO2716" s="56"/>
      <c r="AP2716" s="56"/>
      <c r="AQ2716" s="56"/>
      <c r="AR2716" s="56"/>
      <c r="AS2716" s="56"/>
      <c r="AT2716" s="56"/>
      <c r="AU2716" s="56"/>
      <c r="AV2716" s="56"/>
      <c r="AW2716" s="56"/>
      <c r="AX2716" s="56"/>
      <c r="AY2716" s="56"/>
      <c r="AZ2716" s="56"/>
      <c r="BA2716" s="56"/>
      <c r="BB2716" s="16"/>
      <c r="BC2716" s="56"/>
      <c r="BD2716" s="56"/>
      <c r="BE2716" s="56"/>
      <c r="BF2716" s="56"/>
      <c r="BG2716" s="56"/>
      <c r="BH2716" s="56"/>
      <c r="BI2716" s="56"/>
      <c r="BJ2716" s="56"/>
      <c r="BK2716" s="56"/>
      <c r="BL2716" s="56"/>
      <c r="BM2716" s="56"/>
      <c r="BN2716" s="56"/>
      <c r="BO2716" s="56"/>
      <c r="BP2716" s="56"/>
      <c r="BQ2716" s="56"/>
      <c r="BR2716" s="56"/>
      <c r="BS2716" s="56"/>
      <c r="BT2716" s="56"/>
      <c r="BU2716" s="56"/>
      <c r="BV2716" s="56"/>
      <c r="BW2716" s="56"/>
      <c r="BX2716" s="56"/>
      <c r="BY2716" s="56"/>
      <c r="BZ2716" s="56"/>
      <c r="CA2716" s="56"/>
      <c r="CB2716" s="56"/>
      <c r="CC2716" s="56"/>
      <c r="CD2716" s="56"/>
      <c r="CE2716" s="56"/>
      <c r="CF2716" s="56"/>
      <c r="CG2716" s="56"/>
      <c r="CH2716" s="56"/>
      <c r="CI2716" s="56"/>
      <c r="CJ2716" s="56"/>
      <c r="CK2716" s="56"/>
      <c r="CL2716" s="56"/>
      <c r="CM2716" s="56"/>
      <c r="CN2716" s="56"/>
      <c r="CO2716" s="56"/>
      <c r="CP2716" s="56"/>
      <c r="CQ2716" s="56"/>
      <c r="CR2716" s="56"/>
      <c r="CS2716" s="56"/>
      <c r="CT2716" s="56"/>
      <c r="CU2716" s="56"/>
      <c r="CV2716" s="56"/>
      <c r="CW2716" s="56"/>
      <c r="CX2716" s="56"/>
      <c r="CY2716" s="56"/>
      <c r="CZ2716" s="56"/>
    </row>
    <row r="2717" spans="27:104" s="5" customFormat="1" x14ac:dyDescent="0.25">
      <c r="AA2717" s="56"/>
      <c r="AB2717" s="56"/>
      <c r="AC2717" s="56"/>
      <c r="AD2717" s="56"/>
      <c r="AE2717" s="56"/>
      <c r="AF2717" s="56"/>
      <c r="AG2717" s="56"/>
      <c r="AH2717" s="56"/>
      <c r="AI2717" s="56"/>
      <c r="AJ2717" s="56"/>
      <c r="AK2717" s="56"/>
      <c r="AL2717" s="56"/>
      <c r="AM2717" s="56"/>
      <c r="AN2717" s="56"/>
      <c r="AO2717" s="56"/>
      <c r="AP2717" s="56"/>
      <c r="AQ2717" s="56"/>
      <c r="AR2717" s="56"/>
      <c r="AS2717" s="56"/>
      <c r="AT2717" s="56"/>
      <c r="AU2717" s="56"/>
      <c r="AV2717" s="56"/>
      <c r="AW2717" s="56"/>
      <c r="AX2717" s="56"/>
      <c r="AY2717" s="56"/>
      <c r="AZ2717" s="56"/>
      <c r="BA2717" s="56"/>
      <c r="BB2717" s="16"/>
      <c r="BC2717" s="56"/>
      <c r="BD2717" s="56"/>
      <c r="BE2717" s="56"/>
      <c r="BF2717" s="56"/>
      <c r="BG2717" s="56"/>
      <c r="BH2717" s="56"/>
      <c r="BI2717" s="56"/>
      <c r="BJ2717" s="56"/>
      <c r="BK2717" s="56"/>
      <c r="BL2717" s="56"/>
      <c r="BM2717" s="56"/>
      <c r="BN2717" s="56"/>
      <c r="BO2717" s="56"/>
      <c r="BP2717" s="56"/>
      <c r="BQ2717" s="56"/>
      <c r="BR2717" s="56"/>
      <c r="BS2717" s="56"/>
      <c r="BT2717" s="56"/>
      <c r="BU2717" s="56"/>
      <c r="BV2717" s="56"/>
      <c r="BW2717" s="56"/>
      <c r="BX2717" s="56"/>
      <c r="BY2717" s="56"/>
      <c r="BZ2717" s="56"/>
      <c r="CA2717" s="56"/>
      <c r="CB2717" s="56"/>
      <c r="CC2717" s="56"/>
      <c r="CD2717" s="56"/>
      <c r="CE2717" s="56"/>
      <c r="CF2717" s="56"/>
      <c r="CG2717" s="56"/>
      <c r="CH2717" s="56"/>
      <c r="CI2717" s="56"/>
      <c r="CJ2717" s="56"/>
      <c r="CK2717" s="56"/>
      <c r="CL2717" s="56"/>
      <c r="CM2717" s="56"/>
      <c r="CN2717" s="56"/>
      <c r="CO2717" s="56"/>
      <c r="CP2717" s="56"/>
      <c r="CQ2717" s="56"/>
      <c r="CR2717" s="56"/>
      <c r="CS2717" s="56"/>
      <c r="CT2717" s="56"/>
      <c r="CU2717" s="56"/>
      <c r="CV2717" s="56"/>
      <c r="CW2717" s="56"/>
      <c r="CX2717" s="56"/>
      <c r="CY2717" s="56"/>
      <c r="CZ2717" s="56"/>
    </row>
    <row r="2718" spans="27:104" s="5" customFormat="1" x14ac:dyDescent="0.25">
      <c r="AA2718" s="56"/>
      <c r="AB2718" s="56"/>
      <c r="AC2718" s="56"/>
      <c r="AD2718" s="56"/>
      <c r="AE2718" s="56"/>
      <c r="AF2718" s="56"/>
      <c r="AG2718" s="56"/>
      <c r="AH2718" s="56"/>
      <c r="AI2718" s="56"/>
      <c r="AJ2718" s="56"/>
      <c r="AK2718" s="56"/>
      <c r="AL2718" s="56"/>
      <c r="AM2718" s="56"/>
      <c r="AN2718" s="56"/>
      <c r="AO2718" s="56"/>
      <c r="AP2718" s="56"/>
      <c r="AQ2718" s="56"/>
      <c r="AR2718" s="56"/>
      <c r="AS2718" s="56"/>
      <c r="AT2718" s="56"/>
      <c r="AU2718" s="56"/>
      <c r="AV2718" s="56"/>
      <c r="AW2718" s="56"/>
      <c r="AX2718" s="56"/>
      <c r="AY2718" s="56"/>
      <c r="AZ2718" s="56"/>
      <c r="BA2718" s="56"/>
      <c r="BB2718" s="16"/>
      <c r="BC2718" s="56"/>
      <c r="BD2718" s="56"/>
      <c r="BE2718" s="56"/>
      <c r="BF2718" s="56"/>
      <c r="BG2718" s="56"/>
      <c r="BH2718" s="56"/>
      <c r="BI2718" s="56"/>
      <c r="BJ2718" s="56"/>
      <c r="BK2718" s="56"/>
      <c r="BL2718" s="56"/>
      <c r="BM2718" s="56"/>
      <c r="BN2718" s="56"/>
      <c r="BO2718" s="56"/>
      <c r="BP2718" s="56"/>
      <c r="BQ2718" s="56"/>
      <c r="BR2718" s="56"/>
      <c r="BS2718" s="56"/>
      <c r="BT2718" s="56"/>
      <c r="BU2718" s="56"/>
      <c r="BV2718" s="56"/>
      <c r="BW2718" s="56"/>
      <c r="BX2718" s="56"/>
      <c r="BY2718" s="56"/>
      <c r="BZ2718" s="56"/>
      <c r="CA2718" s="56"/>
      <c r="CB2718" s="56"/>
      <c r="CC2718" s="56"/>
      <c r="CD2718" s="56"/>
      <c r="CE2718" s="56"/>
      <c r="CF2718" s="56"/>
      <c r="CG2718" s="56"/>
      <c r="CH2718" s="56"/>
      <c r="CI2718" s="56"/>
      <c r="CJ2718" s="56"/>
      <c r="CK2718" s="56"/>
      <c r="CL2718" s="56"/>
      <c r="CM2718" s="56"/>
      <c r="CN2718" s="56"/>
      <c r="CO2718" s="56"/>
      <c r="CP2718" s="56"/>
      <c r="CQ2718" s="56"/>
      <c r="CR2718" s="56"/>
      <c r="CS2718" s="56"/>
      <c r="CT2718" s="56"/>
      <c r="CU2718" s="56"/>
      <c r="CV2718" s="56"/>
      <c r="CW2718" s="56"/>
      <c r="CX2718" s="56"/>
      <c r="CY2718" s="56"/>
      <c r="CZ2718" s="56"/>
    </row>
    <row r="2719" spans="27:104" s="5" customFormat="1" x14ac:dyDescent="0.25">
      <c r="AA2719" s="56"/>
      <c r="AB2719" s="56"/>
      <c r="AC2719" s="56"/>
      <c r="AD2719" s="56"/>
      <c r="AE2719" s="56"/>
      <c r="AF2719" s="56"/>
      <c r="AG2719" s="56"/>
      <c r="AH2719" s="56"/>
      <c r="AI2719" s="56"/>
      <c r="AJ2719" s="56"/>
      <c r="AK2719" s="56"/>
      <c r="AL2719" s="56"/>
      <c r="AM2719" s="56"/>
      <c r="AN2719" s="56"/>
      <c r="AO2719" s="56"/>
      <c r="AP2719" s="56"/>
      <c r="AQ2719" s="56"/>
      <c r="AR2719" s="56"/>
      <c r="AS2719" s="56"/>
      <c r="AT2719" s="56"/>
      <c r="AU2719" s="56"/>
      <c r="AV2719" s="56"/>
      <c r="AW2719" s="56"/>
      <c r="AX2719" s="56"/>
      <c r="AY2719" s="56"/>
      <c r="AZ2719" s="56"/>
      <c r="BA2719" s="56"/>
      <c r="BB2719" s="16"/>
      <c r="BC2719" s="56"/>
      <c r="BD2719" s="56"/>
      <c r="BE2719" s="56"/>
      <c r="BF2719" s="56"/>
      <c r="BG2719" s="56"/>
      <c r="BH2719" s="56"/>
      <c r="BI2719" s="56"/>
      <c r="BJ2719" s="56"/>
      <c r="BK2719" s="56"/>
      <c r="BL2719" s="56"/>
      <c r="BM2719" s="56"/>
      <c r="BN2719" s="56"/>
      <c r="BO2719" s="56"/>
      <c r="BP2719" s="56"/>
      <c r="BQ2719" s="56"/>
      <c r="BR2719" s="56"/>
      <c r="BS2719" s="56"/>
      <c r="BT2719" s="56"/>
      <c r="BU2719" s="56"/>
      <c r="BV2719" s="56"/>
      <c r="BW2719" s="56"/>
      <c r="BX2719" s="56"/>
      <c r="BY2719" s="56"/>
      <c r="BZ2719" s="56"/>
      <c r="CA2719" s="56"/>
      <c r="CB2719" s="56"/>
      <c r="CC2719" s="56"/>
      <c r="CD2719" s="56"/>
      <c r="CE2719" s="56"/>
      <c r="CF2719" s="56"/>
      <c r="CG2719" s="56"/>
      <c r="CH2719" s="56"/>
      <c r="CI2719" s="56"/>
      <c r="CJ2719" s="56"/>
      <c r="CK2719" s="56"/>
      <c r="CL2719" s="56"/>
      <c r="CM2719" s="56"/>
      <c r="CN2719" s="56"/>
      <c r="CO2719" s="56"/>
      <c r="CP2719" s="56"/>
      <c r="CQ2719" s="56"/>
      <c r="CR2719" s="56"/>
      <c r="CS2719" s="56"/>
      <c r="CT2719" s="56"/>
      <c r="CU2719" s="56"/>
      <c r="CV2719" s="56"/>
      <c r="CW2719" s="56"/>
      <c r="CX2719" s="56"/>
      <c r="CY2719" s="56"/>
      <c r="CZ2719" s="56"/>
    </row>
    <row r="2720" spans="27:104" s="5" customFormat="1" x14ac:dyDescent="0.25">
      <c r="AA2720" s="56"/>
      <c r="AB2720" s="56"/>
      <c r="AC2720" s="56"/>
      <c r="AD2720" s="56"/>
      <c r="AE2720" s="56"/>
      <c r="AF2720" s="56"/>
      <c r="AG2720" s="56"/>
      <c r="AH2720" s="56"/>
      <c r="AI2720" s="56"/>
      <c r="AJ2720" s="56"/>
      <c r="AK2720" s="56"/>
      <c r="AL2720" s="56"/>
      <c r="AM2720" s="56"/>
      <c r="AN2720" s="56"/>
      <c r="AO2720" s="56"/>
      <c r="AP2720" s="56"/>
      <c r="AQ2720" s="56"/>
      <c r="AR2720" s="56"/>
      <c r="AS2720" s="56"/>
      <c r="AT2720" s="56"/>
      <c r="AU2720" s="56"/>
      <c r="AV2720" s="56"/>
      <c r="AW2720" s="56"/>
      <c r="AX2720" s="56"/>
      <c r="AY2720" s="56"/>
      <c r="AZ2720" s="56"/>
      <c r="BA2720" s="56"/>
      <c r="BB2720" s="16"/>
      <c r="BC2720" s="56"/>
      <c r="BD2720" s="56"/>
      <c r="BE2720" s="56"/>
      <c r="BF2720" s="56"/>
      <c r="BG2720" s="56"/>
      <c r="BH2720" s="56"/>
      <c r="BI2720" s="56"/>
      <c r="BJ2720" s="56"/>
      <c r="BK2720" s="56"/>
      <c r="BL2720" s="56"/>
      <c r="BM2720" s="56"/>
      <c r="BN2720" s="56"/>
      <c r="BO2720" s="56"/>
      <c r="BP2720" s="56"/>
      <c r="BQ2720" s="56"/>
      <c r="BR2720" s="56"/>
      <c r="BS2720" s="56"/>
      <c r="BT2720" s="56"/>
      <c r="BU2720" s="56"/>
      <c r="BV2720" s="56"/>
      <c r="BW2720" s="56"/>
      <c r="BX2720" s="56"/>
      <c r="BY2720" s="56"/>
      <c r="BZ2720" s="56"/>
      <c r="CA2720" s="56"/>
      <c r="CB2720" s="56"/>
      <c r="CC2720" s="56"/>
      <c r="CD2720" s="56"/>
      <c r="CE2720" s="56"/>
      <c r="CF2720" s="56"/>
      <c r="CG2720" s="56"/>
      <c r="CH2720" s="56"/>
      <c r="CI2720" s="56"/>
      <c r="CJ2720" s="56"/>
      <c r="CK2720" s="56"/>
      <c r="CL2720" s="56"/>
      <c r="CM2720" s="56"/>
      <c r="CN2720" s="56"/>
      <c r="CO2720" s="56"/>
      <c r="CP2720" s="56"/>
      <c r="CQ2720" s="56"/>
      <c r="CR2720" s="56"/>
      <c r="CS2720" s="56"/>
      <c r="CT2720" s="56"/>
      <c r="CU2720" s="56"/>
      <c r="CV2720" s="56"/>
      <c r="CW2720" s="56"/>
      <c r="CX2720" s="56"/>
      <c r="CY2720" s="56"/>
      <c r="CZ2720" s="56"/>
    </row>
    <row r="2721" spans="27:104" s="5" customFormat="1" x14ac:dyDescent="0.25">
      <c r="AA2721" s="56"/>
      <c r="AB2721" s="56"/>
      <c r="AC2721" s="56"/>
      <c r="AD2721" s="56"/>
      <c r="AE2721" s="56"/>
      <c r="AF2721" s="56"/>
      <c r="AG2721" s="56"/>
      <c r="AH2721" s="56"/>
      <c r="AI2721" s="56"/>
      <c r="AJ2721" s="56"/>
      <c r="AK2721" s="56"/>
      <c r="AL2721" s="56"/>
      <c r="AM2721" s="56"/>
      <c r="AN2721" s="56"/>
      <c r="AO2721" s="56"/>
      <c r="AP2721" s="56"/>
      <c r="AQ2721" s="56"/>
      <c r="AR2721" s="56"/>
      <c r="AS2721" s="56"/>
      <c r="AT2721" s="56"/>
      <c r="AU2721" s="56"/>
      <c r="AV2721" s="56"/>
      <c r="AW2721" s="56"/>
      <c r="AX2721" s="56"/>
      <c r="AY2721" s="56"/>
      <c r="AZ2721" s="56"/>
      <c r="BA2721" s="56"/>
      <c r="BB2721" s="16"/>
      <c r="BC2721" s="56"/>
      <c r="BD2721" s="56"/>
      <c r="BE2721" s="56"/>
      <c r="BF2721" s="56"/>
      <c r="BG2721" s="56"/>
      <c r="BH2721" s="56"/>
      <c r="BI2721" s="56"/>
      <c r="BJ2721" s="56"/>
      <c r="BK2721" s="56"/>
      <c r="BL2721" s="56"/>
      <c r="BM2721" s="56"/>
      <c r="BN2721" s="56"/>
      <c r="BO2721" s="56"/>
      <c r="BP2721" s="56"/>
      <c r="BQ2721" s="56"/>
      <c r="BR2721" s="56"/>
      <c r="BS2721" s="56"/>
      <c r="BT2721" s="56"/>
      <c r="BU2721" s="56"/>
      <c r="BV2721" s="56"/>
      <c r="BW2721" s="56"/>
      <c r="BX2721" s="56"/>
      <c r="BY2721" s="56"/>
      <c r="BZ2721" s="56"/>
      <c r="CA2721" s="56"/>
      <c r="CB2721" s="56"/>
      <c r="CC2721" s="56"/>
      <c r="CD2721" s="56"/>
      <c r="CE2721" s="56"/>
      <c r="CF2721" s="56"/>
      <c r="CG2721" s="56"/>
      <c r="CH2721" s="56"/>
      <c r="CI2721" s="56"/>
      <c r="CJ2721" s="56"/>
      <c r="CK2721" s="56"/>
      <c r="CL2721" s="56"/>
      <c r="CM2721" s="56"/>
      <c r="CN2721" s="56"/>
      <c r="CO2721" s="56"/>
      <c r="CP2721" s="56"/>
      <c r="CQ2721" s="56"/>
      <c r="CR2721" s="56"/>
      <c r="CS2721" s="56"/>
      <c r="CT2721" s="56"/>
      <c r="CU2721" s="56"/>
      <c r="CV2721" s="56"/>
      <c r="CW2721" s="56"/>
      <c r="CX2721" s="56"/>
      <c r="CY2721" s="56"/>
      <c r="CZ2721" s="56"/>
    </row>
    <row r="2722" spans="27:104" s="5" customFormat="1" x14ac:dyDescent="0.25">
      <c r="AA2722" s="56"/>
      <c r="AB2722" s="56"/>
      <c r="AC2722" s="56"/>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c r="AX2722" s="56"/>
      <c r="AY2722" s="56"/>
      <c r="AZ2722" s="56"/>
      <c r="BA2722" s="56"/>
      <c r="BB2722" s="16"/>
      <c r="BC2722" s="56"/>
      <c r="BD2722" s="56"/>
      <c r="BE2722" s="56"/>
      <c r="BF2722" s="56"/>
      <c r="BG2722" s="56"/>
      <c r="BH2722" s="56"/>
      <c r="BI2722" s="56"/>
      <c r="BJ2722" s="56"/>
      <c r="BK2722" s="56"/>
      <c r="BL2722" s="56"/>
      <c r="BM2722" s="56"/>
      <c r="BN2722" s="56"/>
      <c r="BO2722" s="56"/>
      <c r="BP2722" s="56"/>
      <c r="BQ2722" s="56"/>
      <c r="BR2722" s="56"/>
      <c r="BS2722" s="56"/>
      <c r="BT2722" s="56"/>
      <c r="BU2722" s="56"/>
      <c r="BV2722" s="56"/>
      <c r="BW2722" s="56"/>
      <c r="BX2722" s="56"/>
      <c r="BY2722" s="56"/>
      <c r="BZ2722" s="56"/>
      <c r="CA2722" s="56"/>
      <c r="CB2722" s="56"/>
      <c r="CC2722" s="56"/>
      <c r="CD2722" s="56"/>
      <c r="CE2722" s="56"/>
      <c r="CF2722" s="56"/>
      <c r="CG2722" s="56"/>
      <c r="CH2722" s="56"/>
      <c r="CI2722" s="56"/>
      <c r="CJ2722" s="56"/>
      <c r="CK2722" s="56"/>
      <c r="CL2722" s="56"/>
      <c r="CM2722" s="56"/>
      <c r="CN2722" s="56"/>
      <c r="CO2722" s="56"/>
      <c r="CP2722" s="56"/>
      <c r="CQ2722" s="56"/>
      <c r="CR2722" s="56"/>
      <c r="CS2722" s="56"/>
      <c r="CT2722" s="56"/>
      <c r="CU2722" s="56"/>
      <c r="CV2722" s="56"/>
      <c r="CW2722" s="56"/>
      <c r="CX2722" s="56"/>
      <c r="CY2722" s="56"/>
      <c r="CZ2722" s="56"/>
    </row>
    <row r="2723" spans="27:104" s="5" customFormat="1" x14ac:dyDescent="0.25">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c r="AX2723" s="56"/>
      <c r="AY2723" s="56"/>
      <c r="AZ2723" s="56"/>
      <c r="BA2723" s="56"/>
      <c r="BB2723" s="16"/>
      <c r="BC2723" s="56"/>
      <c r="BD2723" s="56"/>
      <c r="BE2723" s="56"/>
      <c r="BF2723" s="56"/>
      <c r="BG2723" s="56"/>
      <c r="BH2723" s="56"/>
      <c r="BI2723" s="56"/>
      <c r="BJ2723" s="56"/>
      <c r="BK2723" s="56"/>
      <c r="BL2723" s="56"/>
      <c r="BM2723" s="56"/>
      <c r="BN2723" s="56"/>
      <c r="BO2723" s="56"/>
      <c r="BP2723" s="56"/>
      <c r="BQ2723" s="56"/>
      <c r="BR2723" s="56"/>
      <c r="BS2723" s="56"/>
      <c r="BT2723" s="56"/>
      <c r="BU2723" s="56"/>
      <c r="BV2723" s="56"/>
      <c r="BW2723" s="56"/>
      <c r="BX2723" s="56"/>
      <c r="BY2723" s="56"/>
      <c r="BZ2723" s="56"/>
      <c r="CA2723" s="56"/>
      <c r="CB2723" s="56"/>
      <c r="CC2723" s="56"/>
      <c r="CD2723" s="56"/>
      <c r="CE2723" s="56"/>
      <c r="CF2723" s="56"/>
      <c r="CG2723" s="56"/>
      <c r="CH2723" s="56"/>
      <c r="CI2723" s="56"/>
      <c r="CJ2723" s="56"/>
      <c r="CK2723" s="56"/>
      <c r="CL2723" s="56"/>
      <c r="CM2723" s="56"/>
      <c r="CN2723" s="56"/>
      <c r="CO2723" s="56"/>
      <c r="CP2723" s="56"/>
      <c r="CQ2723" s="56"/>
      <c r="CR2723" s="56"/>
      <c r="CS2723" s="56"/>
      <c r="CT2723" s="56"/>
      <c r="CU2723" s="56"/>
      <c r="CV2723" s="56"/>
      <c r="CW2723" s="56"/>
      <c r="CX2723" s="56"/>
      <c r="CY2723" s="56"/>
      <c r="CZ2723" s="56"/>
    </row>
    <row r="2724" spans="27:104" s="5" customFormat="1" x14ac:dyDescent="0.25">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c r="AX2724" s="56"/>
      <c r="AY2724" s="56"/>
      <c r="AZ2724" s="56"/>
      <c r="BA2724" s="56"/>
      <c r="BB2724" s="16"/>
      <c r="BC2724" s="56"/>
      <c r="BD2724" s="56"/>
      <c r="BE2724" s="56"/>
      <c r="BF2724" s="56"/>
      <c r="BG2724" s="56"/>
      <c r="BH2724" s="56"/>
      <c r="BI2724" s="56"/>
      <c r="BJ2724" s="56"/>
      <c r="BK2724" s="56"/>
      <c r="BL2724" s="56"/>
      <c r="BM2724" s="56"/>
      <c r="BN2724" s="56"/>
      <c r="BO2724" s="56"/>
      <c r="BP2724" s="56"/>
      <c r="BQ2724" s="56"/>
      <c r="BR2724" s="56"/>
      <c r="BS2724" s="56"/>
      <c r="BT2724" s="56"/>
      <c r="BU2724" s="56"/>
      <c r="BV2724" s="56"/>
      <c r="BW2724" s="56"/>
      <c r="BX2724" s="56"/>
      <c r="BY2724" s="56"/>
      <c r="BZ2724" s="56"/>
      <c r="CA2724" s="56"/>
      <c r="CB2724" s="56"/>
      <c r="CC2724" s="56"/>
      <c r="CD2724" s="56"/>
      <c r="CE2724" s="56"/>
      <c r="CF2724" s="56"/>
      <c r="CG2724" s="56"/>
      <c r="CH2724" s="56"/>
      <c r="CI2724" s="56"/>
      <c r="CJ2724" s="56"/>
      <c r="CK2724" s="56"/>
      <c r="CL2724" s="56"/>
      <c r="CM2724" s="56"/>
      <c r="CN2724" s="56"/>
      <c r="CO2724" s="56"/>
      <c r="CP2724" s="56"/>
      <c r="CQ2724" s="56"/>
      <c r="CR2724" s="56"/>
      <c r="CS2724" s="56"/>
      <c r="CT2724" s="56"/>
      <c r="CU2724" s="56"/>
      <c r="CV2724" s="56"/>
      <c r="CW2724" s="56"/>
      <c r="CX2724" s="56"/>
      <c r="CY2724" s="56"/>
      <c r="CZ2724" s="56"/>
    </row>
    <row r="2725" spans="27:104" s="5" customFormat="1" x14ac:dyDescent="0.25">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c r="AX2725" s="56"/>
      <c r="AY2725" s="56"/>
      <c r="AZ2725" s="56"/>
      <c r="BA2725" s="56"/>
      <c r="BB2725" s="16"/>
      <c r="BC2725" s="56"/>
      <c r="BD2725" s="56"/>
      <c r="BE2725" s="56"/>
      <c r="BF2725" s="56"/>
      <c r="BG2725" s="56"/>
      <c r="BH2725" s="56"/>
      <c r="BI2725" s="56"/>
      <c r="BJ2725" s="56"/>
      <c r="BK2725" s="56"/>
      <c r="BL2725" s="56"/>
      <c r="BM2725" s="56"/>
      <c r="BN2725" s="56"/>
      <c r="BO2725" s="56"/>
      <c r="BP2725" s="56"/>
      <c r="BQ2725" s="56"/>
      <c r="BR2725" s="56"/>
      <c r="BS2725" s="56"/>
      <c r="BT2725" s="56"/>
      <c r="BU2725" s="56"/>
      <c r="BV2725" s="56"/>
      <c r="BW2725" s="56"/>
      <c r="BX2725" s="56"/>
      <c r="BY2725" s="56"/>
      <c r="BZ2725" s="56"/>
      <c r="CA2725" s="56"/>
      <c r="CB2725" s="56"/>
      <c r="CC2725" s="56"/>
      <c r="CD2725" s="56"/>
      <c r="CE2725" s="56"/>
      <c r="CF2725" s="56"/>
      <c r="CG2725" s="56"/>
      <c r="CH2725" s="56"/>
      <c r="CI2725" s="56"/>
      <c r="CJ2725" s="56"/>
      <c r="CK2725" s="56"/>
      <c r="CL2725" s="56"/>
      <c r="CM2725" s="56"/>
      <c r="CN2725" s="56"/>
      <c r="CO2725" s="56"/>
      <c r="CP2725" s="56"/>
      <c r="CQ2725" s="56"/>
      <c r="CR2725" s="56"/>
      <c r="CS2725" s="56"/>
      <c r="CT2725" s="56"/>
      <c r="CU2725" s="56"/>
      <c r="CV2725" s="56"/>
      <c r="CW2725" s="56"/>
      <c r="CX2725" s="56"/>
      <c r="CY2725" s="56"/>
      <c r="CZ2725" s="56"/>
    </row>
    <row r="2726" spans="27:104" s="5" customFormat="1" x14ac:dyDescent="0.25">
      <c r="AA2726" s="56"/>
      <c r="AB2726" s="56"/>
      <c r="AC2726" s="56"/>
      <c r="AD2726" s="56"/>
      <c r="AE2726" s="56"/>
      <c r="AF2726" s="56"/>
      <c r="AG2726" s="56"/>
      <c r="AH2726" s="56"/>
      <c r="AI2726" s="56"/>
      <c r="AJ2726" s="56"/>
      <c r="AK2726" s="56"/>
      <c r="AL2726" s="56"/>
      <c r="AM2726" s="56"/>
      <c r="AN2726" s="56"/>
      <c r="AO2726" s="56"/>
      <c r="AP2726" s="56"/>
      <c r="AQ2726" s="56"/>
      <c r="AR2726" s="56"/>
      <c r="AS2726" s="56"/>
      <c r="AT2726" s="56"/>
      <c r="AU2726" s="56"/>
      <c r="AV2726" s="56"/>
      <c r="AW2726" s="56"/>
      <c r="AX2726" s="56"/>
      <c r="AY2726" s="56"/>
      <c r="AZ2726" s="56"/>
      <c r="BA2726" s="56"/>
      <c r="BB2726" s="16"/>
      <c r="BC2726" s="56"/>
      <c r="BD2726" s="56"/>
      <c r="BE2726" s="56"/>
      <c r="BF2726" s="56"/>
      <c r="BG2726" s="56"/>
      <c r="BH2726" s="56"/>
      <c r="BI2726" s="56"/>
      <c r="BJ2726" s="56"/>
      <c r="BK2726" s="56"/>
      <c r="BL2726" s="56"/>
      <c r="BM2726" s="56"/>
      <c r="BN2726" s="56"/>
      <c r="BO2726" s="56"/>
      <c r="BP2726" s="56"/>
      <c r="BQ2726" s="56"/>
      <c r="BR2726" s="56"/>
      <c r="BS2726" s="56"/>
      <c r="BT2726" s="56"/>
      <c r="BU2726" s="56"/>
      <c r="BV2726" s="56"/>
      <c r="BW2726" s="56"/>
      <c r="BX2726" s="56"/>
      <c r="BY2726" s="56"/>
      <c r="BZ2726" s="56"/>
      <c r="CA2726" s="56"/>
      <c r="CB2726" s="56"/>
      <c r="CC2726" s="56"/>
      <c r="CD2726" s="56"/>
      <c r="CE2726" s="56"/>
      <c r="CF2726" s="56"/>
      <c r="CG2726" s="56"/>
      <c r="CH2726" s="56"/>
      <c r="CI2726" s="56"/>
      <c r="CJ2726" s="56"/>
      <c r="CK2726" s="56"/>
      <c r="CL2726" s="56"/>
      <c r="CM2726" s="56"/>
      <c r="CN2726" s="56"/>
      <c r="CO2726" s="56"/>
      <c r="CP2726" s="56"/>
      <c r="CQ2726" s="56"/>
      <c r="CR2726" s="56"/>
      <c r="CS2726" s="56"/>
      <c r="CT2726" s="56"/>
      <c r="CU2726" s="56"/>
      <c r="CV2726" s="56"/>
      <c r="CW2726" s="56"/>
      <c r="CX2726" s="56"/>
      <c r="CY2726" s="56"/>
      <c r="CZ2726" s="56"/>
    </row>
    <row r="2727" spans="27:104" s="5" customFormat="1" x14ac:dyDescent="0.25">
      <c r="AA2727" s="56"/>
      <c r="AB2727" s="56"/>
      <c r="AC2727" s="56"/>
      <c r="AD2727" s="56"/>
      <c r="AE2727" s="56"/>
      <c r="AF2727" s="56"/>
      <c r="AG2727" s="56"/>
      <c r="AH2727" s="56"/>
      <c r="AI2727" s="56"/>
      <c r="AJ2727" s="56"/>
      <c r="AK2727" s="56"/>
      <c r="AL2727" s="56"/>
      <c r="AM2727" s="56"/>
      <c r="AN2727" s="56"/>
      <c r="AO2727" s="56"/>
      <c r="AP2727" s="56"/>
      <c r="AQ2727" s="56"/>
      <c r="AR2727" s="56"/>
      <c r="AS2727" s="56"/>
      <c r="AT2727" s="56"/>
      <c r="AU2727" s="56"/>
      <c r="AV2727" s="56"/>
      <c r="AW2727" s="56"/>
      <c r="AX2727" s="56"/>
      <c r="AY2727" s="56"/>
      <c r="AZ2727" s="56"/>
      <c r="BA2727" s="56"/>
      <c r="BB2727" s="16"/>
      <c r="BC2727" s="56"/>
      <c r="BD2727" s="56"/>
      <c r="BE2727" s="56"/>
      <c r="BF2727" s="56"/>
      <c r="BG2727" s="56"/>
      <c r="BH2727" s="56"/>
      <c r="BI2727" s="56"/>
      <c r="BJ2727" s="56"/>
      <c r="BK2727" s="56"/>
      <c r="BL2727" s="56"/>
      <c r="BM2727" s="56"/>
      <c r="BN2727" s="56"/>
      <c r="BO2727" s="56"/>
      <c r="BP2727" s="56"/>
      <c r="BQ2727" s="56"/>
      <c r="BR2727" s="56"/>
      <c r="BS2727" s="56"/>
      <c r="BT2727" s="56"/>
      <c r="BU2727" s="56"/>
      <c r="BV2727" s="56"/>
      <c r="BW2727" s="56"/>
      <c r="BX2727" s="56"/>
      <c r="BY2727" s="56"/>
      <c r="BZ2727" s="56"/>
      <c r="CA2727" s="56"/>
      <c r="CB2727" s="56"/>
      <c r="CC2727" s="56"/>
      <c r="CD2727" s="56"/>
      <c r="CE2727" s="56"/>
      <c r="CF2727" s="56"/>
      <c r="CG2727" s="56"/>
      <c r="CH2727" s="56"/>
      <c r="CI2727" s="56"/>
      <c r="CJ2727" s="56"/>
      <c r="CK2727" s="56"/>
      <c r="CL2727" s="56"/>
      <c r="CM2727" s="56"/>
      <c r="CN2727" s="56"/>
      <c r="CO2727" s="56"/>
      <c r="CP2727" s="56"/>
      <c r="CQ2727" s="56"/>
      <c r="CR2727" s="56"/>
      <c r="CS2727" s="56"/>
      <c r="CT2727" s="56"/>
      <c r="CU2727" s="56"/>
      <c r="CV2727" s="56"/>
      <c r="CW2727" s="56"/>
      <c r="CX2727" s="56"/>
      <c r="CY2727" s="56"/>
      <c r="CZ2727" s="56"/>
    </row>
    <row r="2728" spans="27:104" s="5" customFormat="1" x14ac:dyDescent="0.25">
      <c r="AA2728" s="56"/>
      <c r="AB2728" s="56"/>
      <c r="AC2728" s="56"/>
      <c r="AD2728" s="56"/>
      <c r="AE2728" s="56"/>
      <c r="AF2728" s="56"/>
      <c r="AG2728" s="56"/>
      <c r="AH2728" s="56"/>
      <c r="AI2728" s="56"/>
      <c r="AJ2728" s="56"/>
      <c r="AK2728" s="56"/>
      <c r="AL2728" s="56"/>
      <c r="AM2728" s="56"/>
      <c r="AN2728" s="56"/>
      <c r="AO2728" s="56"/>
      <c r="AP2728" s="56"/>
      <c r="AQ2728" s="56"/>
      <c r="AR2728" s="56"/>
      <c r="AS2728" s="56"/>
      <c r="AT2728" s="56"/>
      <c r="AU2728" s="56"/>
      <c r="AV2728" s="56"/>
      <c r="AW2728" s="56"/>
      <c r="AX2728" s="56"/>
      <c r="AY2728" s="56"/>
      <c r="AZ2728" s="56"/>
      <c r="BA2728" s="56"/>
      <c r="BB2728" s="16"/>
      <c r="BC2728" s="56"/>
      <c r="BD2728" s="56"/>
      <c r="BE2728" s="56"/>
      <c r="BF2728" s="56"/>
      <c r="BG2728" s="56"/>
      <c r="BH2728" s="56"/>
      <c r="BI2728" s="56"/>
      <c r="BJ2728" s="56"/>
      <c r="BK2728" s="56"/>
      <c r="BL2728" s="56"/>
      <c r="BM2728" s="56"/>
      <c r="BN2728" s="56"/>
      <c r="BO2728" s="56"/>
      <c r="BP2728" s="56"/>
      <c r="BQ2728" s="56"/>
      <c r="BR2728" s="56"/>
      <c r="BS2728" s="56"/>
      <c r="BT2728" s="56"/>
      <c r="BU2728" s="56"/>
      <c r="BV2728" s="56"/>
      <c r="BW2728" s="56"/>
      <c r="BX2728" s="56"/>
      <c r="BY2728" s="56"/>
      <c r="BZ2728" s="56"/>
      <c r="CA2728" s="56"/>
      <c r="CB2728" s="56"/>
      <c r="CC2728" s="56"/>
      <c r="CD2728" s="56"/>
      <c r="CE2728" s="56"/>
      <c r="CF2728" s="56"/>
      <c r="CG2728" s="56"/>
      <c r="CH2728" s="56"/>
      <c r="CI2728" s="56"/>
      <c r="CJ2728" s="56"/>
      <c r="CK2728" s="56"/>
      <c r="CL2728" s="56"/>
      <c r="CM2728" s="56"/>
      <c r="CN2728" s="56"/>
      <c r="CO2728" s="56"/>
      <c r="CP2728" s="56"/>
      <c r="CQ2728" s="56"/>
      <c r="CR2728" s="56"/>
      <c r="CS2728" s="56"/>
      <c r="CT2728" s="56"/>
      <c r="CU2728" s="56"/>
      <c r="CV2728" s="56"/>
      <c r="CW2728" s="56"/>
      <c r="CX2728" s="56"/>
      <c r="CY2728" s="56"/>
      <c r="CZ2728" s="56"/>
    </row>
    <row r="2729" spans="27:104" s="5" customFormat="1" x14ac:dyDescent="0.25">
      <c r="AA2729" s="56"/>
      <c r="AB2729" s="56"/>
      <c r="AC2729" s="56"/>
      <c r="AD2729" s="56"/>
      <c r="AE2729" s="56"/>
      <c r="AF2729" s="56"/>
      <c r="AG2729" s="56"/>
      <c r="AH2729" s="56"/>
      <c r="AI2729" s="56"/>
      <c r="AJ2729" s="56"/>
      <c r="AK2729" s="56"/>
      <c r="AL2729" s="56"/>
      <c r="AM2729" s="56"/>
      <c r="AN2729" s="56"/>
      <c r="AO2729" s="56"/>
      <c r="AP2729" s="56"/>
      <c r="AQ2729" s="56"/>
      <c r="AR2729" s="56"/>
      <c r="AS2729" s="56"/>
      <c r="AT2729" s="56"/>
      <c r="AU2729" s="56"/>
      <c r="AV2729" s="56"/>
      <c r="AW2729" s="56"/>
      <c r="AX2729" s="56"/>
      <c r="AY2729" s="56"/>
      <c r="AZ2729" s="56"/>
      <c r="BA2729" s="56"/>
      <c r="BB2729" s="16"/>
      <c r="BC2729" s="56"/>
      <c r="BD2729" s="56"/>
      <c r="BE2729" s="56"/>
      <c r="BF2729" s="56"/>
      <c r="BG2729" s="56"/>
      <c r="BH2729" s="56"/>
      <c r="BI2729" s="56"/>
      <c r="BJ2729" s="56"/>
      <c r="BK2729" s="56"/>
      <c r="BL2729" s="56"/>
      <c r="BM2729" s="56"/>
      <c r="BN2729" s="56"/>
      <c r="BO2729" s="56"/>
      <c r="BP2729" s="56"/>
      <c r="BQ2729" s="56"/>
      <c r="BR2729" s="56"/>
      <c r="BS2729" s="56"/>
      <c r="BT2729" s="56"/>
      <c r="BU2729" s="56"/>
      <c r="BV2729" s="56"/>
      <c r="BW2729" s="56"/>
      <c r="BX2729" s="56"/>
      <c r="BY2729" s="56"/>
      <c r="BZ2729" s="56"/>
      <c r="CA2729" s="56"/>
      <c r="CB2729" s="56"/>
      <c r="CC2729" s="56"/>
      <c r="CD2729" s="56"/>
      <c r="CE2729" s="56"/>
      <c r="CF2729" s="56"/>
      <c r="CG2729" s="56"/>
      <c r="CH2729" s="56"/>
      <c r="CI2729" s="56"/>
      <c r="CJ2729" s="56"/>
      <c r="CK2729" s="56"/>
      <c r="CL2729" s="56"/>
      <c r="CM2729" s="56"/>
      <c r="CN2729" s="56"/>
      <c r="CO2729" s="56"/>
      <c r="CP2729" s="56"/>
      <c r="CQ2729" s="56"/>
      <c r="CR2729" s="56"/>
      <c r="CS2729" s="56"/>
      <c r="CT2729" s="56"/>
      <c r="CU2729" s="56"/>
      <c r="CV2729" s="56"/>
      <c r="CW2729" s="56"/>
      <c r="CX2729" s="56"/>
      <c r="CY2729" s="56"/>
      <c r="CZ2729" s="56"/>
    </row>
    <row r="2730" spans="27:104" s="5" customFormat="1" x14ac:dyDescent="0.25">
      <c r="AA2730" s="56"/>
      <c r="AB2730" s="56"/>
      <c r="AC2730" s="56"/>
      <c r="AD2730" s="56"/>
      <c r="AE2730" s="56"/>
      <c r="AF2730" s="56"/>
      <c r="AG2730" s="56"/>
      <c r="AH2730" s="56"/>
      <c r="AI2730" s="56"/>
      <c r="AJ2730" s="56"/>
      <c r="AK2730" s="56"/>
      <c r="AL2730" s="56"/>
      <c r="AM2730" s="56"/>
      <c r="AN2730" s="56"/>
      <c r="AO2730" s="56"/>
      <c r="AP2730" s="56"/>
      <c r="AQ2730" s="56"/>
      <c r="AR2730" s="56"/>
      <c r="AS2730" s="56"/>
      <c r="AT2730" s="56"/>
      <c r="AU2730" s="56"/>
      <c r="AV2730" s="56"/>
      <c r="AW2730" s="56"/>
      <c r="AX2730" s="56"/>
      <c r="AY2730" s="56"/>
      <c r="AZ2730" s="56"/>
      <c r="BA2730" s="56"/>
      <c r="BB2730" s="16"/>
      <c r="BC2730" s="56"/>
      <c r="BD2730" s="56"/>
      <c r="BE2730" s="56"/>
      <c r="BF2730" s="56"/>
      <c r="BG2730" s="56"/>
      <c r="BH2730" s="56"/>
      <c r="BI2730" s="56"/>
      <c r="BJ2730" s="56"/>
      <c r="BK2730" s="56"/>
      <c r="BL2730" s="56"/>
      <c r="BM2730" s="56"/>
      <c r="BN2730" s="56"/>
      <c r="BO2730" s="56"/>
      <c r="BP2730" s="56"/>
      <c r="BQ2730" s="56"/>
      <c r="BR2730" s="56"/>
      <c r="BS2730" s="56"/>
      <c r="BT2730" s="56"/>
      <c r="BU2730" s="56"/>
      <c r="BV2730" s="56"/>
      <c r="BW2730" s="56"/>
      <c r="BX2730" s="56"/>
      <c r="BY2730" s="56"/>
      <c r="BZ2730" s="56"/>
      <c r="CA2730" s="56"/>
      <c r="CB2730" s="56"/>
      <c r="CC2730" s="56"/>
      <c r="CD2730" s="56"/>
      <c r="CE2730" s="56"/>
      <c r="CF2730" s="56"/>
      <c r="CG2730" s="56"/>
      <c r="CH2730" s="56"/>
      <c r="CI2730" s="56"/>
      <c r="CJ2730" s="56"/>
      <c r="CK2730" s="56"/>
      <c r="CL2730" s="56"/>
      <c r="CM2730" s="56"/>
      <c r="CN2730" s="56"/>
      <c r="CO2730" s="56"/>
      <c r="CP2730" s="56"/>
      <c r="CQ2730" s="56"/>
      <c r="CR2730" s="56"/>
      <c r="CS2730" s="56"/>
      <c r="CT2730" s="56"/>
      <c r="CU2730" s="56"/>
      <c r="CV2730" s="56"/>
      <c r="CW2730" s="56"/>
      <c r="CX2730" s="56"/>
      <c r="CY2730" s="56"/>
      <c r="CZ2730" s="56"/>
    </row>
    <row r="2731" spans="27:104" s="5" customFormat="1" x14ac:dyDescent="0.25">
      <c r="AA2731" s="56"/>
      <c r="AB2731" s="56"/>
      <c r="AC2731" s="56"/>
      <c r="AD2731" s="56"/>
      <c r="AE2731" s="56"/>
      <c r="AF2731" s="56"/>
      <c r="AG2731" s="56"/>
      <c r="AH2731" s="56"/>
      <c r="AI2731" s="56"/>
      <c r="AJ2731" s="56"/>
      <c r="AK2731" s="56"/>
      <c r="AL2731" s="56"/>
      <c r="AM2731" s="56"/>
      <c r="AN2731" s="56"/>
      <c r="AO2731" s="56"/>
      <c r="AP2731" s="56"/>
      <c r="AQ2731" s="56"/>
      <c r="AR2731" s="56"/>
      <c r="AS2731" s="56"/>
      <c r="AT2731" s="56"/>
      <c r="AU2731" s="56"/>
      <c r="AV2731" s="56"/>
      <c r="AW2731" s="56"/>
      <c r="AX2731" s="56"/>
      <c r="AY2731" s="56"/>
      <c r="AZ2731" s="56"/>
      <c r="BA2731" s="56"/>
      <c r="BB2731" s="16"/>
      <c r="BC2731" s="56"/>
      <c r="BD2731" s="56"/>
      <c r="BE2731" s="56"/>
      <c r="BF2731" s="56"/>
      <c r="BG2731" s="56"/>
      <c r="BH2731" s="56"/>
      <c r="BI2731" s="56"/>
      <c r="BJ2731" s="56"/>
      <c r="BK2731" s="56"/>
      <c r="BL2731" s="56"/>
      <c r="BM2731" s="56"/>
      <c r="BN2731" s="56"/>
      <c r="BO2731" s="56"/>
      <c r="BP2731" s="56"/>
      <c r="BQ2731" s="56"/>
      <c r="BR2731" s="56"/>
      <c r="BS2731" s="56"/>
      <c r="BT2731" s="56"/>
      <c r="BU2731" s="56"/>
      <c r="BV2731" s="56"/>
      <c r="BW2731" s="56"/>
      <c r="BX2731" s="56"/>
      <c r="BY2731" s="56"/>
      <c r="BZ2731" s="56"/>
      <c r="CA2731" s="56"/>
      <c r="CB2731" s="56"/>
      <c r="CC2731" s="56"/>
      <c r="CD2731" s="56"/>
      <c r="CE2731" s="56"/>
      <c r="CF2731" s="56"/>
      <c r="CG2731" s="56"/>
      <c r="CH2731" s="56"/>
      <c r="CI2731" s="56"/>
      <c r="CJ2731" s="56"/>
      <c r="CK2731" s="56"/>
      <c r="CL2731" s="56"/>
      <c r="CM2731" s="56"/>
      <c r="CN2731" s="56"/>
      <c r="CO2731" s="56"/>
      <c r="CP2731" s="56"/>
      <c r="CQ2731" s="56"/>
      <c r="CR2731" s="56"/>
      <c r="CS2731" s="56"/>
      <c r="CT2731" s="56"/>
      <c r="CU2731" s="56"/>
      <c r="CV2731" s="56"/>
      <c r="CW2731" s="56"/>
      <c r="CX2731" s="56"/>
      <c r="CY2731" s="56"/>
      <c r="CZ2731" s="56"/>
    </row>
    <row r="2732" spans="27:104" s="5" customFormat="1" x14ac:dyDescent="0.25">
      <c r="AA2732" s="56"/>
      <c r="AB2732" s="56"/>
      <c r="AC2732" s="56"/>
      <c r="AD2732" s="56"/>
      <c r="AE2732" s="56"/>
      <c r="AF2732" s="56"/>
      <c r="AG2732" s="56"/>
      <c r="AH2732" s="56"/>
      <c r="AI2732" s="56"/>
      <c r="AJ2732" s="56"/>
      <c r="AK2732" s="56"/>
      <c r="AL2732" s="56"/>
      <c r="AM2732" s="56"/>
      <c r="AN2732" s="56"/>
      <c r="AO2732" s="56"/>
      <c r="AP2732" s="56"/>
      <c r="AQ2732" s="56"/>
      <c r="AR2732" s="56"/>
      <c r="AS2732" s="56"/>
      <c r="AT2732" s="56"/>
      <c r="AU2732" s="56"/>
      <c r="AV2732" s="56"/>
      <c r="AW2732" s="56"/>
      <c r="AX2732" s="56"/>
      <c r="AY2732" s="56"/>
      <c r="AZ2732" s="56"/>
      <c r="BA2732" s="56"/>
      <c r="BB2732" s="16"/>
      <c r="BC2732" s="56"/>
      <c r="BD2732" s="56"/>
      <c r="BE2732" s="56"/>
      <c r="BF2732" s="56"/>
      <c r="BG2732" s="56"/>
      <c r="BH2732" s="56"/>
      <c r="BI2732" s="56"/>
      <c r="BJ2732" s="56"/>
      <c r="BK2732" s="56"/>
      <c r="BL2732" s="56"/>
      <c r="BM2732" s="56"/>
      <c r="BN2732" s="56"/>
      <c r="BO2732" s="56"/>
      <c r="BP2732" s="56"/>
      <c r="BQ2732" s="56"/>
      <c r="BR2732" s="56"/>
      <c r="BS2732" s="56"/>
      <c r="BT2732" s="56"/>
      <c r="BU2732" s="56"/>
      <c r="BV2732" s="56"/>
      <c r="BW2732" s="56"/>
      <c r="BX2732" s="56"/>
      <c r="BY2732" s="56"/>
      <c r="BZ2732" s="56"/>
      <c r="CA2732" s="56"/>
      <c r="CB2732" s="56"/>
      <c r="CC2732" s="56"/>
      <c r="CD2732" s="56"/>
      <c r="CE2732" s="56"/>
      <c r="CF2732" s="56"/>
      <c r="CG2732" s="56"/>
      <c r="CH2732" s="56"/>
      <c r="CI2732" s="56"/>
      <c r="CJ2732" s="56"/>
      <c r="CK2732" s="56"/>
      <c r="CL2732" s="56"/>
      <c r="CM2732" s="56"/>
      <c r="CN2732" s="56"/>
      <c r="CO2732" s="56"/>
      <c r="CP2732" s="56"/>
      <c r="CQ2732" s="56"/>
      <c r="CR2732" s="56"/>
      <c r="CS2732" s="56"/>
      <c r="CT2732" s="56"/>
      <c r="CU2732" s="56"/>
      <c r="CV2732" s="56"/>
      <c r="CW2732" s="56"/>
      <c r="CX2732" s="56"/>
      <c r="CY2732" s="56"/>
      <c r="CZ2732" s="56"/>
    </row>
    <row r="2733" spans="27:104" s="5" customFormat="1" x14ac:dyDescent="0.25">
      <c r="AA2733" s="56"/>
      <c r="AB2733" s="56"/>
      <c r="AC2733" s="56"/>
      <c r="AD2733" s="56"/>
      <c r="AE2733" s="56"/>
      <c r="AF2733" s="56"/>
      <c r="AG2733" s="56"/>
      <c r="AH2733" s="56"/>
      <c r="AI2733" s="56"/>
      <c r="AJ2733" s="56"/>
      <c r="AK2733" s="56"/>
      <c r="AL2733" s="56"/>
      <c r="AM2733" s="56"/>
      <c r="AN2733" s="56"/>
      <c r="AO2733" s="56"/>
      <c r="AP2733" s="56"/>
      <c r="AQ2733" s="56"/>
      <c r="AR2733" s="56"/>
      <c r="AS2733" s="56"/>
      <c r="AT2733" s="56"/>
      <c r="AU2733" s="56"/>
      <c r="AV2733" s="56"/>
      <c r="AW2733" s="56"/>
      <c r="AX2733" s="56"/>
      <c r="AY2733" s="56"/>
      <c r="AZ2733" s="56"/>
      <c r="BA2733" s="56"/>
      <c r="BB2733" s="16"/>
      <c r="BC2733" s="56"/>
      <c r="BD2733" s="56"/>
      <c r="BE2733" s="56"/>
      <c r="BF2733" s="56"/>
      <c r="BG2733" s="56"/>
      <c r="BH2733" s="56"/>
      <c r="BI2733" s="56"/>
      <c r="BJ2733" s="56"/>
      <c r="BK2733" s="56"/>
      <c r="BL2733" s="56"/>
      <c r="BM2733" s="56"/>
      <c r="BN2733" s="56"/>
      <c r="BO2733" s="56"/>
      <c r="BP2733" s="56"/>
      <c r="BQ2733" s="56"/>
      <c r="BR2733" s="56"/>
      <c r="BS2733" s="56"/>
      <c r="BT2733" s="56"/>
      <c r="BU2733" s="56"/>
      <c r="BV2733" s="56"/>
      <c r="BW2733" s="56"/>
      <c r="BX2733" s="56"/>
      <c r="BY2733" s="56"/>
      <c r="BZ2733" s="56"/>
      <c r="CA2733" s="56"/>
      <c r="CB2733" s="56"/>
      <c r="CC2733" s="56"/>
      <c r="CD2733" s="56"/>
      <c r="CE2733" s="56"/>
      <c r="CF2733" s="56"/>
      <c r="CG2733" s="56"/>
      <c r="CH2733" s="56"/>
      <c r="CI2733" s="56"/>
      <c r="CJ2733" s="56"/>
      <c r="CK2733" s="56"/>
      <c r="CL2733" s="56"/>
      <c r="CM2733" s="56"/>
      <c r="CN2733" s="56"/>
      <c r="CO2733" s="56"/>
      <c r="CP2733" s="56"/>
      <c r="CQ2733" s="56"/>
      <c r="CR2733" s="56"/>
      <c r="CS2733" s="56"/>
      <c r="CT2733" s="56"/>
      <c r="CU2733" s="56"/>
      <c r="CV2733" s="56"/>
      <c r="CW2733" s="56"/>
      <c r="CX2733" s="56"/>
      <c r="CY2733" s="56"/>
      <c r="CZ2733" s="56"/>
    </row>
    <row r="2734" spans="27:104" s="5" customFormat="1" x14ac:dyDescent="0.25">
      <c r="AA2734" s="56"/>
      <c r="AB2734" s="56"/>
      <c r="AC2734" s="56"/>
      <c r="AD2734" s="56"/>
      <c r="AE2734" s="56"/>
      <c r="AF2734" s="56"/>
      <c r="AG2734" s="56"/>
      <c r="AH2734" s="56"/>
      <c r="AI2734" s="56"/>
      <c r="AJ2734" s="56"/>
      <c r="AK2734" s="56"/>
      <c r="AL2734" s="56"/>
      <c r="AM2734" s="56"/>
      <c r="AN2734" s="56"/>
      <c r="AO2734" s="56"/>
      <c r="AP2734" s="56"/>
      <c r="AQ2734" s="56"/>
      <c r="AR2734" s="56"/>
      <c r="AS2734" s="56"/>
      <c r="AT2734" s="56"/>
      <c r="AU2734" s="56"/>
      <c r="AV2734" s="56"/>
      <c r="AW2734" s="56"/>
      <c r="AX2734" s="56"/>
      <c r="AY2734" s="56"/>
      <c r="AZ2734" s="56"/>
      <c r="BA2734" s="56"/>
      <c r="BB2734" s="16"/>
      <c r="BC2734" s="56"/>
      <c r="BD2734" s="56"/>
      <c r="BE2734" s="56"/>
      <c r="BF2734" s="56"/>
      <c r="BG2734" s="56"/>
      <c r="BH2734" s="56"/>
      <c r="BI2734" s="56"/>
      <c r="BJ2734" s="56"/>
      <c r="BK2734" s="56"/>
      <c r="BL2734" s="56"/>
      <c r="BM2734" s="56"/>
      <c r="BN2734" s="56"/>
      <c r="BO2734" s="56"/>
      <c r="BP2734" s="56"/>
      <c r="BQ2734" s="56"/>
      <c r="BR2734" s="56"/>
      <c r="BS2734" s="56"/>
      <c r="BT2734" s="56"/>
      <c r="BU2734" s="56"/>
      <c r="BV2734" s="56"/>
      <c r="BW2734" s="56"/>
      <c r="BX2734" s="56"/>
      <c r="BY2734" s="56"/>
      <c r="BZ2734" s="56"/>
      <c r="CA2734" s="56"/>
      <c r="CB2734" s="56"/>
      <c r="CC2734" s="56"/>
      <c r="CD2734" s="56"/>
      <c r="CE2734" s="56"/>
      <c r="CF2734" s="56"/>
      <c r="CG2734" s="56"/>
      <c r="CH2734" s="56"/>
      <c r="CI2734" s="56"/>
      <c r="CJ2734" s="56"/>
      <c r="CK2734" s="56"/>
      <c r="CL2734" s="56"/>
      <c r="CM2734" s="56"/>
      <c r="CN2734" s="56"/>
      <c r="CO2734" s="56"/>
      <c r="CP2734" s="56"/>
      <c r="CQ2734" s="56"/>
      <c r="CR2734" s="56"/>
      <c r="CS2734" s="56"/>
      <c r="CT2734" s="56"/>
      <c r="CU2734" s="56"/>
      <c r="CV2734" s="56"/>
      <c r="CW2734" s="56"/>
      <c r="CX2734" s="56"/>
      <c r="CY2734" s="56"/>
      <c r="CZ2734" s="56"/>
    </row>
    <row r="2735" spans="27:104" s="5" customFormat="1" x14ac:dyDescent="0.25">
      <c r="AA2735" s="56"/>
      <c r="AB2735" s="56"/>
      <c r="AC2735" s="56"/>
      <c r="AD2735" s="56"/>
      <c r="AE2735" s="56"/>
      <c r="AF2735" s="56"/>
      <c r="AG2735" s="56"/>
      <c r="AH2735" s="56"/>
      <c r="AI2735" s="56"/>
      <c r="AJ2735" s="56"/>
      <c r="AK2735" s="56"/>
      <c r="AL2735" s="56"/>
      <c r="AM2735" s="56"/>
      <c r="AN2735" s="56"/>
      <c r="AO2735" s="56"/>
      <c r="AP2735" s="56"/>
      <c r="AQ2735" s="56"/>
      <c r="AR2735" s="56"/>
      <c r="AS2735" s="56"/>
      <c r="AT2735" s="56"/>
      <c r="AU2735" s="56"/>
      <c r="AV2735" s="56"/>
      <c r="AW2735" s="56"/>
      <c r="AX2735" s="56"/>
      <c r="AY2735" s="56"/>
      <c r="AZ2735" s="56"/>
      <c r="BA2735" s="56"/>
      <c r="BB2735" s="16"/>
      <c r="BC2735" s="56"/>
      <c r="BD2735" s="56"/>
      <c r="BE2735" s="56"/>
      <c r="BF2735" s="56"/>
      <c r="BG2735" s="56"/>
      <c r="BH2735" s="56"/>
      <c r="BI2735" s="56"/>
      <c r="BJ2735" s="56"/>
      <c r="BK2735" s="56"/>
      <c r="BL2735" s="56"/>
      <c r="BM2735" s="56"/>
      <c r="BN2735" s="56"/>
      <c r="BO2735" s="56"/>
      <c r="BP2735" s="56"/>
      <c r="BQ2735" s="56"/>
      <c r="BR2735" s="56"/>
      <c r="BS2735" s="56"/>
      <c r="BT2735" s="56"/>
      <c r="BU2735" s="56"/>
      <c r="BV2735" s="56"/>
      <c r="BW2735" s="56"/>
      <c r="BX2735" s="56"/>
      <c r="BY2735" s="56"/>
      <c r="BZ2735" s="56"/>
      <c r="CA2735" s="56"/>
      <c r="CB2735" s="56"/>
      <c r="CC2735" s="56"/>
      <c r="CD2735" s="56"/>
      <c r="CE2735" s="56"/>
      <c r="CF2735" s="56"/>
      <c r="CG2735" s="56"/>
      <c r="CH2735" s="56"/>
      <c r="CI2735" s="56"/>
      <c r="CJ2735" s="56"/>
      <c r="CK2735" s="56"/>
      <c r="CL2735" s="56"/>
      <c r="CM2735" s="56"/>
      <c r="CN2735" s="56"/>
      <c r="CO2735" s="56"/>
      <c r="CP2735" s="56"/>
      <c r="CQ2735" s="56"/>
      <c r="CR2735" s="56"/>
      <c r="CS2735" s="56"/>
      <c r="CT2735" s="56"/>
      <c r="CU2735" s="56"/>
      <c r="CV2735" s="56"/>
      <c r="CW2735" s="56"/>
      <c r="CX2735" s="56"/>
      <c r="CY2735" s="56"/>
      <c r="CZ2735" s="56"/>
    </row>
    <row r="2736" spans="27:104" s="5" customFormat="1" x14ac:dyDescent="0.25">
      <c r="AA2736" s="56"/>
      <c r="AB2736" s="56"/>
      <c r="AC2736" s="56"/>
      <c r="AD2736" s="56"/>
      <c r="AE2736" s="56"/>
      <c r="AF2736" s="56"/>
      <c r="AG2736" s="56"/>
      <c r="AH2736" s="56"/>
      <c r="AI2736" s="56"/>
      <c r="AJ2736" s="56"/>
      <c r="AK2736" s="56"/>
      <c r="AL2736" s="56"/>
      <c r="AM2736" s="56"/>
      <c r="AN2736" s="56"/>
      <c r="AO2736" s="56"/>
      <c r="AP2736" s="56"/>
      <c r="AQ2736" s="56"/>
      <c r="AR2736" s="56"/>
      <c r="AS2736" s="56"/>
      <c r="AT2736" s="56"/>
      <c r="AU2736" s="56"/>
      <c r="AV2736" s="56"/>
      <c r="AW2736" s="56"/>
      <c r="AX2736" s="56"/>
      <c r="AY2736" s="56"/>
      <c r="AZ2736" s="56"/>
      <c r="BA2736" s="56"/>
      <c r="BB2736" s="16"/>
      <c r="BC2736" s="56"/>
      <c r="BD2736" s="56"/>
      <c r="BE2736" s="56"/>
      <c r="BF2736" s="56"/>
      <c r="BG2736" s="56"/>
      <c r="BH2736" s="56"/>
      <c r="BI2736" s="56"/>
      <c r="BJ2736" s="56"/>
      <c r="BK2736" s="56"/>
      <c r="BL2736" s="56"/>
      <c r="BM2736" s="56"/>
      <c r="BN2736" s="56"/>
      <c r="BO2736" s="56"/>
      <c r="BP2736" s="56"/>
      <c r="BQ2736" s="56"/>
      <c r="BR2736" s="56"/>
      <c r="BS2736" s="56"/>
      <c r="BT2736" s="56"/>
      <c r="BU2736" s="56"/>
      <c r="BV2736" s="56"/>
      <c r="BW2736" s="56"/>
      <c r="BX2736" s="56"/>
      <c r="BY2736" s="56"/>
      <c r="BZ2736" s="56"/>
      <c r="CA2736" s="56"/>
      <c r="CB2736" s="56"/>
      <c r="CC2736" s="56"/>
      <c r="CD2736" s="56"/>
      <c r="CE2736" s="56"/>
      <c r="CF2736" s="56"/>
      <c r="CG2736" s="56"/>
      <c r="CH2736" s="56"/>
      <c r="CI2736" s="56"/>
      <c r="CJ2736" s="56"/>
      <c r="CK2736" s="56"/>
      <c r="CL2736" s="56"/>
      <c r="CM2736" s="56"/>
      <c r="CN2736" s="56"/>
      <c r="CO2736" s="56"/>
      <c r="CP2736" s="56"/>
      <c r="CQ2736" s="56"/>
      <c r="CR2736" s="56"/>
      <c r="CS2736" s="56"/>
      <c r="CT2736" s="56"/>
      <c r="CU2736" s="56"/>
      <c r="CV2736" s="56"/>
      <c r="CW2736" s="56"/>
      <c r="CX2736" s="56"/>
      <c r="CY2736" s="56"/>
      <c r="CZ2736" s="56"/>
    </row>
    <row r="2737" spans="27:104" s="5" customFormat="1" x14ac:dyDescent="0.25">
      <c r="AA2737" s="56"/>
      <c r="AB2737" s="56"/>
      <c r="AC2737" s="56"/>
      <c r="AD2737" s="56"/>
      <c r="AE2737" s="56"/>
      <c r="AF2737" s="56"/>
      <c r="AG2737" s="56"/>
      <c r="AH2737" s="56"/>
      <c r="AI2737" s="56"/>
      <c r="AJ2737" s="56"/>
      <c r="AK2737" s="56"/>
      <c r="AL2737" s="56"/>
      <c r="AM2737" s="56"/>
      <c r="AN2737" s="56"/>
      <c r="AO2737" s="56"/>
      <c r="AP2737" s="56"/>
      <c r="AQ2737" s="56"/>
      <c r="AR2737" s="56"/>
      <c r="AS2737" s="56"/>
      <c r="AT2737" s="56"/>
      <c r="AU2737" s="56"/>
      <c r="AV2737" s="56"/>
      <c r="AW2737" s="56"/>
      <c r="AX2737" s="56"/>
      <c r="AY2737" s="56"/>
      <c r="AZ2737" s="56"/>
      <c r="BA2737" s="56"/>
      <c r="BB2737" s="16"/>
      <c r="BC2737" s="56"/>
      <c r="BD2737" s="56"/>
      <c r="BE2737" s="56"/>
      <c r="BF2737" s="56"/>
      <c r="BG2737" s="56"/>
      <c r="BH2737" s="56"/>
      <c r="BI2737" s="56"/>
      <c r="BJ2737" s="56"/>
      <c r="BK2737" s="56"/>
      <c r="BL2737" s="56"/>
      <c r="BM2737" s="56"/>
      <c r="BN2737" s="56"/>
      <c r="BO2737" s="56"/>
      <c r="BP2737" s="56"/>
      <c r="BQ2737" s="56"/>
      <c r="BR2737" s="56"/>
      <c r="BS2737" s="56"/>
      <c r="BT2737" s="56"/>
      <c r="BU2737" s="56"/>
      <c r="BV2737" s="56"/>
      <c r="BW2737" s="56"/>
      <c r="BX2737" s="56"/>
      <c r="BY2737" s="56"/>
      <c r="BZ2737" s="56"/>
      <c r="CA2737" s="56"/>
      <c r="CB2737" s="56"/>
      <c r="CC2737" s="56"/>
      <c r="CD2737" s="56"/>
      <c r="CE2737" s="56"/>
      <c r="CF2737" s="56"/>
      <c r="CG2737" s="56"/>
      <c r="CH2737" s="56"/>
      <c r="CI2737" s="56"/>
      <c r="CJ2737" s="56"/>
      <c r="CK2737" s="56"/>
      <c r="CL2737" s="56"/>
      <c r="CM2737" s="56"/>
      <c r="CN2737" s="56"/>
      <c r="CO2737" s="56"/>
      <c r="CP2737" s="56"/>
      <c r="CQ2737" s="56"/>
      <c r="CR2737" s="56"/>
      <c r="CS2737" s="56"/>
      <c r="CT2737" s="56"/>
      <c r="CU2737" s="56"/>
      <c r="CV2737" s="56"/>
      <c r="CW2737" s="56"/>
      <c r="CX2737" s="56"/>
      <c r="CY2737" s="56"/>
      <c r="CZ2737" s="56"/>
    </row>
    <row r="2738" spans="27:104" s="5" customFormat="1" x14ac:dyDescent="0.25">
      <c r="AA2738" s="56"/>
      <c r="AB2738" s="56"/>
      <c r="AC2738" s="56"/>
      <c r="AD2738" s="56"/>
      <c r="AE2738" s="56"/>
      <c r="AF2738" s="56"/>
      <c r="AG2738" s="56"/>
      <c r="AH2738" s="56"/>
      <c r="AI2738" s="56"/>
      <c r="AJ2738" s="56"/>
      <c r="AK2738" s="56"/>
      <c r="AL2738" s="56"/>
      <c r="AM2738" s="56"/>
      <c r="AN2738" s="56"/>
      <c r="AO2738" s="56"/>
      <c r="AP2738" s="56"/>
      <c r="AQ2738" s="56"/>
      <c r="AR2738" s="56"/>
      <c r="AS2738" s="56"/>
      <c r="AT2738" s="56"/>
      <c r="AU2738" s="56"/>
      <c r="AV2738" s="56"/>
      <c r="AW2738" s="56"/>
      <c r="AX2738" s="56"/>
      <c r="AY2738" s="56"/>
      <c r="AZ2738" s="56"/>
      <c r="BA2738" s="56"/>
      <c r="BB2738" s="16"/>
      <c r="BC2738" s="56"/>
      <c r="BD2738" s="56"/>
      <c r="BE2738" s="56"/>
      <c r="BF2738" s="56"/>
      <c r="BG2738" s="56"/>
      <c r="BH2738" s="56"/>
      <c r="BI2738" s="56"/>
      <c r="BJ2738" s="56"/>
      <c r="BK2738" s="56"/>
      <c r="BL2738" s="56"/>
      <c r="BM2738" s="56"/>
      <c r="BN2738" s="56"/>
      <c r="BO2738" s="56"/>
      <c r="BP2738" s="56"/>
      <c r="BQ2738" s="56"/>
      <c r="BR2738" s="56"/>
      <c r="BS2738" s="56"/>
      <c r="BT2738" s="56"/>
      <c r="BU2738" s="56"/>
      <c r="BV2738" s="56"/>
      <c r="BW2738" s="56"/>
      <c r="BX2738" s="56"/>
      <c r="BY2738" s="56"/>
      <c r="BZ2738" s="56"/>
      <c r="CA2738" s="56"/>
      <c r="CB2738" s="56"/>
      <c r="CC2738" s="56"/>
      <c r="CD2738" s="56"/>
      <c r="CE2738" s="56"/>
      <c r="CF2738" s="56"/>
      <c r="CG2738" s="56"/>
      <c r="CH2738" s="56"/>
      <c r="CI2738" s="56"/>
      <c r="CJ2738" s="56"/>
      <c r="CK2738" s="56"/>
      <c r="CL2738" s="56"/>
      <c r="CM2738" s="56"/>
      <c r="CN2738" s="56"/>
      <c r="CO2738" s="56"/>
      <c r="CP2738" s="56"/>
      <c r="CQ2738" s="56"/>
      <c r="CR2738" s="56"/>
      <c r="CS2738" s="56"/>
      <c r="CT2738" s="56"/>
      <c r="CU2738" s="56"/>
      <c r="CV2738" s="56"/>
      <c r="CW2738" s="56"/>
      <c r="CX2738" s="56"/>
      <c r="CY2738" s="56"/>
      <c r="CZ2738" s="56"/>
    </row>
    <row r="2739" spans="27:104" s="5" customFormat="1" x14ac:dyDescent="0.25">
      <c r="AA2739" s="56"/>
      <c r="AB2739" s="56"/>
      <c r="AC2739" s="56"/>
      <c r="AD2739" s="56"/>
      <c r="AE2739" s="56"/>
      <c r="AF2739" s="56"/>
      <c r="AG2739" s="56"/>
      <c r="AH2739" s="56"/>
      <c r="AI2739" s="56"/>
      <c r="AJ2739" s="56"/>
      <c r="AK2739" s="56"/>
      <c r="AL2739" s="56"/>
      <c r="AM2739" s="56"/>
      <c r="AN2739" s="56"/>
      <c r="AO2739" s="56"/>
      <c r="AP2739" s="56"/>
      <c r="AQ2739" s="56"/>
      <c r="AR2739" s="56"/>
      <c r="AS2739" s="56"/>
      <c r="AT2739" s="56"/>
      <c r="AU2739" s="56"/>
      <c r="AV2739" s="56"/>
      <c r="AW2739" s="56"/>
      <c r="AX2739" s="56"/>
      <c r="AY2739" s="56"/>
      <c r="AZ2739" s="56"/>
      <c r="BA2739" s="56"/>
      <c r="BB2739" s="16"/>
      <c r="BC2739" s="56"/>
      <c r="BD2739" s="56"/>
      <c r="BE2739" s="56"/>
      <c r="BF2739" s="56"/>
      <c r="BG2739" s="56"/>
      <c r="BH2739" s="56"/>
      <c r="BI2739" s="56"/>
      <c r="BJ2739" s="56"/>
      <c r="BK2739" s="56"/>
      <c r="BL2739" s="56"/>
      <c r="BM2739" s="56"/>
      <c r="BN2739" s="56"/>
      <c r="BO2739" s="56"/>
      <c r="BP2739" s="56"/>
      <c r="BQ2739" s="56"/>
      <c r="BR2739" s="56"/>
      <c r="BS2739" s="56"/>
      <c r="BT2739" s="56"/>
      <c r="BU2739" s="56"/>
      <c r="BV2739" s="56"/>
      <c r="BW2739" s="56"/>
      <c r="BX2739" s="56"/>
      <c r="BY2739" s="56"/>
      <c r="BZ2739" s="56"/>
      <c r="CA2739" s="56"/>
      <c r="CB2739" s="56"/>
      <c r="CC2739" s="56"/>
      <c r="CD2739" s="56"/>
      <c r="CE2739" s="56"/>
      <c r="CF2739" s="56"/>
      <c r="CG2739" s="56"/>
      <c r="CH2739" s="56"/>
      <c r="CI2739" s="56"/>
      <c r="CJ2739" s="56"/>
      <c r="CK2739" s="56"/>
      <c r="CL2739" s="56"/>
      <c r="CM2739" s="56"/>
      <c r="CN2739" s="56"/>
      <c r="CO2739" s="56"/>
      <c r="CP2739" s="56"/>
      <c r="CQ2739" s="56"/>
      <c r="CR2739" s="56"/>
      <c r="CS2739" s="56"/>
      <c r="CT2739" s="56"/>
      <c r="CU2739" s="56"/>
      <c r="CV2739" s="56"/>
      <c r="CW2739" s="56"/>
      <c r="CX2739" s="56"/>
      <c r="CY2739" s="56"/>
      <c r="CZ2739" s="56"/>
    </row>
    <row r="2740" spans="27:104" s="5" customFormat="1" x14ac:dyDescent="0.25">
      <c r="AA2740" s="56"/>
      <c r="AB2740" s="56"/>
      <c r="AC2740" s="56"/>
      <c r="AD2740" s="56"/>
      <c r="AE2740" s="56"/>
      <c r="AF2740" s="56"/>
      <c r="AG2740" s="56"/>
      <c r="AH2740" s="56"/>
      <c r="AI2740" s="56"/>
      <c r="AJ2740" s="56"/>
      <c r="AK2740" s="56"/>
      <c r="AL2740" s="56"/>
      <c r="AM2740" s="56"/>
      <c r="AN2740" s="56"/>
      <c r="AO2740" s="56"/>
      <c r="AP2740" s="56"/>
      <c r="AQ2740" s="56"/>
      <c r="AR2740" s="56"/>
      <c r="AS2740" s="56"/>
      <c r="AT2740" s="56"/>
      <c r="AU2740" s="56"/>
      <c r="AV2740" s="56"/>
      <c r="AW2740" s="56"/>
      <c r="AX2740" s="56"/>
      <c r="AY2740" s="56"/>
      <c r="AZ2740" s="56"/>
      <c r="BA2740" s="56"/>
      <c r="BB2740" s="16"/>
      <c r="BC2740" s="56"/>
      <c r="BD2740" s="56"/>
      <c r="BE2740" s="56"/>
      <c r="BF2740" s="56"/>
      <c r="BG2740" s="56"/>
      <c r="BH2740" s="56"/>
      <c r="BI2740" s="56"/>
      <c r="BJ2740" s="56"/>
      <c r="BK2740" s="56"/>
      <c r="BL2740" s="56"/>
      <c r="BM2740" s="56"/>
      <c r="BN2740" s="56"/>
      <c r="BO2740" s="56"/>
      <c r="BP2740" s="56"/>
      <c r="BQ2740" s="56"/>
      <c r="BR2740" s="56"/>
      <c r="BS2740" s="56"/>
      <c r="BT2740" s="56"/>
      <c r="BU2740" s="56"/>
      <c r="BV2740" s="56"/>
      <c r="BW2740" s="56"/>
      <c r="BX2740" s="56"/>
      <c r="BY2740" s="56"/>
      <c r="BZ2740" s="56"/>
      <c r="CA2740" s="56"/>
      <c r="CB2740" s="56"/>
      <c r="CC2740" s="56"/>
      <c r="CD2740" s="56"/>
      <c r="CE2740" s="56"/>
      <c r="CF2740" s="56"/>
      <c r="CG2740" s="56"/>
      <c r="CH2740" s="56"/>
      <c r="CI2740" s="56"/>
      <c r="CJ2740" s="56"/>
      <c r="CK2740" s="56"/>
      <c r="CL2740" s="56"/>
      <c r="CM2740" s="56"/>
      <c r="CN2740" s="56"/>
      <c r="CO2740" s="56"/>
      <c r="CP2740" s="56"/>
      <c r="CQ2740" s="56"/>
      <c r="CR2740" s="56"/>
      <c r="CS2740" s="56"/>
      <c r="CT2740" s="56"/>
      <c r="CU2740" s="56"/>
      <c r="CV2740" s="56"/>
      <c r="CW2740" s="56"/>
      <c r="CX2740" s="56"/>
      <c r="CY2740" s="56"/>
      <c r="CZ2740" s="56"/>
    </row>
    <row r="2741" spans="27:104" s="5" customFormat="1" x14ac:dyDescent="0.25">
      <c r="AA2741" s="56"/>
      <c r="AB2741" s="56"/>
      <c r="AC2741" s="56"/>
      <c r="AD2741" s="56"/>
      <c r="AE2741" s="56"/>
      <c r="AF2741" s="56"/>
      <c r="AG2741" s="56"/>
      <c r="AH2741" s="56"/>
      <c r="AI2741" s="56"/>
      <c r="AJ2741" s="56"/>
      <c r="AK2741" s="56"/>
      <c r="AL2741" s="56"/>
      <c r="AM2741" s="56"/>
      <c r="AN2741" s="56"/>
      <c r="AO2741" s="56"/>
      <c r="AP2741" s="56"/>
      <c r="AQ2741" s="56"/>
      <c r="AR2741" s="56"/>
      <c r="AS2741" s="56"/>
      <c r="AT2741" s="56"/>
      <c r="AU2741" s="56"/>
      <c r="AV2741" s="56"/>
      <c r="AW2741" s="56"/>
      <c r="AX2741" s="56"/>
      <c r="AY2741" s="56"/>
      <c r="AZ2741" s="56"/>
      <c r="BA2741" s="56"/>
      <c r="BB2741" s="16"/>
      <c r="BC2741" s="56"/>
      <c r="BD2741" s="56"/>
      <c r="BE2741" s="56"/>
      <c r="BF2741" s="56"/>
      <c r="BG2741" s="56"/>
      <c r="BH2741" s="56"/>
      <c r="BI2741" s="56"/>
      <c r="BJ2741" s="56"/>
      <c r="BK2741" s="56"/>
      <c r="BL2741" s="56"/>
      <c r="BM2741" s="56"/>
      <c r="BN2741" s="56"/>
      <c r="BO2741" s="56"/>
      <c r="BP2741" s="56"/>
      <c r="BQ2741" s="56"/>
      <c r="BR2741" s="56"/>
      <c r="BS2741" s="56"/>
      <c r="BT2741" s="56"/>
      <c r="BU2741" s="56"/>
      <c r="BV2741" s="56"/>
      <c r="BW2741" s="56"/>
      <c r="BX2741" s="56"/>
      <c r="BY2741" s="56"/>
      <c r="BZ2741" s="56"/>
      <c r="CA2741" s="56"/>
      <c r="CB2741" s="56"/>
      <c r="CC2741" s="56"/>
      <c r="CD2741" s="56"/>
      <c r="CE2741" s="56"/>
      <c r="CF2741" s="56"/>
      <c r="CG2741" s="56"/>
      <c r="CH2741" s="56"/>
      <c r="CI2741" s="56"/>
      <c r="CJ2741" s="56"/>
      <c r="CK2741" s="56"/>
      <c r="CL2741" s="56"/>
      <c r="CM2741" s="56"/>
      <c r="CN2741" s="56"/>
      <c r="CO2741" s="56"/>
      <c r="CP2741" s="56"/>
      <c r="CQ2741" s="56"/>
      <c r="CR2741" s="56"/>
      <c r="CS2741" s="56"/>
      <c r="CT2741" s="56"/>
      <c r="CU2741" s="56"/>
      <c r="CV2741" s="56"/>
      <c r="CW2741" s="56"/>
      <c r="CX2741" s="56"/>
      <c r="CY2741" s="56"/>
      <c r="CZ2741" s="56"/>
    </row>
    <row r="2742" spans="27:104" s="5" customFormat="1" x14ac:dyDescent="0.25">
      <c r="AA2742" s="56"/>
      <c r="AB2742" s="56"/>
      <c r="AC2742" s="56"/>
      <c r="AD2742" s="56"/>
      <c r="AE2742" s="56"/>
      <c r="AF2742" s="56"/>
      <c r="AG2742" s="56"/>
      <c r="AH2742" s="56"/>
      <c r="AI2742" s="56"/>
      <c r="AJ2742" s="56"/>
      <c r="AK2742" s="56"/>
      <c r="AL2742" s="56"/>
      <c r="AM2742" s="56"/>
      <c r="AN2742" s="56"/>
      <c r="AO2742" s="56"/>
      <c r="AP2742" s="56"/>
      <c r="AQ2742" s="56"/>
      <c r="AR2742" s="56"/>
      <c r="AS2742" s="56"/>
      <c r="AT2742" s="56"/>
      <c r="AU2742" s="56"/>
      <c r="AV2742" s="56"/>
      <c r="AW2742" s="56"/>
      <c r="AX2742" s="56"/>
      <c r="AY2742" s="56"/>
      <c r="AZ2742" s="56"/>
      <c r="BA2742" s="56"/>
      <c r="BB2742" s="16"/>
      <c r="BC2742" s="56"/>
      <c r="BD2742" s="56"/>
      <c r="BE2742" s="56"/>
      <c r="BF2742" s="56"/>
      <c r="BG2742" s="56"/>
      <c r="BH2742" s="56"/>
      <c r="BI2742" s="56"/>
      <c r="BJ2742" s="56"/>
      <c r="BK2742" s="56"/>
      <c r="BL2742" s="56"/>
      <c r="BM2742" s="56"/>
      <c r="BN2742" s="56"/>
      <c r="BO2742" s="56"/>
      <c r="BP2742" s="56"/>
      <c r="BQ2742" s="56"/>
      <c r="BR2742" s="56"/>
      <c r="BS2742" s="56"/>
      <c r="BT2742" s="56"/>
      <c r="BU2742" s="56"/>
      <c r="BV2742" s="56"/>
      <c r="BW2742" s="56"/>
      <c r="BX2742" s="56"/>
      <c r="BY2742" s="56"/>
      <c r="BZ2742" s="56"/>
      <c r="CA2742" s="56"/>
      <c r="CB2742" s="56"/>
      <c r="CC2742" s="56"/>
      <c r="CD2742" s="56"/>
      <c r="CE2742" s="56"/>
      <c r="CF2742" s="56"/>
      <c r="CG2742" s="56"/>
      <c r="CH2742" s="56"/>
      <c r="CI2742" s="56"/>
      <c r="CJ2742" s="56"/>
      <c r="CK2742" s="56"/>
      <c r="CL2742" s="56"/>
      <c r="CM2742" s="56"/>
      <c r="CN2742" s="56"/>
      <c r="CO2742" s="56"/>
      <c r="CP2742" s="56"/>
      <c r="CQ2742" s="56"/>
      <c r="CR2742" s="56"/>
      <c r="CS2742" s="56"/>
      <c r="CT2742" s="56"/>
      <c r="CU2742" s="56"/>
      <c r="CV2742" s="56"/>
      <c r="CW2742" s="56"/>
      <c r="CX2742" s="56"/>
      <c r="CY2742" s="56"/>
      <c r="CZ2742" s="56"/>
    </row>
    <row r="2743" spans="27:104" s="5" customFormat="1" x14ac:dyDescent="0.25">
      <c r="AA2743" s="56"/>
      <c r="AB2743" s="56"/>
      <c r="AC2743" s="56"/>
      <c r="AD2743" s="56"/>
      <c r="AE2743" s="56"/>
      <c r="AF2743" s="56"/>
      <c r="AG2743" s="56"/>
      <c r="AH2743" s="56"/>
      <c r="AI2743" s="56"/>
      <c r="AJ2743" s="56"/>
      <c r="AK2743" s="56"/>
      <c r="AL2743" s="56"/>
      <c r="AM2743" s="56"/>
      <c r="AN2743" s="56"/>
      <c r="AO2743" s="56"/>
      <c r="AP2743" s="56"/>
      <c r="AQ2743" s="56"/>
      <c r="AR2743" s="56"/>
      <c r="AS2743" s="56"/>
      <c r="AT2743" s="56"/>
      <c r="AU2743" s="56"/>
      <c r="AV2743" s="56"/>
      <c r="AW2743" s="56"/>
      <c r="AX2743" s="56"/>
      <c r="AY2743" s="56"/>
      <c r="AZ2743" s="56"/>
      <c r="BA2743" s="56"/>
      <c r="BB2743" s="16"/>
      <c r="BC2743" s="56"/>
      <c r="BD2743" s="56"/>
      <c r="BE2743" s="56"/>
      <c r="BF2743" s="56"/>
      <c r="BG2743" s="56"/>
      <c r="BH2743" s="56"/>
      <c r="BI2743" s="56"/>
      <c r="BJ2743" s="56"/>
      <c r="BK2743" s="56"/>
      <c r="BL2743" s="56"/>
      <c r="BM2743" s="56"/>
      <c r="BN2743" s="56"/>
      <c r="BO2743" s="56"/>
      <c r="BP2743" s="56"/>
      <c r="BQ2743" s="56"/>
      <c r="BR2743" s="56"/>
      <c r="BS2743" s="56"/>
      <c r="BT2743" s="56"/>
      <c r="BU2743" s="56"/>
      <c r="BV2743" s="56"/>
      <c r="BW2743" s="56"/>
      <c r="BX2743" s="56"/>
      <c r="BY2743" s="56"/>
      <c r="BZ2743" s="56"/>
      <c r="CA2743" s="56"/>
      <c r="CB2743" s="56"/>
      <c r="CC2743" s="56"/>
      <c r="CD2743" s="56"/>
      <c r="CE2743" s="56"/>
      <c r="CF2743" s="56"/>
      <c r="CG2743" s="56"/>
      <c r="CH2743" s="56"/>
      <c r="CI2743" s="56"/>
      <c r="CJ2743" s="56"/>
      <c r="CK2743" s="56"/>
      <c r="CL2743" s="56"/>
      <c r="CM2743" s="56"/>
      <c r="CN2743" s="56"/>
      <c r="CO2743" s="56"/>
      <c r="CP2743" s="56"/>
      <c r="CQ2743" s="56"/>
      <c r="CR2743" s="56"/>
      <c r="CS2743" s="56"/>
      <c r="CT2743" s="56"/>
      <c r="CU2743" s="56"/>
      <c r="CV2743" s="56"/>
      <c r="CW2743" s="56"/>
      <c r="CX2743" s="56"/>
      <c r="CY2743" s="56"/>
      <c r="CZ2743" s="56"/>
    </row>
    <row r="2744" spans="27:104" s="5" customFormat="1" x14ac:dyDescent="0.25">
      <c r="AA2744" s="56"/>
      <c r="AB2744" s="56"/>
      <c r="AC2744" s="56"/>
      <c r="AD2744" s="56"/>
      <c r="AE2744" s="56"/>
      <c r="AF2744" s="56"/>
      <c r="AG2744" s="56"/>
      <c r="AH2744" s="56"/>
      <c r="AI2744" s="56"/>
      <c r="AJ2744" s="56"/>
      <c r="AK2744" s="56"/>
      <c r="AL2744" s="56"/>
      <c r="AM2744" s="56"/>
      <c r="AN2744" s="56"/>
      <c r="AO2744" s="56"/>
      <c r="AP2744" s="56"/>
      <c r="AQ2744" s="56"/>
      <c r="AR2744" s="56"/>
      <c r="AS2744" s="56"/>
      <c r="AT2744" s="56"/>
      <c r="AU2744" s="56"/>
      <c r="AV2744" s="56"/>
      <c r="AW2744" s="56"/>
      <c r="AX2744" s="56"/>
      <c r="AY2744" s="56"/>
      <c r="AZ2744" s="56"/>
      <c r="BA2744" s="56"/>
      <c r="BB2744" s="16"/>
      <c r="BC2744" s="56"/>
      <c r="BD2744" s="56"/>
      <c r="BE2744" s="56"/>
      <c r="BF2744" s="56"/>
      <c r="BG2744" s="56"/>
      <c r="BH2744" s="56"/>
      <c r="BI2744" s="56"/>
      <c r="BJ2744" s="56"/>
      <c r="BK2744" s="56"/>
      <c r="BL2744" s="56"/>
      <c r="BM2744" s="56"/>
      <c r="BN2744" s="56"/>
      <c r="BO2744" s="56"/>
      <c r="BP2744" s="56"/>
      <c r="BQ2744" s="56"/>
      <c r="BR2744" s="56"/>
      <c r="BS2744" s="56"/>
      <c r="BT2744" s="56"/>
      <c r="BU2744" s="56"/>
      <c r="BV2744" s="56"/>
      <c r="BW2744" s="56"/>
      <c r="BX2744" s="56"/>
      <c r="BY2744" s="56"/>
      <c r="BZ2744" s="56"/>
      <c r="CA2744" s="56"/>
      <c r="CB2744" s="56"/>
      <c r="CC2744" s="56"/>
      <c r="CD2744" s="56"/>
      <c r="CE2744" s="56"/>
      <c r="CF2744" s="56"/>
      <c r="CG2744" s="56"/>
      <c r="CH2744" s="56"/>
      <c r="CI2744" s="56"/>
      <c r="CJ2744" s="56"/>
      <c r="CK2744" s="56"/>
      <c r="CL2744" s="56"/>
      <c r="CM2744" s="56"/>
      <c r="CN2744" s="56"/>
      <c r="CO2744" s="56"/>
      <c r="CP2744" s="56"/>
      <c r="CQ2744" s="56"/>
      <c r="CR2744" s="56"/>
      <c r="CS2744" s="56"/>
      <c r="CT2744" s="56"/>
      <c r="CU2744" s="56"/>
      <c r="CV2744" s="56"/>
      <c r="CW2744" s="56"/>
      <c r="CX2744" s="56"/>
      <c r="CY2744" s="56"/>
      <c r="CZ2744" s="56"/>
    </row>
    <row r="2745" spans="27:104" s="5" customFormat="1" x14ac:dyDescent="0.25">
      <c r="AA2745" s="56"/>
      <c r="AB2745" s="56"/>
      <c r="AC2745" s="56"/>
      <c r="AD2745" s="56"/>
      <c r="AE2745" s="56"/>
      <c r="AF2745" s="56"/>
      <c r="AG2745" s="56"/>
      <c r="AH2745" s="56"/>
      <c r="AI2745" s="56"/>
      <c r="AJ2745" s="56"/>
      <c r="AK2745" s="56"/>
      <c r="AL2745" s="56"/>
      <c r="AM2745" s="56"/>
      <c r="AN2745" s="56"/>
      <c r="AO2745" s="56"/>
      <c r="AP2745" s="56"/>
      <c r="AQ2745" s="56"/>
      <c r="AR2745" s="56"/>
      <c r="AS2745" s="56"/>
      <c r="AT2745" s="56"/>
      <c r="AU2745" s="56"/>
      <c r="AV2745" s="56"/>
      <c r="AW2745" s="56"/>
      <c r="AX2745" s="56"/>
      <c r="AY2745" s="56"/>
      <c r="AZ2745" s="56"/>
      <c r="BA2745" s="56"/>
      <c r="BB2745" s="16"/>
      <c r="BC2745" s="56"/>
      <c r="BD2745" s="56"/>
      <c r="BE2745" s="56"/>
      <c r="BF2745" s="56"/>
      <c r="BG2745" s="56"/>
      <c r="BH2745" s="56"/>
      <c r="BI2745" s="56"/>
      <c r="BJ2745" s="56"/>
      <c r="BK2745" s="56"/>
      <c r="BL2745" s="56"/>
      <c r="BM2745" s="56"/>
      <c r="BN2745" s="56"/>
      <c r="BO2745" s="56"/>
      <c r="BP2745" s="56"/>
      <c r="BQ2745" s="56"/>
      <c r="BR2745" s="56"/>
      <c r="BS2745" s="56"/>
      <c r="BT2745" s="56"/>
      <c r="BU2745" s="56"/>
      <c r="BV2745" s="56"/>
      <c r="BW2745" s="56"/>
      <c r="BX2745" s="56"/>
      <c r="BY2745" s="56"/>
      <c r="BZ2745" s="56"/>
      <c r="CA2745" s="56"/>
      <c r="CB2745" s="56"/>
      <c r="CC2745" s="56"/>
      <c r="CD2745" s="56"/>
      <c r="CE2745" s="56"/>
      <c r="CF2745" s="56"/>
      <c r="CG2745" s="56"/>
      <c r="CH2745" s="56"/>
      <c r="CI2745" s="56"/>
      <c r="CJ2745" s="56"/>
      <c r="CK2745" s="56"/>
      <c r="CL2745" s="56"/>
      <c r="CM2745" s="56"/>
      <c r="CN2745" s="56"/>
      <c r="CO2745" s="56"/>
      <c r="CP2745" s="56"/>
      <c r="CQ2745" s="56"/>
      <c r="CR2745" s="56"/>
      <c r="CS2745" s="56"/>
      <c r="CT2745" s="56"/>
      <c r="CU2745" s="56"/>
      <c r="CV2745" s="56"/>
      <c r="CW2745" s="56"/>
      <c r="CX2745" s="56"/>
      <c r="CY2745" s="56"/>
      <c r="CZ2745" s="56"/>
    </row>
    <row r="2746" spans="27:104" s="5" customFormat="1" x14ac:dyDescent="0.25">
      <c r="AA2746" s="56"/>
      <c r="AB2746" s="56"/>
      <c r="AC2746" s="56"/>
      <c r="AD2746" s="56"/>
      <c r="AE2746" s="56"/>
      <c r="AF2746" s="56"/>
      <c r="AG2746" s="56"/>
      <c r="AH2746" s="56"/>
      <c r="AI2746" s="56"/>
      <c r="AJ2746" s="56"/>
      <c r="AK2746" s="56"/>
      <c r="AL2746" s="56"/>
      <c r="AM2746" s="56"/>
      <c r="AN2746" s="56"/>
      <c r="AO2746" s="56"/>
      <c r="AP2746" s="56"/>
      <c r="AQ2746" s="56"/>
      <c r="AR2746" s="56"/>
      <c r="AS2746" s="56"/>
      <c r="AT2746" s="56"/>
      <c r="AU2746" s="56"/>
      <c r="AV2746" s="56"/>
      <c r="AW2746" s="56"/>
      <c r="AX2746" s="56"/>
      <c r="AY2746" s="56"/>
      <c r="AZ2746" s="56"/>
      <c r="BA2746" s="56"/>
      <c r="BB2746" s="16"/>
      <c r="BC2746" s="56"/>
      <c r="BD2746" s="56"/>
      <c r="BE2746" s="56"/>
      <c r="BF2746" s="56"/>
      <c r="BG2746" s="56"/>
      <c r="BH2746" s="56"/>
      <c r="BI2746" s="56"/>
      <c r="BJ2746" s="56"/>
      <c r="BK2746" s="56"/>
      <c r="BL2746" s="56"/>
      <c r="BM2746" s="56"/>
      <c r="BN2746" s="56"/>
      <c r="BO2746" s="56"/>
      <c r="BP2746" s="56"/>
      <c r="BQ2746" s="56"/>
      <c r="BR2746" s="56"/>
      <c r="BS2746" s="56"/>
      <c r="BT2746" s="56"/>
      <c r="BU2746" s="56"/>
      <c r="BV2746" s="56"/>
      <c r="BW2746" s="56"/>
      <c r="BX2746" s="56"/>
      <c r="BY2746" s="56"/>
      <c r="BZ2746" s="56"/>
      <c r="CA2746" s="56"/>
      <c r="CB2746" s="56"/>
      <c r="CC2746" s="56"/>
      <c r="CD2746" s="56"/>
      <c r="CE2746" s="56"/>
      <c r="CF2746" s="56"/>
      <c r="CG2746" s="56"/>
      <c r="CH2746" s="56"/>
      <c r="CI2746" s="56"/>
      <c r="CJ2746" s="56"/>
      <c r="CK2746" s="56"/>
      <c r="CL2746" s="56"/>
      <c r="CM2746" s="56"/>
      <c r="CN2746" s="56"/>
      <c r="CO2746" s="56"/>
      <c r="CP2746" s="56"/>
      <c r="CQ2746" s="56"/>
      <c r="CR2746" s="56"/>
      <c r="CS2746" s="56"/>
      <c r="CT2746" s="56"/>
      <c r="CU2746" s="56"/>
      <c r="CV2746" s="56"/>
      <c r="CW2746" s="56"/>
      <c r="CX2746" s="56"/>
      <c r="CY2746" s="56"/>
      <c r="CZ2746" s="56"/>
    </row>
    <row r="2747" spans="27:104" s="5" customFormat="1" x14ac:dyDescent="0.25">
      <c r="AA2747" s="56"/>
      <c r="AB2747" s="56"/>
      <c r="AC2747" s="56"/>
      <c r="AD2747" s="56"/>
      <c r="AE2747" s="56"/>
      <c r="AF2747" s="56"/>
      <c r="AG2747" s="56"/>
      <c r="AH2747" s="56"/>
      <c r="AI2747" s="56"/>
      <c r="AJ2747" s="56"/>
      <c r="AK2747" s="56"/>
      <c r="AL2747" s="56"/>
      <c r="AM2747" s="56"/>
      <c r="AN2747" s="56"/>
      <c r="AO2747" s="56"/>
      <c r="AP2747" s="56"/>
      <c r="AQ2747" s="56"/>
      <c r="AR2747" s="56"/>
      <c r="AS2747" s="56"/>
      <c r="AT2747" s="56"/>
      <c r="AU2747" s="56"/>
      <c r="AV2747" s="56"/>
      <c r="AW2747" s="56"/>
      <c r="AX2747" s="56"/>
      <c r="AY2747" s="56"/>
      <c r="AZ2747" s="56"/>
      <c r="BA2747" s="56"/>
      <c r="BB2747" s="16"/>
      <c r="BC2747" s="56"/>
      <c r="BD2747" s="56"/>
      <c r="BE2747" s="56"/>
      <c r="BF2747" s="56"/>
      <c r="BG2747" s="56"/>
      <c r="BH2747" s="56"/>
      <c r="BI2747" s="56"/>
      <c r="BJ2747" s="56"/>
      <c r="BK2747" s="56"/>
      <c r="BL2747" s="56"/>
      <c r="BM2747" s="56"/>
      <c r="BN2747" s="56"/>
      <c r="BO2747" s="56"/>
      <c r="BP2747" s="56"/>
      <c r="BQ2747" s="56"/>
      <c r="BR2747" s="56"/>
      <c r="BS2747" s="56"/>
      <c r="BT2747" s="56"/>
      <c r="BU2747" s="56"/>
      <c r="BV2747" s="56"/>
      <c r="BW2747" s="56"/>
      <c r="BX2747" s="56"/>
      <c r="BY2747" s="56"/>
      <c r="BZ2747" s="56"/>
      <c r="CA2747" s="56"/>
      <c r="CB2747" s="56"/>
      <c r="CC2747" s="56"/>
      <c r="CD2747" s="56"/>
      <c r="CE2747" s="56"/>
      <c r="CF2747" s="56"/>
      <c r="CG2747" s="56"/>
      <c r="CH2747" s="56"/>
      <c r="CI2747" s="56"/>
      <c r="CJ2747" s="56"/>
      <c r="CK2747" s="56"/>
      <c r="CL2747" s="56"/>
      <c r="CM2747" s="56"/>
      <c r="CN2747" s="56"/>
      <c r="CO2747" s="56"/>
      <c r="CP2747" s="56"/>
      <c r="CQ2747" s="56"/>
      <c r="CR2747" s="56"/>
      <c r="CS2747" s="56"/>
      <c r="CT2747" s="56"/>
      <c r="CU2747" s="56"/>
      <c r="CV2747" s="56"/>
      <c r="CW2747" s="56"/>
      <c r="CX2747" s="56"/>
      <c r="CY2747" s="56"/>
      <c r="CZ2747" s="56"/>
    </row>
    <row r="2748" spans="27:104" s="5" customFormat="1" x14ac:dyDescent="0.25">
      <c r="AA2748" s="56"/>
      <c r="AB2748" s="56"/>
      <c r="AC2748" s="56"/>
      <c r="AD2748" s="56"/>
      <c r="AE2748" s="56"/>
      <c r="AF2748" s="56"/>
      <c r="AG2748" s="56"/>
      <c r="AH2748" s="56"/>
      <c r="AI2748" s="56"/>
      <c r="AJ2748" s="56"/>
      <c r="AK2748" s="56"/>
      <c r="AL2748" s="56"/>
      <c r="AM2748" s="56"/>
      <c r="AN2748" s="56"/>
      <c r="AO2748" s="56"/>
      <c r="AP2748" s="56"/>
      <c r="AQ2748" s="56"/>
      <c r="AR2748" s="56"/>
      <c r="AS2748" s="56"/>
      <c r="AT2748" s="56"/>
      <c r="AU2748" s="56"/>
      <c r="AV2748" s="56"/>
      <c r="AW2748" s="56"/>
      <c r="AX2748" s="56"/>
      <c r="AY2748" s="56"/>
      <c r="AZ2748" s="56"/>
      <c r="BA2748" s="56"/>
      <c r="BB2748" s="16"/>
      <c r="BC2748" s="56"/>
      <c r="BD2748" s="56"/>
      <c r="BE2748" s="56"/>
      <c r="BF2748" s="56"/>
      <c r="BG2748" s="56"/>
      <c r="BH2748" s="56"/>
      <c r="BI2748" s="56"/>
      <c r="BJ2748" s="56"/>
      <c r="BK2748" s="56"/>
      <c r="BL2748" s="56"/>
      <c r="BM2748" s="56"/>
      <c r="BN2748" s="56"/>
      <c r="BO2748" s="56"/>
      <c r="BP2748" s="56"/>
      <c r="BQ2748" s="56"/>
      <c r="BR2748" s="56"/>
      <c r="BS2748" s="56"/>
      <c r="BT2748" s="56"/>
      <c r="BU2748" s="56"/>
      <c r="BV2748" s="56"/>
      <c r="BW2748" s="56"/>
      <c r="BX2748" s="56"/>
      <c r="BY2748" s="56"/>
      <c r="BZ2748" s="56"/>
      <c r="CA2748" s="56"/>
      <c r="CB2748" s="56"/>
      <c r="CC2748" s="56"/>
      <c r="CD2748" s="56"/>
      <c r="CE2748" s="56"/>
      <c r="CF2748" s="56"/>
      <c r="CG2748" s="56"/>
      <c r="CH2748" s="56"/>
      <c r="CI2748" s="56"/>
      <c r="CJ2748" s="56"/>
      <c r="CK2748" s="56"/>
      <c r="CL2748" s="56"/>
      <c r="CM2748" s="56"/>
      <c r="CN2748" s="56"/>
      <c r="CO2748" s="56"/>
      <c r="CP2748" s="56"/>
      <c r="CQ2748" s="56"/>
      <c r="CR2748" s="56"/>
      <c r="CS2748" s="56"/>
      <c r="CT2748" s="56"/>
      <c r="CU2748" s="56"/>
      <c r="CV2748" s="56"/>
      <c r="CW2748" s="56"/>
      <c r="CX2748" s="56"/>
      <c r="CY2748" s="56"/>
      <c r="CZ2748" s="56"/>
    </row>
    <row r="2749" spans="27:104" s="5" customFormat="1" x14ac:dyDescent="0.25">
      <c r="AA2749" s="56"/>
      <c r="AB2749" s="56"/>
      <c r="AC2749" s="56"/>
      <c r="AD2749" s="56"/>
      <c r="AE2749" s="56"/>
      <c r="AF2749" s="56"/>
      <c r="AG2749" s="56"/>
      <c r="AH2749" s="56"/>
      <c r="AI2749" s="56"/>
      <c r="AJ2749" s="56"/>
      <c r="AK2749" s="56"/>
      <c r="AL2749" s="56"/>
      <c r="AM2749" s="56"/>
      <c r="AN2749" s="56"/>
      <c r="AO2749" s="56"/>
      <c r="AP2749" s="56"/>
      <c r="AQ2749" s="56"/>
      <c r="AR2749" s="56"/>
      <c r="AS2749" s="56"/>
      <c r="AT2749" s="56"/>
      <c r="AU2749" s="56"/>
      <c r="AV2749" s="56"/>
      <c r="AW2749" s="56"/>
      <c r="AX2749" s="56"/>
      <c r="AY2749" s="56"/>
      <c r="AZ2749" s="56"/>
      <c r="BA2749" s="56"/>
      <c r="BB2749" s="16"/>
      <c r="BC2749" s="56"/>
      <c r="BD2749" s="56"/>
      <c r="BE2749" s="56"/>
      <c r="BF2749" s="56"/>
      <c r="BG2749" s="56"/>
      <c r="BH2749" s="56"/>
      <c r="BI2749" s="56"/>
      <c r="BJ2749" s="56"/>
      <c r="BK2749" s="56"/>
      <c r="BL2749" s="56"/>
      <c r="BM2749" s="56"/>
      <c r="BN2749" s="56"/>
      <c r="BO2749" s="56"/>
      <c r="BP2749" s="56"/>
      <c r="BQ2749" s="56"/>
      <c r="BR2749" s="56"/>
      <c r="BS2749" s="56"/>
      <c r="BT2749" s="56"/>
      <c r="BU2749" s="56"/>
      <c r="BV2749" s="56"/>
      <c r="BW2749" s="56"/>
      <c r="BX2749" s="56"/>
      <c r="BY2749" s="56"/>
      <c r="BZ2749" s="56"/>
      <c r="CA2749" s="56"/>
      <c r="CB2749" s="56"/>
      <c r="CC2749" s="56"/>
      <c r="CD2749" s="56"/>
      <c r="CE2749" s="56"/>
      <c r="CF2749" s="56"/>
      <c r="CG2749" s="56"/>
      <c r="CH2749" s="56"/>
      <c r="CI2749" s="56"/>
      <c r="CJ2749" s="56"/>
      <c r="CK2749" s="56"/>
      <c r="CL2749" s="56"/>
      <c r="CM2749" s="56"/>
      <c r="CN2749" s="56"/>
      <c r="CO2749" s="56"/>
      <c r="CP2749" s="56"/>
      <c r="CQ2749" s="56"/>
      <c r="CR2749" s="56"/>
      <c r="CS2749" s="56"/>
      <c r="CT2749" s="56"/>
      <c r="CU2749" s="56"/>
      <c r="CV2749" s="56"/>
      <c r="CW2749" s="56"/>
      <c r="CX2749" s="56"/>
      <c r="CY2749" s="56"/>
      <c r="CZ2749" s="56"/>
    </row>
    <row r="2750" spans="27:104" s="5" customFormat="1" x14ac:dyDescent="0.25">
      <c r="AA2750" s="56"/>
      <c r="AB2750" s="56"/>
      <c r="AC2750" s="56"/>
      <c r="AD2750" s="56"/>
      <c r="AE2750" s="56"/>
      <c r="AF2750" s="56"/>
      <c r="AG2750" s="56"/>
      <c r="AH2750" s="56"/>
      <c r="AI2750" s="56"/>
      <c r="AJ2750" s="56"/>
      <c r="AK2750" s="56"/>
      <c r="AL2750" s="56"/>
      <c r="AM2750" s="56"/>
      <c r="AN2750" s="56"/>
      <c r="AO2750" s="56"/>
      <c r="AP2750" s="56"/>
      <c r="AQ2750" s="56"/>
      <c r="AR2750" s="56"/>
      <c r="AS2750" s="56"/>
      <c r="AT2750" s="56"/>
      <c r="AU2750" s="56"/>
      <c r="AV2750" s="56"/>
      <c r="AW2750" s="56"/>
      <c r="AX2750" s="56"/>
      <c r="AY2750" s="56"/>
      <c r="AZ2750" s="56"/>
      <c r="BA2750" s="56"/>
      <c r="BB2750" s="16"/>
      <c r="BC2750" s="56"/>
      <c r="BD2750" s="56"/>
      <c r="BE2750" s="56"/>
      <c r="BF2750" s="56"/>
      <c r="BG2750" s="56"/>
      <c r="BH2750" s="56"/>
      <c r="BI2750" s="56"/>
      <c r="BJ2750" s="56"/>
      <c r="BK2750" s="56"/>
      <c r="BL2750" s="56"/>
      <c r="BM2750" s="56"/>
      <c r="BN2750" s="56"/>
      <c r="BO2750" s="56"/>
      <c r="BP2750" s="56"/>
      <c r="BQ2750" s="56"/>
      <c r="BR2750" s="56"/>
      <c r="BS2750" s="56"/>
      <c r="BT2750" s="56"/>
      <c r="BU2750" s="56"/>
      <c r="BV2750" s="56"/>
      <c r="BW2750" s="56"/>
      <c r="BX2750" s="56"/>
      <c r="BY2750" s="56"/>
      <c r="BZ2750" s="56"/>
      <c r="CA2750" s="56"/>
      <c r="CB2750" s="56"/>
      <c r="CC2750" s="56"/>
      <c r="CD2750" s="56"/>
      <c r="CE2750" s="56"/>
      <c r="CF2750" s="56"/>
      <c r="CG2750" s="56"/>
      <c r="CH2750" s="56"/>
      <c r="CI2750" s="56"/>
      <c r="CJ2750" s="56"/>
      <c r="CK2750" s="56"/>
      <c r="CL2750" s="56"/>
      <c r="CM2750" s="56"/>
      <c r="CN2750" s="56"/>
      <c r="CO2750" s="56"/>
      <c r="CP2750" s="56"/>
      <c r="CQ2750" s="56"/>
      <c r="CR2750" s="56"/>
      <c r="CS2750" s="56"/>
      <c r="CT2750" s="56"/>
      <c r="CU2750" s="56"/>
      <c r="CV2750" s="56"/>
      <c r="CW2750" s="56"/>
      <c r="CX2750" s="56"/>
      <c r="CY2750" s="56"/>
      <c r="CZ2750" s="56"/>
    </row>
    <row r="2751" spans="27:104" s="5" customFormat="1" x14ac:dyDescent="0.25">
      <c r="AA2751" s="56"/>
      <c r="AB2751" s="56"/>
      <c r="AC2751" s="56"/>
      <c r="AD2751" s="56"/>
      <c r="AE2751" s="56"/>
      <c r="AF2751" s="56"/>
      <c r="AG2751" s="56"/>
      <c r="AH2751" s="56"/>
      <c r="AI2751" s="56"/>
      <c r="AJ2751" s="56"/>
      <c r="AK2751" s="56"/>
      <c r="AL2751" s="56"/>
      <c r="AM2751" s="56"/>
      <c r="AN2751" s="56"/>
      <c r="AO2751" s="56"/>
      <c r="AP2751" s="56"/>
      <c r="AQ2751" s="56"/>
      <c r="AR2751" s="56"/>
      <c r="AS2751" s="56"/>
      <c r="AT2751" s="56"/>
      <c r="AU2751" s="56"/>
      <c r="AV2751" s="56"/>
      <c r="AW2751" s="56"/>
      <c r="AX2751" s="56"/>
      <c r="AY2751" s="56"/>
      <c r="AZ2751" s="56"/>
      <c r="BA2751" s="56"/>
      <c r="BB2751" s="16"/>
      <c r="BC2751" s="56"/>
      <c r="BD2751" s="56"/>
      <c r="BE2751" s="56"/>
      <c r="BF2751" s="56"/>
      <c r="BG2751" s="56"/>
      <c r="BH2751" s="56"/>
      <c r="BI2751" s="56"/>
      <c r="BJ2751" s="56"/>
      <c r="BK2751" s="56"/>
      <c r="BL2751" s="56"/>
      <c r="BM2751" s="56"/>
      <c r="BN2751" s="56"/>
      <c r="BO2751" s="56"/>
      <c r="BP2751" s="56"/>
      <c r="BQ2751" s="56"/>
      <c r="BR2751" s="56"/>
      <c r="BS2751" s="56"/>
      <c r="BT2751" s="56"/>
      <c r="BU2751" s="56"/>
      <c r="BV2751" s="56"/>
      <c r="BW2751" s="56"/>
      <c r="BX2751" s="56"/>
      <c r="BY2751" s="56"/>
      <c r="BZ2751" s="56"/>
      <c r="CA2751" s="56"/>
      <c r="CB2751" s="56"/>
      <c r="CC2751" s="56"/>
      <c r="CD2751" s="56"/>
      <c r="CE2751" s="56"/>
      <c r="CF2751" s="56"/>
      <c r="CG2751" s="56"/>
      <c r="CH2751" s="56"/>
      <c r="CI2751" s="56"/>
      <c r="CJ2751" s="56"/>
      <c r="CK2751" s="56"/>
      <c r="CL2751" s="56"/>
      <c r="CM2751" s="56"/>
      <c r="CN2751" s="56"/>
      <c r="CO2751" s="56"/>
      <c r="CP2751" s="56"/>
      <c r="CQ2751" s="56"/>
      <c r="CR2751" s="56"/>
      <c r="CS2751" s="56"/>
      <c r="CT2751" s="56"/>
      <c r="CU2751" s="56"/>
      <c r="CV2751" s="56"/>
      <c r="CW2751" s="56"/>
      <c r="CX2751" s="56"/>
      <c r="CY2751" s="56"/>
      <c r="CZ2751" s="56"/>
    </row>
    <row r="2752" spans="27:104" s="5" customFormat="1" x14ac:dyDescent="0.25">
      <c r="AA2752" s="56"/>
      <c r="AB2752" s="56"/>
      <c r="AC2752" s="56"/>
      <c r="AD2752" s="56"/>
      <c r="AE2752" s="56"/>
      <c r="AF2752" s="56"/>
      <c r="AG2752" s="56"/>
      <c r="AH2752" s="56"/>
      <c r="AI2752" s="56"/>
      <c r="AJ2752" s="56"/>
      <c r="AK2752" s="56"/>
      <c r="AL2752" s="56"/>
      <c r="AM2752" s="56"/>
      <c r="AN2752" s="56"/>
      <c r="AO2752" s="56"/>
      <c r="AP2752" s="56"/>
      <c r="AQ2752" s="56"/>
      <c r="AR2752" s="56"/>
      <c r="AS2752" s="56"/>
      <c r="AT2752" s="56"/>
      <c r="AU2752" s="56"/>
      <c r="AV2752" s="56"/>
      <c r="AW2752" s="56"/>
      <c r="AX2752" s="56"/>
      <c r="AY2752" s="56"/>
      <c r="AZ2752" s="56"/>
      <c r="BA2752" s="56"/>
      <c r="BB2752" s="16"/>
      <c r="BC2752" s="56"/>
      <c r="BD2752" s="56"/>
      <c r="BE2752" s="56"/>
      <c r="BF2752" s="56"/>
      <c r="BG2752" s="56"/>
      <c r="BH2752" s="56"/>
      <c r="BI2752" s="56"/>
      <c r="BJ2752" s="56"/>
      <c r="BK2752" s="56"/>
      <c r="BL2752" s="56"/>
      <c r="BM2752" s="56"/>
      <c r="BN2752" s="56"/>
      <c r="BO2752" s="56"/>
      <c r="BP2752" s="56"/>
      <c r="BQ2752" s="56"/>
      <c r="BR2752" s="56"/>
      <c r="BS2752" s="56"/>
      <c r="BT2752" s="56"/>
      <c r="BU2752" s="56"/>
      <c r="BV2752" s="56"/>
      <c r="BW2752" s="56"/>
      <c r="BX2752" s="56"/>
      <c r="BY2752" s="56"/>
      <c r="BZ2752" s="56"/>
      <c r="CA2752" s="56"/>
      <c r="CB2752" s="56"/>
      <c r="CC2752" s="56"/>
      <c r="CD2752" s="56"/>
      <c r="CE2752" s="56"/>
      <c r="CF2752" s="56"/>
      <c r="CG2752" s="56"/>
      <c r="CH2752" s="56"/>
      <c r="CI2752" s="56"/>
      <c r="CJ2752" s="56"/>
      <c r="CK2752" s="56"/>
      <c r="CL2752" s="56"/>
      <c r="CM2752" s="56"/>
      <c r="CN2752" s="56"/>
      <c r="CO2752" s="56"/>
      <c r="CP2752" s="56"/>
      <c r="CQ2752" s="56"/>
      <c r="CR2752" s="56"/>
      <c r="CS2752" s="56"/>
      <c r="CT2752" s="56"/>
      <c r="CU2752" s="56"/>
      <c r="CV2752" s="56"/>
      <c r="CW2752" s="56"/>
      <c r="CX2752" s="56"/>
      <c r="CY2752" s="56"/>
      <c r="CZ2752" s="56"/>
    </row>
    <row r="2753" spans="27:104" s="5" customFormat="1" x14ac:dyDescent="0.25">
      <c r="AA2753" s="56"/>
      <c r="AB2753" s="56"/>
      <c r="AC2753" s="56"/>
      <c r="AD2753" s="56"/>
      <c r="AE2753" s="56"/>
      <c r="AF2753" s="56"/>
      <c r="AG2753" s="56"/>
      <c r="AH2753" s="56"/>
      <c r="AI2753" s="56"/>
      <c r="AJ2753" s="56"/>
      <c r="AK2753" s="56"/>
      <c r="AL2753" s="56"/>
      <c r="AM2753" s="56"/>
      <c r="AN2753" s="56"/>
      <c r="AO2753" s="56"/>
      <c r="AP2753" s="56"/>
      <c r="AQ2753" s="56"/>
      <c r="AR2753" s="56"/>
      <c r="AS2753" s="56"/>
      <c r="AT2753" s="56"/>
      <c r="AU2753" s="56"/>
      <c r="AV2753" s="56"/>
      <c r="AW2753" s="56"/>
      <c r="AX2753" s="56"/>
      <c r="AY2753" s="56"/>
      <c r="AZ2753" s="56"/>
      <c r="BA2753" s="56"/>
      <c r="BB2753" s="16"/>
      <c r="BC2753" s="56"/>
      <c r="BD2753" s="56"/>
      <c r="BE2753" s="56"/>
      <c r="BF2753" s="56"/>
      <c r="BG2753" s="56"/>
      <c r="BH2753" s="56"/>
      <c r="BI2753" s="56"/>
      <c r="BJ2753" s="56"/>
      <c r="BK2753" s="56"/>
      <c r="BL2753" s="56"/>
      <c r="BM2753" s="56"/>
      <c r="BN2753" s="56"/>
      <c r="BO2753" s="56"/>
      <c r="BP2753" s="56"/>
      <c r="BQ2753" s="56"/>
      <c r="BR2753" s="56"/>
      <c r="BS2753" s="56"/>
      <c r="BT2753" s="56"/>
      <c r="BU2753" s="56"/>
      <c r="BV2753" s="56"/>
      <c r="BW2753" s="56"/>
      <c r="BX2753" s="56"/>
      <c r="BY2753" s="56"/>
      <c r="BZ2753" s="56"/>
      <c r="CA2753" s="56"/>
      <c r="CB2753" s="56"/>
      <c r="CC2753" s="56"/>
      <c r="CD2753" s="56"/>
      <c r="CE2753" s="56"/>
      <c r="CF2753" s="56"/>
      <c r="CG2753" s="56"/>
      <c r="CH2753" s="56"/>
      <c r="CI2753" s="56"/>
      <c r="CJ2753" s="56"/>
      <c r="CK2753" s="56"/>
      <c r="CL2753" s="56"/>
      <c r="CM2753" s="56"/>
      <c r="CN2753" s="56"/>
      <c r="CO2753" s="56"/>
      <c r="CP2753" s="56"/>
      <c r="CQ2753" s="56"/>
      <c r="CR2753" s="56"/>
      <c r="CS2753" s="56"/>
      <c r="CT2753" s="56"/>
      <c r="CU2753" s="56"/>
      <c r="CV2753" s="56"/>
      <c r="CW2753" s="56"/>
      <c r="CX2753" s="56"/>
      <c r="CY2753" s="56"/>
      <c r="CZ2753" s="56"/>
    </row>
    <row r="2754" spans="27:104" s="5" customFormat="1" x14ac:dyDescent="0.25">
      <c r="AA2754" s="56"/>
      <c r="AB2754" s="56"/>
      <c r="AC2754" s="56"/>
      <c r="AD2754" s="56"/>
      <c r="AE2754" s="56"/>
      <c r="AF2754" s="56"/>
      <c r="AG2754" s="56"/>
      <c r="AH2754" s="56"/>
      <c r="AI2754" s="56"/>
      <c r="AJ2754" s="56"/>
      <c r="AK2754" s="56"/>
      <c r="AL2754" s="56"/>
      <c r="AM2754" s="56"/>
      <c r="AN2754" s="56"/>
      <c r="AO2754" s="56"/>
      <c r="AP2754" s="56"/>
      <c r="AQ2754" s="56"/>
      <c r="AR2754" s="56"/>
      <c r="AS2754" s="56"/>
      <c r="AT2754" s="56"/>
      <c r="AU2754" s="56"/>
      <c r="AV2754" s="56"/>
      <c r="AW2754" s="56"/>
      <c r="AX2754" s="56"/>
      <c r="AY2754" s="56"/>
      <c r="AZ2754" s="56"/>
      <c r="BA2754" s="56"/>
      <c r="BB2754" s="16"/>
      <c r="BC2754" s="56"/>
      <c r="BD2754" s="56"/>
      <c r="BE2754" s="56"/>
      <c r="BF2754" s="56"/>
      <c r="BG2754" s="56"/>
      <c r="BH2754" s="56"/>
      <c r="BI2754" s="56"/>
      <c r="BJ2754" s="56"/>
      <c r="BK2754" s="56"/>
      <c r="BL2754" s="56"/>
      <c r="BM2754" s="56"/>
      <c r="BN2754" s="56"/>
      <c r="BO2754" s="56"/>
      <c r="BP2754" s="56"/>
      <c r="BQ2754" s="56"/>
      <c r="BR2754" s="56"/>
      <c r="BS2754" s="56"/>
      <c r="BT2754" s="56"/>
      <c r="BU2754" s="56"/>
      <c r="BV2754" s="56"/>
      <c r="BW2754" s="56"/>
      <c r="BX2754" s="56"/>
      <c r="BY2754" s="56"/>
      <c r="BZ2754" s="56"/>
      <c r="CA2754" s="56"/>
      <c r="CB2754" s="56"/>
      <c r="CC2754" s="56"/>
      <c r="CD2754" s="56"/>
      <c r="CE2754" s="56"/>
      <c r="CF2754" s="56"/>
      <c r="CG2754" s="56"/>
      <c r="CH2754" s="56"/>
      <c r="CI2754" s="56"/>
      <c r="CJ2754" s="56"/>
      <c r="CK2754" s="56"/>
      <c r="CL2754" s="56"/>
      <c r="CM2754" s="56"/>
      <c r="CN2754" s="56"/>
      <c r="CO2754" s="56"/>
      <c r="CP2754" s="56"/>
      <c r="CQ2754" s="56"/>
      <c r="CR2754" s="56"/>
      <c r="CS2754" s="56"/>
      <c r="CT2754" s="56"/>
      <c r="CU2754" s="56"/>
      <c r="CV2754" s="56"/>
      <c r="CW2754" s="56"/>
      <c r="CX2754" s="56"/>
      <c r="CY2754" s="56"/>
      <c r="CZ2754" s="56"/>
    </row>
    <row r="2755" spans="27:104" s="5" customFormat="1" x14ac:dyDescent="0.25">
      <c r="AA2755" s="56"/>
      <c r="AB2755" s="56"/>
      <c r="AC2755" s="56"/>
      <c r="AD2755" s="56"/>
      <c r="AE2755" s="56"/>
      <c r="AF2755" s="56"/>
      <c r="AG2755" s="56"/>
      <c r="AH2755" s="56"/>
      <c r="AI2755" s="56"/>
      <c r="AJ2755" s="56"/>
      <c r="AK2755" s="56"/>
      <c r="AL2755" s="56"/>
      <c r="AM2755" s="56"/>
      <c r="AN2755" s="56"/>
      <c r="AO2755" s="56"/>
      <c r="AP2755" s="56"/>
      <c r="AQ2755" s="56"/>
      <c r="AR2755" s="56"/>
      <c r="AS2755" s="56"/>
      <c r="AT2755" s="56"/>
      <c r="AU2755" s="56"/>
      <c r="AV2755" s="56"/>
      <c r="AW2755" s="56"/>
      <c r="AX2755" s="56"/>
      <c r="AY2755" s="56"/>
      <c r="AZ2755" s="56"/>
      <c r="BA2755" s="56"/>
      <c r="BB2755" s="16"/>
      <c r="BC2755" s="56"/>
      <c r="BD2755" s="56"/>
      <c r="BE2755" s="56"/>
      <c r="BF2755" s="56"/>
      <c r="BG2755" s="56"/>
      <c r="BH2755" s="56"/>
      <c r="BI2755" s="56"/>
      <c r="BJ2755" s="56"/>
      <c r="BK2755" s="56"/>
      <c r="BL2755" s="56"/>
      <c r="BM2755" s="56"/>
      <c r="BN2755" s="56"/>
      <c r="BO2755" s="56"/>
      <c r="BP2755" s="56"/>
      <c r="BQ2755" s="56"/>
      <c r="BR2755" s="56"/>
      <c r="BS2755" s="56"/>
      <c r="BT2755" s="56"/>
      <c r="BU2755" s="56"/>
      <c r="BV2755" s="56"/>
      <c r="BW2755" s="56"/>
      <c r="BX2755" s="56"/>
      <c r="BY2755" s="56"/>
      <c r="BZ2755" s="56"/>
      <c r="CA2755" s="56"/>
      <c r="CB2755" s="56"/>
      <c r="CC2755" s="56"/>
      <c r="CD2755" s="56"/>
      <c r="CE2755" s="56"/>
      <c r="CF2755" s="56"/>
      <c r="CG2755" s="56"/>
      <c r="CH2755" s="56"/>
      <c r="CI2755" s="56"/>
      <c r="CJ2755" s="56"/>
      <c r="CK2755" s="56"/>
      <c r="CL2755" s="56"/>
      <c r="CM2755" s="56"/>
      <c r="CN2755" s="56"/>
      <c r="CO2755" s="56"/>
      <c r="CP2755" s="56"/>
      <c r="CQ2755" s="56"/>
      <c r="CR2755" s="56"/>
      <c r="CS2755" s="56"/>
      <c r="CT2755" s="56"/>
      <c r="CU2755" s="56"/>
      <c r="CV2755" s="56"/>
      <c r="CW2755" s="56"/>
      <c r="CX2755" s="56"/>
      <c r="CY2755" s="56"/>
      <c r="CZ2755" s="56"/>
    </row>
    <row r="2756" spans="27:104" s="5" customFormat="1" x14ac:dyDescent="0.25">
      <c r="AA2756" s="56"/>
      <c r="AB2756" s="56"/>
      <c r="AC2756" s="56"/>
      <c r="AD2756" s="56"/>
      <c r="AE2756" s="56"/>
      <c r="AF2756" s="56"/>
      <c r="AG2756" s="56"/>
      <c r="AH2756" s="56"/>
      <c r="AI2756" s="56"/>
      <c r="AJ2756" s="56"/>
      <c r="AK2756" s="56"/>
      <c r="AL2756" s="56"/>
      <c r="AM2756" s="56"/>
      <c r="AN2756" s="56"/>
      <c r="AO2756" s="56"/>
      <c r="AP2756" s="56"/>
      <c r="AQ2756" s="56"/>
      <c r="AR2756" s="56"/>
      <c r="AS2756" s="56"/>
      <c r="AT2756" s="56"/>
      <c r="AU2756" s="56"/>
      <c r="AV2756" s="56"/>
      <c r="AW2756" s="56"/>
      <c r="AX2756" s="56"/>
      <c r="AY2756" s="56"/>
      <c r="AZ2756" s="56"/>
      <c r="BA2756" s="56"/>
      <c r="BB2756" s="16"/>
      <c r="BC2756" s="56"/>
      <c r="BD2756" s="56"/>
      <c r="BE2756" s="56"/>
      <c r="BF2756" s="56"/>
      <c r="BG2756" s="56"/>
      <c r="BH2756" s="56"/>
      <c r="BI2756" s="56"/>
      <c r="BJ2756" s="56"/>
      <c r="BK2756" s="56"/>
      <c r="BL2756" s="56"/>
      <c r="BM2756" s="56"/>
      <c r="BN2756" s="56"/>
      <c r="BO2756" s="56"/>
      <c r="BP2756" s="56"/>
      <c r="BQ2756" s="56"/>
      <c r="BR2756" s="56"/>
      <c r="BS2756" s="56"/>
      <c r="BT2756" s="56"/>
      <c r="BU2756" s="56"/>
      <c r="BV2756" s="56"/>
      <c r="BW2756" s="56"/>
      <c r="BX2756" s="56"/>
      <c r="BY2756" s="56"/>
      <c r="BZ2756" s="56"/>
      <c r="CA2756" s="56"/>
      <c r="CB2756" s="56"/>
      <c r="CC2756" s="56"/>
      <c r="CD2756" s="56"/>
      <c r="CE2756" s="56"/>
      <c r="CF2756" s="56"/>
      <c r="CG2756" s="56"/>
      <c r="CH2756" s="56"/>
      <c r="CI2756" s="56"/>
      <c r="CJ2756" s="56"/>
      <c r="CK2756" s="56"/>
      <c r="CL2756" s="56"/>
      <c r="CM2756" s="56"/>
      <c r="CN2756" s="56"/>
      <c r="CO2756" s="56"/>
      <c r="CP2756" s="56"/>
      <c r="CQ2756" s="56"/>
      <c r="CR2756" s="56"/>
      <c r="CS2756" s="56"/>
      <c r="CT2756" s="56"/>
      <c r="CU2756" s="56"/>
      <c r="CV2756" s="56"/>
      <c r="CW2756" s="56"/>
      <c r="CX2756" s="56"/>
      <c r="CY2756" s="56"/>
      <c r="CZ2756" s="56"/>
    </row>
    <row r="2757" spans="27:104" s="5" customFormat="1" x14ac:dyDescent="0.25">
      <c r="AA2757" s="56"/>
      <c r="AB2757" s="56"/>
      <c r="AC2757" s="56"/>
      <c r="AD2757" s="56"/>
      <c r="AE2757" s="56"/>
      <c r="AF2757" s="56"/>
      <c r="AG2757" s="56"/>
      <c r="AH2757" s="56"/>
      <c r="AI2757" s="56"/>
      <c r="AJ2757" s="56"/>
      <c r="AK2757" s="56"/>
      <c r="AL2757" s="56"/>
      <c r="AM2757" s="56"/>
      <c r="AN2757" s="56"/>
      <c r="AO2757" s="56"/>
      <c r="AP2757" s="56"/>
      <c r="AQ2757" s="56"/>
      <c r="AR2757" s="56"/>
      <c r="AS2757" s="56"/>
      <c r="AT2757" s="56"/>
      <c r="AU2757" s="56"/>
      <c r="AV2757" s="56"/>
      <c r="AW2757" s="56"/>
      <c r="AX2757" s="56"/>
      <c r="AY2757" s="56"/>
      <c r="AZ2757" s="56"/>
      <c r="BA2757" s="56"/>
      <c r="BB2757" s="16"/>
      <c r="BC2757" s="56"/>
      <c r="BD2757" s="56"/>
      <c r="BE2757" s="56"/>
      <c r="BF2757" s="56"/>
      <c r="BG2757" s="56"/>
      <c r="BH2757" s="56"/>
      <c r="BI2757" s="56"/>
      <c r="BJ2757" s="56"/>
      <c r="BK2757" s="56"/>
      <c r="BL2757" s="56"/>
      <c r="BM2757" s="56"/>
      <c r="BN2757" s="56"/>
      <c r="BO2757" s="56"/>
      <c r="BP2757" s="56"/>
      <c r="BQ2757" s="56"/>
      <c r="BR2757" s="56"/>
      <c r="BS2757" s="56"/>
      <c r="BT2757" s="56"/>
      <c r="BU2757" s="56"/>
      <c r="BV2757" s="56"/>
      <c r="BW2757" s="56"/>
      <c r="BX2757" s="56"/>
      <c r="BY2757" s="56"/>
      <c r="BZ2757" s="56"/>
      <c r="CA2757" s="56"/>
      <c r="CB2757" s="56"/>
      <c r="CC2757" s="56"/>
      <c r="CD2757" s="56"/>
      <c r="CE2757" s="56"/>
      <c r="CF2757" s="56"/>
      <c r="CG2757" s="56"/>
      <c r="CH2757" s="56"/>
      <c r="CI2757" s="56"/>
      <c r="CJ2757" s="56"/>
      <c r="CK2757" s="56"/>
      <c r="CL2757" s="56"/>
      <c r="CM2757" s="56"/>
      <c r="CN2757" s="56"/>
      <c r="CO2757" s="56"/>
      <c r="CP2757" s="56"/>
      <c r="CQ2757" s="56"/>
      <c r="CR2757" s="56"/>
      <c r="CS2757" s="56"/>
      <c r="CT2757" s="56"/>
      <c r="CU2757" s="56"/>
      <c r="CV2757" s="56"/>
      <c r="CW2757" s="56"/>
      <c r="CX2757" s="56"/>
      <c r="CY2757" s="56"/>
      <c r="CZ2757" s="56"/>
    </row>
    <row r="2758" spans="27:104" s="5" customFormat="1" x14ac:dyDescent="0.25">
      <c r="AA2758" s="56"/>
      <c r="AB2758" s="56"/>
      <c r="AC2758" s="56"/>
      <c r="AD2758" s="56"/>
      <c r="AE2758" s="56"/>
      <c r="AF2758" s="56"/>
      <c r="AG2758" s="56"/>
      <c r="AH2758" s="56"/>
      <c r="AI2758" s="56"/>
      <c r="AJ2758" s="56"/>
      <c r="AK2758" s="56"/>
      <c r="AL2758" s="56"/>
      <c r="AM2758" s="56"/>
      <c r="AN2758" s="56"/>
      <c r="AO2758" s="56"/>
      <c r="AP2758" s="56"/>
      <c r="AQ2758" s="56"/>
      <c r="AR2758" s="56"/>
      <c r="AS2758" s="56"/>
      <c r="AT2758" s="56"/>
      <c r="AU2758" s="56"/>
      <c r="AV2758" s="56"/>
      <c r="AW2758" s="56"/>
      <c r="AX2758" s="56"/>
      <c r="AY2758" s="56"/>
      <c r="AZ2758" s="56"/>
      <c r="BA2758" s="56"/>
      <c r="BB2758" s="16"/>
      <c r="BC2758" s="56"/>
      <c r="BD2758" s="56"/>
      <c r="BE2758" s="56"/>
      <c r="BF2758" s="56"/>
      <c r="BG2758" s="56"/>
      <c r="BH2758" s="56"/>
      <c r="BI2758" s="56"/>
      <c r="BJ2758" s="56"/>
      <c r="BK2758" s="56"/>
      <c r="BL2758" s="56"/>
      <c r="BM2758" s="56"/>
      <c r="BN2758" s="56"/>
      <c r="BO2758" s="56"/>
      <c r="BP2758" s="56"/>
      <c r="BQ2758" s="56"/>
      <c r="BR2758" s="56"/>
      <c r="BS2758" s="56"/>
      <c r="BT2758" s="56"/>
      <c r="BU2758" s="56"/>
      <c r="BV2758" s="56"/>
      <c r="BW2758" s="56"/>
      <c r="BX2758" s="56"/>
      <c r="BY2758" s="56"/>
      <c r="BZ2758" s="56"/>
      <c r="CA2758" s="56"/>
      <c r="CB2758" s="56"/>
      <c r="CC2758" s="56"/>
      <c r="CD2758" s="56"/>
      <c r="CE2758" s="56"/>
      <c r="CF2758" s="56"/>
      <c r="CG2758" s="56"/>
      <c r="CH2758" s="56"/>
      <c r="CI2758" s="56"/>
      <c r="CJ2758" s="56"/>
      <c r="CK2758" s="56"/>
      <c r="CL2758" s="56"/>
      <c r="CM2758" s="56"/>
      <c r="CN2758" s="56"/>
      <c r="CO2758" s="56"/>
      <c r="CP2758" s="56"/>
      <c r="CQ2758" s="56"/>
      <c r="CR2758" s="56"/>
      <c r="CS2758" s="56"/>
      <c r="CT2758" s="56"/>
      <c r="CU2758" s="56"/>
      <c r="CV2758" s="56"/>
      <c r="CW2758" s="56"/>
      <c r="CX2758" s="56"/>
      <c r="CY2758" s="56"/>
      <c r="CZ2758" s="56"/>
    </row>
    <row r="2759" spans="27:104" s="5" customFormat="1" x14ac:dyDescent="0.25">
      <c r="AA2759" s="56"/>
      <c r="AB2759" s="56"/>
      <c r="AC2759" s="56"/>
      <c r="AD2759" s="56"/>
      <c r="AE2759" s="56"/>
      <c r="AF2759" s="56"/>
      <c r="AG2759" s="56"/>
      <c r="AH2759" s="56"/>
      <c r="AI2759" s="56"/>
      <c r="AJ2759" s="56"/>
      <c r="AK2759" s="56"/>
      <c r="AL2759" s="56"/>
      <c r="AM2759" s="56"/>
      <c r="AN2759" s="56"/>
      <c r="AO2759" s="56"/>
      <c r="AP2759" s="56"/>
      <c r="AQ2759" s="56"/>
      <c r="AR2759" s="56"/>
      <c r="AS2759" s="56"/>
      <c r="AT2759" s="56"/>
      <c r="AU2759" s="56"/>
      <c r="AV2759" s="56"/>
      <c r="AW2759" s="56"/>
      <c r="AX2759" s="56"/>
      <c r="AY2759" s="56"/>
      <c r="AZ2759" s="56"/>
      <c r="BA2759" s="56"/>
      <c r="BB2759" s="16"/>
      <c r="BC2759" s="56"/>
      <c r="BD2759" s="56"/>
      <c r="BE2759" s="56"/>
      <c r="BF2759" s="56"/>
      <c r="BG2759" s="56"/>
      <c r="BH2759" s="56"/>
      <c r="BI2759" s="56"/>
      <c r="BJ2759" s="56"/>
      <c r="BK2759" s="56"/>
      <c r="BL2759" s="56"/>
      <c r="BM2759" s="56"/>
      <c r="BN2759" s="56"/>
      <c r="BO2759" s="56"/>
      <c r="BP2759" s="56"/>
      <c r="BQ2759" s="56"/>
      <c r="BR2759" s="56"/>
      <c r="BS2759" s="56"/>
      <c r="BT2759" s="56"/>
      <c r="BU2759" s="56"/>
      <c r="BV2759" s="56"/>
      <c r="BW2759" s="56"/>
      <c r="BX2759" s="56"/>
      <c r="BY2759" s="56"/>
      <c r="BZ2759" s="56"/>
      <c r="CA2759" s="56"/>
      <c r="CB2759" s="56"/>
      <c r="CC2759" s="56"/>
      <c r="CD2759" s="56"/>
      <c r="CE2759" s="56"/>
      <c r="CF2759" s="56"/>
      <c r="CG2759" s="56"/>
      <c r="CH2759" s="56"/>
      <c r="CI2759" s="56"/>
      <c r="CJ2759" s="56"/>
      <c r="CK2759" s="56"/>
      <c r="CL2759" s="56"/>
      <c r="CM2759" s="56"/>
      <c r="CN2759" s="56"/>
      <c r="CO2759" s="56"/>
      <c r="CP2759" s="56"/>
      <c r="CQ2759" s="56"/>
      <c r="CR2759" s="56"/>
      <c r="CS2759" s="56"/>
      <c r="CT2759" s="56"/>
      <c r="CU2759" s="56"/>
      <c r="CV2759" s="56"/>
      <c r="CW2759" s="56"/>
      <c r="CX2759" s="56"/>
      <c r="CY2759" s="56"/>
      <c r="CZ2759" s="56"/>
    </row>
    <row r="2760" spans="27:104" s="5" customFormat="1" x14ac:dyDescent="0.25">
      <c r="AA2760" s="56"/>
      <c r="AB2760" s="56"/>
      <c r="AC2760" s="56"/>
      <c r="AD2760" s="56"/>
      <c r="AE2760" s="56"/>
      <c r="AF2760" s="56"/>
      <c r="AG2760" s="56"/>
      <c r="AH2760" s="56"/>
      <c r="AI2760" s="56"/>
      <c r="AJ2760" s="56"/>
      <c r="AK2760" s="56"/>
      <c r="AL2760" s="56"/>
      <c r="AM2760" s="56"/>
      <c r="AN2760" s="56"/>
      <c r="AO2760" s="56"/>
      <c r="AP2760" s="56"/>
      <c r="AQ2760" s="56"/>
      <c r="AR2760" s="56"/>
      <c r="AS2760" s="56"/>
      <c r="AT2760" s="56"/>
      <c r="AU2760" s="56"/>
      <c r="AV2760" s="56"/>
      <c r="AW2760" s="56"/>
      <c r="AX2760" s="56"/>
      <c r="AY2760" s="56"/>
      <c r="AZ2760" s="56"/>
      <c r="BA2760" s="56"/>
      <c r="BB2760" s="16"/>
      <c r="BC2760" s="56"/>
      <c r="BD2760" s="56"/>
      <c r="BE2760" s="56"/>
      <c r="BF2760" s="56"/>
      <c r="BG2760" s="56"/>
      <c r="BH2760" s="56"/>
      <c r="BI2760" s="56"/>
      <c r="BJ2760" s="56"/>
      <c r="BK2760" s="56"/>
      <c r="BL2760" s="56"/>
      <c r="BM2760" s="56"/>
      <c r="BN2760" s="56"/>
      <c r="BO2760" s="56"/>
      <c r="BP2760" s="56"/>
      <c r="BQ2760" s="56"/>
      <c r="BR2760" s="56"/>
      <c r="BS2760" s="56"/>
      <c r="BT2760" s="56"/>
      <c r="BU2760" s="56"/>
      <c r="BV2760" s="56"/>
      <c r="BW2760" s="56"/>
      <c r="BX2760" s="56"/>
      <c r="BY2760" s="56"/>
      <c r="BZ2760" s="56"/>
      <c r="CA2760" s="56"/>
      <c r="CB2760" s="56"/>
      <c r="CC2760" s="56"/>
      <c r="CD2760" s="56"/>
      <c r="CE2760" s="56"/>
      <c r="CF2760" s="56"/>
      <c r="CG2760" s="56"/>
      <c r="CH2760" s="56"/>
      <c r="CI2760" s="56"/>
      <c r="CJ2760" s="56"/>
      <c r="CK2760" s="56"/>
      <c r="CL2760" s="56"/>
      <c r="CM2760" s="56"/>
      <c r="CN2760" s="56"/>
      <c r="CO2760" s="56"/>
      <c r="CP2760" s="56"/>
      <c r="CQ2760" s="56"/>
      <c r="CR2760" s="56"/>
      <c r="CS2760" s="56"/>
      <c r="CT2760" s="56"/>
      <c r="CU2760" s="56"/>
      <c r="CV2760" s="56"/>
      <c r="CW2760" s="56"/>
      <c r="CX2760" s="56"/>
      <c r="CY2760" s="56"/>
      <c r="CZ2760" s="56"/>
    </row>
    <row r="2761" spans="27:104" s="5" customFormat="1" x14ac:dyDescent="0.25">
      <c r="AA2761" s="56"/>
      <c r="AB2761" s="56"/>
      <c r="AC2761" s="56"/>
      <c r="AD2761" s="56"/>
      <c r="AE2761" s="56"/>
      <c r="AF2761" s="56"/>
      <c r="AG2761" s="56"/>
      <c r="AH2761" s="56"/>
      <c r="AI2761" s="56"/>
      <c r="AJ2761" s="56"/>
      <c r="AK2761" s="56"/>
      <c r="AL2761" s="56"/>
      <c r="AM2761" s="56"/>
      <c r="AN2761" s="56"/>
      <c r="AO2761" s="56"/>
      <c r="AP2761" s="56"/>
      <c r="AQ2761" s="56"/>
      <c r="AR2761" s="56"/>
      <c r="AS2761" s="56"/>
      <c r="AT2761" s="56"/>
      <c r="AU2761" s="56"/>
      <c r="AV2761" s="56"/>
      <c r="AW2761" s="56"/>
      <c r="AX2761" s="56"/>
      <c r="AY2761" s="56"/>
      <c r="AZ2761" s="56"/>
      <c r="BA2761" s="56"/>
      <c r="BB2761" s="16"/>
      <c r="BC2761" s="56"/>
      <c r="BD2761" s="56"/>
      <c r="BE2761" s="56"/>
      <c r="BF2761" s="56"/>
      <c r="BG2761" s="56"/>
      <c r="BH2761" s="56"/>
      <c r="BI2761" s="56"/>
      <c r="BJ2761" s="56"/>
      <c r="BK2761" s="56"/>
      <c r="BL2761" s="56"/>
      <c r="BM2761" s="56"/>
      <c r="BN2761" s="56"/>
      <c r="BO2761" s="56"/>
      <c r="BP2761" s="56"/>
      <c r="BQ2761" s="56"/>
      <c r="BR2761" s="56"/>
      <c r="BS2761" s="56"/>
      <c r="BT2761" s="56"/>
      <c r="BU2761" s="56"/>
      <c r="BV2761" s="56"/>
      <c r="BW2761" s="56"/>
      <c r="BX2761" s="56"/>
      <c r="BY2761" s="56"/>
      <c r="BZ2761" s="56"/>
      <c r="CA2761" s="56"/>
      <c r="CB2761" s="56"/>
      <c r="CC2761" s="56"/>
      <c r="CD2761" s="56"/>
      <c r="CE2761" s="56"/>
      <c r="CF2761" s="56"/>
      <c r="CG2761" s="56"/>
      <c r="CH2761" s="56"/>
      <c r="CI2761" s="56"/>
      <c r="CJ2761" s="56"/>
      <c r="CK2761" s="56"/>
      <c r="CL2761" s="56"/>
      <c r="CM2761" s="56"/>
      <c r="CN2761" s="56"/>
      <c r="CO2761" s="56"/>
      <c r="CP2761" s="56"/>
      <c r="CQ2761" s="56"/>
      <c r="CR2761" s="56"/>
      <c r="CS2761" s="56"/>
      <c r="CT2761" s="56"/>
      <c r="CU2761" s="56"/>
      <c r="CV2761" s="56"/>
      <c r="CW2761" s="56"/>
      <c r="CX2761" s="56"/>
      <c r="CY2761" s="56"/>
      <c r="CZ2761" s="56"/>
    </row>
    <row r="2762" spans="27:104" s="5" customFormat="1" x14ac:dyDescent="0.25">
      <c r="AA2762" s="56"/>
      <c r="AB2762" s="56"/>
      <c r="AC2762" s="56"/>
      <c r="AD2762" s="56"/>
      <c r="AE2762" s="56"/>
      <c r="AF2762" s="56"/>
      <c r="AG2762" s="56"/>
      <c r="AH2762" s="56"/>
      <c r="AI2762" s="56"/>
      <c r="AJ2762" s="56"/>
      <c r="AK2762" s="56"/>
      <c r="AL2762" s="56"/>
      <c r="AM2762" s="56"/>
      <c r="AN2762" s="56"/>
      <c r="AO2762" s="56"/>
      <c r="AP2762" s="56"/>
      <c r="AQ2762" s="56"/>
      <c r="AR2762" s="56"/>
      <c r="AS2762" s="56"/>
      <c r="AT2762" s="56"/>
      <c r="AU2762" s="56"/>
      <c r="AV2762" s="56"/>
      <c r="AW2762" s="56"/>
      <c r="AX2762" s="56"/>
      <c r="AY2762" s="56"/>
      <c r="AZ2762" s="56"/>
      <c r="BA2762" s="56"/>
      <c r="BB2762" s="16"/>
      <c r="BC2762" s="56"/>
      <c r="BD2762" s="56"/>
      <c r="BE2762" s="56"/>
      <c r="BF2762" s="56"/>
      <c r="BG2762" s="56"/>
      <c r="BH2762" s="56"/>
      <c r="BI2762" s="56"/>
      <c r="BJ2762" s="56"/>
      <c r="BK2762" s="56"/>
      <c r="BL2762" s="56"/>
      <c r="BM2762" s="56"/>
      <c r="BN2762" s="56"/>
      <c r="BO2762" s="56"/>
      <c r="BP2762" s="56"/>
      <c r="BQ2762" s="56"/>
      <c r="BR2762" s="56"/>
      <c r="BS2762" s="56"/>
      <c r="BT2762" s="56"/>
      <c r="BU2762" s="56"/>
      <c r="BV2762" s="56"/>
      <c r="BW2762" s="56"/>
      <c r="BX2762" s="56"/>
      <c r="BY2762" s="56"/>
      <c r="BZ2762" s="56"/>
      <c r="CA2762" s="56"/>
      <c r="CB2762" s="56"/>
      <c r="CC2762" s="56"/>
      <c r="CD2762" s="56"/>
      <c r="CE2762" s="56"/>
      <c r="CF2762" s="56"/>
      <c r="CG2762" s="56"/>
      <c r="CH2762" s="56"/>
      <c r="CI2762" s="56"/>
      <c r="CJ2762" s="56"/>
      <c r="CK2762" s="56"/>
      <c r="CL2762" s="56"/>
      <c r="CM2762" s="56"/>
      <c r="CN2762" s="56"/>
      <c r="CO2762" s="56"/>
      <c r="CP2762" s="56"/>
      <c r="CQ2762" s="56"/>
      <c r="CR2762" s="56"/>
      <c r="CS2762" s="56"/>
      <c r="CT2762" s="56"/>
      <c r="CU2762" s="56"/>
      <c r="CV2762" s="56"/>
      <c r="CW2762" s="56"/>
      <c r="CX2762" s="56"/>
      <c r="CY2762" s="56"/>
      <c r="CZ2762" s="56"/>
    </row>
    <row r="2763" spans="27:104" s="5" customFormat="1" x14ac:dyDescent="0.25">
      <c r="AA2763" s="56"/>
      <c r="AB2763" s="56"/>
      <c r="AC2763" s="56"/>
      <c r="AD2763" s="56"/>
      <c r="AE2763" s="56"/>
      <c r="AF2763" s="56"/>
      <c r="AG2763" s="56"/>
      <c r="AH2763" s="56"/>
      <c r="AI2763" s="56"/>
      <c r="AJ2763" s="56"/>
      <c r="AK2763" s="56"/>
      <c r="AL2763" s="56"/>
      <c r="AM2763" s="56"/>
      <c r="AN2763" s="56"/>
      <c r="AO2763" s="56"/>
      <c r="AP2763" s="56"/>
      <c r="AQ2763" s="56"/>
      <c r="AR2763" s="56"/>
      <c r="AS2763" s="56"/>
      <c r="AT2763" s="56"/>
      <c r="AU2763" s="56"/>
      <c r="AV2763" s="56"/>
      <c r="AW2763" s="56"/>
      <c r="AX2763" s="56"/>
      <c r="AY2763" s="56"/>
      <c r="AZ2763" s="56"/>
      <c r="BA2763" s="56"/>
      <c r="BB2763" s="16"/>
      <c r="BC2763" s="56"/>
      <c r="BD2763" s="56"/>
      <c r="BE2763" s="56"/>
      <c r="BF2763" s="56"/>
      <c r="BG2763" s="56"/>
      <c r="BH2763" s="56"/>
      <c r="BI2763" s="56"/>
      <c r="BJ2763" s="56"/>
      <c r="BK2763" s="56"/>
      <c r="BL2763" s="56"/>
      <c r="BM2763" s="56"/>
      <c r="BN2763" s="56"/>
      <c r="BO2763" s="56"/>
      <c r="BP2763" s="56"/>
      <c r="BQ2763" s="56"/>
      <c r="BR2763" s="56"/>
      <c r="BS2763" s="56"/>
      <c r="BT2763" s="56"/>
      <c r="BU2763" s="56"/>
      <c r="BV2763" s="56"/>
      <c r="BW2763" s="56"/>
      <c r="BX2763" s="56"/>
      <c r="BY2763" s="56"/>
      <c r="BZ2763" s="56"/>
      <c r="CA2763" s="56"/>
      <c r="CB2763" s="56"/>
      <c r="CC2763" s="56"/>
      <c r="CD2763" s="56"/>
      <c r="CE2763" s="56"/>
      <c r="CF2763" s="56"/>
      <c r="CG2763" s="56"/>
      <c r="CH2763" s="56"/>
      <c r="CI2763" s="56"/>
      <c r="CJ2763" s="56"/>
      <c r="CK2763" s="56"/>
      <c r="CL2763" s="56"/>
      <c r="CM2763" s="56"/>
      <c r="CN2763" s="56"/>
      <c r="CO2763" s="56"/>
      <c r="CP2763" s="56"/>
      <c r="CQ2763" s="56"/>
      <c r="CR2763" s="56"/>
      <c r="CS2763" s="56"/>
      <c r="CT2763" s="56"/>
      <c r="CU2763" s="56"/>
      <c r="CV2763" s="56"/>
      <c r="CW2763" s="56"/>
      <c r="CX2763" s="56"/>
      <c r="CY2763" s="56"/>
      <c r="CZ2763" s="56"/>
    </row>
    <row r="2764" spans="27:104" s="5" customFormat="1" x14ac:dyDescent="0.25">
      <c r="AA2764" s="56"/>
      <c r="AB2764" s="56"/>
      <c r="AC2764" s="56"/>
      <c r="AD2764" s="56"/>
      <c r="AE2764" s="56"/>
      <c r="AF2764" s="56"/>
      <c r="AG2764" s="56"/>
      <c r="AH2764" s="56"/>
      <c r="AI2764" s="56"/>
      <c r="AJ2764" s="56"/>
      <c r="AK2764" s="56"/>
      <c r="AL2764" s="56"/>
      <c r="AM2764" s="56"/>
      <c r="AN2764" s="56"/>
      <c r="AO2764" s="56"/>
      <c r="AP2764" s="56"/>
      <c r="AQ2764" s="56"/>
      <c r="AR2764" s="56"/>
      <c r="AS2764" s="56"/>
      <c r="AT2764" s="56"/>
      <c r="AU2764" s="56"/>
      <c r="AV2764" s="56"/>
      <c r="AW2764" s="56"/>
      <c r="AX2764" s="56"/>
      <c r="AY2764" s="56"/>
      <c r="AZ2764" s="56"/>
      <c r="BA2764" s="56"/>
      <c r="BB2764" s="16"/>
      <c r="BC2764" s="56"/>
      <c r="BD2764" s="56"/>
      <c r="BE2764" s="56"/>
      <c r="BF2764" s="56"/>
      <c r="BG2764" s="56"/>
      <c r="BH2764" s="56"/>
      <c r="BI2764" s="56"/>
      <c r="BJ2764" s="56"/>
      <c r="BK2764" s="56"/>
      <c r="BL2764" s="56"/>
      <c r="BM2764" s="56"/>
      <c r="BN2764" s="56"/>
      <c r="BO2764" s="56"/>
      <c r="BP2764" s="56"/>
      <c r="BQ2764" s="56"/>
      <c r="BR2764" s="56"/>
      <c r="BS2764" s="56"/>
      <c r="BT2764" s="56"/>
      <c r="BU2764" s="56"/>
      <c r="BV2764" s="56"/>
      <c r="BW2764" s="56"/>
      <c r="BX2764" s="56"/>
      <c r="BY2764" s="56"/>
      <c r="BZ2764" s="56"/>
      <c r="CA2764" s="56"/>
      <c r="CB2764" s="56"/>
      <c r="CC2764" s="56"/>
      <c r="CD2764" s="56"/>
      <c r="CE2764" s="56"/>
      <c r="CF2764" s="56"/>
      <c r="CG2764" s="56"/>
      <c r="CH2764" s="56"/>
      <c r="CI2764" s="56"/>
      <c r="CJ2764" s="56"/>
      <c r="CK2764" s="56"/>
      <c r="CL2764" s="56"/>
      <c r="CM2764" s="56"/>
      <c r="CN2764" s="56"/>
      <c r="CO2764" s="56"/>
      <c r="CP2764" s="56"/>
      <c r="CQ2764" s="56"/>
      <c r="CR2764" s="56"/>
      <c r="CS2764" s="56"/>
      <c r="CT2764" s="56"/>
      <c r="CU2764" s="56"/>
      <c r="CV2764" s="56"/>
      <c r="CW2764" s="56"/>
      <c r="CX2764" s="56"/>
      <c r="CY2764" s="56"/>
      <c r="CZ2764" s="56"/>
    </row>
    <row r="2765" spans="27:104" s="5" customFormat="1" x14ac:dyDescent="0.25">
      <c r="AA2765" s="56"/>
      <c r="AB2765" s="56"/>
      <c r="AC2765" s="56"/>
      <c r="AD2765" s="56"/>
      <c r="AE2765" s="56"/>
      <c r="AF2765" s="56"/>
      <c r="AG2765" s="56"/>
      <c r="AH2765" s="56"/>
      <c r="AI2765" s="56"/>
      <c r="AJ2765" s="56"/>
      <c r="AK2765" s="56"/>
      <c r="AL2765" s="56"/>
      <c r="AM2765" s="56"/>
      <c r="AN2765" s="56"/>
      <c r="AO2765" s="56"/>
      <c r="AP2765" s="56"/>
      <c r="AQ2765" s="56"/>
      <c r="AR2765" s="56"/>
      <c r="AS2765" s="56"/>
      <c r="AT2765" s="56"/>
      <c r="AU2765" s="56"/>
      <c r="AV2765" s="56"/>
      <c r="AW2765" s="56"/>
      <c r="AX2765" s="56"/>
      <c r="AY2765" s="56"/>
      <c r="AZ2765" s="56"/>
      <c r="BA2765" s="56"/>
      <c r="BB2765" s="16"/>
      <c r="BC2765" s="56"/>
      <c r="BD2765" s="56"/>
      <c r="BE2765" s="56"/>
      <c r="BF2765" s="56"/>
      <c r="BG2765" s="56"/>
      <c r="BH2765" s="56"/>
      <c r="BI2765" s="56"/>
      <c r="BJ2765" s="56"/>
      <c r="BK2765" s="56"/>
      <c r="BL2765" s="56"/>
      <c r="BM2765" s="56"/>
      <c r="BN2765" s="56"/>
      <c r="BO2765" s="56"/>
      <c r="BP2765" s="56"/>
      <c r="BQ2765" s="56"/>
      <c r="BR2765" s="56"/>
      <c r="BS2765" s="56"/>
      <c r="BT2765" s="56"/>
      <c r="BU2765" s="56"/>
      <c r="BV2765" s="56"/>
      <c r="BW2765" s="56"/>
      <c r="BX2765" s="56"/>
      <c r="BY2765" s="56"/>
      <c r="BZ2765" s="56"/>
      <c r="CA2765" s="56"/>
      <c r="CB2765" s="56"/>
      <c r="CC2765" s="56"/>
      <c r="CD2765" s="56"/>
      <c r="CE2765" s="56"/>
      <c r="CF2765" s="56"/>
      <c r="CG2765" s="56"/>
      <c r="CH2765" s="56"/>
      <c r="CI2765" s="56"/>
      <c r="CJ2765" s="56"/>
      <c r="CK2765" s="56"/>
      <c r="CL2765" s="56"/>
      <c r="CM2765" s="56"/>
      <c r="CN2765" s="56"/>
      <c r="CO2765" s="56"/>
      <c r="CP2765" s="56"/>
      <c r="CQ2765" s="56"/>
      <c r="CR2765" s="56"/>
      <c r="CS2765" s="56"/>
      <c r="CT2765" s="56"/>
      <c r="CU2765" s="56"/>
      <c r="CV2765" s="56"/>
      <c r="CW2765" s="56"/>
      <c r="CX2765" s="56"/>
      <c r="CY2765" s="56"/>
      <c r="CZ2765" s="56"/>
    </row>
    <row r="2766" spans="27:104" s="5" customFormat="1" x14ac:dyDescent="0.25">
      <c r="AA2766" s="56"/>
      <c r="AB2766" s="56"/>
      <c r="AC2766" s="56"/>
      <c r="AD2766" s="56"/>
      <c r="AE2766" s="56"/>
      <c r="AF2766" s="56"/>
      <c r="AG2766" s="56"/>
      <c r="AH2766" s="56"/>
      <c r="AI2766" s="56"/>
      <c r="AJ2766" s="56"/>
      <c r="AK2766" s="56"/>
      <c r="AL2766" s="56"/>
      <c r="AM2766" s="56"/>
      <c r="AN2766" s="56"/>
      <c r="AO2766" s="56"/>
      <c r="AP2766" s="56"/>
      <c r="AQ2766" s="56"/>
      <c r="AR2766" s="56"/>
      <c r="AS2766" s="56"/>
      <c r="AT2766" s="56"/>
      <c r="AU2766" s="56"/>
      <c r="AV2766" s="56"/>
      <c r="AW2766" s="56"/>
      <c r="AX2766" s="56"/>
      <c r="AY2766" s="56"/>
      <c r="AZ2766" s="56"/>
      <c r="BA2766" s="56"/>
      <c r="BB2766" s="16"/>
      <c r="BC2766" s="56"/>
      <c r="BD2766" s="56"/>
      <c r="BE2766" s="56"/>
      <c r="BF2766" s="56"/>
      <c r="BG2766" s="56"/>
      <c r="BH2766" s="56"/>
      <c r="BI2766" s="56"/>
      <c r="BJ2766" s="56"/>
      <c r="BK2766" s="56"/>
      <c r="BL2766" s="56"/>
      <c r="BM2766" s="56"/>
      <c r="BN2766" s="56"/>
      <c r="BO2766" s="56"/>
      <c r="BP2766" s="56"/>
      <c r="BQ2766" s="56"/>
      <c r="BR2766" s="56"/>
      <c r="BS2766" s="56"/>
      <c r="BT2766" s="56"/>
      <c r="BU2766" s="56"/>
      <c r="BV2766" s="56"/>
      <c r="BW2766" s="56"/>
      <c r="BX2766" s="56"/>
      <c r="BY2766" s="56"/>
      <c r="BZ2766" s="56"/>
      <c r="CA2766" s="56"/>
      <c r="CB2766" s="56"/>
      <c r="CC2766" s="56"/>
      <c r="CD2766" s="56"/>
      <c r="CE2766" s="56"/>
      <c r="CF2766" s="56"/>
      <c r="CG2766" s="56"/>
      <c r="CH2766" s="56"/>
      <c r="CI2766" s="56"/>
      <c r="CJ2766" s="56"/>
      <c r="CK2766" s="56"/>
      <c r="CL2766" s="56"/>
      <c r="CM2766" s="56"/>
      <c r="CN2766" s="56"/>
      <c r="CO2766" s="56"/>
      <c r="CP2766" s="56"/>
      <c r="CQ2766" s="56"/>
      <c r="CR2766" s="56"/>
      <c r="CS2766" s="56"/>
      <c r="CT2766" s="56"/>
      <c r="CU2766" s="56"/>
      <c r="CV2766" s="56"/>
      <c r="CW2766" s="56"/>
      <c r="CX2766" s="56"/>
      <c r="CY2766" s="56"/>
      <c r="CZ2766" s="56"/>
    </row>
    <row r="2767" spans="27:104" s="5" customFormat="1" x14ac:dyDescent="0.25">
      <c r="AA2767" s="56"/>
      <c r="AB2767" s="56"/>
      <c r="AC2767" s="56"/>
      <c r="AD2767" s="56"/>
      <c r="AE2767" s="56"/>
      <c r="AF2767" s="56"/>
      <c r="AG2767" s="56"/>
      <c r="AH2767" s="56"/>
      <c r="AI2767" s="56"/>
      <c r="AJ2767" s="56"/>
      <c r="AK2767" s="56"/>
      <c r="AL2767" s="56"/>
      <c r="AM2767" s="56"/>
      <c r="AN2767" s="56"/>
      <c r="AO2767" s="56"/>
      <c r="AP2767" s="56"/>
      <c r="AQ2767" s="56"/>
      <c r="AR2767" s="56"/>
      <c r="AS2767" s="56"/>
      <c r="AT2767" s="56"/>
      <c r="AU2767" s="56"/>
      <c r="AV2767" s="56"/>
      <c r="AW2767" s="56"/>
      <c r="AX2767" s="56"/>
      <c r="AY2767" s="56"/>
      <c r="AZ2767" s="56"/>
      <c r="BA2767" s="56"/>
      <c r="BB2767" s="16"/>
      <c r="BC2767" s="56"/>
      <c r="BD2767" s="56"/>
      <c r="BE2767" s="56"/>
      <c r="BF2767" s="56"/>
      <c r="BG2767" s="56"/>
      <c r="BH2767" s="56"/>
      <c r="BI2767" s="56"/>
      <c r="BJ2767" s="56"/>
      <c r="BK2767" s="56"/>
      <c r="BL2767" s="56"/>
      <c r="BM2767" s="56"/>
      <c r="BN2767" s="56"/>
      <c r="BO2767" s="56"/>
      <c r="BP2767" s="56"/>
      <c r="BQ2767" s="56"/>
      <c r="BR2767" s="56"/>
      <c r="BS2767" s="56"/>
      <c r="BT2767" s="56"/>
      <c r="BU2767" s="56"/>
      <c r="BV2767" s="56"/>
      <c r="BW2767" s="56"/>
      <c r="BX2767" s="56"/>
      <c r="BY2767" s="56"/>
      <c r="BZ2767" s="56"/>
      <c r="CA2767" s="56"/>
      <c r="CB2767" s="56"/>
      <c r="CC2767" s="56"/>
      <c r="CD2767" s="56"/>
      <c r="CE2767" s="56"/>
      <c r="CF2767" s="56"/>
      <c r="CG2767" s="56"/>
      <c r="CH2767" s="56"/>
      <c r="CI2767" s="56"/>
      <c r="CJ2767" s="56"/>
      <c r="CK2767" s="56"/>
      <c r="CL2767" s="56"/>
      <c r="CM2767" s="56"/>
      <c r="CN2767" s="56"/>
      <c r="CO2767" s="56"/>
      <c r="CP2767" s="56"/>
      <c r="CQ2767" s="56"/>
      <c r="CR2767" s="56"/>
      <c r="CS2767" s="56"/>
      <c r="CT2767" s="56"/>
      <c r="CU2767" s="56"/>
      <c r="CV2767" s="56"/>
      <c r="CW2767" s="56"/>
      <c r="CX2767" s="56"/>
      <c r="CY2767" s="56"/>
      <c r="CZ2767" s="56"/>
    </row>
    <row r="2768" spans="27:104" s="5" customFormat="1" x14ac:dyDescent="0.25">
      <c r="AA2768" s="56"/>
      <c r="AB2768" s="56"/>
      <c r="AC2768" s="56"/>
      <c r="AD2768" s="56"/>
      <c r="AE2768" s="56"/>
      <c r="AF2768" s="56"/>
      <c r="AG2768" s="56"/>
      <c r="AH2768" s="56"/>
      <c r="AI2768" s="56"/>
      <c r="AJ2768" s="56"/>
      <c r="AK2768" s="56"/>
      <c r="AL2768" s="56"/>
      <c r="AM2768" s="56"/>
      <c r="AN2768" s="56"/>
      <c r="AO2768" s="56"/>
      <c r="AP2768" s="56"/>
      <c r="AQ2768" s="56"/>
      <c r="AR2768" s="56"/>
      <c r="AS2768" s="56"/>
      <c r="AT2768" s="56"/>
      <c r="AU2768" s="56"/>
      <c r="AV2768" s="56"/>
      <c r="AW2768" s="56"/>
      <c r="AX2768" s="56"/>
      <c r="AY2768" s="56"/>
      <c r="AZ2768" s="56"/>
      <c r="BA2768" s="56"/>
      <c r="BB2768" s="16"/>
      <c r="BC2768" s="56"/>
      <c r="BD2768" s="56"/>
      <c r="BE2768" s="56"/>
      <c r="BF2768" s="56"/>
      <c r="BG2768" s="56"/>
      <c r="BH2768" s="56"/>
      <c r="BI2768" s="56"/>
      <c r="BJ2768" s="56"/>
      <c r="BK2768" s="56"/>
      <c r="BL2768" s="56"/>
      <c r="BM2768" s="56"/>
      <c r="BN2768" s="56"/>
      <c r="BO2768" s="56"/>
      <c r="BP2768" s="56"/>
      <c r="BQ2768" s="56"/>
      <c r="BR2768" s="56"/>
      <c r="BS2768" s="56"/>
      <c r="BT2768" s="56"/>
      <c r="BU2768" s="56"/>
      <c r="BV2768" s="56"/>
      <c r="BW2768" s="56"/>
      <c r="BX2768" s="56"/>
      <c r="BY2768" s="56"/>
      <c r="BZ2768" s="56"/>
      <c r="CA2768" s="56"/>
      <c r="CB2768" s="56"/>
      <c r="CC2768" s="56"/>
      <c r="CD2768" s="56"/>
      <c r="CE2768" s="56"/>
      <c r="CF2768" s="56"/>
      <c r="CG2768" s="56"/>
      <c r="CH2768" s="56"/>
      <c r="CI2768" s="56"/>
      <c r="CJ2768" s="56"/>
      <c r="CK2768" s="56"/>
      <c r="CL2768" s="56"/>
      <c r="CM2768" s="56"/>
      <c r="CN2768" s="56"/>
      <c r="CO2768" s="56"/>
      <c r="CP2768" s="56"/>
      <c r="CQ2768" s="56"/>
      <c r="CR2768" s="56"/>
      <c r="CS2768" s="56"/>
      <c r="CT2768" s="56"/>
      <c r="CU2768" s="56"/>
      <c r="CV2768" s="56"/>
      <c r="CW2768" s="56"/>
      <c r="CX2768" s="56"/>
      <c r="CY2768" s="56"/>
      <c r="CZ2768" s="56"/>
    </row>
    <row r="2769" spans="27:104" s="5" customFormat="1" x14ac:dyDescent="0.25">
      <c r="AA2769" s="56"/>
      <c r="AB2769" s="56"/>
      <c r="AC2769" s="56"/>
      <c r="AD2769" s="56"/>
      <c r="AE2769" s="56"/>
      <c r="AF2769" s="56"/>
      <c r="AG2769" s="56"/>
      <c r="AH2769" s="56"/>
      <c r="AI2769" s="56"/>
      <c r="AJ2769" s="56"/>
      <c r="AK2769" s="56"/>
      <c r="AL2769" s="56"/>
      <c r="AM2769" s="56"/>
      <c r="AN2769" s="56"/>
      <c r="AO2769" s="56"/>
      <c r="AP2769" s="56"/>
      <c r="AQ2769" s="56"/>
      <c r="AR2769" s="56"/>
      <c r="AS2769" s="56"/>
      <c r="AT2769" s="56"/>
      <c r="AU2769" s="56"/>
      <c r="AV2769" s="56"/>
      <c r="AW2769" s="56"/>
      <c r="AX2769" s="56"/>
      <c r="AY2769" s="56"/>
      <c r="AZ2769" s="56"/>
      <c r="BA2769" s="56"/>
      <c r="BB2769" s="16"/>
      <c r="BC2769" s="56"/>
      <c r="BD2769" s="56"/>
      <c r="BE2769" s="56"/>
      <c r="BF2769" s="56"/>
      <c r="BG2769" s="56"/>
      <c r="BH2769" s="56"/>
      <c r="BI2769" s="56"/>
      <c r="BJ2769" s="56"/>
      <c r="BK2769" s="56"/>
      <c r="BL2769" s="56"/>
      <c r="BM2769" s="56"/>
      <c r="BN2769" s="56"/>
      <c r="BO2769" s="56"/>
      <c r="BP2769" s="56"/>
      <c r="BQ2769" s="56"/>
      <c r="BR2769" s="56"/>
      <c r="BS2769" s="56"/>
      <c r="BT2769" s="56"/>
      <c r="BU2769" s="56"/>
      <c r="BV2769" s="56"/>
      <c r="BW2769" s="56"/>
      <c r="BX2769" s="56"/>
      <c r="BY2769" s="56"/>
      <c r="BZ2769" s="56"/>
      <c r="CA2769" s="56"/>
      <c r="CB2769" s="56"/>
      <c r="CC2769" s="56"/>
      <c r="CD2769" s="56"/>
      <c r="CE2769" s="56"/>
      <c r="CF2769" s="56"/>
      <c r="CG2769" s="56"/>
      <c r="CH2769" s="56"/>
      <c r="CI2769" s="56"/>
      <c r="CJ2769" s="56"/>
      <c r="CK2769" s="56"/>
      <c r="CL2769" s="56"/>
      <c r="CM2769" s="56"/>
      <c r="CN2769" s="56"/>
      <c r="CO2769" s="56"/>
      <c r="CP2769" s="56"/>
      <c r="CQ2769" s="56"/>
      <c r="CR2769" s="56"/>
      <c r="CS2769" s="56"/>
      <c r="CT2769" s="56"/>
      <c r="CU2769" s="56"/>
      <c r="CV2769" s="56"/>
      <c r="CW2769" s="56"/>
      <c r="CX2769" s="56"/>
      <c r="CY2769" s="56"/>
      <c r="CZ2769" s="56"/>
    </row>
    <row r="2770" spans="27:104" s="5" customFormat="1" x14ac:dyDescent="0.25">
      <c r="AA2770" s="56"/>
      <c r="AB2770" s="56"/>
      <c r="AC2770" s="56"/>
      <c r="AD2770" s="56"/>
      <c r="AE2770" s="56"/>
      <c r="AF2770" s="56"/>
      <c r="AG2770" s="56"/>
      <c r="AH2770" s="56"/>
      <c r="AI2770" s="56"/>
      <c r="AJ2770" s="56"/>
      <c r="AK2770" s="56"/>
      <c r="AL2770" s="56"/>
      <c r="AM2770" s="56"/>
      <c r="AN2770" s="56"/>
      <c r="AO2770" s="56"/>
      <c r="AP2770" s="56"/>
      <c r="AQ2770" s="56"/>
      <c r="AR2770" s="56"/>
      <c r="AS2770" s="56"/>
      <c r="AT2770" s="56"/>
      <c r="AU2770" s="56"/>
      <c r="AV2770" s="56"/>
      <c r="AW2770" s="56"/>
      <c r="AX2770" s="56"/>
      <c r="AY2770" s="56"/>
      <c r="AZ2770" s="56"/>
      <c r="BA2770" s="56"/>
      <c r="BB2770" s="16"/>
      <c r="BC2770" s="56"/>
      <c r="BD2770" s="56"/>
      <c r="BE2770" s="56"/>
      <c r="BF2770" s="56"/>
      <c r="BG2770" s="56"/>
      <c r="BH2770" s="56"/>
      <c r="BI2770" s="56"/>
      <c r="BJ2770" s="56"/>
      <c r="BK2770" s="56"/>
      <c r="BL2770" s="56"/>
      <c r="BM2770" s="56"/>
      <c r="BN2770" s="56"/>
      <c r="BO2770" s="56"/>
      <c r="BP2770" s="56"/>
      <c r="BQ2770" s="56"/>
      <c r="BR2770" s="56"/>
      <c r="BS2770" s="56"/>
      <c r="BT2770" s="56"/>
      <c r="BU2770" s="56"/>
      <c r="BV2770" s="56"/>
      <c r="BW2770" s="56"/>
      <c r="BX2770" s="56"/>
      <c r="BY2770" s="56"/>
      <c r="BZ2770" s="56"/>
      <c r="CA2770" s="56"/>
      <c r="CB2770" s="56"/>
      <c r="CC2770" s="56"/>
      <c r="CD2770" s="56"/>
      <c r="CE2770" s="56"/>
      <c r="CF2770" s="56"/>
      <c r="CG2770" s="56"/>
      <c r="CH2770" s="56"/>
      <c r="CI2770" s="56"/>
      <c r="CJ2770" s="56"/>
      <c r="CK2770" s="56"/>
      <c r="CL2770" s="56"/>
      <c r="CM2770" s="56"/>
      <c r="CN2770" s="56"/>
      <c r="CO2770" s="56"/>
      <c r="CP2770" s="56"/>
      <c r="CQ2770" s="56"/>
      <c r="CR2770" s="56"/>
      <c r="CS2770" s="56"/>
      <c r="CT2770" s="56"/>
      <c r="CU2770" s="56"/>
      <c r="CV2770" s="56"/>
      <c r="CW2770" s="56"/>
      <c r="CX2770" s="56"/>
      <c r="CY2770" s="56"/>
      <c r="CZ2770" s="56"/>
    </row>
    <row r="2771" spans="27:104" s="5" customFormat="1" x14ac:dyDescent="0.25">
      <c r="AA2771" s="56"/>
      <c r="AB2771" s="56"/>
      <c r="AC2771" s="56"/>
      <c r="AD2771" s="56"/>
      <c r="AE2771" s="56"/>
      <c r="AF2771" s="56"/>
      <c r="AG2771" s="56"/>
      <c r="AH2771" s="56"/>
      <c r="AI2771" s="56"/>
      <c r="AJ2771" s="56"/>
      <c r="AK2771" s="56"/>
      <c r="AL2771" s="56"/>
      <c r="AM2771" s="56"/>
      <c r="AN2771" s="56"/>
      <c r="AO2771" s="56"/>
      <c r="AP2771" s="56"/>
      <c r="AQ2771" s="56"/>
      <c r="AR2771" s="56"/>
      <c r="AS2771" s="56"/>
      <c r="AT2771" s="56"/>
      <c r="AU2771" s="56"/>
      <c r="AV2771" s="56"/>
      <c r="AW2771" s="56"/>
      <c r="AX2771" s="56"/>
      <c r="AY2771" s="56"/>
      <c r="AZ2771" s="56"/>
      <c r="BA2771" s="56"/>
      <c r="BB2771" s="16"/>
      <c r="BC2771" s="56"/>
      <c r="BD2771" s="56"/>
      <c r="BE2771" s="56"/>
      <c r="BF2771" s="56"/>
      <c r="BG2771" s="56"/>
      <c r="BH2771" s="56"/>
      <c r="BI2771" s="56"/>
      <c r="BJ2771" s="56"/>
      <c r="BK2771" s="56"/>
      <c r="BL2771" s="56"/>
      <c r="BM2771" s="56"/>
      <c r="BN2771" s="56"/>
      <c r="BO2771" s="56"/>
      <c r="BP2771" s="56"/>
      <c r="BQ2771" s="56"/>
      <c r="BR2771" s="56"/>
      <c r="BS2771" s="56"/>
      <c r="BT2771" s="56"/>
      <c r="BU2771" s="56"/>
      <c r="BV2771" s="56"/>
      <c r="BW2771" s="56"/>
      <c r="BX2771" s="56"/>
      <c r="BY2771" s="56"/>
      <c r="BZ2771" s="56"/>
      <c r="CA2771" s="56"/>
      <c r="CB2771" s="56"/>
      <c r="CC2771" s="56"/>
      <c r="CD2771" s="56"/>
      <c r="CE2771" s="56"/>
      <c r="CF2771" s="56"/>
      <c r="CG2771" s="56"/>
      <c r="CH2771" s="56"/>
      <c r="CI2771" s="56"/>
      <c r="CJ2771" s="56"/>
      <c r="CK2771" s="56"/>
      <c r="CL2771" s="56"/>
      <c r="CM2771" s="56"/>
      <c r="CN2771" s="56"/>
      <c r="CO2771" s="56"/>
      <c r="CP2771" s="56"/>
      <c r="CQ2771" s="56"/>
      <c r="CR2771" s="56"/>
      <c r="CS2771" s="56"/>
      <c r="CT2771" s="56"/>
      <c r="CU2771" s="56"/>
      <c r="CV2771" s="56"/>
      <c r="CW2771" s="56"/>
      <c r="CX2771" s="56"/>
      <c r="CY2771" s="56"/>
      <c r="CZ2771" s="56"/>
    </row>
    <row r="2772" spans="27:104" s="5" customFormat="1" x14ac:dyDescent="0.25">
      <c r="AA2772" s="56"/>
      <c r="AB2772" s="56"/>
      <c r="AC2772" s="56"/>
      <c r="AD2772" s="56"/>
      <c r="AE2772" s="56"/>
      <c r="AF2772" s="56"/>
      <c r="AG2772" s="56"/>
      <c r="AH2772" s="56"/>
      <c r="AI2772" s="56"/>
      <c r="AJ2772" s="56"/>
      <c r="AK2772" s="56"/>
      <c r="AL2772" s="56"/>
      <c r="AM2772" s="56"/>
      <c r="AN2772" s="56"/>
      <c r="AO2772" s="56"/>
      <c r="AP2772" s="56"/>
      <c r="AQ2772" s="56"/>
      <c r="AR2772" s="56"/>
      <c r="AS2772" s="56"/>
      <c r="AT2772" s="56"/>
      <c r="AU2772" s="56"/>
      <c r="AV2772" s="56"/>
      <c r="AW2772" s="56"/>
      <c r="AX2772" s="56"/>
      <c r="AY2772" s="56"/>
      <c r="AZ2772" s="56"/>
      <c r="BA2772" s="56"/>
      <c r="BB2772" s="16"/>
      <c r="BC2772" s="56"/>
      <c r="BD2772" s="56"/>
      <c r="BE2772" s="56"/>
      <c r="BF2772" s="56"/>
      <c r="BG2772" s="56"/>
      <c r="BH2772" s="56"/>
      <c r="BI2772" s="56"/>
      <c r="BJ2772" s="56"/>
      <c r="BK2772" s="56"/>
      <c r="BL2772" s="56"/>
      <c r="BM2772" s="56"/>
      <c r="BN2772" s="56"/>
      <c r="BO2772" s="56"/>
      <c r="BP2772" s="56"/>
      <c r="BQ2772" s="56"/>
      <c r="BR2772" s="56"/>
      <c r="BS2772" s="56"/>
      <c r="BT2772" s="56"/>
      <c r="BU2772" s="56"/>
      <c r="BV2772" s="56"/>
      <c r="BW2772" s="56"/>
      <c r="BX2772" s="56"/>
      <c r="BY2772" s="56"/>
      <c r="BZ2772" s="56"/>
      <c r="CA2772" s="56"/>
      <c r="CB2772" s="56"/>
      <c r="CC2772" s="56"/>
      <c r="CD2772" s="56"/>
      <c r="CE2772" s="56"/>
      <c r="CF2772" s="56"/>
      <c r="CG2772" s="56"/>
      <c r="CH2772" s="56"/>
      <c r="CI2772" s="56"/>
      <c r="CJ2772" s="56"/>
      <c r="CK2772" s="56"/>
      <c r="CL2772" s="56"/>
      <c r="CM2772" s="56"/>
      <c r="CN2772" s="56"/>
      <c r="CO2772" s="56"/>
      <c r="CP2772" s="56"/>
      <c r="CQ2772" s="56"/>
      <c r="CR2772" s="56"/>
      <c r="CS2772" s="56"/>
      <c r="CT2772" s="56"/>
      <c r="CU2772" s="56"/>
      <c r="CV2772" s="56"/>
      <c r="CW2772" s="56"/>
      <c r="CX2772" s="56"/>
      <c r="CY2772" s="56"/>
      <c r="CZ2772" s="56"/>
    </row>
    <row r="2773" spans="27:104" s="5" customFormat="1" x14ac:dyDescent="0.25">
      <c r="AA2773" s="56"/>
      <c r="AB2773" s="56"/>
      <c r="AC2773" s="56"/>
      <c r="AD2773" s="56"/>
      <c r="AE2773" s="56"/>
      <c r="AF2773" s="56"/>
      <c r="AG2773" s="56"/>
      <c r="AH2773" s="56"/>
      <c r="AI2773" s="56"/>
      <c r="AJ2773" s="56"/>
      <c r="AK2773" s="56"/>
      <c r="AL2773" s="56"/>
      <c r="AM2773" s="56"/>
      <c r="AN2773" s="56"/>
      <c r="AO2773" s="56"/>
      <c r="AP2773" s="56"/>
      <c r="AQ2773" s="56"/>
      <c r="AR2773" s="56"/>
      <c r="AS2773" s="56"/>
      <c r="AT2773" s="56"/>
      <c r="AU2773" s="56"/>
      <c r="AV2773" s="56"/>
      <c r="AW2773" s="56"/>
      <c r="AX2773" s="56"/>
      <c r="AY2773" s="56"/>
      <c r="AZ2773" s="56"/>
      <c r="BA2773" s="56"/>
      <c r="BB2773" s="16"/>
      <c r="BC2773" s="56"/>
      <c r="BD2773" s="56"/>
      <c r="BE2773" s="56"/>
      <c r="BF2773" s="56"/>
      <c r="BG2773" s="56"/>
      <c r="BH2773" s="56"/>
      <c r="BI2773" s="56"/>
      <c r="BJ2773" s="56"/>
      <c r="BK2773" s="56"/>
      <c r="BL2773" s="56"/>
      <c r="BM2773" s="56"/>
      <c r="BN2773" s="56"/>
      <c r="BO2773" s="56"/>
      <c r="BP2773" s="56"/>
      <c r="BQ2773" s="56"/>
      <c r="BR2773" s="56"/>
      <c r="BS2773" s="56"/>
      <c r="BT2773" s="56"/>
      <c r="BU2773" s="56"/>
      <c r="BV2773" s="56"/>
      <c r="BW2773" s="56"/>
      <c r="BX2773" s="56"/>
      <c r="BY2773" s="56"/>
      <c r="BZ2773" s="56"/>
      <c r="CA2773" s="56"/>
      <c r="CB2773" s="56"/>
      <c r="CC2773" s="56"/>
      <c r="CD2773" s="56"/>
      <c r="CE2773" s="56"/>
      <c r="CF2773" s="56"/>
      <c r="CG2773" s="56"/>
      <c r="CH2773" s="56"/>
      <c r="CI2773" s="56"/>
      <c r="CJ2773" s="56"/>
      <c r="CK2773" s="56"/>
      <c r="CL2773" s="56"/>
      <c r="CM2773" s="56"/>
      <c r="CN2773" s="56"/>
      <c r="CO2773" s="56"/>
      <c r="CP2773" s="56"/>
      <c r="CQ2773" s="56"/>
      <c r="CR2773" s="56"/>
      <c r="CS2773" s="56"/>
      <c r="CT2773" s="56"/>
      <c r="CU2773" s="56"/>
      <c r="CV2773" s="56"/>
      <c r="CW2773" s="56"/>
      <c r="CX2773" s="56"/>
      <c r="CY2773" s="56"/>
      <c r="CZ2773" s="56"/>
    </row>
    <row r="2774" spans="27:104" s="5" customFormat="1" x14ac:dyDescent="0.25">
      <c r="AA2774" s="56"/>
      <c r="AB2774" s="56"/>
      <c r="AC2774" s="56"/>
      <c r="AD2774" s="56"/>
      <c r="AE2774" s="56"/>
      <c r="AF2774" s="56"/>
      <c r="AG2774" s="56"/>
      <c r="AH2774" s="56"/>
      <c r="AI2774" s="56"/>
      <c r="AJ2774" s="56"/>
      <c r="AK2774" s="56"/>
      <c r="AL2774" s="56"/>
      <c r="AM2774" s="56"/>
      <c r="AN2774" s="56"/>
      <c r="AO2774" s="56"/>
      <c r="AP2774" s="56"/>
      <c r="AQ2774" s="56"/>
      <c r="AR2774" s="56"/>
      <c r="AS2774" s="56"/>
      <c r="AT2774" s="56"/>
      <c r="AU2774" s="56"/>
      <c r="AV2774" s="56"/>
      <c r="AW2774" s="56"/>
      <c r="AX2774" s="56"/>
      <c r="AY2774" s="56"/>
      <c r="AZ2774" s="56"/>
      <c r="BA2774" s="56"/>
      <c r="BB2774" s="16"/>
      <c r="BC2774" s="56"/>
      <c r="BD2774" s="56"/>
      <c r="BE2774" s="56"/>
      <c r="BF2774" s="56"/>
      <c r="BG2774" s="56"/>
      <c r="BH2774" s="56"/>
      <c r="BI2774" s="56"/>
      <c r="BJ2774" s="56"/>
      <c r="BK2774" s="56"/>
      <c r="BL2774" s="56"/>
      <c r="BM2774" s="56"/>
      <c r="BN2774" s="56"/>
      <c r="BO2774" s="56"/>
      <c r="BP2774" s="56"/>
      <c r="BQ2774" s="56"/>
      <c r="BR2774" s="56"/>
      <c r="BS2774" s="56"/>
      <c r="BT2774" s="56"/>
      <c r="BU2774" s="56"/>
      <c r="BV2774" s="56"/>
      <c r="BW2774" s="56"/>
      <c r="BX2774" s="56"/>
      <c r="BY2774" s="56"/>
      <c r="BZ2774" s="56"/>
      <c r="CA2774" s="56"/>
      <c r="CB2774" s="56"/>
      <c r="CC2774" s="56"/>
      <c r="CD2774" s="56"/>
      <c r="CE2774" s="56"/>
      <c r="CF2774" s="56"/>
      <c r="CG2774" s="56"/>
      <c r="CH2774" s="56"/>
      <c r="CI2774" s="56"/>
      <c r="CJ2774" s="56"/>
      <c r="CK2774" s="56"/>
      <c r="CL2774" s="56"/>
      <c r="CM2774" s="56"/>
      <c r="CN2774" s="56"/>
      <c r="CO2774" s="56"/>
      <c r="CP2774" s="56"/>
      <c r="CQ2774" s="56"/>
      <c r="CR2774" s="56"/>
      <c r="CS2774" s="56"/>
      <c r="CT2774" s="56"/>
      <c r="CU2774" s="56"/>
      <c r="CV2774" s="56"/>
      <c r="CW2774" s="56"/>
      <c r="CX2774" s="56"/>
      <c r="CY2774" s="56"/>
      <c r="CZ2774" s="56"/>
    </row>
    <row r="2775" spans="27:104" s="5" customFormat="1" x14ac:dyDescent="0.25">
      <c r="AA2775" s="56"/>
      <c r="AB2775" s="56"/>
      <c r="AC2775" s="56"/>
      <c r="AD2775" s="56"/>
      <c r="AE2775" s="56"/>
      <c r="AF2775" s="56"/>
      <c r="AG2775" s="56"/>
      <c r="AH2775" s="56"/>
      <c r="AI2775" s="56"/>
      <c r="AJ2775" s="56"/>
      <c r="AK2775" s="56"/>
      <c r="AL2775" s="56"/>
      <c r="AM2775" s="56"/>
      <c r="AN2775" s="56"/>
      <c r="AO2775" s="56"/>
      <c r="AP2775" s="56"/>
      <c r="AQ2775" s="56"/>
      <c r="AR2775" s="56"/>
      <c r="AS2775" s="56"/>
      <c r="AT2775" s="56"/>
      <c r="AU2775" s="56"/>
      <c r="AV2775" s="56"/>
      <c r="AW2775" s="56"/>
      <c r="AX2775" s="56"/>
      <c r="AY2775" s="56"/>
      <c r="AZ2775" s="56"/>
      <c r="BA2775" s="56"/>
      <c r="BB2775" s="16"/>
      <c r="BC2775" s="56"/>
      <c r="BD2775" s="56"/>
      <c r="BE2775" s="56"/>
      <c r="BF2775" s="56"/>
      <c r="BG2775" s="56"/>
      <c r="BH2775" s="56"/>
      <c r="BI2775" s="56"/>
      <c r="BJ2775" s="56"/>
      <c r="BK2775" s="56"/>
      <c r="BL2775" s="56"/>
      <c r="BM2775" s="56"/>
      <c r="BN2775" s="56"/>
      <c r="BO2775" s="56"/>
      <c r="BP2775" s="56"/>
      <c r="BQ2775" s="56"/>
      <c r="BR2775" s="56"/>
      <c r="BS2775" s="56"/>
      <c r="BT2775" s="56"/>
      <c r="BU2775" s="56"/>
      <c r="BV2775" s="56"/>
      <c r="BW2775" s="56"/>
      <c r="BX2775" s="56"/>
      <c r="BY2775" s="56"/>
      <c r="BZ2775" s="56"/>
      <c r="CA2775" s="56"/>
      <c r="CB2775" s="56"/>
      <c r="CC2775" s="56"/>
      <c r="CD2775" s="56"/>
      <c r="CE2775" s="56"/>
      <c r="CF2775" s="56"/>
      <c r="CG2775" s="56"/>
      <c r="CH2775" s="56"/>
      <c r="CI2775" s="56"/>
      <c r="CJ2775" s="56"/>
      <c r="CK2775" s="56"/>
      <c r="CL2775" s="56"/>
      <c r="CM2775" s="56"/>
      <c r="CN2775" s="56"/>
      <c r="CO2775" s="56"/>
      <c r="CP2775" s="56"/>
      <c r="CQ2775" s="56"/>
      <c r="CR2775" s="56"/>
      <c r="CS2775" s="56"/>
      <c r="CT2775" s="56"/>
      <c r="CU2775" s="56"/>
      <c r="CV2775" s="56"/>
      <c r="CW2775" s="56"/>
      <c r="CX2775" s="56"/>
      <c r="CY2775" s="56"/>
      <c r="CZ2775" s="56"/>
    </row>
    <row r="2776" spans="27:104" s="5" customFormat="1" x14ac:dyDescent="0.25">
      <c r="AA2776" s="56"/>
      <c r="AB2776" s="56"/>
      <c r="AC2776" s="56"/>
      <c r="AD2776" s="56"/>
      <c r="AE2776" s="56"/>
      <c r="AF2776" s="56"/>
      <c r="AG2776" s="56"/>
      <c r="AH2776" s="56"/>
      <c r="AI2776" s="56"/>
      <c r="AJ2776" s="56"/>
      <c r="AK2776" s="56"/>
      <c r="AL2776" s="56"/>
      <c r="AM2776" s="56"/>
      <c r="AN2776" s="56"/>
      <c r="AO2776" s="56"/>
      <c r="AP2776" s="56"/>
      <c r="AQ2776" s="56"/>
      <c r="AR2776" s="56"/>
      <c r="AS2776" s="56"/>
      <c r="AT2776" s="56"/>
      <c r="AU2776" s="56"/>
      <c r="AV2776" s="56"/>
      <c r="AW2776" s="56"/>
      <c r="AX2776" s="56"/>
      <c r="AY2776" s="56"/>
      <c r="AZ2776" s="56"/>
      <c r="BA2776" s="56"/>
      <c r="BB2776" s="16"/>
      <c r="BC2776" s="56"/>
      <c r="BD2776" s="56"/>
      <c r="BE2776" s="56"/>
      <c r="BF2776" s="56"/>
      <c r="BG2776" s="56"/>
      <c r="BH2776" s="56"/>
      <c r="BI2776" s="56"/>
      <c r="BJ2776" s="56"/>
      <c r="BK2776" s="56"/>
      <c r="BL2776" s="56"/>
      <c r="BM2776" s="56"/>
      <c r="BN2776" s="56"/>
      <c r="BO2776" s="56"/>
      <c r="BP2776" s="56"/>
      <c r="BQ2776" s="56"/>
      <c r="BR2776" s="56"/>
      <c r="BS2776" s="56"/>
      <c r="BT2776" s="56"/>
      <c r="BU2776" s="56"/>
      <c r="BV2776" s="56"/>
      <c r="BW2776" s="56"/>
      <c r="BX2776" s="56"/>
      <c r="BY2776" s="56"/>
      <c r="BZ2776" s="56"/>
      <c r="CA2776" s="56"/>
      <c r="CB2776" s="56"/>
      <c r="CC2776" s="56"/>
      <c r="CD2776" s="56"/>
      <c r="CE2776" s="56"/>
      <c r="CF2776" s="56"/>
      <c r="CG2776" s="56"/>
      <c r="CH2776" s="56"/>
      <c r="CI2776" s="56"/>
      <c r="CJ2776" s="56"/>
      <c r="CK2776" s="56"/>
      <c r="CL2776" s="56"/>
      <c r="CM2776" s="56"/>
      <c r="CN2776" s="56"/>
      <c r="CO2776" s="56"/>
      <c r="CP2776" s="56"/>
      <c r="CQ2776" s="56"/>
      <c r="CR2776" s="56"/>
      <c r="CS2776" s="56"/>
      <c r="CT2776" s="56"/>
      <c r="CU2776" s="56"/>
      <c r="CV2776" s="56"/>
      <c r="CW2776" s="56"/>
      <c r="CX2776" s="56"/>
      <c r="CY2776" s="56"/>
      <c r="CZ2776" s="56"/>
    </row>
    <row r="2777" spans="27:104" s="5" customFormat="1" x14ac:dyDescent="0.25">
      <c r="AA2777" s="56"/>
      <c r="AB2777" s="56"/>
      <c r="AC2777" s="56"/>
      <c r="AD2777" s="56"/>
      <c r="AE2777" s="56"/>
      <c r="AF2777" s="56"/>
      <c r="AG2777" s="56"/>
      <c r="AH2777" s="56"/>
      <c r="AI2777" s="56"/>
      <c r="AJ2777" s="56"/>
      <c r="AK2777" s="56"/>
      <c r="AL2777" s="56"/>
      <c r="AM2777" s="56"/>
      <c r="AN2777" s="56"/>
      <c r="AO2777" s="56"/>
      <c r="AP2777" s="56"/>
      <c r="AQ2777" s="56"/>
      <c r="AR2777" s="56"/>
      <c r="AS2777" s="56"/>
      <c r="AT2777" s="56"/>
      <c r="AU2777" s="56"/>
      <c r="AV2777" s="56"/>
      <c r="AW2777" s="56"/>
      <c r="AX2777" s="56"/>
      <c r="AY2777" s="56"/>
      <c r="AZ2777" s="56"/>
      <c r="BA2777" s="56"/>
      <c r="BB2777" s="16"/>
      <c r="BC2777" s="56"/>
      <c r="BD2777" s="56"/>
      <c r="BE2777" s="56"/>
      <c r="BF2777" s="56"/>
      <c r="BG2777" s="56"/>
      <c r="BH2777" s="56"/>
      <c r="BI2777" s="56"/>
      <c r="BJ2777" s="56"/>
      <c r="BK2777" s="56"/>
      <c r="BL2777" s="56"/>
      <c r="BM2777" s="56"/>
      <c r="BN2777" s="56"/>
      <c r="BO2777" s="56"/>
      <c r="BP2777" s="56"/>
      <c r="BQ2777" s="56"/>
      <c r="BR2777" s="56"/>
      <c r="BS2777" s="56"/>
      <c r="BT2777" s="56"/>
      <c r="BU2777" s="56"/>
      <c r="BV2777" s="56"/>
      <c r="BW2777" s="56"/>
      <c r="BX2777" s="56"/>
      <c r="BY2777" s="56"/>
      <c r="BZ2777" s="56"/>
      <c r="CA2777" s="56"/>
      <c r="CB2777" s="56"/>
      <c r="CC2777" s="56"/>
      <c r="CD2777" s="56"/>
      <c r="CE2777" s="56"/>
      <c r="CF2777" s="56"/>
      <c r="CG2777" s="56"/>
      <c r="CH2777" s="56"/>
      <c r="CI2777" s="56"/>
      <c r="CJ2777" s="56"/>
      <c r="CK2777" s="56"/>
      <c r="CL2777" s="56"/>
      <c r="CM2777" s="56"/>
      <c r="CN2777" s="56"/>
      <c r="CO2777" s="56"/>
      <c r="CP2777" s="56"/>
      <c r="CQ2777" s="56"/>
      <c r="CR2777" s="56"/>
      <c r="CS2777" s="56"/>
      <c r="CT2777" s="56"/>
      <c r="CU2777" s="56"/>
      <c r="CV2777" s="56"/>
      <c r="CW2777" s="56"/>
      <c r="CX2777" s="56"/>
      <c r="CY2777" s="56"/>
      <c r="CZ2777" s="56"/>
    </row>
    <row r="2778" spans="27:104" s="5" customFormat="1" x14ac:dyDescent="0.25">
      <c r="AA2778" s="56"/>
      <c r="AB2778" s="56"/>
      <c r="AC2778" s="56"/>
      <c r="AD2778" s="56"/>
      <c r="AE2778" s="56"/>
      <c r="AF2778" s="56"/>
      <c r="AG2778" s="56"/>
      <c r="AH2778" s="56"/>
      <c r="AI2778" s="56"/>
      <c r="AJ2778" s="56"/>
      <c r="AK2778" s="56"/>
      <c r="AL2778" s="56"/>
      <c r="AM2778" s="56"/>
      <c r="AN2778" s="56"/>
      <c r="AO2778" s="56"/>
      <c r="AP2778" s="56"/>
      <c r="AQ2778" s="56"/>
      <c r="AR2778" s="56"/>
      <c r="AS2778" s="56"/>
      <c r="AT2778" s="56"/>
      <c r="AU2778" s="56"/>
      <c r="AV2778" s="56"/>
      <c r="AW2778" s="56"/>
      <c r="AX2778" s="56"/>
      <c r="AY2778" s="56"/>
      <c r="AZ2778" s="56"/>
      <c r="BA2778" s="56"/>
      <c r="BB2778" s="16"/>
      <c r="BC2778" s="56"/>
      <c r="BD2778" s="56"/>
      <c r="BE2778" s="56"/>
      <c r="BF2778" s="56"/>
      <c r="BG2778" s="56"/>
      <c r="BH2778" s="56"/>
      <c r="BI2778" s="56"/>
      <c r="BJ2778" s="56"/>
      <c r="BK2778" s="56"/>
      <c r="BL2778" s="56"/>
      <c r="BM2778" s="56"/>
      <c r="BN2778" s="56"/>
      <c r="BO2778" s="56"/>
      <c r="BP2778" s="56"/>
      <c r="BQ2778" s="56"/>
      <c r="BR2778" s="56"/>
      <c r="BS2778" s="56"/>
      <c r="BT2778" s="56"/>
      <c r="BU2778" s="56"/>
      <c r="BV2778" s="56"/>
      <c r="BW2778" s="56"/>
      <c r="BX2778" s="56"/>
      <c r="BY2778" s="56"/>
      <c r="BZ2778" s="56"/>
      <c r="CA2778" s="56"/>
      <c r="CB2778" s="56"/>
      <c r="CC2778" s="56"/>
      <c r="CD2778" s="56"/>
      <c r="CE2778" s="56"/>
      <c r="CF2778" s="56"/>
      <c r="CG2778" s="56"/>
      <c r="CH2778" s="56"/>
      <c r="CI2778" s="56"/>
      <c r="CJ2778" s="56"/>
      <c r="CK2778" s="56"/>
      <c r="CL2778" s="56"/>
      <c r="CM2778" s="56"/>
      <c r="CN2778" s="56"/>
      <c r="CO2778" s="56"/>
      <c r="CP2778" s="56"/>
      <c r="CQ2778" s="56"/>
      <c r="CR2778" s="56"/>
      <c r="CS2778" s="56"/>
      <c r="CT2778" s="56"/>
      <c r="CU2778" s="56"/>
      <c r="CV2778" s="56"/>
      <c r="CW2778" s="56"/>
      <c r="CX2778" s="56"/>
      <c r="CY2778" s="56"/>
      <c r="CZ2778" s="56"/>
    </row>
    <row r="2779" spans="27:104" s="5" customFormat="1" x14ac:dyDescent="0.25">
      <c r="AA2779" s="56"/>
      <c r="AB2779" s="56"/>
      <c r="AC2779" s="56"/>
      <c r="AD2779" s="56"/>
      <c r="AE2779" s="56"/>
      <c r="AF2779" s="56"/>
      <c r="AG2779" s="56"/>
      <c r="AH2779" s="56"/>
      <c r="AI2779" s="56"/>
      <c r="AJ2779" s="56"/>
      <c r="AK2779" s="56"/>
      <c r="AL2779" s="56"/>
      <c r="AM2779" s="56"/>
      <c r="AN2779" s="56"/>
      <c r="AO2779" s="56"/>
      <c r="AP2779" s="56"/>
      <c r="AQ2779" s="56"/>
      <c r="AR2779" s="56"/>
      <c r="AS2779" s="56"/>
      <c r="AT2779" s="56"/>
      <c r="AU2779" s="56"/>
      <c r="AV2779" s="56"/>
      <c r="AW2779" s="56"/>
      <c r="AX2779" s="56"/>
      <c r="AY2779" s="56"/>
      <c r="AZ2779" s="56"/>
      <c r="BA2779" s="56"/>
      <c r="BB2779" s="16"/>
      <c r="BC2779" s="56"/>
      <c r="BD2779" s="56"/>
      <c r="BE2779" s="56"/>
      <c r="BF2779" s="56"/>
      <c r="BG2779" s="56"/>
      <c r="BH2779" s="56"/>
      <c r="BI2779" s="56"/>
      <c r="BJ2779" s="56"/>
      <c r="BK2779" s="56"/>
      <c r="BL2779" s="56"/>
      <c r="BM2779" s="56"/>
      <c r="BN2779" s="56"/>
      <c r="BO2779" s="56"/>
      <c r="BP2779" s="56"/>
      <c r="BQ2779" s="56"/>
      <c r="BR2779" s="56"/>
      <c r="BS2779" s="56"/>
      <c r="BT2779" s="56"/>
      <c r="BU2779" s="56"/>
      <c r="BV2779" s="56"/>
      <c r="BW2779" s="56"/>
      <c r="BX2779" s="56"/>
      <c r="BY2779" s="56"/>
      <c r="BZ2779" s="56"/>
      <c r="CA2779" s="56"/>
      <c r="CB2779" s="56"/>
      <c r="CC2779" s="56"/>
      <c r="CD2779" s="56"/>
      <c r="CE2779" s="56"/>
      <c r="CF2779" s="56"/>
      <c r="CG2779" s="56"/>
      <c r="CH2779" s="56"/>
      <c r="CI2779" s="56"/>
      <c r="CJ2779" s="56"/>
      <c r="CK2779" s="56"/>
      <c r="CL2779" s="56"/>
      <c r="CM2779" s="56"/>
      <c r="CN2779" s="56"/>
      <c r="CO2779" s="56"/>
      <c r="CP2779" s="56"/>
      <c r="CQ2779" s="56"/>
      <c r="CR2779" s="56"/>
      <c r="CS2779" s="56"/>
      <c r="CT2779" s="56"/>
      <c r="CU2779" s="56"/>
      <c r="CV2779" s="56"/>
      <c r="CW2779" s="56"/>
      <c r="CX2779" s="56"/>
      <c r="CY2779" s="56"/>
      <c r="CZ2779" s="56"/>
    </row>
    <row r="2780" spans="27:104" s="5" customFormat="1" x14ac:dyDescent="0.25">
      <c r="AA2780" s="56"/>
      <c r="AB2780" s="56"/>
      <c r="AC2780" s="56"/>
      <c r="AD2780" s="56"/>
      <c r="AE2780" s="56"/>
      <c r="AF2780" s="56"/>
      <c r="AG2780" s="56"/>
      <c r="AH2780" s="56"/>
      <c r="AI2780" s="56"/>
      <c r="AJ2780" s="56"/>
      <c r="AK2780" s="56"/>
      <c r="AL2780" s="56"/>
      <c r="AM2780" s="56"/>
      <c r="AN2780" s="56"/>
      <c r="AO2780" s="56"/>
      <c r="AP2780" s="56"/>
      <c r="AQ2780" s="56"/>
      <c r="AR2780" s="56"/>
      <c r="AS2780" s="56"/>
      <c r="AT2780" s="56"/>
      <c r="AU2780" s="56"/>
      <c r="AV2780" s="56"/>
      <c r="AW2780" s="56"/>
      <c r="AX2780" s="56"/>
      <c r="AY2780" s="56"/>
      <c r="AZ2780" s="56"/>
      <c r="BA2780" s="56"/>
      <c r="BB2780" s="16"/>
      <c r="BC2780" s="56"/>
      <c r="BD2780" s="56"/>
      <c r="BE2780" s="56"/>
      <c r="BF2780" s="56"/>
      <c r="BG2780" s="56"/>
      <c r="BH2780" s="56"/>
      <c r="BI2780" s="56"/>
      <c r="BJ2780" s="56"/>
      <c r="BK2780" s="56"/>
      <c r="BL2780" s="56"/>
      <c r="BM2780" s="56"/>
      <c r="BN2780" s="56"/>
      <c r="BO2780" s="56"/>
      <c r="BP2780" s="56"/>
      <c r="BQ2780" s="56"/>
      <c r="BR2780" s="56"/>
      <c r="BS2780" s="56"/>
      <c r="BT2780" s="56"/>
      <c r="BU2780" s="56"/>
      <c r="BV2780" s="56"/>
      <c r="BW2780" s="56"/>
      <c r="BX2780" s="56"/>
      <c r="BY2780" s="56"/>
      <c r="BZ2780" s="56"/>
      <c r="CA2780" s="56"/>
      <c r="CB2780" s="56"/>
      <c r="CC2780" s="56"/>
      <c r="CD2780" s="56"/>
      <c r="CE2780" s="56"/>
      <c r="CF2780" s="56"/>
      <c r="CG2780" s="56"/>
      <c r="CH2780" s="56"/>
      <c r="CI2780" s="56"/>
      <c r="CJ2780" s="56"/>
      <c r="CK2780" s="56"/>
      <c r="CL2780" s="56"/>
      <c r="CM2780" s="56"/>
      <c r="CN2780" s="56"/>
      <c r="CO2780" s="56"/>
      <c r="CP2780" s="56"/>
      <c r="CQ2780" s="56"/>
      <c r="CR2780" s="56"/>
      <c r="CS2780" s="56"/>
      <c r="CT2780" s="56"/>
      <c r="CU2780" s="56"/>
      <c r="CV2780" s="56"/>
      <c r="CW2780" s="56"/>
      <c r="CX2780" s="56"/>
      <c r="CY2780" s="56"/>
      <c r="CZ2780" s="56"/>
    </row>
    <row r="2781" spans="27:104" s="5" customFormat="1" x14ac:dyDescent="0.25">
      <c r="AA2781" s="56"/>
      <c r="AB2781" s="56"/>
      <c r="AC2781" s="56"/>
      <c r="AD2781" s="56"/>
      <c r="AE2781" s="56"/>
      <c r="AF2781" s="56"/>
      <c r="AG2781" s="56"/>
      <c r="AH2781" s="56"/>
      <c r="AI2781" s="56"/>
      <c r="AJ2781" s="56"/>
      <c r="AK2781" s="56"/>
      <c r="AL2781" s="56"/>
      <c r="AM2781" s="56"/>
      <c r="AN2781" s="56"/>
      <c r="AO2781" s="56"/>
      <c r="AP2781" s="56"/>
      <c r="AQ2781" s="56"/>
      <c r="AR2781" s="56"/>
      <c r="AS2781" s="56"/>
      <c r="AT2781" s="56"/>
      <c r="AU2781" s="56"/>
      <c r="AV2781" s="56"/>
      <c r="AW2781" s="56"/>
      <c r="AX2781" s="56"/>
      <c r="AY2781" s="56"/>
      <c r="AZ2781" s="56"/>
      <c r="BA2781" s="56"/>
      <c r="BB2781" s="16"/>
      <c r="BC2781" s="56"/>
      <c r="BD2781" s="56"/>
      <c r="BE2781" s="56"/>
      <c r="BF2781" s="56"/>
      <c r="BG2781" s="56"/>
      <c r="BH2781" s="56"/>
      <c r="BI2781" s="56"/>
      <c r="BJ2781" s="56"/>
      <c r="BK2781" s="56"/>
      <c r="BL2781" s="56"/>
      <c r="BM2781" s="56"/>
      <c r="BN2781" s="56"/>
      <c r="BO2781" s="56"/>
      <c r="BP2781" s="56"/>
      <c r="BQ2781" s="56"/>
      <c r="BR2781" s="56"/>
      <c r="BS2781" s="56"/>
      <c r="BT2781" s="56"/>
      <c r="BU2781" s="56"/>
      <c r="BV2781" s="56"/>
      <c r="BW2781" s="56"/>
      <c r="BX2781" s="56"/>
      <c r="BY2781" s="56"/>
      <c r="BZ2781" s="56"/>
      <c r="CA2781" s="56"/>
      <c r="CB2781" s="56"/>
      <c r="CC2781" s="56"/>
      <c r="CD2781" s="56"/>
      <c r="CE2781" s="56"/>
      <c r="CF2781" s="56"/>
      <c r="CG2781" s="56"/>
      <c r="CH2781" s="56"/>
      <c r="CI2781" s="56"/>
      <c r="CJ2781" s="56"/>
      <c r="CK2781" s="56"/>
      <c r="CL2781" s="56"/>
      <c r="CM2781" s="56"/>
      <c r="CN2781" s="56"/>
      <c r="CO2781" s="56"/>
      <c r="CP2781" s="56"/>
      <c r="CQ2781" s="56"/>
      <c r="CR2781" s="56"/>
      <c r="CS2781" s="56"/>
      <c r="CT2781" s="56"/>
      <c r="CU2781" s="56"/>
      <c r="CV2781" s="56"/>
      <c r="CW2781" s="56"/>
      <c r="CX2781" s="56"/>
      <c r="CY2781" s="56"/>
      <c r="CZ2781" s="56"/>
    </row>
    <row r="2782" spans="27:104" s="5" customFormat="1" x14ac:dyDescent="0.25">
      <c r="AA2782" s="56"/>
      <c r="AB2782" s="56"/>
      <c r="AC2782" s="56"/>
      <c r="AD2782" s="56"/>
      <c r="AE2782" s="56"/>
      <c r="AF2782" s="56"/>
      <c r="AG2782" s="56"/>
      <c r="AH2782" s="56"/>
      <c r="AI2782" s="56"/>
      <c r="AJ2782" s="56"/>
      <c r="AK2782" s="56"/>
      <c r="AL2782" s="56"/>
      <c r="AM2782" s="56"/>
      <c r="AN2782" s="56"/>
      <c r="AO2782" s="56"/>
      <c r="AP2782" s="56"/>
      <c r="AQ2782" s="56"/>
      <c r="AR2782" s="56"/>
      <c r="AS2782" s="56"/>
      <c r="AT2782" s="56"/>
      <c r="AU2782" s="56"/>
      <c r="AV2782" s="56"/>
      <c r="AW2782" s="56"/>
      <c r="AX2782" s="56"/>
      <c r="AY2782" s="56"/>
      <c r="AZ2782" s="56"/>
      <c r="BA2782" s="56"/>
      <c r="BB2782" s="16"/>
      <c r="BC2782" s="56"/>
      <c r="BD2782" s="56"/>
      <c r="BE2782" s="56"/>
      <c r="BF2782" s="56"/>
      <c r="BG2782" s="56"/>
      <c r="BH2782" s="56"/>
      <c r="BI2782" s="56"/>
      <c r="BJ2782" s="56"/>
      <c r="BK2782" s="56"/>
      <c r="BL2782" s="56"/>
      <c r="BM2782" s="56"/>
      <c r="BN2782" s="56"/>
      <c r="BO2782" s="56"/>
      <c r="BP2782" s="56"/>
      <c r="BQ2782" s="56"/>
      <c r="BR2782" s="56"/>
      <c r="BS2782" s="56"/>
      <c r="BT2782" s="56"/>
      <c r="BU2782" s="56"/>
      <c r="BV2782" s="56"/>
      <c r="BW2782" s="56"/>
      <c r="BX2782" s="56"/>
      <c r="BY2782" s="56"/>
      <c r="BZ2782" s="56"/>
      <c r="CA2782" s="56"/>
      <c r="CB2782" s="56"/>
      <c r="CC2782" s="56"/>
      <c r="CD2782" s="56"/>
      <c r="CE2782" s="56"/>
      <c r="CF2782" s="56"/>
      <c r="CG2782" s="56"/>
      <c r="CH2782" s="56"/>
      <c r="CI2782" s="56"/>
      <c r="CJ2782" s="56"/>
      <c r="CK2782" s="56"/>
      <c r="CL2782" s="56"/>
      <c r="CM2782" s="56"/>
      <c r="CN2782" s="56"/>
      <c r="CO2782" s="56"/>
      <c r="CP2782" s="56"/>
      <c r="CQ2782" s="56"/>
      <c r="CR2782" s="56"/>
      <c r="CS2782" s="56"/>
      <c r="CT2782" s="56"/>
      <c r="CU2782" s="56"/>
      <c r="CV2782" s="56"/>
      <c r="CW2782" s="56"/>
      <c r="CX2782" s="56"/>
      <c r="CY2782" s="56"/>
      <c r="CZ2782" s="56"/>
    </row>
    <row r="2783" spans="27:104" s="5" customFormat="1" x14ac:dyDescent="0.25">
      <c r="AA2783" s="56"/>
      <c r="AB2783" s="56"/>
      <c r="AC2783" s="56"/>
      <c r="AD2783" s="56"/>
      <c r="AE2783" s="56"/>
      <c r="AF2783" s="56"/>
      <c r="AG2783" s="56"/>
      <c r="AH2783" s="56"/>
      <c r="AI2783" s="56"/>
      <c r="AJ2783" s="56"/>
      <c r="AK2783" s="56"/>
      <c r="AL2783" s="56"/>
      <c r="AM2783" s="56"/>
      <c r="AN2783" s="56"/>
      <c r="AO2783" s="56"/>
      <c r="AP2783" s="56"/>
      <c r="AQ2783" s="56"/>
      <c r="AR2783" s="56"/>
      <c r="AS2783" s="56"/>
      <c r="AT2783" s="56"/>
      <c r="AU2783" s="56"/>
      <c r="AV2783" s="56"/>
      <c r="AW2783" s="56"/>
      <c r="AX2783" s="56"/>
      <c r="AY2783" s="56"/>
      <c r="AZ2783" s="56"/>
      <c r="BA2783" s="56"/>
      <c r="BB2783" s="16"/>
      <c r="BC2783" s="56"/>
      <c r="BD2783" s="56"/>
      <c r="BE2783" s="56"/>
      <c r="BF2783" s="56"/>
      <c r="BG2783" s="56"/>
      <c r="BH2783" s="56"/>
      <c r="BI2783" s="56"/>
      <c r="BJ2783" s="56"/>
      <c r="BK2783" s="56"/>
      <c r="BL2783" s="56"/>
      <c r="BM2783" s="56"/>
      <c r="BN2783" s="56"/>
      <c r="BO2783" s="56"/>
      <c r="BP2783" s="56"/>
      <c r="BQ2783" s="56"/>
      <c r="BR2783" s="56"/>
      <c r="BS2783" s="56"/>
      <c r="BT2783" s="56"/>
      <c r="BU2783" s="56"/>
      <c r="BV2783" s="56"/>
      <c r="BW2783" s="56"/>
      <c r="BX2783" s="56"/>
      <c r="BY2783" s="56"/>
      <c r="BZ2783" s="56"/>
      <c r="CA2783" s="56"/>
      <c r="CB2783" s="56"/>
      <c r="CC2783" s="56"/>
      <c r="CD2783" s="56"/>
      <c r="CE2783" s="56"/>
      <c r="CF2783" s="56"/>
      <c r="CG2783" s="56"/>
      <c r="CH2783" s="56"/>
      <c r="CI2783" s="56"/>
      <c r="CJ2783" s="56"/>
      <c r="CK2783" s="56"/>
      <c r="CL2783" s="56"/>
      <c r="CM2783" s="56"/>
      <c r="CN2783" s="56"/>
      <c r="CO2783" s="56"/>
      <c r="CP2783" s="56"/>
      <c r="CQ2783" s="56"/>
      <c r="CR2783" s="56"/>
      <c r="CS2783" s="56"/>
      <c r="CT2783" s="56"/>
      <c r="CU2783" s="56"/>
      <c r="CV2783" s="56"/>
      <c r="CW2783" s="56"/>
      <c r="CX2783" s="56"/>
      <c r="CY2783" s="56"/>
      <c r="CZ2783" s="56"/>
    </row>
    <row r="2784" spans="27:104" s="5" customFormat="1" x14ac:dyDescent="0.25">
      <c r="AA2784" s="56"/>
      <c r="AB2784" s="56"/>
      <c r="AC2784" s="56"/>
      <c r="AD2784" s="56"/>
      <c r="AE2784" s="56"/>
      <c r="AF2784" s="56"/>
      <c r="AG2784" s="56"/>
      <c r="AH2784" s="56"/>
      <c r="AI2784" s="56"/>
      <c r="AJ2784" s="56"/>
      <c r="AK2784" s="56"/>
      <c r="AL2784" s="56"/>
      <c r="AM2784" s="56"/>
      <c r="AN2784" s="56"/>
      <c r="AO2784" s="56"/>
      <c r="AP2784" s="56"/>
      <c r="AQ2784" s="56"/>
      <c r="AR2784" s="56"/>
      <c r="AS2784" s="56"/>
      <c r="AT2784" s="56"/>
      <c r="AU2784" s="56"/>
      <c r="AV2784" s="56"/>
      <c r="AW2784" s="56"/>
      <c r="AX2784" s="56"/>
      <c r="AY2784" s="56"/>
      <c r="AZ2784" s="56"/>
      <c r="BA2784" s="56"/>
      <c r="BB2784" s="16"/>
      <c r="BC2784" s="56"/>
      <c r="BD2784" s="56"/>
      <c r="BE2784" s="56"/>
      <c r="BF2784" s="56"/>
      <c r="BG2784" s="56"/>
      <c r="BH2784" s="56"/>
      <c r="BI2784" s="56"/>
      <c r="BJ2784" s="56"/>
      <c r="BK2784" s="56"/>
      <c r="BL2784" s="56"/>
      <c r="BM2784" s="56"/>
      <c r="BN2784" s="56"/>
      <c r="BO2784" s="56"/>
      <c r="BP2784" s="56"/>
      <c r="BQ2784" s="56"/>
      <c r="BR2784" s="56"/>
      <c r="BS2784" s="56"/>
      <c r="BT2784" s="56"/>
      <c r="BU2784" s="56"/>
      <c r="BV2784" s="56"/>
      <c r="BW2784" s="56"/>
      <c r="BX2784" s="56"/>
      <c r="BY2784" s="56"/>
      <c r="BZ2784" s="56"/>
      <c r="CA2784" s="56"/>
      <c r="CB2784" s="56"/>
      <c r="CC2784" s="56"/>
      <c r="CD2784" s="56"/>
      <c r="CE2784" s="56"/>
      <c r="CF2784" s="56"/>
      <c r="CG2784" s="56"/>
      <c r="CH2784" s="56"/>
      <c r="CI2784" s="56"/>
      <c r="CJ2784" s="56"/>
      <c r="CK2784" s="56"/>
      <c r="CL2784" s="56"/>
      <c r="CM2784" s="56"/>
      <c r="CN2784" s="56"/>
      <c r="CO2784" s="56"/>
      <c r="CP2784" s="56"/>
      <c r="CQ2784" s="56"/>
      <c r="CR2784" s="56"/>
      <c r="CS2784" s="56"/>
      <c r="CT2784" s="56"/>
      <c r="CU2784" s="56"/>
      <c r="CV2784" s="56"/>
      <c r="CW2784" s="56"/>
      <c r="CX2784" s="56"/>
      <c r="CY2784" s="56"/>
      <c r="CZ2784" s="56"/>
    </row>
    <row r="2785" spans="27:104" s="5" customFormat="1" x14ac:dyDescent="0.25">
      <c r="AA2785" s="56"/>
      <c r="AB2785" s="56"/>
      <c r="AC2785" s="56"/>
      <c r="AD2785" s="56"/>
      <c r="AE2785" s="56"/>
      <c r="AF2785" s="56"/>
      <c r="AG2785" s="56"/>
      <c r="AH2785" s="56"/>
      <c r="AI2785" s="56"/>
      <c r="AJ2785" s="56"/>
      <c r="AK2785" s="56"/>
      <c r="AL2785" s="56"/>
      <c r="AM2785" s="56"/>
      <c r="AN2785" s="56"/>
      <c r="AO2785" s="56"/>
      <c r="AP2785" s="56"/>
      <c r="AQ2785" s="56"/>
      <c r="AR2785" s="56"/>
      <c r="AS2785" s="56"/>
      <c r="AT2785" s="56"/>
      <c r="AU2785" s="56"/>
      <c r="AV2785" s="56"/>
      <c r="AW2785" s="56"/>
      <c r="AX2785" s="56"/>
      <c r="AY2785" s="56"/>
      <c r="AZ2785" s="56"/>
      <c r="BA2785" s="56"/>
      <c r="BB2785" s="16"/>
      <c r="BC2785" s="56"/>
      <c r="BD2785" s="56"/>
      <c r="BE2785" s="56"/>
      <c r="BF2785" s="56"/>
      <c r="BG2785" s="56"/>
      <c r="BH2785" s="56"/>
      <c r="BI2785" s="56"/>
      <c r="BJ2785" s="56"/>
      <c r="BK2785" s="56"/>
      <c r="BL2785" s="56"/>
      <c r="BM2785" s="56"/>
      <c r="BN2785" s="56"/>
      <c r="BO2785" s="56"/>
      <c r="BP2785" s="56"/>
      <c r="BQ2785" s="56"/>
      <c r="BR2785" s="56"/>
      <c r="BS2785" s="56"/>
      <c r="BT2785" s="56"/>
      <c r="BU2785" s="56"/>
      <c r="BV2785" s="56"/>
      <c r="BW2785" s="56"/>
      <c r="BX2785" s="56"/>
      <c r="BY2785" s="56"/>
      <c r="BZ2785" s="56"/>
      <c r="CA2785" s="56"/>
      <c r="CB2785" s="56"/>
      <c r="CC2785" s="56"/>
      <c r="CD2785" s="56"/>
      <c r="CE2785" s="56"/>
      <c r="CF2785" s="56"/>
      <c r="CG2785" s="56"/>
      <c r="CH2785" s="56"/>
      <c r="CI2785" s="56"/>
      <c r="CJ2785" s="56"/>
      <c r="CK2785" s="56"/>
      <c r="CL2785" s="56"/>
      <c r="CM2785" s="56"/>
      <c r="CN2785" s="56"/>
      <c r="CO2785" s="56"/>
      <c r="CP2785" s="56"/>
      <c r="CQ2785" s="56"/>
      <c r="CR2785" s="56"/>
      <c r="CS2785" s="56"/>
      <c r="CT2785" s="56"/>
      <c r="CU2785" s="56"/>
      <c r="CV2785" s="56"/>
      <c r="CW2785" s="56"/>
      <c r="CX2785" s="56"/>
      <c r="CY2785" s="56"/>
      <c r="CZ2785" s="56"/>
    </row>
    <row r="2786" spans="27:104" s="5" customFormat="1" x14ac:dyDescent="0.25">
      <c r="AA2786" s="56"/>
      <c r="AB2786" s="56"/>
      <c r="AC2786" s="56"/>
      <c r="AD2786" s="56"/>
      <c r="AE2786" s="56"/>
      <c r="AF2786" s="56"/>
      <c r="AG2786" s="56"/>
      <c r="AH2786" s="56"/>
      <c r="AI2786" s="56"/>
      <c r="AJ2786" s="56"/>
      <c r="AK2786" s="56"/>
      <c r="AL2786" s="56"/>
      <c r="AM2786" s="56"/>
      <c r="AN2786" s="56"/>
      <c r="AO2786" s="56"/>
      <c r="AP2786" s="56"/>
      <c r="AQ2786" s="56"/>
      <c r="AR2786" s="56"/>
      <c r="AS2786" s="56"/>
      <c r="AT2786" s="56"/>
      <c r="AU2786" s="56"/>
      <c r="AV2786" s="56"/>
      <c r="AW2786" s="56"/>
      <c r="AX2786" s="56"/>
      <c r="AY2786" s="56"/>
      <c r="AZ2786" s="56"/>
      <c r="BA2786" s="56"/>
      <c r="BB2786" s="16"/>
      <c r="BC2786" s="56"/>
      <c r="BD2786" s="56"/>
      <c r="BE2786" s="56"/>
      <c r="BF2786" s="56"/>
      <c r="BG2786" s="56"/>
      <c r="BH2786" s="56"/>
      <c r="BI2786" s="56"/>
      <c r="BJ2786" s="56"/>
      <c r="BK2786" s="56"/>
      <c r="BL2786" s="56"/>
      <c r="BM2786" s="56"/>
      <c r="BN2786" s="56"/>
      <c r="BO2786" s="56"/>
      <c r="BP2786" s="56"/>
      <c r="BQ2786" s="56"/>
      <c r="BR2786" s="56"/>
      <c r="BS2786" s="56"/>
      <c r="BT2786" s="56"/>
      <c r="BU2786" s="56"/>
      <c r="BV2786" s="56"/>
      <c r="BW2786" s="56"/>
      <c r="BX2786" s="56"/>
      <c r="BY2786" s="56"/>
      <c r="BZ2786" s="56"/>
      <c r="CA2786" s="56"/>
      <c r="CB2786" s="56"/>
      <c r="CC2786" s="56"/>
      <c r="CD2786" s="56"/>
      <c r="CE2786" s="56"/>
      <c r="CF2786" s="56"/>
      <c r="CG2786" s="56"/>
      <c r="CH2786" s="56"/>
      <c r="CI2786" s="56"/>
      <c r="CJ2786" s="56"/>
      <c r="CK2786" s="56"/>
      <c r="CL2786" s="56"/>
      <c r="CM2786" s="56"/>
      <c r="CN2786" s="56"/>
      <c r="CO2786" s="56"/>
      <c r="CP2786" s="56"/>
      <c r="CQ2786" s="56"/>
      <c r="CR2786" s="56"/>
      <c r="CS2786" s="56"/>
      <c r="CT2786" s="56"/>
      <c r="CU2786" s="56"/>
      <c r="CV2786" s="56"/>
      <c r="CW2786" s="56"/>
      <c r="CX2786" s="56"/>
      <c r="CY2786" s="56"/>
      <c r="CZ2786" s="56"/>
    </row>
    <row r="2787" spans="27:104" s="5" customFormat="1" x14ac:dyDescent="0.25">
      <c r="AA2787" s="56"/>
      <c r="AB2787" s="56"/>
      <c r="AC2787" s="56"/>
      <c r="AD2787" s="56"/>
      <c r="AE2787" s="56"/>
      <c r="AF2787" s="56"/>
      <c r="AG2787" s="56"/>
      <c r="AH2787" s="56"/>
      <c r="AI2787" s="56"/>
      <c r="AJ2787" s="56"/>
      <c r="AK2787" s="56"/>
      <c r="AL2787" s="56"/>
      <c r="AM2787" s="56"/>
      <c r="AN2787" s="56"/>
      <c r="AO2787" s="56"/>
      <c r="AP2787" s="56"/>
      <c r="AQ2787" s="56"/>
      <c r="AR2787" s="56"/>
      <c r="AS2787" s="56"/>
      <c r="AT2787" s="56"/>
      <c r="AU2787" s="56"/>
      <c r="AV2787" s="56"/>
      <c r="AW2787" s="56"/>
      <c r="AX2787" s="56"/>
      <c r="AY2787" s="56"/>
      <c r="AZ2787" s="56"/>
      <c r="BA2787" s="56"/>
      <c r="BB2787" s="16"/>
      <c r="BC2787" s="56"/>
      <c r="BD2787" s="56"/>
      <c r="BE2787" s="56"/>
      <c r="BF2787" s="56"/>
      <c r="BG2787" s="56"/>
      <c r="BH2787" s="56"/>
      <c r="BI2787" s="56"/>
      <c r="BJ2787" s="56"/>
      <c r="BK2787" s="56"/>
      <c r="BL2787" s="56"/>
      <c r="BM2787" s="56"/>
      <c r="BN2787" s="56"/>
      <c r="BO2787" s="56"/>
      <c r="BP2787" s="56"/>
      <c r="BQ2787" s="56"/>
      <c r="BR2787" s="56"/>
      <c r="BS2787" s="56"/>
      <c r="BT2787" s="56"/>
      <c r="BU2787" s="56"/>
      <c r="BV2787" s="56"/>
      <c r="BW2787" s="56"/>
      <c r="BX2787" s="56"/>
      <c r="BY2787" s="56"/>
      <c r="BZ2787" s="56"/>
      <c r="CA2787" s="56"/>
      <c r="CB2787" s="56"/>
      <c r="CC2787" s="56"/>
      <c r="CD2787" s="56"/>
      <c r="CE2787" s="56"/>
      <c r="CF2787" s="56"/>
      <c r="CG2787" s="56"/>
      <c r="CH2787" s="56"/>
      <c r="CI2787" s="56"/>
      <c r="CJ2787" s="56"/>
      <c r="CK2787" s="56"/>
      <c r="CL2787" s="56"/>
      <c r="CM2787" s="56"/>
      <c r="CN2787" s="56"/>
      <c r="CO2787" s="56"/>
      <c r="CP2787" s="56"/>
      <c r="CQ2787" s="56"/>
      <c r="CR2787" s="56"/>
      <c r="CS2787" s="56"/>
      <c r="CT2787" s="56"/>
      <c r="CU2787" s="56"/>
      <c r="CV2787" s="56"/>
      <c r="CW2787" s="56"/>
      <c r="CX2787" s="56"/>
      <c r="CY2787" s="56"/>
      <c r="CZ2787" s="56"/>
    </row>
    <row r="2788" spans="27:104" s="5" customFormat="1" x14ac:dyDescent="0.25">
      <c r="AA2788" s="56"/>
      <c r="AB2788" s="56"/>
      <c r="AC2788" s="56"/>
      <c r="AD2788" s="56"/>
      <c r="AE2788" s="56"/>
      <c r="AF2788" s="56"/>
      <c r="AG2788" s="56"/>
      <c r="AH2788" s="56"/>
      <c r="AI2788" s="56"/>
      <c r="AJ2788" s="56"/>
      <c r="AK2788" s="56"/>
      <c r="AL2788" s="56"/>
      <c r="AM2788" s="56"/>
      <c r="AN2788" s="56"/>
      <c r="AO2788" s="56"/>
      <c r="AP2788" s="56"/>
      <c r="AQ2788" s="56"/>
      <c r="AR2788" s="56"/>
      <c r="AS2788" s="56"/>
      <c r="AT2788" s="56"/>
      <c r="AU2788" s="56"/>
      <c r="AV2788" s="56"/>
      <c r="AW2788" s="56"/>
      <c r="AX2788" s="56"/>
      <c r="AY2788" s="56"/>
      <c r="AZ2788" s="56"/>
      <c r="BA2788" s="56"/>
      <c r="BB2788" s="16"/>
      <c r="BC2788" s="56"/>
      <c r="BD2788" s="56"/>
      <c r="BE2788" s="56"/>
      <c r="BF2788" s="56"/>
      <c r="BG2788" s="56"/>
      <c r="BH2788" s="56"/>
      <c r="BI2788" s="56"/>
      <c r="BJ2788" s="56"/>
      <c r="BK2788" s="56"/>
      <c r="BL2788" s="56"/>
      <c r="BM2788" s="56"/>
      <c r="BN2788" s="56"/>
      <c r="BO2788" s="56"/>
      <c r="BP2788" s="56"/>
      <c r="BQ2788" s="56"/>
      <c r="BR2788" s="56"/>
      <c r="BS2788" s="56"/>
      <c r="BT2788" s="56"/>
      <c r="BU2788" s="56"/>
      <c r="BV2788" s="56"/>
      <c r="BW2788" s="56"/>
      <c r="BX2788" s="56"/>
      <c r="BY2788" s="56"/>
      <c r="BZ2788" s="56"/>
      <c r="CA2788" s="56"/>
      <c r="CB2788" s="56"/>
      <c r="CC2788" s="56"/>
      <c r="CD2788" s="56"/>
      <c r="CE2788" s="56"/>
      <c r="CF2788" s="56"/>
      <c r="CG2788" s="56"/>
      <c r="CH2788" s="56"/>
      <c r="CI2788" s="56"/>
      <c r="CJ2788" s="56"/>
      <c r="CK2788" s="56"/>
      <c r="CL2788" s="56"/>
      <c r="CM2788" s="56"/>
      <c r="CN2788" s="56"/>
      <c r="CO2788" s="56"/>
      <c r="CP2788" s="56"/>
      <c r="CQ2788" s="56"/>
      <c r="CR2788" s="56"/>
      <c r="CS2788" s="56"/>
      <c r="CT2788" s="56"/>
      <c r="CU2788" s="56"/>
      <c r="CV2788" s="56"/>
      <c r="CW2788" s="56"/>
      <c r="CX2788" s="56"/>
      <c r="CY2788" s="56"/>
      <c r="CZ2788" s="56"/>
    </row>
    <row r="2789" spans="27:104" s="5" customFormat="1" x14ac:dyDescent="0.25">
      <c r="AA2789" s="56"/>
      <c r="AB2789" s="56"/>
      <c r="AC2789" s="56"/>
      <c r="AD2789" s="56"/>
      <c r="AE2789" s="56"/>
      <c r="AF2789" s="56"/>
      <c r="AG2789" s="56"/>
      <c r="AH2789" s="56"/>
      <c r="AI2789" s="56"/>
      <c r="AJ2789" s="56"/>
      <c r="AK2789" s="56"/>
      <c r="AL2789" s="56"/>
      <c r="AM2789" s="56"/>
      <c r="AN2789" s="56"/>
      <c r="AO2789" s="56"/>
      <c r="AP2789" s="56"/>
      <c r="AQ2789" s="56"/>
      <c r="AR2789" s="56"/>
      <c r="AS2789" s="56"/>
      <c r="AT2789" s="56"/>
      <c r="AU2789" s="56"/>
      <c r="AV2789" s="56"/>
      <c r="AW2789" s="56"/>
      <c r="AX2789" s="56"/>
      <c r="AY2789" s="56"/>
      <c r="AZ2789" s="56"/>
      <c r="BA2789" s="56"/>
      <c r="BB2789" s="16"/>
      <c r="BC2789" s="56"/>
      <c r="BD2789" s="56"/>
      <c r="BE2789" s="56"/>
      <c r="BF2789" s="56"/>
      <c r="BG2789" s="56"/>
      <c r="BH2789" s="56"/>
      <c r="BI2789" s="56"/>
      <c r="BJ2789" s="56"/>
      <c r="BK2789" s="56"/>
      <c r="BL2789" s="56"/>
      <c r="BM2789" s="56"/>
      <c r="BN2789" s="56"/>
      <c r="BO2789" s="56"/>
      <c r="BP2789" s="56"/>
      <c r="BQ2789" s="56"/>
      <c r="BR2789" s="56"/>
      <c r="BS2789" s="56"/>
      <c r="BT2789" s="56"/>
      <c r="BU2789" s="56"/>
      <c r="BV2789" s="56"/>
      <c r="BW2789" s="56"/>
      <c r="BX2789" s="56"/>
      <c r="BY2789" s="56"/>
      <c r="BZ2789" s="56"/>
      <c r="CA2789" s="56"/>
      <c r="CB2789" s="56"/>
      <c r="CC2789" s="56"/>
      <c r="CD2789" s="56"/>
      <c r="CE2789" s="56"/>
      <c r="CF2789" s="56"/>
      <c r="CG2789" s="56"/>
      <c r="CH2789" s="56"/>
      <c r="CI2789" s="56"/>
      <c r="CJ2789" s="56"/>
      <c r="CK2789" s="56"/>
      <c r="CL2789" s="56"/>
      <c r="CM2789" s="56"/>
      <c r="CN2789" s="56"/>
      <c r="CO2789" s="56"/>
      <c r="CP2789" s="56"/>
      <c r="CQ2789" s="56"/>
      <c r="CR2789" s="56"/>
      <c r="CS2789" s="56"/>
      <c r="CT2789" s="56"/>
      <c r="CU2789" s="56"/>
      <c r="CV2789" s="56"/>
      <c r="CW2789" s="56"/>
      <c r="CX2789" s="56"/>
      <c r="CY2789" s="56"/>
      <c r="CZ2789" s="56"/>
    </row>
    <row r="2790" spans="27:104" s="5" customFormat="1" x14ac:dyDescent="0.25">
      <c r="AA2790" s="56"/>
      <c r="AB2790" s="56"/>
      <c r="AC2790" s="56"/>
      <c r="AD2790" s="56"/>
      <c r="AE2790" s="56"/>
      <c r="AF2790" s="56"/>
      <c r="AG2790" s="56"/>
      <c r="AH2790" s="56"/>
      <c r="AI2790" s="56"/>
      <c r="AJ2790" s="56"/>
      <c r="AK2790" s="56"/>
      <c r="AL2790" s="56"/>
      <c r="AM2790" s="56"/>
      <c r="AN2790" s="56"/>
      <c r="AO2790" s="56"/>
      <c r="AP2790" s="56"/>
      <c r="AQ2790" s="56"/>
      <c r="AR2790" s="56"/>
      <c r="AS2790" s="56"/>
      <c r="AT2790" s="56"/>
      <c r="AU2790" s="56"/>
      <c r="AV2790" s="56"/>
      <c r="AW2790" s="56"/>
      <c r="AX2790" s="56"/>
      <c r="AY2790" s="56"/>
      <c r="AZ2790" s="56"/>
      <c r="BA2790" s="56"/>
      <c r="BB2790" s="16"/>
      <c r="BC2790" s="56"/>
      <c r="BD2790" s="56"/>
      <c r="BE2790" s="56"/>
      <c r="BF2790" s="56"/>
      <c r="BG2790" s="56"/>
      <c r="BH2790" s="56"/>
      <c r="BI2790" s="56"/>
      <c r="BJ2790" s="56"/>
      <c r="BK2790" s="56"/>
      <c r="BL2790" s="56"/>
      <c r="BM2790" s="56"/>
      <c r="BN2790" s="56"/>
      <c r="BO2790" s="56"/>
      <c r="BP2790" s="56"/>
      <c r="BQ2790" s="56"/>
      <c r="BR2790" s="56"/>
      <c r="BS2790" s="56"/>
      <c r="BT2790" s="56"/>
      <c r="BU2790" s="56"/>
      <c r="BV2790" s="56"/>
      <c r="BW2790" s="56"/>
      <c r="BX2790" s="56"/>
      <c r="BY2790" s="56"/>
      <c r="BZ2790" s="56"/>
      <c r="CA2790" s="56"/>
      <c r="CB2790" s="56"/>
      <c r="CC2790" s="56"/>
      <c r="CD2790" s="56"/>
      <c r="CE2790" s="56"/>
      <c r="CF2790" s="56"/>
      <c r="CG2790" s="56"/>
      <c r="CH2790" s="56"/>
      <c r="CI2790" s="56"/>
      <c r="CJ2790" s="56"/>
      <c r="CK2790" s="56"/>
      <c r="CL2790" s="56"/>
      <c r="CM2790" s="56"/>
      <c r="CN2790" s="56"/>
      <c r="CO2790" s="56"/>
      <c r="CP2790" s="56"/>
      <c r="CQ2790" s="56"/>
      <c r="CR2790" s="56"/>
      <c r="CS2790" s="56"/>
      <c r="CT2790" s="56"/>
      <c r="CU2790" s="56"/>
      <c r="CV2790" s="56"/>
      <c r="CW2790" s="56"/>
      <c r="CX2790" s="56"/>
      <c r="CY2790" s="56"/>
      <c r="CZ2790" s="56"/>
    </row>
    <row r="2791" spans="27:104" s="5" customFormat="1" x14ac:dyDescent="0.25">
      <c r="AA2791" s="56"/>
      <c r="AB2791" s="56"/>
      <c r="AC2791" s="56"/>
      <c r="AD2791" s="56"/>
      <c r="AE2791" s="56"/>
      <c r="AF2791" s="56"/>
      <c r="AG2791" s="56"/>
      <c r="AH2791" s="56"/>
      <c r="AI2791" s="56"/>
      <c r="AJ2791" s="56"/>
      <c r="AK2791" s="56"/>
      <c r="AL2791" s="56"/>
      <c r="AM2791" s="56"/>
      <c r="AN2791" s="56"/>
      <c r="AO2791" s="56"/>
      <c r="AP2791" s="56"/>
      <c r="AQ2791" s="56"/>
      <c r="AR2791" s="56"/>
      <c r="AS2791" s="56"/>
      <c r="AT2791" s="56"/>
      <c r="AU2791" s="56"/>
      <c r="AV2791" s="56"/>
      <c r="AW2791" s="56"/>
      <c r="AX2791" s="56"/>
      <c r="AY2791" s="56"/>
      <c r="AZ2791" s="56"/>
      <c r="BA2791" s="56"/>
      <c r="BB2791" s="16"/>
      <c r="BC2791" s="56"/>
      <c r="BD2791" s="56"/>
      <c r="BE2791" s="56"/>
      <c r="BF2791" s="56"/>
      <c r="BG2791" s="56"/>
      <c r="BH2791" s="56"/>
      <c r="BI2791" s="56"/>
      <c r="BJ2791" s="56"/>
      <c r="BK2791" s="56"/>
      <c r="BL2791" s="56"/>
      <c r="BM2791" s="56"/>
      <c r="BN2791" s="56"/>
      <c r="BO2791" s="56"/>
      <c r="BP2791" s="56"/>
      <c r="BQ2791" s="56"/>
      <c r="BR2791" s="56"/>
      <c r="BS2791" s="56"/>
      <c r="BT2791" s="56"/>
      <c r="BU2791" s="56"/>
      <c r="BV2791" s="56"/>
      <c r="BW2791" s="56"/>
      <c r="BX2791" s="56"/>
      <c r="BY2791" s="56"/>
      <c r="BZ2791" s="56"/>
      <c r="CA2791" s="56"/>
      <c r="CB2791" s="56"/>
      <c r="CC2791" s="56"/>
      <c r="CD2791" s="56"/>
      <c r="CE2791" s="56"/>
      <c r="CF2791" s="56"/>
      <c r="CG2791" s="56"/>
      <c r="CH2791" s="56"/>
      <c r="CI2791" s="56"/>
      <c r="CJ2791" s="56"/>
      <c r="CK2791" s="56"/>
      <c r="CL2791" s="56"/>
      <c r="CM2791" s="56"/>
      <c r="CN2791" s="56"/>
      <c r="CO2791" s="56"/>
      <c r="CP2791" s="56"/>
      <c r="CQ2791" s="56"/>
      <c r="CR2791" s="56"/>
      <c r="CS2791" s="56"/>
      <c r="CT2791" s="56"/>
      <c r="CU2791" s="56"/>
      <c r="CV2791" s="56"/>
      <c r="CW2791" s="56"/>
      <c r="CX2791" s="56"/>
      <c r="CY2791" s="56"/>
      <c r="CZ2791" s="56"/>
    </row>
    <row r="2792" spans="27:104" s="5" customFormat="1" x14ac:dyDescent="0.25">
      <c r="AA2792" s="56"/>
      <c r="AB2792" s="56"/>
      <c r="AC2792" s="56"/>
      <c r="AD2792" s="56"/>
      <c r="AE2792" s="56"/>
      <c r="AF2792" s="56"/>
      <c r="AG2792" s="56"/>
      <c r="AH2792" s="56"/>
      <c r="AI2792" s="56"/>
      <c r="AJ2792" s="56"/>
      <c r="AK2792" s="56"/>
      <c r="AL2792" s="56"/>
      <c r="AM2792" s="56"/>
      <c r="AN2792" s="56"/>
      <c r="AO2792" s="56"/>
      <c r="AP2792" s="56"/>
      <c r="AQ2792" s="56"/>
      <c r="AR2792" s="56"/>
      <c r="AS2792" s="56"/>
      <c r="AT2792" s="56"/>
      <c r="AU2792" s="56"/>
      <c r="AV2792" s="56"/>
      <c r="AW2792" s="56"/>
      <c r="AX2792" s="56"/>
      <c r="AY2792" s="56"/>
      <c r="AZ2792" s="56"/>
      <c r="BA2792" s="56"/>
      <c r="BB2792" s="16"/>
      <c r="BC2792" s="56"/>
      <c r="BD2792" s="56"/>
      <c r="BE2792" s="56"/>
      <c r="BF2792" s="56"/>
      <c r="BG2792" s="56"/>
      <c r="BH2792" s="56"/>
      <c r="BI2792" s="56"/>
      <c r="BJ2792" s="56"/>
      <c r="BK2792" s="56"/>
      <c r="BL2792" s="56"/>
      <c r="BM2792" s="56"/>
      <c r="BN2792" s="56"/>
      <c r="BO2792" s="56"/>
      <c r="BP2792" s="56"/>
      <c r="BQ2792" s="56"/>
      <c r="BR2792" s="56"/>
      <c r="BS2792" s="56"/>
      <c r="BT2792" s="56"/>
      <c r="BU2792" s="56"/>
      <c r="BV2792" s="56"/>
      <c r="BW2792" s="56"/>
      <c r="BX2792" s="56"/>
      <c r="BY2792" s="56"/>
      <c r="BZ2792" s="56"/>
      <c r="CA2792" s="56"/>
      <c r="CB2792" s="56"/>
      <c r="CC2792" s="56"/>
      <c r="CD2792" s="56"/>
      <c r="CE2792" s="56"/>
      <c r="CF2792" s="56"/>
      <c r="CG2792" s="56"/>
      <c r="CH2792" s="56"/>
      <c r="CI2792" s="56"/>
      <c r="CJ2792" s="56"/>
      <c r="CK2792" s="56"/>
      <c r="CL2792" s="56"/>
      <c r="CM2792" s="56"/>
      <c r="CN2792" s="56"/>
      <c r="CO2792" s="56"/>
      <c r="CP2792" s="56"/>
      <c r="CQ2792" s="56"/>
      <c r="CR2792" s="56"/>
      <c r="CS2792" s="56"/>
      <c r="CT2792" s="56"/>
      <c r="CU2792" s="56"/>
      <c r="CV2792" s="56"/>
      <c r="CW2792" s="56"/>
      <c r="CX2792" s="56"/>
      <c r="CY2792" s="56"/>
      <c r="CZ2792" s="56"/>
    </row>
    <row r="2793" spans="27:104" s="5" customFormat="1" x14ac:dyDescent="0.25">
      <c r="AA2793" s="56"/>
      <c r="AB2793" s="56"/>
      <c r="AC2793" s="56"/>
      <c r="AD2793" s="56"/>
      <c r="AE2793" s="56"/>
      <c r="AF2793" s="56"/>
      <c r="AG2793" s="56"/>
      <c r="AH2793" s="56"/>
      <c r="AI2793" s="56"/>
      <c r="AJ2793" s="56"/>
      <c r="AK2793" s="56"/>
      <c r="AL2793" s="56"/>
      <c r="AM2793" s="56"/>
      <c r="AN2793" s="56"/>
      <c r="AO2793" s="56"/>
      <c r="AP2793" s="56"/>
      <c r="AQ2793" s="56"/>
      <c r="AR2793" s="56"/>
      <c r="AS2793" s="56"/>
      <c r="AT2793" s="56"/>
      <c r="AU2793" s="56"/>
      <c r="AV2793" s="56"/>
      <c r="AW2793" s="56"/>
      <c r="AX2793" s="56"/>
      <c r="AY2793" s="56"/>
      <c r="AZ2793" s="56"/>
      <c r="BA2793" s="56"/>
      <c r="BB2793" s="16"/>
      <c r="BC2793" s="56"/>
      <c r="BD2793" s="56"/>
      <c r="BE2793" s="56"/>
      <c r="BF2793" s="56"/>
      <c r="BG2793" s="56"/>
      <c r="BH2793" s="56"/>
      <c r="BI2793" s="56"/>
      <c r="BJ2793" s="56"/>
      <c r="BK2793" s="56"/>
      <c r="BL2793" s="56"/>
      <c r="BM2793" s="56"/>
      <c r="BN2793" s="56"/>
      <c r="BO2793" s="56"/>
      <c r="BP2793" s="56"/>
      <c r="BQ2793" s="56"/>
      <c r="BR2793" s="56"/>
      <c r="BS2793" s="56"/>
      <c r="BT2793" s="56"/>
      <c r="BU2793" s="56"/>
      <c r="BV2793" s="56"/>
      <c r="BW2793" s="56"/>
      <c r="BX2793" s="56"/>
      <c r="BY2793" s="56"/>
      <c r="BZ2793" s="56"/>
      <c r="CA2793" s="56"/>
      <c r="CB2793" s="56"/>
      <c r="CC2793" s="56"/>
      <c r="CD2793" s="56"/>
      <c r="CE2793" s="56"/>
      <c r="CF2793" s="56"/>
      <c r="CG2793" s="56"/>
      <c r="CH2793" s="56"/>
      <c r="CI2793" s="56"/>
      <c r="CJ2793" s="56"/>
      <c r="CK2793" s="56"/>
      <c r="CL2793" s="56"/>
      <c r="CM2793" s="56"/>
      <c r="CN2793" s="56"/>
      <c r="CO2793" s="56"/>
      <c r="CP2793" s="56"/>
      <c r="CQ2793" s="56"/>
      <c r="CR2793" s="56"/>
      <c r="CS2793" s="56"/>
      <c r="CT2793" s="56"/>
      <c r="CU2793" s="56"/>
      <c r="CV2793" s="56"/>
      <c r="CW2793" s="56"/>
      <c r="CX2793" s="56"/>
      <c r="CY2793" s="56"/>
      <c r="CZ2793" s="56"/>
    </row>
    <row r="2794" spans="27:104" s="5" customFormat="1" x14ac:dyDescent="0.25">
      <c r="AA2794" s="56"/>
      <c r="AB2794" s="56"/>
      <c r="AC2794" s="56"/>
      <c r="AD2794" s="56"/>
      <c r="AE2794" s="56"/>
      <c r="AF2794" s="56"/>
      <c r="AG2794" s="56"/>
      <c r="AH2794" s="56"/>
      <c r="AI2794" s="56"/>
      <c r="AJ2794" s="56"/>
      <c r="AK2794" s="56"/>
      <c r="AL2794" s="56"/>
      <c r="AM2794" s="56"/>
      <c r="AN2794" s="56"/>
      <c r="AO2794" s="56"/>
      <c r="AP2794" s="56"/>
      <c r="AQ2794" s="56"/>
      <c r="AR2794" s="56"/>
      <c r="AS2794" s="56"/>
      <c r="AT2794" s="56"/>
      <c r="AU2794" s="56"/>
      <c r="AV2794" s="56"/>
      <c r="AW2794" s="56"/>
      <c r="AX2794" s="56"/>
      <c r="AY2794" s="56"/>
      <c r="AZ2794" s="56"/>
      <c r="BA2794" s="56"/>
      <c r="BB2794" s="16"/>
      <c r="BC2794" s="56"/>
      <c r="BD2794" s="56"/>
      <c r="BE2794" s="56"/>
      <c r="BF2794" s="56"/>
      <c r="BG2794" s="56"/>
      <c r="BH2794" s="56"/>
      <c r="BI2794" s="56"/>
      <c r="BJ2794" s="56"/>
      <c r="BK2794" s="56"/>
      <c r="BL2794" s="56"/>
      <c r="BM2794" s="56"/>
      <c r="BN2794" s="56"/>
      <c r="BO2794" s="56"/>
      <c r="BP2794" s="56"/>
      <c r="BQ2794" s="56"/>
      <c r="BR2794" s="56"/>
      <c r="BS2794" s="56"/>
      <c r="BT2794" s="56"/>
      <c r="BU2794" s="56"/>
      <c r="BV2794" s="56"/>
      <c r="BW2794" s="56"/>
      <c r="BX2794" s="56"/>
      <c r="BY2794" s="56"/>
      <c r="BZ2794" s="56"/>
      <c r="CA2794" s="56"/>
      <c r="CB2794" s="56"/>
      <c r="CC2794" s="56"/>
      <c r="CD2794" s="56"/>
      <c r="CE2794" s="56"/>
      <c r="CF2794" s="56"/>
      <c r="CG2794" s="56"/>
      <c r="CH2794" s="56"/>
      <c r="CI2794" s="56"/>
      <c r="CJ2794" s="56"/>
      <c r="CK2794" s="56"/>
      <c r="CL2794" s="56"/>
      <c r="CM2794" s="56"/>
      <c r="CN2794" s="56"/>
      <c r="CO2794" s="56"/>
      <c r="CP2794" s="56"/>
      <c r="CQ2794" s="56"/>
      <c r="CR2794" s="56"/>
      <c r="CS2794" s="56"/>
      <c r="CT2794" s="56"/>
      <c r="CU2794" s="56"/>
      <c r="CV2794" s="56"/>
      <c r="CW2794" s="56"/>
      <c r="CX2794" s="56"/>
      <c r="CY2794" s="56"/>
      <c r="CZ2794" s="56"/>
    </row>
    <row r="2795" spans="27:104" s="5" customFormat="1" x14ac:dyDescent="0.25">
      <c r="AA2795" s="56"/>
      <c r="AB2795" s="56"/>
      <c r="AC2795" s="56"/>
      <c r="AD2795" s="56"/>
      <c r="AE2795" s="56"/>
      <c r="AF2795" s="56"/>
      <c r="AG2795" s="56"/>
      <c r="AH2795" s="56"/>
      <c r="AI2795" s="56"/>
      <c r="AJ2795" s="56"/>
      <c r="AK2795" s="56"/>
      <c r="AL2795" s="56"/>
      <c r="AM2795" s="56"/>
      <c r="AN2795" s="56"/>
      <c r="AO2795" s="56"/>
      <c r="AP2795" s="56"/>
      <c r="AQ2795" s="56"/>
      <c r="AR2795" s="56"/>
      <c r="AS2795" s="56"/>
      <c r="AT2795" s="56"/>
      <c r="AU2795" s="56"/>
      <c r="AV2795" s="56"/>
      <c r="AW2795" s="56"/>
      <c r="AX2795" s="56"/>
      <c r="AY2795" s="56"/>
      <c r="AZ2795" s="56"/>
      <c r="BA2795" s="56"/>
      <c r="BB2795" s="16"/>
      <c r="BC2795" s="56"/>
      <c r="BD2795" s="56"/>
      <c r="BE2795" s="56"/>
      <c r="BF2795" s="56"/>
      <c r="BG2795" s="56"/>
      <c r="BH2795" s="56"/>
      <c r="BI2795" s="56"/>
      <c r="BJ2795" s="56"/>
      <c r="BK2795" s="56"/>
      <c r="BL2795" s="56"/>
      <c r="BM2795" s="56"/>
      <c r="BN2795" s="56"/>
      <c r="BO2795" s="56"/>
      <c r="BP2795" s="56"/>
      <c r="BQ2795" s="56"/>
      <c r="BR2795" s="56"/>
      <c r="BS2795" s="56"/>
      <c r="BT2795" s="56"/>
      <c r="BU2795" s="56"/>
      <c r="BV2795" s="56"/>
      <c r="BW2795" s="56"/>
      <c r="BX2795" s="56"/>
      <c r="BY2795" s="56"/>
      <c r="BZ2795" s="56"/>
      <c r="CA2795" s="56"/>
      <c r="CB2795" s="56"/>
      <c r="CC2795" s="56"/>
      <c r="CD2795" s="56"/>
      <c r="CE2795" s="56"/>
      <c r="CF2795" s="56"/>
      <c r="CG2795" s="56"/>
      <c r="CH2795" s="56"/>
      <c r="CI2795" s="56"/>
      <c r="CJ2795" s="56"/>
      <c r="CK2795" s="56"/>
      <c r="CL2795" s="56"/>
      <c r="CM2795" s="56"/>
      <c r="CN2795" s="56"/>
      <c r="CO2795" s="56"/>
      <c r="CP2795" s="56"/>
      <c r="CQ2795" s="56"/>
      <c r="CR2795" s="56"/>
      <c r="CS2795" s="56"/>
      <c r="CT2795" s="56"/>
      <c r="CU2795" s="56"/>
      <c r="CV2795" s="56"/>
      <c r="CW2795" s="56"/>
      <c r="CX2795" s="56"/>
      <c r="CY2795" s="56"/>
      <c r="CZ2795" s="56"/>
    </row>
    <row r="2796" spans="27:104" s="5" customFormat="1" x14ac:dyDescent="0.25">
      <c r="AA2796" s="56"/>
      <c r="AB2796" s="56"/>
      <c r="AC2796" s="56"/>
      <c r="AD2796" s="56"/>
      <c r="AE2796" s="56"/>
      <c r="AF2796" s="56"/>
      <c r="AG2796" s="56"/>
      <c r="AH2796" s="56"/>
      <c r="AI2796" s="56"/>
      <c r="AJ2796" s="56"/>
      <c r="AK2796" s="56"/>
      <c r="AL2796" s="56"/>
      <c r="AM2796" s="56"/>
      <c r="AN2796" s="56"/>
      <c r="AO2796" s="56"/>
      <c r="AP2796" s="56"/>
      <c r="AQ2796" s="56"/>
      <c r="AR2796" s="56"/>
      <c r="AS2796" s="56"/>
      <c r="AT2796" s="56"/>
      <c r="AU2796" s="56"/>
      <c r="AV2796" s="56"/>
      <c r="AW2796" s="56"/>
      <c r="AX2796" s="56"/>
      <c r="AY2796" s="56"/>
      <c r="AZ2796" s="56"/>
      <c r="BA2796" s="56"/>
      <c r="BB2796" s="16"/>
      <c r="BC2796" s="56"/>
      <c r="BD2796" s="56"/>
      <c r="BE2796" s="56"/>
      <c r="BF2796" s="56"/>
      <c r="BG2796" s="56"/>
      <c r="BH2796" s="56"/>
      <c r="BI2796" s="56"/>
      <c r="BJ2796" s="56"/>
      <c r="BK2796" s="56"/>
      <c r="BL2796" s="56"/>
      <c r="BM2796" s="56"/>
      <c r="BN2796" s="56"/>
      <c r="BO2796" s="56"/>
      <c r="BP2796" s="56"/>
      <c r="BQ2796" s="56"/>
      <c r="BR2796" s="56"/>
      <c r="BS2796" s="56"/>
      <c r="BT2796" s="56"/>
      <c r="BU2796" s="56"/>
      <c r="BV2796" s="56"/>
      <c r="BW2796" s="56"/>
      <c r="BX2796" s="56"/>
      <c r="BY2796" s="56"/>
      <c r="BZ2796" s="56"/>
      <c r="CA2796" s="56"/>
      <c r="CB2796" s="56"/>
      <c r="CC2796" s="56"/>
      <c r="CD2796" s="56"/>
      <c r="CE2796" s="56"/>
      <c r="CF2796" s="56"/>
      <c r="CG2796" s="56"/>
      <c r="CH2796" s="56"/>
      <c r="CI2796" s="56"/>
      <c r="CJ2796" s="56"/>
      <c r="CK2796" s="56"/>
      <c r="CL2796" s="56"/>
      <c r="CM2796" s="56"/>
      <c r="CN2796" s="56"/>
      <c r="CO2796" s="56"/>
      <c r="CP2796" s="56"/>
      <c r="CQ2796" s="56"/>
      <c r="CR2796" s="56"/>
      <c r="CS2796" s="56"/>
      <c r="CT2796" s="56"/>
      <c r="CU2796" s="56"/>
      <c r="CV2796" s="56"/>
      <c r="CW2796" s="56"/>
      <c r="CX2796" s="56"/>
      <c r="CY2796" s="56"/>
      <c r="CZ2796" s="56"/>
    </row>
    <row r="2797" spans="27:104" s="5" customFormat="1" x14ac:dyDescent="0.25">
      <c r="AA2797" s="56"/>
      <c r="AB2797" s="56"/>
      <c r="AC2797" s="56"/>
      <c r="AD2797" s="56"/>
      <c r="AE2797" s="56"/>
      <c r="AF2797" s="56"/>
      <c r="AG2797" s="56"/>
      <c r="AH2797" s="56"/>
      <c r="AI2797" s="56"/>
      <c r="AJ2797" s="56"/>
      <c r="AK2797" s="56"/>
      <c r="AL2797" s="56"/>
      <c r="AM2797" s="56"/>
      <c r="AN2797" s="56"/>
      <c r="AO2797" s="56"/>
      <c r="AP2797" s="56"/>
      <c r="AQ2797" s="56"/>
      <c r="AR2797" s="56"/>
      <c r="AS2797" s="56"/>
      <c r="AT2797" s="56"/>
      <c r="AU2797" s="56"/>
      <c r="AV2797" s="56"/>
      <c r="AW2797" s="56"/>
      <c r="AX2797" s="56"/>
      <c r="AY2797" s="56"/>
      <c r="AZ2797" s="56"/>
      <c r="BA2797" s="56"/>
      <c r="BB2797" s="16"/>
      <c r="BC2797" s="56"/>
      <c r="BD2797" s="56"/>
      <c r="BE2797" s="56"/>
      <c r="BF2797" s="56"/>
      <c r="BG2797" s="56"/>
      <c r="BH2797" s="56"/>
      <c r="BI2797" s="56"/>
      <c r="BJ2797" s="56"/>
      <c r="BK2797" s="56"/>
      <c r="BL2797" s="56"/>
      <c r="BM2797" s="56"/>
      <c r="BN2797" s="56"/>
      <c r="BO2797" s="56"/>
      <c r="BP2797" s="56"/>
      <c r="BQ2797" s="56"/>
      <c r="BR2797" s="56"/>
      <c r="BS2797" s="56"/>
      <c r="BT2797" s="56"/>
      <c r="BU2797" s="56"/>
      <c r="BV2797" s="56"/>
      <c r="BW2797" s="56"/>
      <c r="BX2797" s="56"/>
      <c r="BY2797" s="56"/>
      <c r="BZ2797" s="56"/>
      <c r="CA2797" s="56"/>
      <c r="CB2797" s="56"/>
      <c r="CC2797" s="56"/>
      <c r="CD2797" s="56"/>
      <c r="CE2797" s="56"/>
      <c r="CF2797" s="56"/>
      <c r="CG2797" s="56"/>
      <c r="CH2797" s="56"/>
      <c r="CI2797" s="56"/>
      <c r="CJ2797" s="56"/>
      <c r="CK2797" s="56"/>
      <c r="CL2797" s="56"/>
      <c r="CM2797" s="56"/>
      <c r="CN2797" s="56"/>
      <c r="CO2797" s="56"/>
      <c r="CP2797" s="56"/>
      <c r="CQ2797" s="56"/>
      <c r="CR2797" s="56"/>
      <c r="CS2797" s="56"/>
      <c r="CT2797" s="56"/>
      <c r="CU2797" s="56"/>
      <c r="CV2797" s="56"/>
      <c r="CW2797" s="56"/>
      <c r="CX2797" s="56"/>
      <c r="CY2797" s="56"/>
      <c r="CZ2797" s="56"/>
    </row>
    <row r="2798" spans="27:104" s="5" customFormat="1" x14ac:dyDescent="0.25">
      <c r="AA2798" s="56"/>
      <c r="AB2798" s="56"/>
      <c r="AC2798" s="56"/>
      <c r="AD2798" s="56"/>
      <c r="AE2798" s="56"/>
      <c r="AF2798" s="56"/>
      <c r="AG2798" s="56"/>
      <c r="AH2798" s="56"/>
      <c r="AI2798" s="56"/>
      <c r="AJ2798" s="56"/>
      <c r="AK2798" s="56"/>
      <c r="AL2798" s="56"/>
      <c r="AM2798" s="56"/>
      <c r="AN2798" s="56"/>
      <c r="AO2798" s="56"/>
      <c r="AP2798" s="56"/>
      <c r="AQ2798" s="56"/>
      <c r="AR2798" s="56"/>
      <c r="AS2798" s="56"/>
      <c r="AT2798" s="56"/>
      <c r="AU2798" s="56"/>
      <c r="AV2798" s="56"/>
      <c r="AW2798" s="56"/>
      <c r="AX2798" s="56"/>
      <c r="AY2798" s="56"/>
      <c r="AZ2798" s="56"/>
      <c r="BA2798" s="56"/>
      <c r="BB2798" s="16"/>
      <c r="BC2798" s="56"/>
      <c r="BD2798" s="56"/>
      <c r="BE2798" s="56"/>
      <c r="BF2798" s="56"/>
      <c r="BG2798" s="56"/>
      <c r="BH2798" s="56"/>
      <c r="BI2798" s="56"/>
      <c r="BJ2798" s="56"/>
      <c r="BK2798" s="56"/>
      <c r="BL2798" s="56"/>
      <c r="BM2798" s="56"/>
      <c r="BN2798" s="56"/>
      <c r="BO2798" s="56"/>
      <c r="BP2798" s="56"/>
      <c r="BQ2798" s="56"/>
      <c r="BR2798" s="56"/>
      <c r="BS2798" s="56"/>
      <c r="BT2798" s="56"/>
      <c r="BU2798" s="56"/>
      <c r="BV2798" s="56"/>
      <c r="BW2798" s="56"/>
      <c r="BX2798" s="56"/>
      <c r="BY2798" s="56"/>
      <c r="BZ2798" s="56"/>
      <c r="CA2798" s="56"/>
      <c r="CB2798" s="56"/>
      <c r="CC2798" s="56"/>
      <c r="CD2798" s="56"/>
      <c r="CE2798" s="56"/>
      <c r="CF2798" s="56"/>
      <c r="CG2798" s="56"/>
      <c r="CH2798" s="56"/>
      <c r="CI2798" s="56"/>
      <c r="CJ2798" s="56"/>
      <c r="CK2798" s="56"/>
      <c r="CL2798" s="56"/>
      <c r="CM2798" s="56"/>
      <c r="CN2798" s="56"/>
      <c r="CO2798" s="56"/>
      <c r="CP2798" s="56"/>
      <c r="CQ2798" s="56"/>
      <c r="CR2798" s="56"/>
      <c r="CS2798" s="56"/>
      <c r="CT2798" s="56"/>
      <c r="CU2798" s="56"/>
      <c r="CV2798" s="56"/>
      <c r="CW2798" s="56"/>
      <c r="CX2798" s="56"/>
      <c r="CY2798" s="56"/>
      <c r="CZ2798" s="56"/>
    </row>
    <row r="2799" spans="27:104" s="5" customFormat="1" x14ac:dyDescent="0.25">
      <c r="AA2799" s="56"/>
      <c r="AB2799" s="56"/>
      <c r="AC2799" s="56"/>
      <c r="AD2799" s="56"/>
      <c r="AE2799" s="56"/>
      <c r="AF2799" s="56"/>
      <c r="AG2799" s="56"/>
      <c r="AH2799" s="56"/>
      <c r="AI2799" s="56"/>
      <c r="AJ2799" s="56"/>
      <c r="AK2799" s="56"/>
      <c r="AL2799" s="56"/>
      <c r="AM2799" s="56"/>
      <c r="AN2799" s="56"/>
      <c r="AO2799" s="56"/>
      <c r="AP2799" s="56"/>
      <c r="AQ2799" s="56"/>
      <c r="AR2799" s="56"/>
      <c r="AS2799" s="56"/>
      <c r="AT2799" s="56"/>
      <c r="AU2799" s="56"/>
      <c r="AV2799" s="56"/>
      <c r="AW2799" s="56"/>
      <c r="AX2799" s="56"/>
      <c r="AY2799" s="56"/>
      <c r="AZ2799" s="56"/>
      <c r="BA2799" s="56"/>
      <c r="BB2799" s="16"/>
      <c r="BC2799" s="56"/>
      <c r="BD2799" s="56"/>
      <c r="BE2799" s="56"/>
      <c r="BF2799" s="56"/>
      <c r="BG2799" s="56"/>
      <c r="BH2799" s="56"/>
      <c r="BI2799" s="56"/>
      <c r="BJ2799" s="56"/>
      <c r="BK2799" s="56"/>
      <c r="BL2799" s="56"/>
      <c r="BM2799" s="56"/>
      <c r="BN2799" s="56"/>
      <c r="BO2799" s="56"/>
      <c r="BP2799" s="56"/>
      <c r="BQ2799" s="56"/>
      <c r="BR2799" s="56"/>
      <c r="BS2799" s="56"/>
      <c r="BT2799" s="56"/>
      <c r="BU2799" s="56"/>
      <c r="BV2799" s="56"/>
      <c r="BW2799" s="56"/>
      <c r="BX2799" s="56"/>
      <c r="BY2799" s="56"/>
      <c r="BZ2799" s="56"/>
      <c r="CA2799" s="56"/>
      <c r="CB2799" s="56"/>
      <c r="CC2799" s="56"/>
      <c r="CD2799" s="56"/>
      <c r="CE2799" s="56"/>
      <c r="CF2799" s="56"/>
      <c r="CG2799" s="56"/>
      <c r="CH2799" s="56"/>
      <c r="CI2799" s="56"/>
      <c r="CJ2799" s="56"/>
      <c r="CK2799" s="56"/>
      <c r="CL2799" s="56"/>
      <c r="CM2799" s="56"/>
      <c r="CN2799" s="56"/>
      <c r="CO2799" s="56"/>
      <c r="CP2799" s="56"/>
      <c r="CQ2799" s="56"/>
      <c r="CR2799" s="56"/>
      <c r="CS2799" s="56"/>
      <c r="CT2799" s="56"/>
      <c r="CU2799" s="56"/>
      <c r="CV2799" s="56"/>
      <c r="CW2799" s="56"/>
      <c r="CX2799" s="56"/>
      <c r="CY2799" s="56"/>
      <c r="CZ2799" s="56"/>
    </row>
    <row r="2800" spans="27:104" s="5" customFormat="1" x14ac:dyDescent="0.25">
      <c r="AA2800" s="56"/>
      <c r="AB2800" s="56"/>
      <c r="AC2800" s="56"/>
      <c r="AD2800" s="56"/>
      <c r="AE2800" s="56"/>
      <c r="AF2800" s="56"/>
      <c r="AG2800" s="56"/>
      <c r="AH2800" s="56"/>
      <c r="AI2800" s="56"/>
      <c r="AJ2800" s="56"/>
      <c r="AK2800" s="56"/>
      <c r="AL2800" s="56"/>
      <c r="AM2800" s="56"/>
      <c r="AN2800" s="56"/>
      <c r="AO2800" s="56"/>
      <c r="AP2800" s="56"/>
      <c r="AQ2800" s="56"/>
      <c r="AR2800" s="56"/>
      <c r="AS2800" s="56"/>
      <c r="AT2800" s="56"/>
      <c r="AU2800" s="56"/>
      <c r="AV2800" s="56"/>
      <c r="AW2800" s="56"/>
      <c r="AX2800" s="56"/>
      <c r="AY2800" s="56"/>
      <c r="AZ2800" s="56"/>
      <c r="BA2800" s="56"/>
      <c r="BB2800" s="16"/>
      <c r="BC2800" s="56"/>
      <c r="BD2800" s="56"/>
      <c r="BE2800" s="56"/>
      <c r="BF2800" s="56"/>
      <c r="BG2800" s="56"/>
      <c r="BH2800" s="56"/>
      <c r="BI2800" s="56"/>
      <c r="BJ2800" s="56"/>
      <c r="BK2800" s="56"/>
      <c r="BL2800" s="56"/>
      <c r="BM2800" s="56"/>
      <c r="BN2800" s="56"/>
      <c r="BO2800" s="56"/>
      <c r="BP2800" s="56"/>
      <c r="BQ2800" s="56"/>
      <c r="BR2800" s="56"/>
      <c r="BS2800" s="56"/>
      <c r="BT2800" s="56"/>
      <c r="BU2800" s="56"/>
      <c r="BV2800" s="56"/>
      <c r="BW2800" s="56"/>
      <c r="BX2800" s="56"/>
      <c r="BY2800" s="56"/>
      <c r="BZ2800" s="56"/>
      <c r="CA2800" s="56"/>
      <c r="CB2800" s="56"/>
      <c r="CC2800" s="56"/>
      <c r="CD2800" s="56"/>
      <c r="CE2800" s="56"/>
      <c r="CF2800" s="56"/>
      <c r="CG2800" s="56"/>
      <c r="CH2800" s="56"/>
      <c r="CI2800" s="56"/>
      <c r="CJ2800" s="56"/>
      <c r="CK2800" s="56"/>
      <c r="CL2800" s="56"/>
      <c r="CM2800" s="56"/>
      <c r="CN2800" s="56"/>
      <c r="CO2800" s="56"/>
      <c r="CP2800" s="56"/>
      <c r="CQ2800" s="56"/>
      <c r="CR2800" s="56"/>
      <c r="CS2800" s="56"/>
      <c r="CT2800" s="56"/>
      <c r="CU2800" s="56"/>
      <c r="CV2800" s="56"/>
      <c r="CW2800" s="56"/>
      <c r="CX2800" s="56"/>
      <c r="CY2800" s="56"/>
      <c r="CZ2800" s="56"/>
    </row>
    <row r="2801" spans="27:104" s="5" customFormat="1" x14ac:dyDescent="0.25">
      <c r="AA2801" s="56"/>
      <c r="AB2801" s="56"/>
      <c r="AC2801" s="56"/>
      <c r="AD2801" s="56"/>
      <c r="AE2801" s="56"/>
      <c r="AF2801" s="56"/>
      <c r="AG2801" s="56"/>
      <c r="AH2801" s="56"/>
      <c r="AI2801" s="56"/>
      <c r="AJ2801" s="56"/>
      <c r="AK2801" s="56"/>
      <c r="AL2801" s="56"/>
      <c r="AM2801" s="56"/>
      <c r="AN2801" s="56"/>
      <c r="AO2801" s="56"/>
      <c r="AP2801" s="56"/>
      <c r="AQ2801" s="56"/>
      <c r="AR2801" s="56"/>
      <c r="AS2801" s="56"/>
      <c r="AT2801" s="56"/>
      <c r="AU2801" s="56"/>
      <c r="AV2801" s="56"/>
      <c r="AW2801" s="56"/>
      <c r="AX2801" s="56"/>
      <c r="AY2801" s="56"/>
      <c r="AZ2801" s="56"/>
      <c r="BA2801" s="56"/>
      <c r="BB2801" s="16"/>
      <c r="BC2801" s="56"/>
      <c r="BD2801" s="56"/>
      <c r="BE2801" s="56"/>
      <c r="BF2801" s="56"/>
      <c r="BG2801" s="56"/>
      <c r="BH2801" s="56"/>
      <c r="BI2801" s="56"/>
      <c r="BJ2801" s="56"/>
      <c r="BK2801" s="56"/>
      <c r="BL2801" s="56"/>
      <c r="BM2801" s="56"/>
      <c r="BN2801" s="56"/>
      <c r="BO2801" s="56"/>
      <c r="BP2801" s="56"/>
      <c r="BQ2801" s="56"/>
      <c r="BR2801" s="56"/>
      <c r="BS2801" s="56"/>
      <c r="BT2801" s="56"/>
      <c r="BU2801" s="56"/>
      <c r="BV2801" s="56"/>
      <c r="BW2801" s="56"/>
      <c r="BX2801" s="56"/>
      <c r="BY2801" s="56"/>
      <c r="BZ2801" s="56"/>
      <c r="CA2801" s="56"/>
      <c r="CB2801" s="56"/>
      <c r="CC2801" s="56"/>
      <c r="CD2801" s="56"/>
      <c r="CE2801" s="56"/>
      <c r="CF2801" s="56"/>
      <c r="CG2801" s="56"/>
      <c r="CH2801" s="56"/>
      <c r="CI2801" s="56"/>
      <c r="CJ2801" s="56"/>
      <c r="CK2801" s="56"/>
      <c r="CL2801" s="56"/>
      <c r="CM2801" s="56"/>
      <c r="CN2801" s="56"/>
      <c r="CO2801" s="56"/>
      <c r="CP2801" s="56"/>
      <c r="CQ2801" s="56"/>
      <c r="CR2801" s="56"/>
      <c r="CS2801" s="56"/>
      <c r="CT2801" s="56"/>
      <c r="CU2801" s="56"/>
      <c r="CV2801" s="56"/>
      <c r="CW2801" s="56"/>
      <c r="CX2801" s="56"/>
      <c r="CY2801" s="56"/>
      <c r="CZ2801" s="56"/>
    </row>
    <row r="2802" spans="27:104" s="5" customFormat="1" x14ac:dyDescent="0.25">
      <c r="AA2802" s="56"/>
      <c r="AB2802" s="56"/>
      <c r="AC2802" s="56"/>
      <c r="AD2802" s="56"/>
      <c r="AE2802" s="56"/>
      <c r="AF2802" s="56"/>
      <c r="AG2802" s="56"/>
      <c r="AH2802" s="56"/>
      <c r="AI2802" s="56"/>
      <c r="AJ2802" s="56"/>
      <c r="AK2802" s="56"/>
      <c r="AL2802" s="56"/>
      <c r="AM2802" s="56"/>
      <c r="AN2802" s="56"/>
      <c r="AO2802" s="56"/>
      <c r="AP2802" s="56"/>
      <c r="AQ2802" s="56"/>
      <c r="AR2802" s="56"/>
      <c r="AS2802" s="56"/>
      <c r="AT2802" s="56"/>
      <c r="AU2802" s="56"/>
      <c r="AV2802" s="56"/>
      <c r="AW2802" s="56"/>
      <c r="AX2802" s="56"/>
      <c r="AY2802" s="56"/>
      <c r="AZ2802" s="56"/>
      <c r="BA2802" s="56"/>
      <c r="BB2802" s="16"/>
      <c r="BC2802" s="56"/>
      <c r="BD2802" s="56"/>
      <c r="BE2802" s="56"/>
      <c r="BF2802" s="56"/>
      <c r="BG2802" s="56"/>
      <c r="BH2802" s="56"/>
      <c r="BI2802" s="56"/>
      <c r="BJ2802" s="56"/>
      <c r="BK2802" s="56"/>
      <c r="BL2802" s="56"/>
      <c r="BM2802" s="56"/>
      <c r="BN2802" s="56"/>
      <c r="BO2802" s="56"/>
      <c r="BP2802" s="56"/>
      <c r="BQ2802" s="56"/>
      <c r="BR2802" s="56"/>
      <c r="BS2802" s="56"/>
      <c r="BT2802" s="56"/>
      <c r="BU2802" s="56"/>
      <c r="BV2802" s="56"/>
      <c r="BW2802" s="56"/>
      <c r="BX2802" s="56"/>
      <c r="BY2802" s="56"/>
      <c r="BZ2802" s="56"/>
      <c r="CA2802" s="56"/>
      <c r="CB2802" s="56"/>
      <c r="CC2802" s="56"/>
      <c r="CD2802" s="56"/>
      <c r="CE2802" s="56"/>
      <c r="CF2802" s="56"/>
      <c r="CG2802" s="56"/>
      <c r="CH2802" s="56"/>
      <c r="CI2802" s="56"/>
      <c r="CJ2802" s="56"/>
      <c r="CK2802" s="56"/>
      <c r="CL2802" s="56"/>
      <c r="CM2802" s="56"/>
      <c r="CN2802" s="56"/>
      <c r="CO2802" s="56"/>
      <c r="CP2802" s="56"/>
      <c r="CQ2802" s="56"/>
      <c r="CR2802" s="56"/>
      <c r="CS2802" s="56"/>
      <c r="CT2802" s="56"/>
      <c r="CU2802" s="56"/>
      <c r="CV2802" s="56"/>
      <c r="CW2802" s="56"/>
      <c r="CX2802" s="56"/>
      <c r="CY2802" s="56"/>
      <c r="CZ2802" s="56"/>
    </row>
    <row r="2803" spans="27:104" s="5" customFormat="1" x14ac:dyDescent="0.25">
      <c r="AA2803" s="56"/>
      <c r="AB2803" s="56"/>
      <c r="AC2803" s="56"/>
      <c r="AD2803" s="56"/>
      <c r="AE2803" s="56"/>
      <c r="AF2803" s="56"/>
      <c r="AG2803" s="56"/>
      <c r="AH2803" s="56"/>
      <c r="AI2803" s="56"/>
      <c r="AJ2803" s="56"/>
      <c r="AK2803" s="56"/>
      <c r="AL2803" s="56"/>
      <c r="AM2803" s="56"/>
      <c r="AN2803" s="56"/>
      <c r="AO2803" s="56"/>
      <c r="AP2803" s="56"/>
      <c r="AQ2803" s="56"/>
      <c r="AR2803" s="56"/>
      <c r="AS2803" s="56"/>
      <c r="AT2803" s="56"/>
      <c r="AU2803" s="56"/>
      <c r="AV2803" s="56"/>
      <c r="AW2803" s="56"/>
      <c r="AX2803" s="56"/>
      <c r="AY2803" s="56"/>
      <c r="AZ2803" s="56"/>
      <c r="BA2803" s="56"/>
      <c r="BB2803" s="16"/>
      <c r="BC2803" s="56"/>
      <c r="BD2803" s="56"/>
      <c r="BE2803" s="56"/>
      <c r="BF2803" s="56"/>
      <c r="BG2803" s="56"/>
      <c r="BH2803" s="56"/>
      <c r="BI2803" s="56"/>
      <c r="BJ2803" s="56"/>
      <c r="BK2803" s="56"/>
      <c r="BL2803" s="56"/>
      <c r="BM2803" s="56"/>
      <c r="BN2803" s="56"/>
      <c r="BO2803" s="56"/>
      <c r="BP2803" s="56"/>
      <c r="BQ2803" s="56"/>
      <c r="BR2803" s="56"/>
      <c r="BS2803" s="56"/>
      <c r="BT2803" s="56"/>
      <c r="BU2803" s="56"/>
      <c r="BV2803" s="56"/>
      <c r="BW2803" s="56"/>
      <c r="BX2803" s="56"/>
      <c r="BY2803" s="56"/>
      <c r="BZ2803" s="56"/>
      <c r="CA2803" s="56"/>
      <c r="CB2803" s="56"/>
      <c r="CC2803" s="56"/>
      <c r="CD2803" s="56"/>
      <c r="CE2803" s="56"/>
      <c r="CF2803" s="56"/>
      <c r="CG2803" s="56"/>
      <c r="CH2803" s="56"/>
      <c r="CI2803" s="56"/>
      <c r="CJ2803" s="56"/>
      <c r="CK2803" s="56"/>
      <c r="CL2803" s="56"/>
      <c r="CM2803" s="56"/>
      <c r="CN2803" s="56"/>
      <c r="CO2803" s="56"/>
      <c r="CP2803" s="56"/>
      <c r="CQ2803" s="56"/>
      <c r="CR2803" s="56"/>
      <c r="CS2803" s="56"/>
      <c r="CT2803" s="56"/>
      <c r="CU2803" s="56"/>
      <c r="CV2803" s="56"/>
      <c r="CW2803" s="56"/>
      <c r="CX2803" s="56"/>
      <c r="CY2803" s="56"/>
      <c r="CZ2803" s="56"/>
    </row>
    <row r="2804" spans="27:104" s="5" customFormat="1" x14ac:dyDescent="0.25">
      <c r="AA2804" s="56"/>
      <c r="AB2804" s="56"/>
      <c r="AC2804" s="56"/>
      <c r="AD2804" s="56"/>
      <c r="AE2804" s="56"/>
      <c r="AF2804" s="56"/>
      <c r="AG2804" s="56"/>
      <c r="AH2804" s="56"/>
      <c r="AI2804" s="56"/>
      <c r="AJ2804" s="56"/>
      <c r="AK2804" s="56"/>
      <c r="AL2804" s="56"/>
      <c r="AM2804" s="56"/>
      <c r="AN2804" s="56"/>
      <c r="AO2804" s="56"/>
      <c r="AP2804" s="56"/>
      <c r="AQ2804" s="56"/>
      <c r="AR2804" s="56"/>
      <c r="AS2804" s="56"/>
      <c r="AT2804" s="56"/>
      <c r="AU2804" s="56"/>
      <c r="AV2804" s="56"/>
      <c r="AW2804" s="56"/>
      <c r="AX2804" s="56"/>
      <c r="AY2804" s="56"/>
      <c r="AZ2804" s="56"/>
      <c r="BA2804" s="56"/>
      <c r="BB2804" s="16"/>
      <c r="BC2804" s="56"/>
      <c r="BD2804" s="56"/>
      <c r="BE2804" s="56"/>
      <c r="BF2804" s="56"/>
      <c r="BG2804" s="56"/>
      <c r="BH2804" s="56"/>
      <c r="BI2804" s="56"/>
      <c r="BJ2804" s="56"/>
      <c r="BK2804" s="56"/>
      <c r="BL2804" s="56"/>
      <c r="BM2804" s="56"/>
      <c r="BN2804" s="56"/>
      <c r="BO2804" s="56"/>
      <c r="BP2804" s="56"/>
      <c r="BQ2804" s="56"/>
      <c r="BR2804" s="56"/>
      <c r="BS2804" s="56"/>
      <c r="BT2804" s="56"/>
      <c r="BU2804" s="56"/>
      <c r="BV2804" s="56"/>
      <c r="BW2804" s="56"/>
      <c r="BX2804" s="56"/>
      <c r="BY2804" s="56"/>
      <c r="BZ2804" s="56"/>
      <c r="CA2804" s="56"/>
      <c r="CB2804" s="56"/>
      <c r="CC2804" s="56"/>
      <c r="CD2804" s="56"/>
      <c r="CE2804" s="56"/>
      <c r="CF2804" s="56"/>
      <c r="CG2804" s="56"/>
      <c r="CH2804" s="56"/>
      <c r="CI2804" s="56"/>
      <c r="CJ2804" s="56"/>
      <c r="CK2804" s="56"/>
      <c r="CL2804" s="56"/>
      <c r="CM2804" s="56"/>
      <c r="CN2804" s="56"/>
      <c r="CO2804" s="56"/>
      <c r="CP2804" s="56"/>
      <c r="CQ2804" s="56"/>
      <c r="CR2804" s="56"/>
      <c r="CS2804" s="56"/>
      <c r="CT2804" s="56"/>
      <c r="CU2804" s="56"/>
      <c r="CV2804" s="56"/>
      <c r="CW2804" s="56"/>
      <c r="CX2804" s="56"/>
      <c r="CY2804" s="56"/>
      <c r="CZ2804" s="56"/>
    </row>
    <row r="2805" spans="27:104" s="5" customFormat="1" x14ac:dyDescent="0.25">
      <c r="AA2805" s="56"/>
      <c r="AB2805" s="56"/>
      <c r="AC2805" s="56"/>
      <c r="AD2805" s="56"/>
      <c r="AE2805" s="56"/>
      <c r="AF2805" s="56"/>
      <c r="AG2805" s="56"/>
      <c r="AH2805" s="56"/>
      <c r="AI2805" s="56"/>
      <c r="AJ2805" s="56"/>
      <c r="AK2805" s="56"/>
      <c r="AL2805" s="56"/>
      <c r="AM2805" s="56"/>
      <c r="AN2805" s="56"/>
      <c r="AO2805" s="56"/>
      <c r="AP2805" s="56"/>
      <c r="AQ2805" s="56"/>
      <c r="AR2805" s="56"/>
      <c r="AS2805" s="56"/>
      <c r="AT2805" s="56"/>
      <c r="AU2805" s="56"/>
      <c r="AV2805" s="56"/>
      <c r="AW2805" s="56"/>
      <c r="AX2805" s="56"/>
      <c r="AY2805" s="56"/>
      <c r="AZ2805" s="56"/>
      <c r="BA2805" s="56"/>
      <c r="BB2805" s="16"/>
      <c r="BC2805" s="56"/>
      <c r="BD2805" s="56"/>
      <c r="BE2805" s="56"/>
      <c r="BF2805" s="56"/>
      <c r="BG2805" s="56"/>
      <c r="BH2805" s="56"/>
      <c r="BI2805" s="56"/>
      <c r="BJ2805" s="56"/>
      <c r="BK2805" s="56"/>
      <c r="BL2805" s="56"/>
      <c r="BM2805" s="56"/>
      <c r="BN2805" s="56"/>
      <c r="BO2805" s="56"/>
      <c r="BP2805" s="56"/>
      <c r="BQ2805" s="56"/>
      <c r="BR2805" s="56"/>
      <c r="BS2805" s="56"/>
      <c r="BT2805" s="56"/>
      <c r="BU2805" s="56"/>
      <c r="BV2805" s="56"/>
      <c r="BW2805" s="56"/>
      <c r="BX2805" s="56"/>
      <c r="BY2805" s="56"/>
      <c r="BZ2805" s="56"/>
      <c r="CA2805" s="56"/>
      <c r="CB2805" s="56"/>
      <c r="CC2805" s="56"/>
      <c r="CD2805" s="56"/>
      <c r="CE2805" s="56"/>
      <c r="CF2805" s="56"/>
      <c r="CG2805" s="56"/>
      <c r="CH2805" s="56"/>
      <c r="CI2805" s="56"/>
      <c r="CJ2805" s="56"/>
      <c r="CK2805" s="56"/>
      <c r="CL2805" s="56"/>
      <c r="CM2805" s="56"/>
      <c r="CN2805" s="56"/>
      <c r="CO2805" s="56"/>
      <c r="CP2805" s="56"/>
      <c r="CQ2805" s="56"/>
      <c r="CR2805" s="56"/>
      <c r="CS2805" s="56"/>
      <c r="CT2805" s="56"/>
      <c r="CU2805" s="56"/>
      <c r="CV2805" s="56"/>
      <c r="CW2805" s="56"/>
      <c r="CX2805" s="56"/>
      <c r="CY2805" s="56"/>
      <c r="CZ2805" s="56"/>
    </row>
    <row r="2806" spans="27:104" s="5" customFormat="1" x14ac:dyDescent="0.25">
      <c r="AA2806" s="56"/>
      <c r="AB2806" s="56"/>
      <c r="AC2806" s="56"/>
      <c r="AD2806" s="56"/>
      <c r="AE2806" s="56"/>
      <c r="AF2806" s="56"/>
      <c r="AG2806" s="56"/>
      <c r="AH2806" s="56"/>
      <c r="AI2806" s="56"/>
      <c r="AJ2806" s="56"/>
      <c r="AK2806" s="56"/>
      <c r="AL2806" s="56"/>
      <c r="AM2806" s="56"/>
      <c r="AN2806" s="56"/>
      <c r="AO2806" s="56"/>
      <c r="AP2806" s="56"/>
      <c r="AQ2806" s="56"/>
      <c r="AR2806" s="56"/>
      <c r="AS2806" s="56"/>
      <c r="AT2806" s="56"/>
      <c r="AU2806" s="56"/>
      <c r="AV2806" s="56"/>
      <c r="AW2806" s="56"/>
      <c r="AX2806" s="56"/>
      <c r="AY2806" s="56"/>
      <c r="AZ2806" s="56"/>
      <c r="BA2806" s="56"/>
      <c r="BB2806" s="16"/>
      <c r="BC2806" s="56"/>
      <c r="BD2806" s="56"/>
      <c r="BE2806" s="56"/>
      <c r="BF2806" s="56"/>
      <c r="BG2806" s="56"/>
      <c r="BH2806" s="56"/>
      <c r="BI2806" s="56"/>
      <c r="BJ2806" s="56"/>
      <c r="BK2806" s="56"/>
      <c r="BL2806" s="56"/>
      <c r="BM2806" s="56"/>
      <c r="BN2806" s="56"/>
      <c r="BO2806" s="56"/>
      <c r="BP2806" s="56"/>
      <c r="BQ2806" s="56"/>
      <c r="BR2806" s="56"/>
      <c r="BS2806" s="56"/>
      <c r="BT2806" s="56"/>
      <c r="BU2806" s="56"/>
      <c r="BV2806" s="56"/>
      <c r="BW2806" s="56"/>
      <c r="BX2806" s="56"/>
      <c r="BY2806" s="56"/>
      <c r="BZ2806" s="56"/>
      <c r="CA2806" s="56"/>
      <c r="CB2806" s="56"/>
      <c r="CC2806" s="56"/>
      <c r="CD2806" s="56"/>
      <c r="CE2806" s="56"/>
      <c r="CF2806" s="56"/>
      <c r="CG2806" s="56"/>
      <c r="CH2806" s="56"/>
      <c r="CI2806" s="56"/>
      <c r="CJ2806" s="56"/>
      <c r="CK2806" s="56"/>
      <c r="CL2806" s="56"/>
      <c r="CM2806" s="56"/>
      <c r="CN2806" s="56"/>
      <c r="CO2806" s="56"/>
      <c r="CP2806" s="56"/>
      <c r="CQ2806" s="56"/>
      <c r="CR2806" s="56"/>
      <c r="CS2806" s="56"/>
      <c r="CT2806" s="56"/>
      <c r="CU2806" s="56"/>
      <c r="CV2806" s="56"/>
      <c r="CW2806" s="56"/>
      <c r="CX2806" s="56"/>
      <c r="CY2806" s="56"/>
      <c r="CZ2806" s="56"/>
    </row>
    <row r="2807" spans="27:104" s="5" customFormat="1" x14ac:dyDescent="0.25">
      <c r="AA2807" s="56"/>
      <c r="AB2807" s="56"/>
      <c r="AC2807" s="56"/>
      <c r="AD2807" s="56"/>
      <c r="AE2807" s="56"/>
      <c r="AF2807" s="56"/>
      <c r="AG2807" s="56"/>
      <c r="AH2807" s="56"/>
      <c r="AI2807" s="56"/>
      <c r="AJ2807" s="56"/>
      <c r="AK2807" s="56"/>
      <c r="AL2807" s="56"/>
      <c r="AM2807" s="56"/>
      <c r="AN2807" s="56"/>
      <c r="AO2807" s="56"/>
      <c r="AP2807" s="56"/>
      <c r="AQ2807" s="56"/>
      <c r="AR2807" s="56"/>
      <c r="AS2807" s="56"/>
      <c r="AT2807" s="56"/>
      <c r="AU2807" s="56"/>
      <c r="AV2807" s="56"/>
      <c r="AW2807" s="56"/>
      <c r="AX2807" s="56"/>
      <c r="AY2807" s="56"/>
      <c r="AZ2807" s="56"/>
      <c r="BA2807" s="56"/>
      <c r="BB2807" s="16"/>
      <c r="BC2807" s="56"/>
      <c r="BD2807" s="56"/>
      <c r="BE2807" s="56"/>
      <c r="BF2807" s="56"/>
      <c r="BG2807" s="56"/>
      <c r="BH2807" s="56"/>
      <c r="BI2807" s="56"/>
      <c r="BJ2807" s="56"/>
      <c r="BK2807" s="56"/>
      <c r="BL2807" s="56"/>
      <c r="BM2807" s="56"/>
      <c r="BN2807" s="56"/>
      <c r="BO2807" s="56"/>
      <c r="BP2807" s="56"/>
      <c r="BQ2807" s="56"/>
      <c r="BR2807" s="56"/>
      <c r="BS2807" s="56"/>
      <c r="BT2807" s="56"/>
      <c r="BU2807" s="56"/>
      <c r="BV2807" s="56"/>
      <c r="BW2807" s="56"/>
      <c r="BX2807" s="56"/>
      <c r="BY2807" s="56"/>
      <c r="BZ2807" s="56"/>
      <c r="CA2807" s="56"/>
      <c r="CB2807" s="56"/>
      <c r="CC2807" s="56"/>
      <c r="CD2807" s="56"/>
      <c r="CE2807" s="56"/>
      <c r="CF2807" s="56"/>
      <c r="CG2807" s="56"/>
      <c r="CH2807" s="56"/>
      <c r="CI2807" s="56"/>
      <c r="CJ2807" s="56"/>
      <c r="CK2807" s="56"/>
      <c r="CL2807" s="56"/>
      <c r="CM2807" s="56"/>
      <c r="CN2807" s="56"/>
      <c r="CO2807" s="56"/>
      <c r="CP2807" s="56"/>
      <c r="CQ2807" s="56"/>
      <c r="CR2807" s="56"/>
      <c r="CS2807" s="56"/>
      <c r="CT2807" s="56"/>
      <c r="CU2807" s="56"/>
      <c r="CV2807" s="56"/>
      <c r="CW2807" s="56"/>
      <c r="CX2807" s="56"/>
      <c r="CY2807" s="56"/>
      <c r="CZ2807" s="56"/>
    </row>
    <row r="2808" spans="27:104" s="5" customFormat="1" x14ac:dyDescent="0.25">
      <c r="AA2808" s="56"/>
      <c r="AB2808" s="56"/>
      <c r="AC2808" s="56"/>
      <c r="AD2808" s="56"/>
      <c r="AE2808" s="56"/>
      <c r="AF2808" s="56"/>
      <c r="AG2808" s="56"/>
      <c r="AH2808" s="56"/>
      <c r="AI2808" s="56"/>
      <c r="AJ2808" s="56"/>
      <c r="AK2808" s="56"/>
      <c r="AL2808" s="56"/>
      <c r="AM2808" s="56"/>
      <c r="AN2808" s="56"/>
      <c r="AO2808" s="56"/>
      <c r="AP2808" s="56"/>
      <c r="AQ2808" s="56"/>
      <c r="AR2808" s="56"/>
      <c r="AS2808" s="56"/>
      <c r="AT2808" s="56"/>
      <c r="AU2808" s="56"/>
      <c r="AV2808" s="56"/>
      <c r="AW2808" s="56"/>
      <c r="AX2808" s="56"/>
      <c r="AY2808" s="56"/>
      <c r="AZ2808" s="56"/>
      <c r="BA2808" s="56"/>
      <c r="BB2808" s="16"/>
      <c r="BC2808" s="56"/>
      <c r="BD2808" s="56"/>
      <c r="BE2808" s="56"/>
      <c r="BF2808" s="56"/>
      <c r="BG2808" s="56"/>
      <c r="BH2808" s="56"/>
      <c r="BI2808" s="56"/>
      <c r="BJ2808" s="56"/>
      <c r="BK2808" s="56"/>
      <c r="BL2808" s="56"/>
      <c r="BM2808" s="56"/>
      <c r="BN2808" s="56"/>
      <c r="BO2808" s="56"/>
      <c r="BP2808" s="56"/>
      <c r="BQ2808" s="56"/>
      <c r="BR2808" s="56"/>
      <c r="BS2808" s="56"/>
      <c r="BT2808" s="56"/>
      <c r="BU2808" s="56"/>
      <c r="BV2808" s="56"/>
      <c r="BW2808" s="56"/>
      <c r="BX2808" s="56"/>
      <c r="BY2808" s="56"/>
      <c r="BZ2808" s="56"/>
      <c r="CA2808" s="56"/>
      <c r="CB2808" s="56"/>
      <c r="CC2808" s="56"/>
      <c r="CD2808" s="56"/>
      <c r="CE2808" s="56"/>
      <c r="CF2808" s="56"/>
      <c r="CG2808" s="56"/>
      <c r="CH2808" s="56"/>
      <c r="CI2808" s="56"/>
      <c r="CJ2808" s="56"/>
      <c r="CK2808" s="56"/>
      <c r="CL2808" s="56"/>
      <c r="CM2808" s="56"/>
      <c r="CN2808" s="56"/>
      <c r="CO2808" s="56"/>
      <c r="CP2808" s="56"/>
      <c r="CQ2808" s="56"/>
      <c r="CR2808" s="56"/>
      <c r="CS2808" s="56"/>
      <c r="CT2808" s="56"/>
      <c r="CU2808" s="56"/>
      <c r="CV2808" s="56"/>
      <c r="CW2808" s="56"/>
      <c r="CX2808" s="56"/>
      <c r="CY2808" s="56"/>
      <c r="CZ2808" s="56"/>
    </row>
    <row r="2809" spans="27:104" s="5" customFormat="1" x14ac:dyDescent="0.25">
      <c r="AA2809" s="56"/>
      <c r="AB2809" s="56"/>
      <c r="AC2809" s="56"/>
      <c r="AD2809" s="56"/>
      <c r="AE2809" s="56"/>
      <c r="AF2809" s="56"/>
      <c r="AG2809" s="56"/>
      <c r="AH2809" s="56"/>
      <c r="AI2809" s="56"/>
      <c r="AJ2809" s="56"/>
      <c r="AK2809" s="56"/>
      <c r="AL2809" s="56"/>
      <c r="AM2809" s="56"/>
      <c r="AN2809" s="56"/>
      <c r="AO2809" s="56"/>
      <c r="AP2809" s="56"/>
      <c r="AQ2809" s="56"/>
      <c r="AR2809" s="56"/>
      <c r="AS2809" s="56"/>
      <c r="AT2809" s="56"/>
      <c r="AU2809" s="56"/>
      <c r="AV2809" s="56"/>
      <c r="AW2809" s="56"/>
      <c r="AX2809" s="56"/>
      <c r="AY2809" s="56"/>
      <c r="AZ2809" s="56"/>
      <c r="BA2809" s="56"/>
      <c r="BB2809" s="16"/>
      <c r="BC2809" s="56"/>
      <c r="BD2809" s="56"/>
      <c r="BE2809" s="56"/>
      <c r="BF2809" s="56"/>
      <c r="BG2809" s="56"/>
      <c r="BH2809" s="56"/>
      <c r="BI2809" s="56"/>
      <c r="BJ2809" s="56"/>
      <c r="BK2809" s="56"/>
      <c r="BL2809" s="56"/>
      <c r="BM2809" s="56"/>
      <c r="BN2809" s="56"/>
      <c r="BO2809" s="56"/>
      <c r="BP2809" s="56"/>
      <c r="BQ2809" s="56"/>
      <c r="BR2809" s="56"/>
      <c r="BS2809" s="56"/>
      <c r="BT2809" s="56"/>
      <c r="BU2809" s="56"/>
      <c r="BV2809" s="56"/>
      <c r="BW2809" s="56"/>
      <c r="BX2809" s="56"/>
      <c r="BY2809" s="56"/>
      <c r="BZ2809" s="56"/>
      <c r="CA2809" s="56"/>
      <c r="CB2809" s="56"/>
      <c r="CC2809" s="56"/>
      <c r="CD2809" s="56"/>
      <c r="CE2809" s="56"/>
      <c r="CF2809" s="56"/>
      <c r="CG2809" s="56"/>
      <c r="CH2809" s="56"/>
      <c r="CI2809" s="56"/>
      <c r="CJ2809" s="56"/>
      <c r="CK2809" s="56"/>
      <c r="CL2809" s="56"/>
      <c r="CM2809" s="56"/>
      <c r="CN2809" s="56"/>
      <c r="CO2809" s="56"/>
      <c r="CP2809" s="56"/>
      <c r="CQ2809" s="56"/>
      <c r="CR2809" s="56"/>
      <c r="CS2809" s="56"/>
      <c r="CT2809" s="56"/>
      <c r="CU2809" s="56"/>
      <c r="CV2809" s="56"/>
      <c r="CW2809" s="56"/>
      <c r="CX2809" s="56"/>
      <c r="CY2809" s="56"/>
      <c r="CZ2809" s="56"/>
    </row>
    <row r="2810" spans="27:104" s="5" customFormat="1" x14ac:dyDescent="0.25">
      <c r="AA2810" s="56"/>
      <c r="AB2810" s="56"/>
      <c r="AC2810" s="56"/>
      <c r="AD2810" s="56"/>
      <c r="AE2810" s="56"/>
      <c r="AF2810" s="56"/>
      <c r="AG2810" s="56"/>
      <c r="AH2810" s="56"/>
      <c r="AI2810" s="56"/>
      <c r="AJ2810" s="56"/>
      <c r="AK2810" s="56"/>
      <c r="AL2810" s="56"/>
      <c r="AM2810" s="56"/>
      <c r="AN2810" s="56"/>
      <c r="AO2810" s="56"/>
      <c r="AP2810" s="56"/>
      <c r="AQ2810" s="56"/>
      <c r="AR2810" s="56"/>
      <c r="AS2810" s="56"/>
      <c r="AT2810" s="56"/>
      <c r="AU2810" s="56"/>
      <c r="AV2810" s="56"/>
      <c r="AW2810" s="56"/>
      <c r="AX2810" s="56"/>
      <c r="AY2810" s="56"/>
      <c r="AZ2810" s="56"/>
      <c r="BA2810" s="56"/>
      <c r="BB2810" s="16"/>
      <c r="BC2810" s="56"/>
      <c r="BD2810" s="56"/>
      <c r="BE2810" s="56"/>
      <c r="BF2810" s="56"/>
      <c r="BG2810" s="56"/>
      <c r="BH2810" s="56"/>
      <c r="BI2810" s="56"/>
      <c r="BJ2810" s="56"/>
      <c r="BK2810" s="56"/>
      <c r="BL2810" s="56"/>
      <c r="BM2810" s="56"/>
      <c r="BN2810" s="56"/>
      <c r="BO2810" s="56"/>
      <c r="BP2810" s="56"/>
      <c r="BQ2810" s="56"/>
      <c r="BR2810" s="56"/>
      <c r="BS2810" s="56"/>
      <c r="BT2810" s="56"/>
      <c r="BU2810" s="56"/>
      <c r="BV2810" s="56"/>
      <c r="BW2810" s="56"/>
      <c r="BX2810" s="56"/>
      <c r="BY2810" s="56"/>
      <c r="BZ2810" s="56"/>
      <c r="CA2810" s="56"/>
      <c r="CB2810" s="56"/>
      <c r="CC2810" s="56"/>
      <c r="CD2810" s="56"/>
      <c r="CE2810" s="56"/>
      <c r="CF2810" s="56"/>
      <c r="CG2810" s="56"/>
      <c r="CH2810" s="56"/>
      <c r="CI2810" s="56"/>
      <c r="CJ2810" s="56"/>
      <c r="CK2810" s="56"/>
      <c r="CL2810" s="56"/>
      <c r="CM2810" s="56"/>
      <c r="CN2810" s="56"/>
      <c r="CO2810" s="56"/>
      <c r="CP2810" s="56"/>
      <c r="CQ2810" s="56"/>
      <c r="CR2810" s="56"/>
      <c r="CS2810" s="56"/>
      <c r="CT2810" s="56"/>
      <c r="CU2810" s="56"/>
      <c r="CV2810" s="56"/>
      <c r="CW2810" s="56"/>
      <c r="CX2810" s="56"/>
      <c r="CY2810" s="56"/>
      <c r="CZ2810" s="56"/>
    </row>
    <row r="2811" spans="27:104" s="5" customFormat="1" x14ac:dyDescent="0.25">
      <c r="AA2811" s="56"/>
      <c r="AB2811" s="56"/>
      <c r="AC2811" s="56"/>
      <c r="AD2811" s="56"/>
      <c r="AE2811" s="56"/>
      <c r="AF2811" s="56"/>
      <c r="AG2811" s="56"/>
      <c r="AH2811" s="56"/>
      <c r="AI2811" s="56"/>
      <c r="AJ2811" s="56"/>
      <c r="AK2811" s="56"/>
      <c r="AL2811" s="56"/>
      <c r="AM2811" s="56"/>
      <c r="AN2811" s="56"/>
      <c r="AO2811" s="56"/>
      <c r="AP2811" s="56"/>
      <c r="AQ2811" s="56"/>
      <c r="AR2811" s="56"/>
      <c r="AS2811" s="56"/>
      <c r="AT2811" s="56"/>
      <c r="AU2811" s="56"/>
      <c r="AV2811" s="56"/>
      <c r="AW2811" s="56"/>
      <c r="AX2811" s="56"/>
      <c r="AY2811" s="56"/>
      <c r="AZ2811" s="56"/>
      <c r="BA2811" s="56"/>
      <c r="BB2811" s="16"/>
      <c r="BC2811" s="56"/>
      <c r="BD2811" s="56"/>
      <c r="BE2811" s="56"/>
      <c r="BF2811" s="56"/>
      <c r="BG2811" s="56"/>
      <c r="BH2811" s="56"/>
      <c r="BI2811" s="56"/>
      <c r="BJ2811" s="56"/>
      <c r="BK2811" s="56"/>
      <c r="BL2811" s="56"/>
      <c r="BM2811" s="56"/>
      <c r="BN2811" s="56"/>
      <c r="BO2811" s="56"/>
      <c r="BP2811" s="56"/>
      <c r="BQ2811" s="56"/>
      <c r="BR2811" s="56"/>
      <c r="BS2811" s="56"/>
      <c r="BT2811" s="56"/>
      <c r="BU2811" s="56"/>
      <c r="BV2811" s="56"/>
      <c r="BW2811" s="56"/>
      <c r="BX2811" s="56"/>
      <c r="BY2811" s="56"/>
      <c r="BZ2811" s="56"/>
      <c r="CA2811" s="56"/>
      <c r="CB2811" s="56"/>
      <c r="CC2811" s="56"/>
      <c r="CD2811" s="56"/>
      <c r="CE2811" s="56"/>
      <c r="CF2811" s="56"/>
      <c r="CG2811" s="56"/>
      <c r="CH2811" s="56"/>
      <c r="CI2811" s="56"/>
      <c r="CJ2811" s="56"/>
      <c r="CK2811" s="56"/>
      <c r="CL2811" s="56"/>
      <c r="CM2811" s="56"/>
      <c r="CN2811" s="56"/>
      <c r="CO2811" s="56"/>
      <c r="CP2811" s="56"/>
      <c r="CQ2811" s="56"/>
      <c r="CR2811" s="56"/>
      <c r="CS2811" s="56"/>
      <c r="CT2811" s="56"/>
      <c r="CU2811" s="56"/>
      <c r="CV2811" s="56"/>
      <c r="CW2811" s="56"/>
      <c r="CX2811" s="56"/>
      <c r="CY2811" s="56"/>
      <c r="CZ2811" s="56"/>
    </row>
    <row r="2812" spans="27:104" s="5" customFormat="1" x14ac:dyDescent="0.25">
      <c r="AA2812" s="56"/>
      <c r="AB2812" s="56"/>
      <c r="AC2812" s="56"/>
      <c r="AD2812" s="56"/>
      <c r="AE2812" s="56"/>
      <c r="AF2812" s="56"/>
      <c r="AG2812" s="56"/>
      <c r="AH2812" s="56"/>
      <c r="AI2812" s="56"/>
      <c r="AJ2812" s="56"/>
      <c r="AK2812" s="56"/>
      <c r="AL2812" s="56"/>
      <c r="AM2812" s="56"/>
      <c r="AN2812" s="56"/>
      <c r="AO2812" s="56"/>
      <c r="AP2812" s="56"/>
      <c r="AQ2812" s="56"/>
      <c r="AR2812" s="56"/>
      <c r="AS2812" s="56"/>
      <c r="AT2812" s="56"/>
      <c r="AU2812" s="56"/>
      <c r="AV2812" s="56"/>
      <c r="AW2812" s="56"/>
      <c r="AX2812" s="56"/>
      <c r="AY2812" s="56"/>
      <c r="AZ2812" s="56"/>
      <c r="BA2812" s="56"/>
      <c r="BB2812" s="16"/>
      <c r="BC2812" s="56"/>
      <c r="BD2812" s="56"/>
      <c r="BE2812" s="56"/>
      <c r="BF2812" s="56"/>
      <c r="BG2812" s="56"/>
      <c r="BH2812" s="56"/>
      <c r="BI2812" s="56"/>
      <c r="BJ2812" s="56"/>
      <c r="BK2812" s="56"/>
      <c r="BL2812" s="56"/>
      <c r="BM2812" s="56"/>
      <c r="BN2812" s="56"/>
      <c r="BO2812" s="56"/>
      <c r="BP2812" s="56"/>
      <c r="BQ2812" s="56"/>
      <c r="BR2812" s="56"/>
      <c r="BS2812" s="56"/>
      <c r="BT2812" s="56"/>
      <c r="BU2812" s="56"/>
      <c r="BV2812" s="56"/>
      <c r="BW2812" s="56"/>
      <c r="BX2812" s="56"/>
      <c r="BY2812" s="56"/>
      <c r="BZ2812" s="56"/>
      <c r="CA2812" s="56"/>
      <c r="CB2812" s="56"/>
      <c r="CC2812" s="56"/>
      <c r="CD2812" s="56"/>
      <c r="CE2812" s="56"/>
      <c r="CF2812" s="56"/>
      <c r="CG2812" s="56"/>
      <c r="CH2812" s="56"/>
      <c r="CI2812" s="56"/>
      <c r="CJ2812" s="56"/>
      <c r="CK2812" s="56"/>
      <c r="CL2812" s="56"/>
      <c r="CM2812" s="56"/>
      <c r="CN2812" s="56"/>
      <c r="CO2812" s="56"/>
      <c r="CP2812" s="56"/>
      <c r="CQ2812" s="56"/>
      <c r="CR2812" s="56"/>
      <c r="CS2812" s="56"/>
      <c r="CT2812" s="56"/>
      <c r="CU2812" s="56"/>
      <c r="CV2812" s="56"/>
      <c r="CW2812" s="56"/>
      <c r="CX2812" s="56"/>
      <c r="CY2812" s="56"/>
      <c r="CZ2812" s="56"/>
    </row>
    <row r="2813" spans="27:104" s="5" customFormat="1" x14ac:dyDescent="0.25">
      <c r="AA2813" s="56"/>
      <c r="AB2813" s="56"/>
      <c r="AC2813" s="56"/>
      <c r="AD2813" s="56"/>
      <c r="AE2813" s="56"/>
      <c r="AF2813" s="56"/>
      <c r="AG2813" s="56"/>
      <c r="AH2813" s="56"/>
      <c r="AI2813" s="56"/>
      <c r="AJ2813" s="56"/>
      <c r="AK2813" s="56"/>
      <c r="AL2813" s="56"/>
      <c r="AM2813" s="56"/>
      <c r="AN2813" s="56"/>
      <c r="AO2813" s="56"/>
      <c r="AP2813" s="56"/>
      <c r="AQ2813" s="56"/>
      <c r="AR2813" s="56"/>
      <c r="AS2813" s="56"/>
      <c r="AT2813" s="56"/>
      <c r="AU2813" s="56"/>
      <c r="AV2813" s="56"/>
      <c r="AW2813" s="56"/>
      <c r="AX2813" s="56"/>
      <c r="AY2813" s="56"/>
      <c r="AZ2813" s="56"/>
      <c r="BA2813" s="56"/>
      <c r="BB2813" s="16"/>
      <c r="BC2813" s="56"/>
      <c r="BD2813" s="56"/>
      <c r="BE2813" s="56"/>
      <c r="BF2813" s="56"/>
      <c r="BG2813" s="56"/>
      <c r="BH2813" s="56"/>
      <c r="BI2813" s="56"/>
      <c r="BJ2813" s="56"/>
      <c r="BK2813" s="56"/>
      <c r="BL2813" s="56"/>
      <c r="BM2813" s="56"/>
      <c r="BN2813" s="56"/>
      <c r="BO2813" s="56"/>
      <c r="BP2813" s="56"/>
      <c r="BQ2813" s="56"/>
      <c r="BR2813" s="56"/>
      <c r="BS2813" s="56"/>
      <c r="BT2813" s="56"/>
      <c r="BU2813" s="56"/>
      <c r="BV2813" s="56"/>
      <c r="BW2813" s="56"/>
      <c r="BX2813" s="56"/>
      <c r="BY2813" s="56"/>
      <c r="BZ2813" s="56"/>
      <c r="CA2813" s="56"/>
      <c r="CB2813" s="56"/>
      <c r="CC2813" s="56"/>
      <c r="CD2813" s="56"/>
      <c r="CE2813" s="56"/>
      <c r="CF2813" s="56"/>
      <c r="CG2813" s="56"/>
      <c r="CH2813" s="56"/>
      <c r="CI2813" s="56"/>
      <c r="CJ2813" s="56"/>
      <c r="CK2813" s="56"/>
      <c r="CL2813" s="56"/>
      <c r="CM2813" s="56"/>
      <c r="CN2813" s="56"/>
      <c r="CO2813" s="56"/>
      <c r="CP2813" s="56"/>
      <c r="CQ2813" s="56"/>
      <c r="CR2813" s="56"/>
      <c r="CS2813" s="56"/>
      <c r="CT2813" s="56"/>
      <c r="CU2813" s="56"/>
      <c r="CV2813" s="56"/>
      <c r="CW2813" s="56"/>
      <c r="CX2813" s="56"/>
      <c r="CY2813" s="56"/>
      <c r="CZ2813" s="56"/>
    </row>
    <row r="2814" spans="27:104" s="5" customFormat="1" x14ac:dyDescent="0.25">
      <c r="AA2814" s="56"/>
      <c r="AB2814" s="56"/>
      <c r="AC2814" s="56"/>
      <c r="AD2814" s="56"/>
      <c r="AE2814" s="56"/>
      <c r="AF2814" s="56"/>
      <c r="AG2814" s="56"/>
      <c r="AH2814" s="56"/>
      <c r="AI2814" s="56"/>
      <c r="AJ2814" s="56"/>
      <c r="AK2814" s="56"/>
      <c r="AL2814" s="56"/>
      <c r="AM2814" s="56"/>
      <c r="AN2814" s="56"/>
      <c r="AO2814" s="56"/>
      <c r="AP2814" s="56"/>
      <c r="AQ2814" s="56"/>
      <c r="AR2814" s="56"/>
      <c r="AS2814" s="56"/>
      <c r="AT2814" s="56"/>
      <c r="AU2814" s="56"/>
      <c r="AV2814" s="56"/>
      <c r="AW2814" s="56"/>
      <c r="AX2814" s="56"/>
      <c r="AY2814" s="56"/>
      <c r="AZ2814" s="56"/>
      <c r="BA2814" s="56"/>
      <c r="BB2814" s="16"/>
      <c r="BC2814" s="56"/>
      <c r="BD2814" s="56"/>
      <c r="BE2814" s="56"/>
      <c r="BF2814" s="56"/>
      <c r="BG2814" s="56"/>
      <c r="BH2814" s="56"/>
      <c r="BI2814" s="56"/>
      <c r="BJ2814" s="56"/>
      <c r="BK2814" s="56"/>
      <c r="BL2814" s="56"/>
      <c r="BM2814" s="56"/>
      <c r="BN2814" s="56"/>
      <c r="BO2814" s="56"/>
      <c r="BP2814" s="56"/>
      <c r="BQ2814" s="56"/>
      <c r="BR2814" s="56"/>
      <c r="BS2814" s="56"/>
      <c r="BT2814" s="56"/>
      <c r="BU2814" s="56"/>
      <c r="BV2814" s="56"/>
      <c r="BW2814" s="56"/>
      <c r="BX2814" s="56"/>
      <c r="BY2814" s="56"/>
      <c r="BZ2814" s="56"/>
      <c r="CA2814" s="56"/>
      <c r="CB2814" s="56"/>
      <c r="CC2814" s="56"/>
      <c r="CD2814" s="56"/>
      <c r="CE2814" s="56"/>
      <c r="CF2814" s="56"/>
      <c r="CG2814" s="56"/>
      <c r="CH2814" s="56"/>
      <c r="CI2814" s="56"/>
      <c r="CJ2814" s="56"/>
      <c r="CK2814" s="56"/>
      <c r="CL2814" s="56"/>
      <c r="CM2814" s="56"/>
      <c r="CN2814" s="56"/>
      <c r="CO2814" s="56"/>
      <c r="CP2814" s="56"/>
      <c r="CQ2814" s="56"/>
      <c r="CR2814" s="56"/>
      <c r="CS2814" s="56"/>
      <c r="CT2814" s="56"/>
      <c r="CU2814" s="56"/>
      <c r="CV2814" s="56"/>
      <c r="CW2814" s="56"/>
      <c r="CX2814" s="56"/>
      <c r="CY2814" s="56"/>
      <c r="CZ2814" s="56"/>
    </row>
    <row r="2815" spans="27:104" s="5" customFormat="1" x14ac:dyDescent="0.25">
      <c r="AA2815" s="56"/>
      <c r="AB2815" s="56"/>
      <c r="AC2815" s="56"/>
      <c r="AD2815" s="56"/>
      <c r="AE2815" s="56"/>
      <c r="AF2815" s="56"/>
      <c r="AG2815" s="56"/>
      <c r="AH2815" s="56"/>
      <c r="AI2815" s="56"/>
      <c r="AJ2815" s="56"/>
      <c r="AK2815" s="56"/>
      <c r="AL2815" s="56"/>
      <c r="AM2815" s="56"/>
      <c r="AN2815" s="56"/>
      <c r="AO2815" s="56"/>
      <c r="AP2815" s="56"/>
      <c r="AQ2815" s="56"/>
      <c r="AR2815" s="56"/>
      <c r="AS2815" s="56"/>
      <c r="AT2815" s="56"/>
      <c r="AU2815" s="56"/>
      <c r="AV2815" s="56"/>
      <c r="AW2815" s="56"/>
      <c r="AX2815" s="56"/>
      <c r="AY2815" s="56"/>
      <c r="AZ2815" s="56"/>
      <c r="BA2815" s="56"/>
      <c r="BB2815" s="16"/>
      <c r="BC2815" s="56"/>
      <c r="BD2815" s="56"/>
      <c r="BE2815" s="56"/>
      <c r="BF2815" s="56"/>
      <c r="BG2815" s="56"/>
      <c r="BH2815" s="56"/>
      <c r="BI2815" s="56"/>
      <c r="BJ2815" s="56"/>
      <c r="BK2815" s="56"/>
      <c r="BL2815" s="56"/>
      <c r="BM2815" s="56"/>
      <c r="BN2815" s="56"/>
      <c r="BO2815" s="56"/>
      <c r="BP2815" s="56"/>
      <c r="BQ2815" s="56"/>
      <c r="BR2815" s="56"/>
      <c r="BS2815" s="56"/>
      <c r="BT2815" s="56"/>
      <c r="BU2815" s="56"/>
      <c r="BV2815" s="56"/>
      <c r="BW2815" s="56"/>
      <c r="BX2815" s="56"/>
      <c r="BY2815" s="56"/>
      <c r="BZ2815" s="56"/>
      <c r="CA2815" s="56"/>
      <c r="CB2815" s="56"/>
      <c r="CC2815" s="56"/>
      <c r="CD2815" s="56"/>
      <c r="CE2815" s="56"/>
      <c r="CF2815" s="56"/>
      <c r="CG2815" s="56"/>
      <c r="CH2815" s="56"/>
      <c r="CI2815" s="56"/>
      <c r="CJ2815" s="56"/>
      <c r="CK2815" s="56"/>
      <c r="CL2815" s="56"/>
      <c r="CM2815" s="56"/>
      <c r="CN2815" s="56"/>
      <c r="CO2815" s="56"/>
      <c r="CP2815" s="56"/>
      <c r="CQ2815" s="56"/>
      <c r="CR2815" s="56"/>
      <c r="CS2815" s="56"/>
      <c r="CT2815" s="56"/>
      <c r="CU2815" s="56"/>
      <c r="CV2815" s="56"/>
      <c r="CW2815" s="56"/>
      <c r="CX2815" s="56"/>
      <c r="CY2815" s="56"/>
      <c r="CZ2815" s="56"/>
    </row>
    <row r="2816" spans="27:104" s="5" customFormat="1" x14ac:dyDescent="0.25">
      <c r="AA2816" s="56"/>
      <c r="AB2816" s="56"/>
      <c r="AC2816" s="56"/>
      <c r="AD2816" s="56"/>
      <c r="AE2816" s="56"/>
      <c r="AF2816" s="56"/>
      <c r="AG2816" s="56"/>
      <c r="AH2816" s="56"/>
      <c r="AI2816" s="56"/>
      <c r="AJ2816" s="56"/>
      <c r="AK2816" s="56"/>
      <c r="AL2816" s="56"/>
      <c r="AM2816" s="56"/>
      <c r="AN2816" s="56"/>
      <c r="AO2816" s="56"/>
      <c r="AP2816" s="56"/>
      <c r="AQ2816" s="56"/>
      <c r="AR2816" s="56"/>
      <c r="AS2816" s="56"/>
      <c r="AT2816" s="56"/>
      <c r="AU2816" s="56"/>
      <c r="AV2816" s="56"/>
      <c r="AW2816" s="56"/>
      <c r="AX2816" s="56"/>
      <c r="AY2816" s="56"/>
      <c r="AZ2816" s="56"/>
      <c r="BA2816" s="56"/>
      <c r="BB2816" s="16"/>
      <c r="BC2816" s="56"/>
      <c r="BD2816" s="56"/>
      <c r="BE2816" s="56"/>
      <c r="BF2816" s="56"/>
      <c r="BG2816" s="56"/>
      <c r="BH2816" s="56"/>
      <c r="BI2816" s="56"/>
      <c r="BJ2816" s="56"/>
      <c r="BK2816" s="56"/>
      <c r="BL2816" s="56"/>
      <c r="BM2816" s="56"/>
      <c r="BN2816" s="56"/>
      <c r="BO2816" s="56"/>
      <c r="BP2816" s="56"/>
      <c r="BQ2816" s="56"/>
      <c r="BR2816" s="56"/>
      <c r="BS2816" s="56"/>
      <c r="BT2816" s="56"/>
      <c r="BU2816" s="56"/>
      <c r="BV2816" s="56"/>
      <c r="BW2816" s="56"/>
      <c r="BX2816" s="56"/>
      <c r="BY2816" s="56"/>
      <c r="BZ2816" s="56"/>
      <c r="CA2816" s="56"/>
      <c r="CB2816" s="56"/>
      <c r="CC2816" s="56"/>
      <c r="CD2816" s="56"/>
      <c r="CE2816" s="56"/>
      <c r="CF2816" s="56"/>
      <c r="CG2816" s="56"/>
      <c r="CH2816" s="56"/>
      <c r="CI2816" s="56"/>
      <c r="CJ2816" s="56"/>
      <c r="CK2816" s="56"/>
      <c r="CL2816" s="56"/>
      <c r="CM2816" s="56"/>
      <c r="CN2816" s="56"/>
      <c r="CO2816" s="56"/>
      <c r="CP2816" s="56"/>
      <c r="CQ2816" s="56"/>
      <c r="CR2816" s="56"/>
      <c r="CS2816" s="56"/>
      <c r="CT2816" s="56"/>
      <c r="CU2816" s="56"/>
      <c r="CV2816" s="56"/>
      <c r="CW2816" s="56"/>
      <c r="CX2816" s="56"/>
      <c r="CY2816" s="56"/>
      <c r="CZ2816" s="56"/>
    </row>
    <row r="2817" spans="27:104" s="5" customFormat="1" x14ac:dyDescent="0.25">
      <c r="AA2817" s="56"/>
      <c r="AB2817" s="56"/>
      <c r="AC2817" s="56"/>
      <c r="AD2817" s="56"/>
      <c r="AE2817" s="56"/>
      <c r="AF2817" s="56"/>
      <c r="AG2817" s="56"/>
      <c r="AH2817" s="56"/>
      <c r="AI2817" s="56"/>
      <c r="AJ2817" s="56"/>
      <c r="AK2817" s="56"/>
      <c r="AL2817" s="56"/>
      <c r="AM2817" s="56"/>
      <c r="AN2817" s="56"/>
      <c r="AO2817" s="56"/>
      <c r="AP2817" s="56"/>
      <c r="AQ2817" s="56"/>
      <c r="AR2817" s="56"/>
      <c r="AS2817" s="56"/>
      <c r="AT2817" s="56"/>
      <c r="AU2817" s="56"/>
      <c r="AV2817" s="56"/>
      <c r="AW2817" s="56"/>
      <c r="AX2817" s="56"/>
      <c r="AY2817" s="56"/>
      <c r="AZ2817" s="56"/>
      <c r="BA2817" s="56"/>
      <c r="BB2817" s="16"/>
      <c r="BC2817" s="56"/>
      <c r="BD2817" s="56"/>
      <c r="BE2817" s="56"/>
      <c r="BF2817" s="56"/>
      <c r="BG2817" s="56"/>
      <c r="BH2817" s="56"/>
      <c r="BI2817" s="56"/>
      <c r="BJ2817" s="56"/>
      <c r="BK2817" s="56"/>
      <c r="BL2817" s="56"/>
      <c r="BM2817" s="56"/>
      <c r="BN2817" s="56"/>
      <c r="BO2817" s="56"/>
      <c r="BP2817" s="56"/>
      <c r="BQ2817" s="56"/>
      <c r="BR2817" s="56"/>
      <c r="BS2817" s="56"/>
      <c r="BT2817" s="56"/>
      <c r="BU2817" s="56"/>
      <c r="BV2817" s="56"/>
      <c r="BW2817" s="56"/>
      <c r="BX2817" s="56"/>
      <c r="BY2817" s="56"/>
      <c r="BZ2817" s="56"/>
      <c r="CA2817" s="56"/>
      <c r="CB2817" s="56"/>
      <c r="CC2817" s="56"/>
      <c r="CD2817" s="56"/>
      <c r="CE2817" s="56"/>
      <c r="CF2817" s="56"/>
      <c r="CG2817" s="56"/>
      <c r="CH2817" s="56"/>
      <c r="CI2817" s="56"/>
      <c r="CJ2817" s="56"/>
      <c r="CK2817" s="56"/>
      <c r="CL2817" s="56"/>
      <c r="CM2817" s="56"/>
      <c r="CN2817" s="56"/>
      <c r="CO2817" s="56"/>
      <c r="CP2817" s="56"/>
      <c r="CQ2817" s="56"/>
      <c r="CR2817" s="56"/>
      <c r="CS2817" s="56"/>
      <c r="CT2817" s="56"/>
      <c r="CU2817" s="56"/>
      <c r="CV2817" s="56"/>
      <c r="CW2817" s="56"/>
      <c r="CX2817" s="56"/>
      <c r="CY2817" s="56"/>
      <c r="CZ2817" s="56"/>
    </row>
    <row r="2818" spans="27:104" s="5" customFormat="1" x14ac:dyDescent="0.25">
      <c r="AA2818" s="56"/>
      <c r="AB2818" s="56"/>
      <c r="AC2818" s="56"/>
      <c r="AD2818" s="56"/>
      <c r="AE2818" s="56"/>
      <c r="AF2818" s="56"/>
      <c r="AG2818" s="56"/>
      <c r="AH2818" s="56"/>
      <c r="AI2818" s="56"/>
      <c r="AJ2818" s="56"/>
      <c r="AK2818" s="56"/>
      <c r="AL2818" s="56"/>
      <c r="AM2818" s="56"/>
      <c r="AN2818" s="56"/>
      <c r="AO2818" s="56"/>
      <c r="AP2818" s="56"/>
      <c r="AQ2818" s="56"/>
      <c r="AR2818" s="56"/>
      <c r="AS2818" s="56"/>
      <c r="AT2818" s="56"/>
      <c r="AU2818" s="56"/>
      <c r="AV2818" s="56"/>
      <c r="AW2818" s="56"/>
      <c r="AX2818" s="56"/>
      <c r="AY2818" s="56"/>
      <c r="AZ2818" s="56"/>
      <c r="BA2818" s="56"/>
      <c r="BB2818" s="16"/>
      <c r="BC2818" s="56"/>
      <c r="BD2818" s="56"/>
      <c r="BE2818" s="56"/>
      <c r="BF2818" s="56"/>
      <c r="BG2818" s="56"/>
      <c r="BH2818" s="56"/>
      <c r="BI2818" s="56"/>
      <c r="BJ2818" s="56"/>
      <c r="BK2818" s="56"/>
      <c r="BL2818" s="56"/>
      <c r="BM2818" s="56"/>
      <c r="BN2818" s="56"/>
      <c r="BO2818" s="56"/>
      <c r="BP2818" s="56"/>
      <c r="BQ2818" s="56"/>
      <c r="BR2818" s="56"/>
      <c r="BS2818" s="56"/>
      <c r="BT2818" s="56"/>
      <c r="BU2818" s="56"/>
      <c r="BV2818" s="56"/>
      <c r="BW2818" s="56"/>
      <c r="BX2818" s="56"/>
      <c r="BY2818" s="56"/>
      <c r="BZ2818" s="56"/>
      <c r="CA2818" s="56"/>
      <c r="CB2818" s="56"/>
      <c r="CC2818" s="56"/>
      <c r="CD2818" s="56"/>
      <c r="CE2818" s="56"/>
      <c r="CF2818" s="56"/>
      <c r="CG2818" s="56"/>
      <c r="CH2818" s="56"/>
      <c r="CI2818" s="56"/>
      <c r="CJ2818" s="56"/>
      <c r="CK2818" s="56"/>
      <c r="CL2818" s="56"/>
      <c r="CM2818" s="56"/>
      <c r="CN2818" s="56"/>
      <c r="CO2818" s="56"/>
      <c r="CP2818" s="56"/>
      <c r="CQ2818" s="56"/>
      <c r="CR2818" s="56"/>
      <c r="CS2818" s="56"/>
      <c r="CT2818" s="56"/>
      <c r="CU2818" s="56"/>
      <c r="CV2818" s="56"/>
      <c r="CW2818" s="56"/>
      <c r="CX2818" s="56"/>
      <c r="CY2818" s="56"/>
      <c r="CZ2818" s="56"/>
    </row>
    <row r="2819" spans="27:104" s="5" customFormat="1" x14ac:dyDescent="0.25">
      <c r="AA2819" s="56"/>
      <c r="AB2819" s="56"/>
      <c r="AC2819" s="56"/>
      <c r="AD2819" s="56"/>
      <c r="AE2819" s="56"/>
      <c r="AF2819" s="56"/>
      <c r="AG2819" s="56"/>
      <c r="AH2819" s="56"/>
      <c r="AI2819" s="56"/>
      <c r="AJ2819" s="56"/>
      <c r="AK2819" s="56"/>
      <c r="AL2819" s="56"/>
      <c r="AM2819" s="56"/>
      <c r="AN2819" s="56"/>
      <c r="AO2819" s="56"/>
      <c r="AP2819" s="56"/>
      <c r="AQ2819" s="56"/>
      <c r="AR2819" s="56"/>
      <c r="AS2819" s="56"/>
      <c r="AT2819" s="56"/>
      <c r="AU2819" s="56"/>
      <c r="AV2819" s="56"/>
      <c r="AW2819" s="56"/>
      <c r="AX2819" s="56"/>
      <c r="AY2819" s="56"/>
      <c r="AZ2819" s="56"/>
      <c r="BA2819" s="56"/>
      <c r="BB2819" s="16"/>
      <c r="BC2819" s="56"/>
      <c r="BD2819" s="56"/>
      <c r="BE2819" s="56"/>
      <c r="BF2819" s="56"/>
      <c r="BG2819" s="56"/>
      <c r="BH2819" s="56"/>
      <c r="BI2819" s="56"/>
      <c r="BJ2819" s="56"/>
      <c r="BK2819" s="56"/>
      <c r="BL2819" s="56"/>
      <c r="BM2819" s="56"/>
      <c r="BN2819" s="56"/>
      <c r="BO2819" s="56"/>
      <c r="BP2819" s="56"/>
      <c r="BQ2819" s="56"/>
      <c r="BR2819" s="56"/>
      <c r="BS2819" s="56"/>
      <c r="BT2819" s="56"/>
      <c r="BU2819" s="56"/>
      <c r="BV2819" s="56"/>
      <c r="BW2819" s="56"/>
      <c r="BX2819" s="56"/>
      <c r="BY2819" s="56"/>
      <c r="BZ2819" s="56"/>
      <c r="CA2819" s="56"/>
      <c r="CB2819" s="56"/>
      <c r="CC2819" s="56"/>
      <c r="CD2819" s="56"/>
      <c r="CE2819" s="56"/>
      <c r="CF2819" s="56"/>
      <c r="CG2819" s="56"/>
      <c r="CH2819" s="56"/>
      <c r="CI2819" s="56"/>
      <c r="CJ2819" s="56"/>
      <c r="CK2819" s="56"/>
      <c r="CL2819" s="56"/>
      <c r="CM2819" s="56"/>
      <c r="CN2819" s="56"/>
      <c r="CO2819" s="56"/>
      <c r="CP2819" s="56"/>
      <c r="CQ2819" s="56"/>
      <c r="CR2819" s="56"/>
      <c r="CS2819" s="56"/>
      <c r="CT2819" s="56"/>
      <c r="CU2819" s="56"/>
      <c r="CV2819" s="56"/>
      <c r="CW2819" s="56"/>
      <c r="CX2819" s="56"/>
      <c r="CY2819" s="56"/>
      <c r="CZ2819" s="56"/>
    </row>
    <row r="2820" spans="27:104" s="5" customFormat="1" x14ac:dyDescent="0.25">
      <c r="AA2820" s="56"/>
      <c r="AB2820" s="56"/>
      <c r="AC2820" s="56"/>
      <c r="AD2820" s="56"/>
      <c r="AE2820" s="56"/>
      <c r="AF2820" s="56"/>
      <c r="AG2820" s="56"/>
      <c r="AH2820" s="56"/>
      <c r="AI2820" s="56"/>
      <c r="AJ2820" s="56"/>
      <c r="AK2820" s="56"/>
      <c r="AL2820" s="56"/>
      <c r="AM2820" s="56"/>
      <c r="AN2820" s="56"/>
      <c r="AO2820" s="56"/>
      <c r="AP2820" s="56"/>
      <c r="AQ2820" s="56"/>
      <c r="AR2820" s="56"/>
      <c r="AS2820" s="56"/>
      <c r="AT2820" s="56"/>
      <c r="AU2820" s="56"/>
      <c r="AV2820" s="56"/>
      <c r="AW2820" s="56"/>
      <c r="AX2820" s="56"/>
      <c r="AY2820" s="56"/>
      <c r="AZ2820" s="56"/>
      <c r="BA2820" s="56"/>
      <c r="BB2820" s="16"/>
      <c r="BC2820" s="56"/>
      <c r="BD2820" s="56"/>
      <c r="BE2820" s="56"/>
      <c r="BF2820" s="56"/>
      <c r="BG2820" s="56"/>
      <c r="BH2820" s="56"/>
      <c r="BI2820" s="56"/>
      <c r="BJ2820" s="56"/>
      <c r="BK2820" s="56"/>
      <c r="BL2820" s="56"/>
      <c r="BM2820" s="56"/>
      <c r="BN2820" s="56"/>
      <c r="BO2820" s="56"/>
      <c r="BP2820" s="56"/>
      <c r="BQ2820" s="56"/>
      <c r="BR2820" s="56"/>
      <c r="BS2820" s="56"/>
      <c r="BT2820" s="56"/>
      <c r="BU2820" s="56"/>
      <c r="BV2820" s="56"/>
      <c r="BW2820" s="56"/>
      <c r="BX2820" s="56"/>
      <c r="BY2820" s="56"/>
      <c r="BZ2820" s="56"/>
      <c r="CA2820" s="56"/>
      <c r="CB2820" s="56"/>
      <c r="CC2820" s="56"/>
      <c r="CD2820" s="56"/>
      <c r="CE2820" s="56"/>
      <c r="CF2820" s="56"/>
      <c r="CG2820" s="56"/>
      <c r="CH2820" s="56"/>
      <c r="CI2820" s="56"/>
      <c r="CJ2820" s="56"/>
      <c r="CK2820" s="56"/>
      <c r="CL2820" s="56"/>
      <c r="CM2820" s="56"/>
      <c r="CN2820" s="56"/>
      <c r="CO2820" s="56"/>
      <c r="CP2820" s="56"/>
      <c r="CQ2820" s="56"/>
      <c r="CR2820" s="56"/>
      <c r="CS2820" s="56"/>
      <c r="CT2820" s="56"/>
      <c r="CU2820" s="56"/>
      <c r="CV2820" s="56"/>
      <c r="CW2820" s="56"/>
      <c r="CX2820" s="56"/>
      <c r="CY2820" s="56"/>
      <c r="CZ2820" s="56"/>
    </row>
    <row r="2821" spans="27:104" s="5" customFormat="1" x14ac:dyDescent="0.25">
      <c r="AA2821" s="56"/>
      <c r="AB2821" s="56"/>
      <c r="AC2821" s="56"/>
      <c r="AD2821" s="56"/>
      <c r="AE2821" s="56"/>
      <c r="AF2821" s="56"/>
      <c r="AG2821" s="56"/>
      <c r="AH2821" s="56"/>
      <c r="AI2821" s="56"/>
      <c r="AJ2821" s="56"/>
      <c r="AK2821" s="56"/>
      <c r="AL2821" s="56"/>
      <c r="AM2821" s="56"/>
      <c r="AN2821" s="56"/>
      <c r="AO2821" s="56"/>
      <c r="AP2821" s="56"/>
      <c r="AQ2821" s="56"/>
      <c r="AR2821" s="56"/>
      <c r="AS2821" s="56"/>
      <c r="AT2821" s="56"/>
      <c r="AU2821" s="56"/>
      <c r="AV2821" s="56"/>
      <c r="AW2821" s="56"/>
      <c r="AX2821" s="56"/>
      <c r="AY2821" s="56"/>
      <c r="AZ2821" s="56"/>
      <c r="BA2821" s="56"/>
      <c r="BB2821" s="16"/>
      <c r="BC2821" s="56"/>
      <c r="BD2821" s="56"/>
      <c r="BE2821" s="56"/>
      <c r="BF2821" s="56"/>
      <c r="BG2821" s="56"/>
      <c r="BH2821" s="56"/>
      <c r="BI2821" s="56"/>
      <c r="BJ2821" s="56"/>
      <c r="BK2821" s="56"/>
      <c r="BL2821" s="56"/>
      <c r="BM2821" s="56"/>
      <c r="BN2821" s="56"/>
      <c r="BO2821" s="56"/>
      <c r="BP2821" s="56"/>
      <c r="BQ2821" s="56"/>
      <c r="BR2821" s="56"/>
      <c r="BS2821" s="56"/>
      <c r="BT2821" s="56"/>
      <c r="BU2821" s="56"/>
      <c r="BV2821" s="56"/>
      <c r="BW2821" s="56"/>
      <c r="BX2821" s="56"/>
      <c r="BY2821" s="56"/>
      <c r="BZ2821" s="56"/>
      <c r="CA2821" s="56"/>
      <c r="CB2821" s="56"/>
      <c r="CC2821" s="56"/>
      <c r="CD2821" s="56"/>
      <c r="CE2821" s="56"/>
      <c r="CF2821" s="56"/>
      <c r="CG2821" s="56"/>
      <c r="CH2821" s="56"/>
      <c r="CI2821" s="56"/>
      <c r="CJ2821" s="56"/>
      <c r="CK2821" s="56"/>
      <c r="CL2821" s="56"/>
      <c r="CM2821" s="56"/>
      <c r="CN2821" s="56"/>
      <c r="CO2821" s="56"/>
      <c r="CP2821" s="56"/>
      <c r="CQ2821" s="56"/>
      <c r="CR2821" s="56"/>
      <c r="CS2821" s="56"/>
      <c r="CT2821" s="56"/>
      <c r="CU2821" s="56"/>
      <c r="CV2821" s="56"/>
      <c r="CW2821" s="56"/>
      <c r="CX2821" s="56"/>
      <c r="CY2821" s="56"/>
      <c r="CZ2821" s="56"/>
    </row>
    <row r="2822" spans="27:104" s="5" customFormat="1" x14ac:dyDescent="0.25">
      <c r="AA2822" s="56"/>
      <c r="AB2822" s="56"/>
      <c r="AC2822" s="56"/>
      <c r="AD2822" s="56"/>
      <c r="AE2822" s="56"/>
      <c r="AF2822" s="56"/>
      <c r="AG2822" s="56"/>
      <c r="AH2822" s="56"/>
      <c r="AI2822" s="56"/>
      <c r="AJ2822" s="56"/>
      <c r="AK2822" s="56"/>
      <c r="AL2822" s="56"/>
      <c r="AM2822" s="56"/>
      <c r="AN2822" s="56"/>
      <c r="AO2822" s="56"/>
      <c r="AP2822" s="56"/>
      <c r="AQ2822" s="56"/>
      <c r="AR2822" s="56"/>
      <c r="AS2822" s="56"/>
      <c r="AT2822" s="56"/>
      <c r="AU2822" s="56"/>
      <c r="AV2822" s="56"/>
      <c r="AW2822" s="56"/>
      <c r="AX2822" s="56"/>
      <c r="AY2822" s="56"/>
      <c r="AZ2822" s="56"/>
      <c r="BA2822" s="56"/>
      <c r="BB2822" s="16"/>
      <c r="BC2822" s="56"/>
      <c r="BD2822" s="56"/>
      <c r="BE2822" s="56"/>
      <c r="BF2822" s="56"/>
      <c r="BG2822" s="56"/>
      <c r="BH2822" s="56"/>
      <c r="BI2822" s="56"/>
      <c r="BJ2822" s="56"/>
      <c r="BK2822" s="56"/>
      <c r="BL2822" s="56"/>
      <c r="BM2822" s="56"/>
      <c r="BN2822" s="56"/>
      <c r="BO2822" s="56"/>
      <c r="BP2822" s="56"/>
      <c r="BQ2822" s="56"/>
      <c r="BR2822" s="56"/>
      <c r="BS2822" s="56"/>
      <c r="BT2822" s="56"/>
      <c r="BU2822" s="56"/>
      <c r="BV2822" s="56"/>
      <c r="BW2822" s="56"/>
      <c r="BX2822" s="56"/>
      <c r="BY2822" s="56"/>
      <c r="BZ2822" s="56"/>
      <c r="CA2822" s="56"/>
      <c r="CB2822" s="56"/>
      <c r="CC2822" s="56"/>
      <c r="CD2822" s="56"/>
      <c r="CE2822" s="56"/>
      <c r="CF2822" s="56"/>
      <c r="CG2822" s="56"/>
      <c r="CH2822" s="56"/>
      <c r="CI2822" s="56"/>
      <c r="CJ2822" s="56"/>
      <c r="CK2822" s="56"/>
      <c r="CL2822" s="56"/>
      <c r="CM2822" s="56"/>
      <c r="CN2822" s="56"/>
      <c r="CO2822" s="56"/>
      <c r="CP2822" s="56"/>
      <c r="CQ2822" s="56"/>
      <c r="CR2822" s="56"/>
      <c r="CS2822" s="56"/>
      <c r="CT2822" s="56"/>
      <c r="CU2822" s="56"/>
      <c r="CV2822" s="56"/>
      <c r="CW2822" s="56"/>
      <c r="CX2822" s="56"/>
      <c r="CY2822" s="56"/>
      <c r="CZ2822" s="56"/>
    </row>
    <row r="2823" spans="27:104" s="5" customFormat="1" x14ac:dyDescent="0.25">
      <c r="AA2823" s="56"/>
      <c r="AB2823" s="56"/>
      <c r="AC2823" s="56"/>
      <c r="AD2823" s="56"/>
      <c r="AE2823" s="56"/>
      <c r="AF2823" s="56"/>
      <c r="AG2823" s="56"/>
      <c r="AH2823" s="56"/>
      <c r="AI2823" s="56"/>
      <c r="AJ2823" s="56"/>
      <c r="AK2823" s="56"/>
      <c r="AL2823" s="56"/>
      <c r="AM2823" s="56"/>
      <c r="AN2823" s="56"/>
      <c r="AO2823" s="56"/>
      <c r="AP2823" s="56"/>
      <c r="AQ2823" s="56"/>
      <c r="AR2823" s="56"/>
      <c r="AS2823" s="56"/>
      <c r="AT2823" s="56"/>
      <c r="AU2823" s="56"/>
      <c r="AV2823" s="56"/>
      <c r="AW2823" s="56"/>
      <c r="AX2823" s="56"/>
      <c r="AY2823" s="56"/>
      <c r="AZ2823" s="56"/>
      <c r="BA2823" s="56"/>
      <c r="BB2823" s="16"/>
      <c r="BC2823" s="56"/>
      <c r="BD2823" s="56"/>
      <c r="BE2823" s="56"/>
      <c r="BF2823" s="56"/>
      <c r="BG2823" s="56"/>
      <c r="BH2823" s="56"/>
      <c r="BI2823" s="56"/>
      <c r="BJ2823" s="56"/>
      <c r="BK2823" s="56"/>
      <c r="BL2823" s="56"/>
      <c r="BM2823" s="56"/>
      <c r="BN2823" s="56"/>
      <c r="BO2823" s="56"/>
      <c r="BP2823" s="56"/>
      <c r="BQ2823" s="56"/>
      <c r="BR2823" s="56"/>
      <c r="BS2823" s="56"/>
      <c r="BT2823" s="56"/>
      <c r="BU2823" s="56"/>
      <c r="BV2823" s="56"/>
      <c r="BW2823" s="56"/>
      <c r="BX2823" s="56"/>
      <c r="BY2823" s="56"/>
      <c r="BZ2823" s="56"/>
      <c r="CA2823" s="56"/>
      <c r="CB2823" s="56"/>
      <c r="CC2823" s="56"/>
      <c r="CD2823" s="56"/>
      <c r="CE2823" s="56"/>
      <c r="CF2823" s="56"/>
      <c r="CG2823" s="56"/>
      <c r="CH2823" s="56"/>
      <c r="CI2823" s="56"/>
      <c r="CJ2823" s="56"/>
      <c r="CK2823" s="56"/>
      <c r="CL2823" s="56"/>
      <c r="CM2823" s="56"/>
      <c r="CN2823" s="56"/>
      <c r="CO2823" s="56"/>
      <c r="CP2823" s="56"/>
      <c r="CQ2823" s="56"/>
      <c r="CR2823" s="56"/>
      <c r="CS2823" s="56"/>
      <c r="CT2823" s="56"/>
      <c r="CU2823" s="56"/>
      <c r="CV2823" s="56"/>
      <c r="CW2823" s="56"/>
      <c r="CX2823" s="56"/>
      <c r="CY2823" s="56"/>
      <c r="CZ2823" s="56"/>
    </row>
    <row r="2824" spans="27:104" s="5" customFormat="1" x14ac:dyDescent="0.25">
      <c r="AA2824" s="56"/>
      <c r="AB2824" s="56"/>
      <c r="AC2824" s="56"/>
      <c r="AD2824" s="56"/>
      <c r="AE2824" s="56"/>
      <c r="AF2824" s="56"/>
      <c r="AG2824" s="56"/>
      <c r="AH2824" s="56"/>
      <c r="AI2824" s="56"/>
      <c r="AJ2824" s="56"/>
      <c r="AK2824" s="56"/>
      <c r="AL2824" s="56"/>
      <c r="AM2824" s="56"/>
      <c r="AN2824" s="56"/>
      <c r="AO2824" s="56"/>
      <c r="AP2824" s="56"/>
      <c r="AQ2824" s="56"/>
      <c r="AR2824" s="56"/>
      <c r="AS2824" s="56"/>
      <c r="AT2824" s="56"/>
      <c r="AU2824" s="56"/>
      <c r="AV2824" s="56"/>
      <c r="AW2824" s="56"/>
      <c r="AX2824" s="56"/>
      <c r="AY2824" s="56"/>
      <c r="AZ2824" s="56"/>
      <c r="BA2824" s="56"/>
      <c r="BB2824" s="16"/>
      <c r="BC2824" s="56"/>
      <c r="BD2824" s="56"/>
      <c r="BE2824" s="56"/>
      <c r="BF2824" s="56"/>
      <c r="BG2824" s="56"/>
      <c r="BH2824" s="56"/>
      <c r="BI2824" s="56"/>
      <c r="BJ2824" s="56"/>
      <c r="BK2824" s="56"/>
      <c r="BL2824" s="56"/>
      <c r="BM2824" s="56"/>
      <c r="BN2824" s="56"/>
      <c r="BO2824" s="56"/>
      <c r="BP2824" s="56"/>
      <c r="BQ2824" s="56"/>
      <c r="BR2824" s="56"/>
      <c r="BS2824" s="56"/>
      <c r="BT2824" s="56"/>
      <c r="BU2824" s="56"/>
      <c r="BV2824" s="56"/>
      <c r="BW2824" s="56"/>
      <c r="BX2824" s="56"/>
      <c r="BY2824" s="56"/>
      <c r="BZ2824" s="56"/>
      <c r="CA2824" s="56"/>
      <c r="CB2824" s="56"/>
      <c r="CC2824" s="56"/>
      <c r="CD2824" s="56"/>
      <c r="CE2824" s="56"/>
      <c r="CF2824" s="56"/>
      <c r="CG2824" s="56"/>
      <c r="CH2824" s="56"/>
      <c r="CI2824" s="56"/>
      <c r="CJ2824" s="56"/>
      <c r="CK2824" s="56"/>
      <c r="CL2824" s="56"/>
      <c r="CM2824" s="56"/>
      <c r="CN2824" s="56"/>
      <c r="CO2824" s="56"/>
      <c r="CP2824" s="56"/>
      <c r="CQ2824" s="56"/>
      <c r="CR2824" s="56"/>
      <c r="CS2824" s="56"/>
      <c r="CT2824" s="56"/>
      <c r="CU2824" s="56"/>
      <c r="CV2824" s="56"/>
      <c r="CW2824" s="56"/>
      <c r="CX2824" s="56"/>
      <c r="CY2824" s="56"/>
      <c r="CZ2824" s="56"/>
    </row>
    <row r="2825" spans="27:104" s="5" customFormat="1" x14ac:dyDescent="0.25">
      <c r="AA2825" s="56"/>
      <c r="AB2825" s="56"/>
      <c r="AC2825" s="56"/>
      <c r="AD2825" s="56"/>
      <c r="AE2825" s="56"/>
      <c r="AF2825" s="56"/>
      <c r="AG2825" s="56"/>
      <c r="AH2825" s="56"/>
      <c r="AI2825" s="56"/>
      <c r="AJ2825" s="56"/>
      <c r="AK2825" s="56"/>
      <c r="AL2825" s="56"/>
      <c r="AM2825" s="56"/>
      <c r="AN2825" s="56"/>
      <c r="AO2825" s="56"/>
      <c r="AP2825" s="56"/>
      <c r="AQ2825" s="56"/>
      <c r="AR2825" s="56"/>
      <c r="AS2825" s="56"/>
      <c r="AT2825" s="56"/>
      <c r="AU2825" s="56"/>
      <c r="AV2825" s="56"/>
      <c r="AW2825" s="56"/>
      <c r="AX2825" s="56"/>
      <c r="AY2825" s="56"/>
      <c r="AZ2825" s="56"/>
      <c r="BA2825" s="56"/>
      <c r="BB2825" s="16"/>
      <c r="BC2825" s="56"/>
      <c r="BD2825" s="56"/>
      <c r="BE2825" s="56"/>
      <c r="BF2825" s="56"/>
      <c r="BG2825" s="56"/>
      <c r="BH2825" s="56"/>
      <c r="BI2825" s="56"/>
      <c r="BJ2825" s="56"/>
      <c r="BK2825" s="56"/>
      <c r="BL2825" s="56"/>
      <c r="BM2825" s="56"/>
      <c r="BN2825" s="56"/>
      <c r="BO2825" s="56"/>
      <c r="BP2825" s="56"/>
      <c r="BQ2825" s="56"/>
      <c r="BR2825" s="56"/>
      <c r="BS2825" s="56"/>
      <c r="BT2825" s="56"/>
      <c r="BU2825" s="56"/>
      <c r="BV2825" s="56"/>
      <c r="BW2825" s="56"/>
      <c r="BX2825" s="56"/>
      <c r="BY2825" s="56"/>
      <c r="BZ2825" s="56"/>
      <c r="CA2825" s="56"/>
      <c r="CB2825" s="56"/>
      <c r="CC2825" s="56"/>
      <c r="CD2825" s="56"/>
      <c r="CE2825" s="56"/>
      <c r="CF2825" s="56"/>
      <c r="CG2825" s="56"/>
      <c r="CH2825" s="56"/>
      <c r="CI2825" s="56"/>
      <c r="CJ2825" s="56"/>
      <c r="CK2825" s="56"/>
      <c r="CL2825" s="56"/>
      <c r="CM2825" s="56"/>
      <c r="CN2825" s="56"/>
      <c r="CO2825" s="56"/>
      <c r="CP2825" s="56"/>
      <c r="CQ2825" s="56"/>
      <c r="CR2825" s="56"/>
      <c r="CS2825" s="56"/>
      <c r="CT2825" s="56"/>
      <c r="CU2825" s="56"/>
      <c r="CV2825" s="56"/>
      <c r="CW2825" s="56"/>
      <c r="CX2825" s="56"/>
      <c r="CY2825" s="56"/>
      <c r="CZ2825" s="56"/>
    </row>
    <row r="2826" spans="27:104" s="5" customFormat="1" x14ac:dyDescent="0.25">
      <c r="AA2826" s="56"/>
      <c r="AB2826" s="56"/>
      <c r="AC2826" s="56"/>
      <c r="AD2826" s="56"/>
      <c r="AE2826" s="56"/>
      <c r="AF2826" s="56"/>
      <c r="AG2826" s="56"/>
      <c r="AH2826" s="56"/>
      <c r="AI2826" s="56"/>
      <c r="AJ2826" s="56"/>
      <c r="AK2826" s="56"/>
      <c r="AL2826" s="56"/>
      <c r="AM2826" s="56"/>
      <c r="AN2826" s="56"/>
      <c r="AO2826" s="56"/>
      <c r="AP2826" s="56"/>
      <c r="AQ2826" s="56"/>
      <c r="AR2826" s="56"/>
      <c r="AS2826" s="56"/>
      <c r="AT2826" s="56"/>
      <c r="AU2826" s="56"/>
      <c r="AV2826" s="56"/>
      <c r="AW2826" s="56"/>
      <c r="AX2826" s="56"/>
      <c r="AY2826" s="56"/>
      <c r="AZ2826" s="56"/>
      <c r="BA2826" s="56"/>
      <c r="BB2826" s="16"/>
      <c r="BC2826" s="56"/>
      <c r="BD2826" s="56"/>
      <c r="BE2826" s="56"/>
      <c r="BF2826" s="56"/>
      <c r="BG2826" s="56"/>
      <c r="BH2826" s="56"/>
      <c r="BI2826" s="56"/>
      <c r="BJ2826" s="56"/>
      <c r="BK2826" s="56"/>
      <c r="BL2826" s="56"/>
      <c r="BM2826" s="56"/>
      <c r="BN2826" s="56"/>
      <c r="BO2826" s="56"/>
      <c r="BP2826" s="56"/>
      <c r="BQ2826" s="56"/>
      <c r="BR2826" s="56"/>
      <c r="BS2826" s="56"/>
      <c r="BT2826" s="56"/>
      <c r="BU2826" s="56"/>
      <c r="BV2826" s="56"/>
      <c r="BW2826" s="56"/>
      <c r="BX2826" s="56"/>
      <c r="BY2826" s="56"/>
      <c r="BZ2826" s="56"/>
      <c r="CA2826" s="56"/>
      <c r="CB2826" s="56"/>
      <c r="CC2826" s="56"/>
      <c r="CD2826" s="56"/>
      <c r="CE2826" s="56"/>
      <c r="CF2826" s="56"/>
      <c r="CG2826" s="56"/>
      <c r="CH2826" s="56"/>
      <c r="CI2826" s="56"/>
      <c r="CJ2826" s="56"/>
      <c r="CK2826" s="56"/>
      <c r="CL2826" s="56"/>
      <c r="CM2826" s="56"/>
      <c r="CN2826" s="56"/>
      <c r="CO2826" s="56"/>
      <c r="CP2826" s="56"/>
      <c r="CQ2826" s="56"/>
      <c r="CR2826" s="56"/>
      <c r="CS2826" s="56"/>
      <c r="CT2826" s="56"/>
      <c r="CU2826" s="56"/>
      <c r="CV2826" s="56"/>
      <c r="CW2826" s="56"/>
      <c r="CX2826" s="56"/>
      <c r="CY2826" s="56"/>
      <c r="CZ2826" s="56"/>
    </row>
    <row r="2827" spans="27:104" s="5" customFormat="1" x14ac:dyDescent="0.25">
      <c r="AA2827" s="56"/>
      <c r="AB2827" s="56"/>
      <c r="AC2827" s="56"/>
      <c r="AD2827" s="56"/>
      <c r="AE2827" s="56"/>
      <c r="AF2827" s="56"/>
      <c r="AG2827" s="56"/>
      <c r="AH2827" s="56"/>
      <c r="AI2827" s="56"/>
      <c r="AJ2827" s="56"/>
      <c r="AK2827" s="56"/>
      <c r="AL2827" s="56"/>
      <c r="AM2827" s="56"/>
      <c r="AN2827" s="56"/>
      <c r="AO2827" s="56"/>
      <c r="AP2827" s="56"/>
      <c r="AQ2827" s="56"/>
      <c r="AR2827" s="56"/>
      <c r="AS2827" s="56"/>
      <c r="AT2827" s="56"/>
      <c r="AU2827" s="56"/>
      <c r="AV2827" s="56"/>
      <c r="AW2827" s="56"/>
      <c r="AX2827" s="56"/>
      <c r="AY2827" s="56"/>
      <c r="AZ2827" s="56"/>
      <c r="BA2827" s="56"/>
      <c r="BB2827" s="16"/>
      <c r="BC2827" s="56"/>
      <c r="BD2827" s="56"/>
      <c r="BE2827" s="56"/>
      <c r="BF2827" s="56"/>
      <c r="BG2827" s="56"/>
      <c r="BH2827" s="56"/>
      <c r="BI2827" s="56"/>
      <c r="BJ2827" s="56"/>
      <c r="BK2827" s="56"/>
      <c r="BL2827" s="56"/>
      <c r="BM2827" s="56"/>
      <c r="BN2827" s="56"/>
      <c r="BO2827" s="56"/>
      <c r="BP2827" s="56"/>
      <c r="BQ2827" s="56"/>
      <c r="BR2827" s="56"/>
      <c r="BS2827" s="56"/>
      <c r="BT2827" s="56"/>
      <c r="BU2827" s="56"/>
      <c r="BV2827" s="56"/>
      <c r="BW2827" s="56"/>
      <c r="BX2827" s="56"/>
      <c r="BY2827" s="56"/>
      <c r="BZ2827" s="56"/>
      <c r="CA2827" s="56"/>
      <c r="CB2827" s="56"/>
      <c r="CC2827" s="56"/>
      <c r="CD2827" s="56"/>
      <c r="CE2827" s="56"/>
      <c r="CF2827" s="56"/>
      <c r="CG2827" s="56"/>
      <c r="CH2827" s="56"/>
      <c r="CI2827" s="56"/>
      <c r="CJ2827" s="56"/>
      <c r="CK2827" s="56"/>
      <c r="CL2827" s="56"/>
      <c r="CM2827" s="56"/>
      <c r="CN2827" s="56"/>
      <c r="CO2827" s="56"/>
      <c r="CP2827" s="56"/>
      <c r="CQ2827" s="56"/>
      <c r="CR2827" s="56"/>
      <c r="CS2827" s="56"/>
      <c r="CT2827" s="56"/>
      <c r="CU2827" s="56"/>
      <c r="CV2827" s="56"/>
      <c r="CW2827" s="56"/>
      <c r="CX2827" s="56"/>
      <c r="CY2827" s="56"/>
      <c r="CZ2827" s="56"/>
    </row>
    <row r="2828" spans="27:104" s="5" customFormat="1" x14ac:dyDescent="0.25">
      <c r="AA2828" s="56"/>
      <c r="AB2828" s="56"/>
      <c r="AC2828" s="56"/>
      <c r="AD2828" s="56"/>
      <c r="AE2828" s="56"/>
      <c r="AF2828" s="56"/>
      <c r="AG2828" s="56"/>
      <c r="AH2828" s="56"/>
      <c r="AI2828" s="56"/>
      <c r="AJ2828" s="56"/>
      <c r="AK2828" s="56"/>
      <c r="AL2828" s="56"/>
      <c r="AM2828" s="56"/>
      <c r="AN2828" s="56"/>
      <c r="AO2828" s="56"/>
      <c r="AP2828" s="56"/>
      <c r="AQ2828" s="56"/>
      <c r="AR2828" s="56"/>
      <c r="AS2828" s="56"/>
      <c r="AT2828" s="56"/>
      <c r="AU2828" s="56"/>
      <c r="AV2828" s="56"/>
      <c r="AW2828" s="56"/>
      <c r="AX2828" s="56"/>
      <c r="AY2828" s="56"/>
      <c r="AZ2828" s="56"/>
      <c r="BA2828" s="56"/>
      <c r="BB2828" s="16"/>
      <c r="BC2828" s="56"/>
      <c r="BD2828" s="56"/>
      <c r="BE2828" s="56"/>
      <c r="BF2828" s="56"/>
      <c r="BG2828" s="56"/>
      <c r="BH2828" s="56"/>
      <c r="BI2828" s="56"/>
      <c r="BJ2828" s="56"/>
      <c r="BK2828" s="56"/>
      <c r="BL2828" s="56"/>
      <c r="BM2828" s="56"/>
      <c r="BN2828" s="56"/>
      <c r="BO2828" s="56"/>
      <c r="BP2828" s="56"/>
      <c r="BQ2828" s="56"/>
      <c r="BR2828" s="56"/>
      <c r="BS2828" s="56"/>
      <c r="BT2828" s="56"/>
      <c r="BU2828" s="56"/>
      <c r="BV2828" s="56"/>
      <c r="BW2828" s="56"/>
      <c r="BX2828" s="56"/>
      <c r="BY2828" s="56"/>
      <c r="BZ2828" s="56"/>
      <c r="CA2828" s="56"/>
      <c r="CB2828" s="56"/>
      <c r="CC2828" s="56"/>
      <c r="CD2828" s="56"/>
      <c r="CE2828" s="56"/>
      <c r="CF2828" s="56"/>
      <c r="CG2828" s="56"/>
      <c r="CH2828" s="56"/>
      <c r="CI2828" s="56"/>
      <c r="CJ2828" s="56"/>
      <c r="CK2828" s="56"/>
      <c r="CL2828" s="56"/>
      <c r="CM2828" s="56"/>
      <c r="CN2828" s="56"/>
      <c r="CO2828" s="56"/>
      <c r="CP2828" s="56"/>
      <c r="CQ2828" s="56"/>
      <c r="CR2828" s="56"/>
      <c r="CS2828" s="56"/>
      <c r="CT2828" s="56"/>
      <c r="CU2828" s="56"/>
      <c r="CV2828" s="56"/>
      <c r="CW2828" s="56"/>
      <c r="CX2828" s="56"/>
      <c r="CY2828" s="56"/>
      <c r="CZ2828" s="56"/>
    </row>
    <row r="2829" spans="27:104" s="5" customFormat="1" x14ac:dyDescent="0.25">
      <c r="AA2829" s="56"/>
      <c r="AB2829" s="56"/>
      <c r="AC2829" s="56"/>
      <c r="AD2829" s="56"/>
      <c r="AE2829" s="56"/>
      <c r="AF2829" s="56"/>
      <c r="AG2829" s="56"/>
      <c r="AH2829" s="56"/>
      <c r="AI2829" s="56"/>
      <c r="AJ2829" s="56"/>
      <c r="AK2829" s="56"/>
      <c r="AL2829" s="56"/>
      <c r="AM2829" s="56"/>
      <c r="AN2829" s="56"/>
      <c r="AO2829" s="56"/>
      <c r="AP2829" s="56"/>
      <c r="AQ2829" s="56"/>
      <c r="AR2829" s="56"/>
      <c r="AS2829" s="56"/>
      <c r="AT2829" s="56"/>
      <c r="AU2829" s="56"/>
      <c r="AV2829" s="56"/>
      <c r="AW2829" s="56"/>
      <c r="AX2829" s="56"/>
      <c r="AY2829" s="56"/>
      <c r="AZ2829" s="56"/>
      <c r="BA2829" s="56"/>
      <c r="BB2829" s="16"/>
      <c r="BC2829" s="56"/>
      <c r="BD2829" s="56"/>
      <c r="BE2829" s="56"/>
      <c r="BF2829" s="56"/>
      <c r="BG2829" s="56"/>
      <c r="BH2829" s="56"/>
      <c r="BI2829" s="56"/>
      <c r="BJ2829" s="56"/>
      <c r="BK2829" s="56"/>
      <c r="BL2829" s="56"/>
      <c r="BM2829" s="56"/>
      <c r="BN2829" s="56"/>
      <c r="BO2829" s="56"/>
      <c r="BP2829" s="56"/>
      <c r="BQ2829" s="56"/>
      <c r="BR2829" s="56"/>
      <c r="BS2829" s="56"/>
      <c r="BT2829" s="56"/>
      <c r="BU2829" s="56"/>
      <c r="BV2829" s="56"/>
      <c r="BW2829" s="56"/>
      <c r="BX2829" s="56"/>
      <c r="BY2829" s="56"/>
      <c r="BZ2829" s="56"/>
      <c r="CA2829" s="56"/>
      <c r="CB2829" s="56"/>
      <c r="CC2829" s="56"/>
      <c r="CD2829" s="56"/>
      <c r="CE2829" s="56"/>
      <c r="CF2829" s="56"/>
      <c r="CG2829" s="56"/>
      <c r="CH2829" s="56"/>
      <c r="CI2829" s="56"/>
      <c r="CJ2829" s="56"/>
      <c r="CK2829" s="56"/>
      <c r="CL2829" s="56"/>
      <c r="CM2829" s="56"/>
      <c r="CN2829" s="56"/>
      <c r="CO2829" s="56"/>
      <c r="CP2829" s="56"/>
      <c r="CQ2829" s="56"/>
      <c r="CR2829" s="56"/>
      <c r="CS2829" s="56"/>
      <c r="CT2829" s="56"/>
      <c r="CU2829" s="56"/>
      <c r="CV2829" s="56"/>
      <c r="CW2829" s="56"/>
      <c r="CX2829" s="56"/>
      <c r="CY2829" s="56"/>
      <c r="CZ2829" s="56"/>
    </row>
    <row r="2830" spans="27:104" s="5" customFormat="1" x14ac:dyDescent="0.25">
      <c r="AA2830" s="56"/>
      <c r="AB2830" s="56"/>
      <c r="AC2830" s="56"/>
      <c r="AD2830" s="56"/>
      <c r="AE2830" s="56"/>
      <c r="AF2830" s="56"/>
      <c r="AG2830" s="56"/>
      <c r="AH2830" s="56"/>
      <c r="AI2830" s="56"/>
      <c r="AJ2830" s="56"/>
      <c r="AK2830" s="56"/>
      <c r="AL2830" s="56"/>
      <c r="AM2830" s="56"/>
      <c r="AN2830" s="56"/>
      <c r="AO2830" s="56"/>
      <c r="AP2830" s="56"/>
      <c r="AQ2830" s="56"/>
      <c r="AR2830" s="56"/>
      <c r="AS2830" s="56"/>
      <c r="AT2830" s="56"/>
      <c r="AU2830" s="56"/>
      <c r="AV2830" s="56"/>
      <c r="AW2830" s="56"/>
      <c r="AX2830" s="56"/>
      <c r="AY2830" s="56"/>
      <c r="AZ2830" s="56"/>
      <c r="BA2830" s="56"/>
      <c r="BB2830" s="16"/>
      <c r="BC2830" s="56"/>
      <c r="BD2830" s="56"/>
      <c r="BE2830" s="56"/>
      <c r="BF2830" s="56"/>
      <c r="BG2830" s="56"/>
      <c r="BH2830" s="56"/>
      <c r="BI2830" s="56"/>
      <c r="BJ2830" s="56"/>
      <c r="BK2830" s="56"/>
      <c r="BL2830" s="56"/>
      <c r="BM2830" s="56"/>
      <c r="BN2830" s="56"/>
      <c r="BO2830" s="56"/>
      <c r="BP2830" s="56"/>
      <c r="BQ2830" s="56"/>
      <c r="BR2830" s="56"/>
      <c r="BS2830" s="56"/>
      <c r="BT2830" s="56"/>
      <c r="BU2830" s="56"/>
      <c r="BV2830" s="56"/>
      <c r="BW2830" s="56"/>
      <c r="BX2830" s="56"/>
      <c r="BY2830" s="56"/>
      <c r="BZ2830" s="56"/>
      <c r="CA2830" s="56"/>
      <c r="CB2830" s="56"/>
      <c r="CC2830" s="56"/>
      <c r="CD2830" s="56"/>
      <c r="CE2830" s="56"/>
      <c r="CF2830" s="56"/>
      <c r="CG2830" s="56"/>
      <c r="CH2830" s="56"/>
      <c r="CI2830" s="56"/>
      <c r="CJ2830" s="56"/>
      <c r="CK2830" s="56"/>
      <c r="CL2830" s="56"/>
      <c r="CM2830" s="56"/>
      <c r="CN2830" s="56"/>
      <c r="CO2830" s="56"/>
      <c r="CP2830" s="56"/>
      <c r="CQ2830" s="56"/>
      <c r="CR2830" s="56"/>
      <c r="CS2830" s="56"/>
      <c r="CT2830" s="56"/>
      <c r="CU2830" s="56"/>
      <c r="CV2830" s="56"/>
      <c r="CW2830" s="56"/>
      <c r="CX2830" s="56"/>
      <c r="CY2830" s="56"/>
      <c r="CZ2830" s="56"/>
    </row>
    <row r="2831" spans="27:104" s="5" customFormat="1" x14ac:dyDescent="0.25">
      <c r="AA2831" s="56"/>
      <c r="AB2831" s="56"/>
      <c r="AC2831" s="56"/>
      <c r="AD2831" s="56"/>
      <c r="AE2831" s="56"/>
      <c r="AF2831" s="56"/>
      <c r="AG2831" s="56"/>
      <c r="AH2831" s="56"/>
      <c r="AI2831" s="56"/>
      <c r="AJ2831" s="56"/>
      <c r="AK2831" s="56"/>
      <c r="AL2831" s="56"/>
      <c r="AM2831" s="56"/>
      <c r="AN2831" s="56"/>
      <c r="AO2831" s="56"/>
      <c r="AP2831" s="56"/>
      <c r="AQ2831" s="56"/>
      <c r="AR2831" s="56"/>
      <c r="AS2831" s="56"/>
      <c r="AT2831" s="56"/>
      <c r="AU2831" s="56"/>
      <c r="AV2831" s="56"/>
      <c r="AW2831" s="56"/>
      <c r="AX2831" s="56"/>
      <c r="AY2831" s="56"/>
      <c r="AZ2831" s="56"/>
      <c r="BA2831" s="56"/>
      <c r="BB2831" s="16"/>
      <c r="BC2831" s="56"/>
      <c r="BD2831" s="56"/>
      <c r="BE2831" s="56"/>
      <c r="BF2831" s="56"/>
      <c r="BG2831" s="56"/>
      <c r="BH2831" s="56"/>
      <c r="BI2831" s="56"/>
      <c r="BJ2831" s="56"/>
      <c r="BK2831" s="56"/>
      <c r="BL2831" s="56"/>
      <c r="BM2831" s="56"/>
      <c r="BN2831" s="56"/>
      <c r="BO2831" s="56"/>
      <c r="BP2831" s="56"/>
      <c r="BQ2831" s="56"/>
      <c r="BR2831" s="56"/>
      <c r="BS2831" s="56"/>
      <c r="BT2831" s="56"/>
      <c r="BU2831" s="56"/>
      <c r="BV2831" s="56"/>
      <c r="BW2831" s="56"/>
      <c r="BX2831" s="56"/>
      <c r="BY2831" s="56"/>
      <c r="BZ2831" s="56"/>
      <c r="CA2831" s="56"/>
      <c r="CB2831" s="56"/>
      <c r="CC2831" s="56"/>
      <c r="CD2831" s="56"/>
      <c r="CE2831" s="56"/>
      <c r="CF2831" s="56"/>
      <c r="CG2831" s="56"/>
      <c r="CH2831" s="56"/>
      <c r="CI2831" s="56"/>
      <c r="CJ2831" s="56"/>
      <c r="CK2831" s="56"/>
      <c r="CL2831" s="56"/>
      <c r="CM2831" s="56"/>
      <c r="CN2831" s="56"/>
      <c r="CO2831" s="56"/>
      <c r="CP2831" s="56"/>
      <c r="CQ2831" s="56"/>
      <c r="CR2831" s="56"/>
      <c r="CS2831" s="56"/>
      <c r="CT2831" s="56"/>
      <c r="CU2831" s="56"/>
      <c r="CV2831" s="56"/>
      <c r="CW2831" s="56"/>
      <c r="CX2831" s="56"/>
      <c r="CY2831" s="56"/>
      <c r="CZ2831" s="56"/>
    </row>
    <row r="2832" spans="27:104" s="5" customFormat="1" x14ac:dyDescent="0.25">
      <c r="AA2832" s="56"/>
      <c r="AB2832" s="56"/>
      <c r="AC2832" s="56"/>
      <c r="AD2832" s="56"/>
      <c r="AE2832" s="56"/>
      <c r="AF2832" s="56"/>
      <c r="AG2832" s="56"/>
      <c r="AH2832" s="56"/>
      <c r="AI2832" s="56"/>
      <c r="AJ2832" s="56"/>
      <c r="AK2832" s="56"/>
      <c r="AL2832" s="56"/>
      <c r="AM2832" s="56"/>
      <c r="AN2832" s="56"/>
      <c r="AO2832" s="56"/>
      <c r="AP2832" s="56"/>
      <c r="AQ2832" s="56"/>
      <c r="AR2832" s="56"/>
      <c r="AS2832" s="56"/>
      <c r="AT2832" s="56"/>
      <c r="AU2832" s="56"/>
      <c r="AV2832" s="56"/>
      <c r="AW2832" s="56"/>
      <c r="AX2832" s="56"/>
      <c r="AY2832" s="56"/>
      <c r="AZ2832" s="56"/>
      <c r="BA2832" s="56"/>
      <c r="BB2832" s="16"/>
      <c r="BC2832" s="56"/>
      <c r="BD2832" s="56"/>
      <c r="BE2832" s="56"/>
      <c r="BF2832" s="56"/>
      <c r="BG2832" s="56"/>
      <c r="BH2832" s="56"/>
      <c r="BI2832" s="56"/>
      <c r="BJ2832" s="56"/>
      <c r="BK2832" s="56"/>
      <c r="BL2832" s="56"/>
      <c r="BM2832" s="56"/>
      <c r="BN2832" s="56"/>
      <c r="BO2832" s="56"/>
      <c r="BP2832" s="56"/>
      <c r="BQ2832" s="56"/>
      <c r="BR2832" s="56"/>
      <c r="BS2832" s="56"/>
      <c r="BT2832" s="56"/>
      <c r="BU2832" s="56"/>
      <c r="BV2832" s="56"/>
      <c r="BW2832" s="56"/>
      <c r="BX2832" s="56"/>
      <c r="BY2832" s="56"/>
      <c r="BZ2832" s="56"/>
      <c r="CA2832" s="56"/>
      <c r="CB2832" s="56"/>
      <c r="CC2832" s="56"/>
      <c r="CD2832" s="56"/>
      <c r="CE2832" s="56"/>
      <c r="CF2832" s="56"/>
      <c r="CG2832" s="56"/>
      <c r="CH2832" s="56"/>
      <c r="CI2832" s="56"/>
      <c r="CJ2832" s="56"/>
      <c r="CK2832" s="56"/>
      <c r="CL2832" s="56"/>
      <c r="CM2832" s="56"/>
      <c r="CN2832" s="56"/>
      <c r="CO2832" s="56"/>
      <c r="CP2832" s="56"/>
      <c r="CQ2832" s="56"/>
      <c r="CR2832" s="56"/>
      <c r="CS2832" s="56"/>
      <c r="CT2832" s="56"/>
      <c r="CU2832" s="56"/>
      <c r="CV2832" s="56"/>
      <c r="CW2832" s="56"/>
      <c r="CX2832" s="56"/>
      <c r="CY2832" s="56"/>
      <c r="CZ2832" s="56"/>
    </row>
    <row r="2833" spans="27:104" s="5" customFormat="1" x14ac:dyDescent="0.25">
      <c r="AA2833" s="56"/>
      <c r="AB2833" s="56"/>
      <c r="AC2833" s="56"/>
      <c r="AD2833" s="56"/>
      <c r="AE2833" s="56"/>
      <c r="AF2833" s="56"/>
      <c r="AG2833" s="56"/>
      <c r="AH2833" s="56"/>
      <c r="AI2833" s="56"/>
      <c r="AJ2833" s="56"/>
      <c r="AK2833" s="56"/>
      <c r="AL2833" s="56"/>
      <c r="AM2833" s="56"/>
      <c r="AN2833" s="56"/>
      <c r="AO2833" s="56"/>
      <c r="AP2833" s="56"/>
      <c r="AQ2833" s="56"/>
      <c r="AR2833" s="56"/>
      <c r="AS2833" s="56"/>
      <c r="AT2833" s="56"/>
      <c r="AU2833" s="56"/>
      <c r="AV2833" s="56"/>
      <c r="AW2833" s="56"/>
      <c r="AX2833" s="56"/>
      <c r="AY2833" s="56"/>
      <c r="AZ2833" s="56"/>
      <c r="BA2833" s="56"/>
      <c r="BB2833" s="16"/>
      <c r="BC2833" s="56"/>
      <c r="BD2833" s="56"/>
      <c r="BE2833" s="56"/>
      <c r="BF2833" s="56"/>
      <c r="BG2833" s="56"/>
      <c r="BH2833" s="56"/>
      <c r="BI2833" s="56"/>
      <c r="BJ2833" s="56"/>
      <c r="BK2833" s="56"/>
      <c r="BL2833" s="56"/>
      <c r="BM2833" s="56"/>
      <c r="BN2833" s="56"/>
      <c r="BO2833" s="56"/>
      <c r="BP2833" s="56"/>
      <c r="BQ2833" s="56"/>
      <c r="BR2833" s="56"/>
      <c r="BS2833" s="56"/>
      <c r="BT2833" s="56"/>
      <c r="BU2833" s="56"/>
      <c r="BV2833" s="56"/>
      <c r="BW2833" s="56"/>
      <c r="BX2833" s="56"/>
      <c r="BY2833" s="56"/>
      <c r="BZ2833" s="56"/>
      <c r="CA2833" s="56"/>
      <c r="CB2833" s="56"/>
      <c r="CC2833" s="56"/>
      <c r="CD2833" s="56"/>
      <c r="CE2833" s="56"/>
      <c r="CF2833" s="56"/>
      <c r="CG2833" s="56"/>
      <c r="CH2833" s="56"/>
      <c r="CI2833" s="56"/>
      <c r="CJ2833" s="56"/>
      <c r="CK2833" s="56"/>
      <c r="CL2833" s="56"/>
      <c r="CM2833" s="56"/>
      <c r="CN2833" s="56"/>
      <c r="CO2833" s="56"/>
      <c r="CP2833" s="56"/>
      <c r="CQ2833" s="56"/>
      <c r="CR2833" s="56"/>
      <c r="CS2833" s="56"/>
      <c r="CT2833" s="56"/>
      <c r="CU2833" s="56"/>
      <c r="CV2833" s="56"/>
      <c r="CW2833" s="56"/>
      <c r="CX2833" s="56"/>
      <c r="CY2833" s="56"/>
      <c r="CZ2833" s="56"/>
    </row>
    <row r="2834" spans="27:104" s="5" customFormat="1" x14ac:dyDescent="0.25">
      <c r="AA2834" s="56"/>
      <c r="AB2834" s="56"/>
      <c r="AC2834" s="56"/>
      <c r="AD2834" s="56"/>
      <c r="AE2834" s="56"/>
      <c r="AF2834" s="56"/>
      <c r="AG2834" s="56"/>
      <c r="AH2834" s="56"/>
      <c r="AI2834" s="56"/>
      <c r="AJ2834" s="56"/>
      <c r="AK2834" s="56"/>
      <c r="AL2834" s="56"/>
      <c r="AM2834" s="56"/>
      <c r="AN2834" s="56"/>
      <c r="AO2834" s="56"/>
      <c r="AP2834" s="56"/>
      <c r="AQ2834" s="56"/>
      <c r="AR2834" s="56"/>
      <c r="AS2834" s="56"/>
      <c r="AT2834" s="56"/>
      <c r="AU2834" s="56"/>
      <c r="AV2834" s="56"/>
      <c r="AW2834" s="56"/>
      <c r="AX2834" s="56"/>
      <c r="AY2834" s="56"/>
      <c r="AZ2834" s="56"/>
      <c r="BA2834" s="56"/>
      <c r="BB2834" s="16"/>
      <c r="BC2834" s="56"/>
      <c r="BD2834" s="56"/>
      <c r="BE2834" s="56"/>
      <c r="BF2834" s="56"/>
      <c r="BG2834" s="56"/>
      <c r="BH2834" s="56"/>
      <c r="BI2834" s="56"/>
      <c r="BJ2834" s="56"/>
      <c r="BK2834" s="56"/>
      <c r="BL2834" s="56"/>
      <c r="BM2834" s="56"/>
      <c r="BN2834" s="56"/>
      <c r="BO2834" s="56"/>
      <c r="BP2834" s="56"/>
      <c r="BQ2834" s="56"/>
      <c r="BR2834" s="56"/>
      <c r="BS2834" s="56"/>
      <c r="BT2834" s="56"/>
      <c r="BU2834" s="56"/>
      <c r="BV2834" s="56"/>
      <c r="BW2834" s="56"/>
      <c r="BX2834" s="56"/>
      <c r="BY2834" s="56"/>
      <c r="BZ2834" s="56"/>
      <c r="CA2834" s="56"/>
      <c r="CB2834" s="56"/>
      <c r="CC2834" s="56"/>
      <c r="CD2834" s="56"/>
      <c r="CE2834" s="56"/>
      <c r="CF2834" s="56"/>
      <c r="CG2834" s="56"/>
      <c r="CH2834" s="56"/>
      <c r="CI2834" s="56"/>
      <c r="CJ2834" s="56"/>
      <c r="CK2834" s="56"/>
      <c r="CL2834" s="56"/>
      <c r="CM2834" s="56"/>
      <c r="CN2834" s="56"/>
      <c r="CO2834" s="56"/>
      <c r="CP2834" s="56"/>
      <c r="CQ2834" s="56"/>
      <c r="CR2834" s="56"/>
      <c r="CS2834" s="56"/>
      <c r="CT2834" s="56"/>
      <c r="CU2834" s="56"/>
      <c r="CV2834" s="56"/>
      <c r="CW2834" s="56"/>
      <c r="CX2834" s="56"/>
      <c r="CY2834" s="56"/>
      <c r="CZ2834" s="56"/>
    </row>
    <row r="2835" spans="27:104" s="5" customFormat="1" x14ac:dyDescent="0.25">
      <c r="AA2835" s="56"/>
      <c r="AB2835" s="56"/>
      <c r="AC2835" s="56"/>
      <c r="AD2835" s="56"/>
      <c r="AE2835" s="56"/>
      <c r="AF2835" s="56"/>
      <c r="AG2835" s="56"/>
      <c r="AH2835" s="56"/>
      <c r="AI2835" s="56"/>
      <c r="AJ2835" s="56"/>
      <c r="AK2835" s="56"/>
      <c r="AL2835" s="56"/>
      <c r="AM2835" s="56"/>
      <c r="AN2835" s="56"/>
      <c r="AO2835" s="56"/>
      <c r="AP2835" s="56"/>
      <c r="AQ2835" s="56"/>
      <c r="AR2835" s="56"/>
      <c r="AS2835" s="56"/>
      <c r="AT2835" s="56"/>
      <c r="AU2835" s="56"/>
      <c r="AV2835" s="56"/>
      <c r="AW2835" s="56"/>
      <c r="AX2835" s="56"/>
      <c r="AY2835" s="56"/>
      <c r="AZ2835" s="56"/>
      <c r="BA2835" s="56"/>
      <c r="BB2835" s="16"/>
      <c r="BC2835" s="56"/>
      <c r="BD2835" s="56"/>
      <c r="BE2835" s="56"/>
      <c r="BF2835" s="56"/>
      <c r="BG2835" s="56"/>
      <c r="BH2835" s="56"/>
      <c r="BI2835" s="56"/>
      <c r="BJ2835" s="56"/>
      <c r="BK2835" s="56"/>
      <c r="BL2835" s="56"/>
      <c r="BM2835" s="56"/>
      <c r="BN2835" s="56"/>
      <c r="BO2835" s="56"/>
      <c r="BP2835" s="56"/>
      <c r="BQ2835" s="56"/>
      <c r="BR2835" s="56"/>
      <c r="BS2835" s="56"/>
      <c r="BT2835" s="56"/>
      <c r="BU2835" s="56"/>
      <c r="BV2835" s="56"/>
      <c r="BW2835" s="56"/>
      <c r="BX2835" s="56"/>
      <c r="BY2835" s="56"/>
      <c r="BZ2835" s="56"/>
      <c r="CA2835" s="56"/>
      <c r="CB2835" s="56"/>
      <c r="CC2835" s="56"/>
      <c r="CD2835" s="56"/>
      <c r="CE2835" s="56"/>
      <c r="CF2835" s="56"/>
      <c r="CG2835" s="56"/>
      <c r="CH2835" s="56"/>
      <c r="CI2835" s="56"/>
      <c r="CJ2835" s="56"/>
      <c r="CK2835" s="56"/>
      <c r="CL2835" s="56"/>
      <c r="CM2835" s="56"/>
      <c r="CN2835" s="56"/>
      <c r="CO2835" s="56"/>
      <c r="CP2835" s="56"/>
      <c r="CQ2835" s="56"/>
      <c r="CR2835" s="56"/>
      <c r="CS2835" s="56"/>
      <c r="CT2835" s="56"/>
      <c r="CU2835" s="56"/>
      <c r="CV2835" s="56"/>
      <c r="CW2835" s="56"/>
      <c r="CX2835" s="56"/>
      <c r="CY2835" s="56"/>
      <c r="CZ2835" s="56"/>
    </row>
    <row r="2836" spans="27:104" s="5" customFormat="1" x14ac:dyDescent="0.25">
      <c r="AA2836" s="56"/>
      <c r="AB2836" s="56"/>
      <c r="AC2836" s="56"/>
      <c r="AD2836" s="56"/>
      <c r="AE2836" s="56"/>
      <c r="AF2836" s="56"/>
      <c r="AG2836" s="56"/>
      <c r="AH2836" s="56"/>
      <c r="AI2836" s="56"/>
      <c r="AJ2836" s="56"/>
      <c r="AK2836" s="56"/>
      <c r="AL2836" s="56"/>
      <c r="AM2836" s="56"/>
      <c r="AN2836" s="56"/>
      <c r="AO2836" s="56"/>
      <c r="AP2836" s="56"/>
      <c r="AQ2836" s="56"/>
      <c r="AR2836" s="56"/>
      <c r="AS2836" s="56"/>
      <c r="AT2836" s="56"/>
      <c r="AU2836" s="56"/>
      <c r="AV2836" s="56"/>
      <c r="AW2836" s="56"/>
      <c r="AX2836" s="56"/>
      <c r="AY2836" s="56"/>
      <c r="AZ2836" s="56"/>
      <c r="BA2836" s="56"/>
      <c r="BB2836" s="16"/>
      <c r="BC2836" s="56"/>
      <c r="BD2836" s="56"/>
      <c r="BE2836" s="56"/>
      <c r="BF2836" s="56"/>
      <c r="BG2836" s="56"/>
      <c r="BH2836" s="56"/>
      <c r="BI2836" s="56"/>
      <c r="BJ2836" s="56"/>
      <c r="BK2836" s="56"/>
      <c r="BL2836" s="56"/>
      <c r="BM2836" s="56"/>
      <c r="BN2836" s="56"/>
      <c r="BO2836" s="56"/>
      <c r="BP2836" s="56"/>
      <c r="BQ2836" s="56"/>
      <c r="BR2836" s="56"/>
      <c r="BS2836" s="56"/>
      <c r="BT2836" s="56"/>
      <c r="BU2836" s="56"/>
      <c r="BV2836" s="56"/>
      <c r="BW2836" s="56"/>
      <c r="BX2836" s="56"/>
      <c r="BY2836" s="56"/>
      <c r="BZ2836" s="56"/>
      <c r="CA2836" s="56"/>
      <c r="CB2836" s="56"/>
      <c r="CC2836" s="56"/>
      <c r="CD2836" s="56"/>
      <c r="CE2836" s="56"/>
      <c r="CF2836" s="56"/>
      <c r="CG2836" s="56"/>
      <c r="CH2836" s="56"/>
      <c r="CI2836" s="56"/>
      <c r="CJ2836" s="56"/>
      <c r="CK2836" s="56"/>
      <c r="CL2836" s="56"/>
      <c r="CM2836" s="56"/>
      <c r="CN2836" s="56"/>
      <c r="CO2836" s="56"/>
      <c r="CP2836" s="56"/>
      <c r="CQ2836" s="56"/>
      <c r="CR2836" s="56"/>
      <c r="CS2836" s="56"/>
      <c r="CT2836" s="56"/>
      <c r="CU2836" s="56"/>
      <c r="CV2836" s="56"/>
      <c r="CW2836" s="56"/>
      <c r="CX2836" s="56"/>
      <c r="CY2836" s="56"/>
      <c r="CZ2836" s="56"/>
    </row>
    <row r="2837" spans="27:104" s="5" customFormat="1" x14ac:dyDescent="0.25">
      <c r="AA2837" s="56"/>
      <c r="AB2837" s="56"/>
      <c r="AC2837" s="56"/>
      <c r="AD2837" s="56"/>
      <c r="AE2837" s="56"/>
      <c r="AF2837" s="56"/>
      <c r="AG2837" s="56"/>
      <c r="AH2837" s="56"/>
      <c r="AI2837" s="56"/>
      <c r="AJ2837" s="56"/>
      <c r="AK2837" s="56"/>
      <c r="AL2837" s="56"/>
      <c r="AM2837" s="56"/>
      <c r="AN2837" s="56"/>
      <c r="AO2837" s="56"/>
      <c r="AP2837" s="56"/>
      <c r="AQ2837" s="56"/>
      <c r="AR2837" s="56"/>
      <c r="AS2837" s="56"/>
      <c r="AT2837" s="56"/>
      <c r="AU2837" s="56"/>
      <c r="AV2837" s="56"/>
      <c r="AW2837" s="56"/>
      <c r="AX2837" s="56"/>
      <c r="AY2837" s="56"/>
      <c r="AZ2837" s="56"/>
      <c r="BA2837" s="56"/>
      <c r="BB2837" s="16"/>
      <c r="BC2837" s="56"/>
      <c r="BD2837" s="56"/>
      <c r="BE2837" s="56"/>
      <c r="BF2837" s="56"/>
      <c r="BG2837" s="56"/>
      <c r="BH2837" s="56"/>
      <c r="BI2837" s="56"/>
      <c r="BJ2837" s="56"/>
      <c r="BK2837" s="56"/>
      <c r="BL2837" s="56"/>
      <c r="BM2837" s="56"/>
      <c r="BN2837" s="56"/>
      <c r="BO2837" s="56"/>
      <c r="BP2837" s="56"/>
      <c r="BQ2837" s="56"/>
      <c r="BR2837" s="56"/>
      <c r="BS2837" s="56"/>
      <c r="BT2837" s="56"/>
      <c r="BU2837" s="56"/>
      <c r="BV2837" s="56"/>
      <c r="BW2837" s="56"/>
      <c r="BX2837" s="56"/>
      <c r="BY2837" s="56"/>
      <c r="BZ2837" s="56"/>
      <c r="CA2837" s="56"/>
      <c r="CB2837" s="56"/>
      <c r="CC2837" s="56"/>
      <c r="CD2837" s="56"/>
      <c r="CE2837" s="56"/>
      <c r="CF2837" s="56"/>
      <c r="CG2837" s="56"/>
      <c r="CH2837" s="56"/>
      <c r="CI2837" s="56"/>
      <c r="CJ2837" s="56"/>
      <c r="CK2837" s="56"/>
      <c r="CL2837" s="56"/>
      <c r="CM2837" s="56"/>
      <c r="CN2837" s="56"/>
      <c r="CO2837" s="56"/>
      <c r="CP2837" s="56"/>
      <c r="CQ2837" s="56"/>
      <c r="CR2837" s="56"/>
      <c r="CS2837" s="56"/>
      <c r="CT2837" s="56"/>
      <c r="CU2837" s="56"/>
      <c r="CV2837" s="56"/>
      <c r="CW2837" s="56"/>
      <c r="CX2837" s="56"/>
      <c r="CY2837" s="56"/>
      <c r="CZ2837" s="56"/>
    </row>
    <row r="2838" spans="27:104" s="5" customFormat="1" x14ac:dyDescent="0.25">
      <c r="AA2838" s="56"/>
      <c r="AB2838" s="56"/>
      <c r="AC2838" s="56"/>
      <c r="AD2838" s="56"/>
      <c r="AE2838" s="56"/>
      <c r="AF2838" s="56"/>
      <c r="AG2838" s="56"/>
      <c r="AH2838" s="56"/>
      <c r="AI2838" s="56"/>
      <c r="AJ2838" s="56"/>
      <c r="AK2838" s="56"/>
      <c r="AL2838" s="56"/>
      <c r="AM2838" s="56"/>
      <c r="AN2838" s="56"/>
      <c r="AO2838" s="56"/>
      <c r="AP2838" s="56"/>
      <c r="AQ2838" s="56"/>
      <c r="AR2838" s="56"/>
      <c r="AS2838" s="56"/>
      <c r="AT2838" s="56"/>
      <c r="AU2838" s="56"/>
      <c r="AV2838" s="56"/>
      <c r="AW2838" s="56"/>
      <c r="AX2838" s="56"/>
      <c r="AY2838" s="56"/>
      <c r="AZ2838" s="56"/>
      <c r="BA2838" s="56"/>
      <c r="BB2838" s="16"/>
      <c r="BC2838" s="56"/>
      <c r="BD2838" s="56"/>
      <c r="BE2838" s="56"/>
      <c r="BF2838" s="56"/>
      <c r="BG2838" s="56"/>
      <c r="BH2838" s="56"/>
      <c r="BI2838" s="56"/>
      <c r="BJ2838" s="56"/>
      <c r="BK2838" s="56"/>
      <c r="BL2838" s="56"/>
      <c r="BM2838" s="56"/>
      <c r="BN2838" s="56"/>
      <c r="BO2838" s="56"/>
      <c r="BP2838" s="56"/>
      <c r="BQ2838" s="56"/>
      <c r="BR2838" s="56"/>
      <c r="BS2838" s="56"/>
      <c r="BT2838" s="56"/>
      <c r="BU2838" s="56"/>
      <c r="BV2838" s="56"/>
      <c r="BW2838" s="56"/>
      <c r="BX2838" s="56"/>
      <c r="BY2838" s="56"/>
      <c r="BZ2838" s="56"/>
      <c r="CA2838" s="56"/>
      <c r="CB2838" s="56"/>
      <c r="CC2838" s="56"/>
      <c r="CD2838" s="56"/>
      <c r="CE2838" s="56"/>
      <c r="CF2838" s="56"/>
      <c r="CG2838" s="56"/>
      <c r="CH2838" s="56"/>
      <c r="CI2838" s="56"/>
      <c r="CJ2838" s="56"/>
      <c r="CK2838" s="56"/>
      <c r="CL2838" s="56"/>
      <c r="CM2838" s="56"/>
      <c r="CN2838" s="56"/>
      <c r="CO2838" s="56"/>
      <c r="CP2838" s="56"/>
      <c r="CQ2838" s="56"/>
      <c r="CR2838" s="56"/>
      <c r="CS2838" s="56"/>
      <c r="CT2838" s="56"/>
      <c r="CU2838" s="56"/>
      <c r="CV2838" s="56"/>
      <c r="CW2838" s="56"/>
      <c r="CX2838" s="56"/>
      <c r="CY2838" s="56"/>
      <c r="CZ2838" s="56"/>
    </row>
    <row r="2839" spans="27:104" s="5" customFormat="1" x14ac:dyDescent="0.25">
      <c r="AA2839" s="56"/>
      <c r="AB2839" s="56"/>
      <c r="AC2839" s="56"/>
      <c r="AD2839" s="56"/>
      <c r="AE2839" s="56"/>
      <c r="AF2839" s="56"/>
      <c r="AG2839" s="56"/>
      <c r="AH2839" s="56"/>
      <c r="AI2839" s="56"/>
      <c r="AJ2839" s="56"/>
      <c r="AK2839" s="56"/>
      <c r="AL2839" s="56"/>
      <c r="AM2839" s="56"/>
      <c r="AN2839" s="56"/>
      <c r="AO2839" s="56"/>
      <c r="AP2839" s="56"/>
      <c r="AQ2839" s="56"/>
      <c r="AR2839" s="56"/>
      <c r="AS2839" s="56"/>
      <c r="AT2839" s="56"/>
      <c r="AU2839" s="56"/>
      <c r="AV2839" s="56"/>
      <c r="AW2839" s="56"/>
      <c r="AX2839" s="56"/>
      <c r="AY2839" s="56"/>
      <c r="AZ2839" s="56"/>
      <c r="BA2839" s="56"/>
      <c r="BB2839" s="16"/>
      <c r="BC2839" s="56"/>
      <c r="BD2839" s="56"/>
      <c r="BE2839" s="56"/>
      <c r="BF2839" s="56"/>
      <c r="BG2839" s="56"/>
      <c r="BH2839" s="56"/>
      <c r="BI2839" s="56"/>
      <c r="BJ2839" s="56"/>
      <c r="BK2839" s="56"/>
      <c r="BL2839" s="56"/>
      <c r="BM2839" s="56"/>
      <c r="BN2839" s="56"/>
      <c r="BO2839" s="56"/>
      <c r="BP2839" s="56"/>
      <c r="BQ2839" s="56"/>
      <c r="BR2839" s="56"/>
      <c r="BS2839" s="56"/>
      <c r="BT2839" s="56"/>
      <c r="BU2839" s="56"/>
      <c r="BV2839" s="56"/>
      <c r="BW2839" s="56"/>
      <c r="BX2839" s="56"/>
      <c r="BY2839" s="56"/>
      <c r="BZ2839" s="56"/>
      <c r="CA2839" s="56"/>
      <c r="CB2839" s="56"/>
      <c r="CC2839" s="56"/>
      <c r="CD2839" s="56"/>
      <c r="CE2839" s="56"/>
      <c r="CF2839" s="56"/>
      <c r="CG2839" s="56"/>
      <c r="CH2839" s="56"/>
      <c r="CI2839" s="56"/>
      <c r="CJ2839" s="56"/>
      <c r="CK2839" s="56"/>
      <c r="CL2839" s="56"/>
      <c r="CM2839" s="56"/>
      <c r="CN2839" s="56"/>
      <c r="CO2839" s="56"/>
      <c r="CP2839" s="56"/>
      <c r="CQ2839" s="56"/>
      <c r="CR2839" s="56"/>
      <c r="CS2839" s="56"/>
      <c r="CT2839" s="56"/>
      <c r="CU2839" s="56"/>
      <c r="CV2839" s="56"/>
      <c r="CW2839" s="56"/>
      <c r="CX2839" s="56"/>
      <c r="CY2839" s="56"/>
      <c r="CZ2839" s="56"/>
    </row>
    <row r="2840" spans="27:104" s="5" customFormat="1" x14ac:dyDescent="0.25">
      <c r="AA2840" s="56"/>
      <c r="AB2840" s="56"/>
      <c r="AC2840" s="56"/>
      <c r="AD2840" s="56"/>
      <c r="AE2840" s="56"/>
      <c r="AF2840" s="56"/>
      <c r="AG2840" s="56"/>
      <c r="AH2840" s="56"/>
      <c r="AI2840" s="56"/>
      <c r="AJ2840" s="56"/>
      <c r="AK2840" s="56"/>
      <c r="AL2840" s="56"/>
      <c r="AM2840" s="56"/>
      <c r="AN2840" s="56"/>
      <c r="AO2840" s="56"/>
      <c r="AP2840" s="56"/>
      <c r="AQ2840" s="56"/>
      <c r="AR2840" s="56"/>
      <c r="AS2840" s="56"/>
      <c r="AT2840" s="56"/>
      <c r="AU2840" s="56"/>
      <c r="AV2840" s="56"/>
      <c r="AW2840" s="56"/>
      <c r="AX2840" s="56"/>
      <c r="AY2840" s="56"/>
      <c r="AZ2840" s="56"/>
      <c r="BA2840" s="56"/>
      <c r="BB2840" s="16"/>
      <c r="BC2840" s="56"/>
      <c r="BD2840" s="56"/>
      <c r="BE2840" s="56"/>
      <c r="BF2840" s="56"/>
      <c r="BG2840" s="56"/>
      <c r="BH2840" s="56"/>
      <c r="BI2840" s="56"/>
      <c r="BJ2840" s="56"/>
      <c r="BK2840" s="56"/>
      <c r="BL2840" s="56"/>
      <c r="BM2840" s="56"/>
      <c r="BN2840" s="56"/>
      <c r="BO2840" s="56"/>
      <c r="BP2840" s="56"/>
      <c r="BQ2840" s="56"/>
      <c r="BR2840" s="56"/>
      <c r="BS2840" s="56"/>
      <c r="BT2840" s="56"/>
      <c r="BU2840" s="56"/>
      <c r="BV2840" s="56"/>
      <c r="BW2840" s="56"/>
      <c r="BX2840" s="56"/>
      <c r="BY2840" s="56"/>
      <c r="BZ2840" s="56"/>
      <c r="CA2840" s="56"/>
      <c r="CB2840" s="56"/>
      <c r="CC2840" s="56"/>
      <c r="CD2840" s="56"/>
      <c r="CE2840" s="56"/>
      <c r="CF2840" s="56"/>
      <c r="CG2840" s="56"/>
      <c r="CH2840" s="56"/>
      <c r="CI2840" s="56"/>
      <c r="CJ2840" s="56"/>
      <c r="CK2840" s="56"/>
      <c r="CL2840" s="56"/>
      <c r="CM2840" s="56"/>
      <c r="CN2840" s="56"/>
      <c r="CO2840" s="56"/>
      <c r="CP2840" s="56"/>
      <c r="CQ2840" s="56"/>
      <c r="CR2840" s="56"/>
      <c r="CS2840" s="56"/>
      <c r="CT2840" s="56"/>
      <c r="CU2840" s="56"/>
      <c r="CV2840" s="56"/>
      <c r="CW2840" s="56"/>
      <c r="CX2840" s="56"/>
      <c r="CY2840" s="56"/>
      <c r="CZ2840" s="56"/>
    </row>
    <row r="2841" spans="27:104" s="5" customFormat="1" x14ac:dyDescent="0.25">
      <c r="AA2841" s="56"/>
      <c r="AB2841" s="56"/>
      <c r="AC2841" s="56"/>
      <c r="AD2841" s="56"/>
      <c r="AE2841" s="56"/>
      <c r="AF2841" s="56"/>
      <c r="AG2841" s="56"/>
      <c r="AH2841" s="56"/>
      <c r="AI2841" s="56"/>
      <c r="AJ2841" s="56"/>
      <c r="AK2841" s="56"/>
      <c r="AL2841" s="56"/>
      <c r="AM2841" s="56"/>
      <c r="AN2841" s="56"/>
      <c r="AO2841" s="56"/>
      <c r="AP2841" s="56"/>
      <c r="AQ2841" s="56"/>
      <c r="AR2841" s="56"/>
      <c r="AS2841" s="56"/>
      <c r="AT2841" s="56"/>
      <c r="AU2841" s="56"/>
      <c r="AV2841" s="56"/>
      <c r="AW2841" s="56"/>
      <c r="AX2841" s="56"/>
      <c r="AY2841" s="56"/>
      <c r="AZ2841" s="56"/>
      <c r="BA2841" s="56"/>
      <c r="BB2841" s="16"/>
      <c r="BC2841" s="56"/>
      <c r="BD2841" s="56"/>
      <c r="BE2841" s="56"/>
      <c r="BF2841" s="56"/>
      <c r="BG2841" s="56"/>
      <c r="BH2841" s="56"/>
      <c r="BI2841" s="56"/>
      <c r="BJ2841" s="56"/>
      <c r="BK2841" s="56"/>
      <c r="BL2841" s="56"/>
      <c r="BM2841" s="56"/>
      <c r="BN2841" s="56"/>
      <c r="BO2841" s="56"/>
      <c r="BP2841" s="56"/>
      <c r="BQ2841" s="56"/>
      <c r="BR2841" s="56"/>
      <c r="BS2841" s="56"/>
      <c r="BT2841" s="56"/>
      <c r="BU2841" s="56"/>
      <c r="BV2841" s="56"/>
      <c r="BW2841" s="56"/>
      <c r="BX2841" s="56"/>
      <c r="BY2841" s="56"/>
      <c r="BZ2841" s="56"/>
      <c r="CA2841" s="56"/>
      <c r="CB2841" s="56"/>
      <c r="CC2841" s="56"/>
      <c r="CD2841" s="56"/>
      <c r="CE2841" s="56"/>
      <c r="CF2841" s="56"/>
      <c r="CG2841" s="56"/>
      <c r="CH2841" s="56"/>
      <c r="CI2841" s="56"/>
      <c r="CJ2841" s="56"/>
      <c r="CK2841" s="56"/>
      <c r="CL2841" s="56"/>
      <c r="CM2841" s="56"/>
      <c r="CN2841" s="56"/>
      <c r="CO2841" s="56"/>
      <c r="CP2841" s="56"/>
      <c r="CQ2841" s="56"/>
      <c r="CR2841" s="56"/>
      <c r="CS2841" s="56"/>
      <c r="CT2841" s="56"/>
      <c r="CU2841" s="56"/>
      <c r="CV2841" s="56"/>
      <c r="CW2841" s="56"/>
      <c r="CX2841" s="56"/>
      <c r="CY2841" s="56"/>
      <c r="CZ2841" s="56"/>
    </row>
    <row r="2842" spans="27:104" s="5" customFormat="1" x14ac:dyDescent="0.25">
      <c r="AA2842" s="56"/>
      <c r="AB2842" s="56"/>
      <c r="AC2842" s="56"/>
      <c r="AD2842" s="56"/>
      <c r="AE2842" s="56"/>
      <c r="AF2842" s="56"/>
      <c r="AG2842" s="56"/>
      <c r="AH2842" s="56"/>
      <c r="AI2842" s="56"/>
      <c r="AJ2842" s="56"/>
      <c r="AK2842" s="56"/>
      <c r="AL2842" s="56"/>
      <c r="AM2842" s="56"/>
      <c r="AN2842" s="56"/>
      <c r="AO2842" s="56"/>
      <c r="AP2842" s="56"/>
      <c r="AQ2842" s="56"/>
      <c r="AR2842" s="56"/>
      <c r="AS2842" s="56"/>
      <c r="AT2842" s="56"/>
      <c r="AU2842" s="56"/>
      <c r="AV2842" s="56"/>
      <c r="AW2842" s="56"/>
      <c r="AX2842" s="56"/>
      <c r="AY2842" s="56"/>
      <c r="AZ2842" s="56"/>
      <c r="BA2842" s="56"/>
      <c r="BB2842" s="16"/>
      <c r="BC2842" s="56"/>
      <c r="BD2842" s="56"/>
      <c r="BE2842" s="56"/>
      <c r="BF2842" s="56"/>
      <c r="BG2842" s="56"/>
      <c r="BH2842" s="56"/>
      <c r="BI2842" s="56"/>
      <c r="BJ2842" s="56"/>
      <c r="BK2842" s="56"/>
      <c r="BL2842" s="56"/>
      <c r="BM2842" s="56"/>
      <c r="BN2842" s="56"/>
      <c r="BO2842" s="56"/>
      <c r="BP2842" s="56"/>
      <c r="BQ2842" s="56"/>
      <c r="BR2842" s="56"/>
      <c r="BS2842" s="56"/>
      <c r="BT2842" s="56"/>
      <c r="BU2842" s="56"/>
      <c r="BV2842" s="56"/>
      <c r="BW2842" s="56"/>
      <c r="BX2842" s="56"/>
      <c r="BY2842" s="56"/>
      <c r="BZ2842" s="56"/>
      <c r="CA2842" s="56"/>
      <c r="CB2842" s="56"/>
      <c r="CC2842" s="56"/>
      <c r="CD2842" s="56"/>
      <c r="CE2842" s="56"/>
      <c r="CF2842" s="56"/>
      <c r="CG2842" s="56"/>
      <c r="CH2842" s="56"/>
      <c r="CI2842" s="56"/>
      <c r="CJ2842" s="56"/>
      <c r="CK2842" s="56"/>
      <c r="CL2842" s="56"/>
      <c r="CM2842" s="56"/>
      <c r="CN2842" s="56"/>
      <c r="CO2842" s="56"/>
      <c r="CP2842" s="56"/>
      <c r="CQ2842" s="56"/>
      <c r="CR2842" s="56"/>
      <c r="CS2842" s="56"/>
      <c r="CT2842" s="56"/>
      <c r="CU2842" s="56"/>
      <c r="CV2842" s="56"/>
      <c r="CW2842" s="56"/>
      <c r="CX2842" s="56"/>
      <c r="CY2842" s="56"/>
      <c r="CZ2842" s="56"/>
    </row>
    <row r="2843" spans="27:104" s="5" customFormat="1" x14ac:dyDescent="0.25">
      <c r="AA2843" s="56"/>
      <c r="AB2843" s="56"/>
      <c r="AC2843" s="56"/>
      <c r="AD2843" s="56"/>
      <c r="AE2843" s="56"/>
      <c r="AF2843" s="56"/>
      <c r="AG2843" s="56"/>
      <c r="AH2843" s="56"/>
      <c r="AI2843" s="56"/>
      <c r="AJ2843" s="56"/>
      <c r="AK2843" s="56"/>
      <c r="AL2843" s="56"/>
      <c r="AM2843" s="56"/>
      <c r="AN2843" s="56"/>
      <c r="AO2843" s="56"/>
      <c r="AP2843" s="56"/>
      <c r="AQ2843" s="56"/>
      <c r="AR2843" s="56"/>
      <c r="AS2843" s="56"/>
      <c r="AT2843" s="56"/>
      <c r="AU2843" s="56"/>
      <c r="AV2843" s="56"/>
      <c r="AW2843" s="56"/>
      <c r="AX2843" s="56"/>
      <c r="AY2843" s="56"/>
      <c r="AZ2843" s="56"/>
      <c r="BA2843" s="56"/>
      <c r="BB2843" s="16"/>
      <c r="BC2843" s="56"/>
      <c r="BD2843" s="56"/>
      <c r="BE2843" s="56"/>
      <c r="BF2843" s="56"/>
      <c r="BG2843" s="56"/>
      <c r="BH2843" s="56"/>
      <c r="BI2843" s="56"/>
      <c r="BJ2843" s="56"/>
      <c r="BK2843" s="56"/>
      <c r="BL2843" s="56"/>
      <c r="BM2843" s="56"/>
      <c r="BN2843" s="56"/>
      <c r="BO2843" s="56"/>
      <c r="BP2843" s="56"/>
      <c r="BQ2843" s="56"/>
      <c r="BR2843" s="56"/>
      <c r="BS2843" s="56"/>
      <c r="BT2843" s="56"/>
      <c r="BU2843" s="56"/>
      <c r="BV2843" s="56"/>
      <c r="BW2843" s="56"/>
      <c r="BX2843" s="56"/>
      <c r="BY2843" s="56"/>
      <c r="BZ2843" s="56"/>
      <c r="CA2843" s="56"/>
      <c r="CB2843" s="56"/>
      <c r="CC2843" s="56"/>
      <c r="CD2843" s="56"/>
      <c r="CE2843" s="56"/>
      <c r="CF2843" s="56"/>
      <c r="CG2843" s="56"/>
      <c r="CH2843" s="56"/>
      <c r="CI2843" s="56"/>
      <c r="CJ2843" s="56"/>
      <c r="CK2843" s="56"/>
      <c r="CL2843" s="56"/>
      <c r="CM2843" s="56"/>
      <c r="CN2843" s="56"/>
      <c r="CO2843" s="56"/>
      <c r="CP2843" s="56"/>
      <c r="CQ2843" s="56"/>
      <c r="CR2843" s="56"/>
      <c r="CS2843" s="56"/>
      <c r="CT2843" s="56"/>
      <c r="CU2843" s="56"/>
      <c r="CV2843" s="56"/>
      <c r="CW2843" s="56"/>
      <c r="CX2843" s="56"/>
      <c r="CY2843" s="56"/>
      <c r="CZ2843" s="56"/>
    </row>
    <row r="2844" spans="27:104" s="5" customFormat="1" x14ac:dyDescent="0.25">
      <c r="AA2844" s="56"/>
      <c r="AB2844" s="56"/>
      <c r="AC2844" s="56"/>
      <c r="AD2844" s="56"/>
      <c r="AE2844" s="56"/>
      <c r="AF2844" s="56"/>
      <c r="AG2844" s="56"/>
      <c r="AH2844" s="56"/>
      <c r="AI2844" s="56"/>
      <c r="AJ2844" s="56"/>
      <c r="AK2844" s="56"/>
      <c r="AL2844" s="56"/>
      <c r="AM2844" s="56"/>
      <c r="AN2844" s="56"/>
      <c r="AO2844" s="56"/>
      <c r="AP2844" s="56"/>
      <c r="AQ2844" s="56"/>
      <c r="AR2844" s="56"/>
      <c r="AS2844" s="56"/>
      <c r="AT2844" s="56"/>
      <c r="AU2844" s="56"/>
      <c r="AV2844" s="56"/>
      <c r="AW2844" s="56"/>
      <c r="AX2844" s="56"/>
      <c r="AY2844" s="56"/>
      <c r="AZ2844" s="56"/>
      <c r="BA2844" s="56"/>
      <c r="BB2844" s="16"/>
      <c r="BC2844" s="56"/>
      <c r="BD2844" s="56"/>
      <c r="BE2844" s="56"/>
      <c r="BF2844" s="56"/>
      <c r="BG2844" s="56"/>
      <c r="BH2844" s="56"/>
      <c r="BI2844" s="56"/>
      <c r="BJ2844" s="56"/>
      <c r="BK2844" s="56"/>
      <c r="BL2844" s="56"/>
      <c r="BM2844" s="56"/>
      <c r="BN2844" s="56"/>
      <c r="BO2844" s="56"/>
      <c r="BP2844" s="56"/>
      <c r="BQ2844" s="56"/>
      <c r="BR2844" s="56"/>
      <c r="BS2844" s="56"/>
      <c r="BT2844" s="56"/>
      <c r="BU2844" s="56"/>
      <c r="BV2844" s="56"/>
      <c r="BW2844" s="56"/>
      <c r="BX2844" s="56"/>
      <c r="BY2844" s="56"/>
      <c r="BZ2844" s="56"/>
      <c r="CA2844" s="56"/>
      <c r="CB2844" s="56"/>
      <c r="CC2844" s="56"/>
      <c r="CD2844" s="56"/>
      <c r="CE2844" s="56"/>
      <c r="CF2844" s="56"/>
      <c r="CG2844" s="56"/>
      <c r="CH2844" s="56"/>
      <c r="CI2844" s="56"/>
      <c r="CJ2844" s="56"/>
      <c r="CK2844" s="56"/>
      <c r="CL2844" s="56"/>
      <c r="CM2844" s="56"/>
      <c r="CN2844" s="56"/>
      <c r="CO2844" s="56"/>
      <c r="CP2844" s="56"/>
      <c r="CQ2844" s="56"/>
      <c r="CR2844" s="56"/>
      <c r="CS2844" s="56"/>
      <c r="CT2844" s="56"/>
      <c r="CU2844" s="56"/>
      <c r="CV2844" s="56"/>
      <c r="CW2844" s="56"/>
      <c r="CX2844" s="56"/>
      <c r="CY2844" s="56"/>
      <c r="CZ2844" s="56"/>
    </row>
    <row r="2845" spans="27:104" s="5" customFormat="1" x14ac:dyDescent="0.25">
      <c r="AA2845" s="56"/>
      <c r="AB2845" s="56"/>
      <c r="AC2845" s="56"/>
      <c r="AD2845" s="56"/>
      <c r="AE2845" s="56"/>
      <c r="AF2845" s="56"/>
      <c r="AG2845" s="56"/>
      <c r="AH2845" s="56"/>
      <c r="AI2845" s="56"/>
      <c r="AJ2845" s="56"/>
      <c r="AK2845" s="56"/>
      <c r="AL2845" s="56"/>
      <c r="AM2845" s="56"/>
      <c r="AN2845" s="56"/>
      <c r="AO2845" s="56"/>
      <c r="AP2845" s="56"/>
      <c r="AQ2845" s="56"/>
      <c r="AR2845" s="56"/>
      <c r="AS2845" s="56"/>
      <c r="AT2845" s="56"/>
      <c r="AU2845" s="56"/>
      <c r="AV2845" s="56"/>
      <c r="AW2845" s="56"/>
      <c r="AX2845" s="56"/>
      <c r="AY2845" s="56"/>
      <c r="AZ2845" s="56"/>
      <c r="BA2845" s="56"/>
      <c r="BB2845" s="16"/>
      <c r="BC2845" s="56"/>
      <c r="BD2845" s="56"/>
      <c r="BE2845" s="56"/>
      <c r="BF2845" s="56"/>
      <c r="BG2845" s="56"/>
      <c r="BH2845" s="56"/>
      <c r="BI2845" s="56"/>
      <c r="BJ2845" s="56"/>
      <c r="BK2845" s="56"/>
      <c r="BL2845" s="56"/>
      <c r="BM2845" s="56"/>
      <c r="BN2845" s="56"/>
      <c r="BO2845" s="56"/>
      <c r="BP2845" s="56"/>
      <c r="BQ2845" s="56"/>
      <c r="BR2845" s="56"/>
      <c r="BS2845" s="56"/>
      <c r="BT2845" s="56"/>
      <c r="BU2845" s="56"/>
      <c r="BV2845" s="56"/>
      <c r="BW2845" s="56"/>
      <c r="BX2845" s="56"/>
      <c r="BY2845" s="56"/>
      <c r="BZ2845" s="56"/>
      <c r="CA2845" s="56"/>
      <c r="CB2845" s="56"/>
      <c r="CC2845" s="56"/>
      <c r="CD2845" s="56"/>
      <c r="CE2845" s="56"/>
      <c r="CF2845" s="56"/>
      <c r="CG2845" s="56"/>
      <c r="CH2845" s="56"/>
      <c r="CI2845" s="56"/>
      <c r="CJ2845" s="56"/>
      <c r="CK2845" s="56"/>
      <c r="CL2845" s="56"/>
      <c r="CM2845" s="56"/>
      <c r="CN2845" s="56"/>
      <c r="CO2845" s="56"/>
      <c r="CP2845" s="56"/>
      <c r="CQ2845" s="56"/>
      <c r="CR2845" s="56"/>
      <c r="CS2845" s="56"/>
      <c r="CT2845" s="56"/>
      <c r="CU2845" s="56"/>
      <c r="CV2845" s="56"/>
      <c r="CW2845" s="56"/>
      <c r="CX2845" s="56"/>
      <c r="CY2845" s="56"/>
      <c r="CZ2845" s="56"/>
    </row>
    <row r="2846" spans="27:104" s="5" customFormat="1" x14ac:dyDescent="0.25">
      <c r="AA2846" s="56"/>
      <c r="AB2846" s="56"/>
      <c r="AC2846" s="56"/>
      <c r="AD2846" s="56"/>
      <c r="AE2846" s="56"/>
      <c r="AF2846" s="56"/>
      <c r="AG2846" s="56"/>
      <c r="AH2846" s="56"/>
      <c r="AI2846" s="56"/>
      <c r="AJ2846" s="56"/>
      <c r="AK2846" s="56"/>
      <c r="AL2846" s="56"/>
      <c r="AM2846" s="56"/>
      <c r="AN2846" s="56"/>
      <c r="AO2846" s="56"/>
      <c r="AP2846" s="56"/>
      <c r="AQ2846" s="56"/>
      <c r="AR2846" s="56"/>
      <c r="AS2846" s="56"/>
      <c r="AT2846" s="56"/>
      <c r="AU2846" s="56"/>
      <c r="AV2846" s="56"/>
      <c r="AW2846" s="56"/>
      <c r="AX2846" s="56"/>
      <c r="AY2846" s="56"/>
      <c r="AZ2846" s="56"/>
      <c r="BA2846" s="56"/>
      <c r="BB2846" s="16"/>
      <c r="BC2846" s="56"/>
      <c r="BD2846" s="56"/>
      <c r="BE2846" s="56"/>
      <c r="BF2846" s="56"/>
      <c r="BG2846" s="56"/>
      <c r="BH2846" s="56"/>
      <c r="BI2846" s="56"/>
      <c r="BJ2846" s="56"/>
      <c r="BK2846" s="56"/>
      <c r="BL2846" s="56"/>
      <c r="BM2846" s="56"/>
      <c r="BN2846" s="56"/>
      <c r="BO2846" s="56"/>
      <c r="BP2846" s="56"/>
      <c r="BQ2846" s="56"/>
      <c r="BR2846" s="56"/>
      <c r="BS2846" s="56"/>
      <c r="BT2846" s="56"/>
      <c r="BU2846" s="56"/>
      <c r="BV2846" s="56"/>
      <c r="BW2846" s="56"/>
      <c r="BX2846" s="56"/>
      <c r="BY2846" s="56"/>
      <c r="BZ2846" s="56"/>
      <c r="CA2846" s="56"/>
      <c r="CB2846" s="56"/>
      <c r="CC2846" s="56"/>
      <c r="CD2846" s="56"/>
      <c r="CE2846" s="56"/>
      <c r="CF2846" s="56"/>
      <c r="CG2846" s="56"/>
      <c r="CH2846" s="56"/>
      <c r="CI2846" s="56"/>
      <c r="CJ2846" s="56"/>
      <c r="CK2846" s="56"/>
      <c r="CL2846" s="56"/>
      <c r="CM2846" s="56"/>
      <c r="CN2846" s="56"/>
      <c r="CO2846" s="56"/>
      <c r="CP2846" s="56"/>
      <c r="CQ2846" s="56"/>
      <c r="CR2846" s="56"/>
      <c r="CS2846" s="56"/>
      <c r="CT2846" s="56"/>
      <c r="CU2846" s="56"/>
      <c r="CV2846" s="56"/>
      <c r="CW2846" s="56"/>
      <c r="CX2846" s="56"/>
      <c r="CY2846" s="56"/>
      <c r="CZ2846" s="56"/>
    </row>
    <row r="2847" spans="27:104" s="5" customFormat="1" x14ac:dyDescent="0.25">
      <c r="AA2847" s="56"/>
      <c r="AB2847" s="56"/>
      <c r="AC2847" s="56"/>
      <c r="AD2847" s="56"/>
      <c r="AE2847" s="56"/>
      <c r="AF2847" s="56"/>
      <c r="AG2847" s="56"/>
      <c r="AH2847" s="56"/>
      <c r="AI2847" s="56"/>
      <c r="AJ2847" s="56"/>
      <c r="AK2847" s="56"/>
      <c r="AL2847" s="56"/>
      <c r="AM2847" s="56"/>
      <c r="AN2847" s="56"/>
      <c r="AO2847" s="56"/>
      <c r="AP2847" s="56"/>
      <c r="AQ2847" s="56"/>
      <c r="AR2847" s="56"/>
      <c r="AS2847" s="56"/>
      <c r="AT2847" s="56"/>
      <c r="AU2847" s="56"/>
      <c r="AV2847" s="56"/>
      <c r="AW2847" s="56"/>
      <c r="AX2847" s="56"/>
      <c r="AY2847" s="56"/>
      <c r="AZ2847" s="56"/>
      <c r="BA2847" s="56"/>
      <c r="BB2847" s="16"/>
      <c r="BC2847" s="56"/>
      <c r="BD2847" s="56"/>
      <c r="BE2847" s="56"/>
      <c r="BF2847" s="56"/>
      <c r="BG2847" s="56"/>
      <c r="BH2847" s="56"/>
      <c r="BI2847" s="56"/>
      <c r="BJ2847" s="56"/>
      <c r="BK2847" s="56"/>
      <c r="BL2847" s="56"/>
      <c r="BM2847" s="56"/>
      <c r="BN2847" s="56"/>
      <c r="BO2847" s="56"/>
      <c r="BP2847" s="56"/>
      <c r="BQ2847" s="56"/>
      <c r="BR2847" s="56"/>
      <c r="BS2847" s="56"/>
      <c r="BT2847" s="56"/>
      <c r="BU2847" s="56"/>
      <c r="BV2847" s="56"/>
      <c r="BW2847" s="56"/>
      <c r="BX2847" s="56"/>
      <c r="BY2847" s="56"/>
      <c r="BZ2847" s="56"/>
      <c r="CA2847" s="56"/>
      <c r="CB2847" s="56"/>
      <c r="CC2847" s="56"/>
      <c r="CD2847" s="56"/>
      <c r="CE2847" s="56"/>
      <c r="CF2847" s="56"/>
      <c r="CG2847" s="56"/>
      <c r="CH2847" s="56"/>
      <c r="CI2847" s="56"/>
      <c r="CJ2847" s="56"/>
      <c r="CK2847" s="56"/>
      <c r="CL2847" s="56"/>
      <c r="CM2847" s="56"/>
      <c r="CN2847" s="56"/>
      <c r="CO2847" s="56"/>
      <c r="CP2847" s="56"/>
      <c r="CQ2847" s="56"/>
      <c r="CR2847" s="56"/>
      <c r="CS2847" s="56"/>
      <c r="CT2847" s="56"/>
      <c r="CU2847" s="56"/>
      <c r="CV2847" s="56"/>
      <c r="CW2847" s="56"/>
      <c r="CX2847" s="56"/>
      <c r="CY2847" s="56"/>
      <c r="CZ2847" s="56"/>
    </row>
    <row r="2848" spans="27:104" s="5" customFormat="1" x14ac:dyDescent="0.25">
      <c r="AA2848" s="56"/>
      <c r="AB2848" s="56"/>
      <c r="AC2848" s="56"/>
      <c r="AD2848" s="56"/>
      <c r="AE2848" s="56"/>
      <c r="AF2848" s="56"/>
      <c r="AG2848" s="56"/>
      <c r="AH2848" s="56"/>
      <c r="AI2848" s="56"/>
      <c r="AJ2848" s="56"/>
      <c r="AK2848" s="56"/>
      <c r="AL2848" s="56"/>
      <c r="AM2848" s="56"/>
      <c r="AN2848" s="56"/>
      <c r="AO2848" s="56"/>
      <c r="AP2848" s="56"/>
      <c r="AQ2848" s="56"/>
      <c r="AR2848" s="56"/>
      <c r="AS2848" s="56"/>
      <c r="AT2848" s="56"/>
      <c r="AU2848" s="56"/>
      <c r="AV2848" s="56"/>
      <c r="AW2848" s="56"/>
      <c r="AX2848" s="56"/>
      <c r="AY2848" s="56"/>
      <c r="AZ2848" s="56"/>
      <c r="BA2848" s="56"/>
      <c r="BB2848" s="16"/>
      <c r="BC2848" s="56"/>
      <c r="BD2848" s="56"/>
      <c r="BE2848" s="56"/>
      <c r="BF2848" s="56"/>
      <c r="BG2848" s="56"/>
      <c r="BH2848" s="56"/>
      <c r="BI2848" s="56"/>
      <c r="BJ2848" s="56"/>
      <c r="BK2848" s="56"/>
      <c r="BL2848" s="56"/>
      <c r="BM2848" s="56"/>
      <c r="BN2848" s="56"/>
      <c r="BO2848" s="56"/>
      <c r="BP2848" s="56"/>
      <c r="BQ2848" s="56"/>
      <c r="BR2848" s="56"/>
      <c r="BS2848" s="56"/>
      <c r="BT2848" s="56"/>
      <c r="BU2848" s="56"/>
      <c r="BV2848" s="56"/>
      <c r="BW2848" s="56"/>
      <c r="BX2848" s="56"/>
      <c r="BY2848" s="56"/>
      <c r="BZ2848" s="56"/>
      <c r="CA2848" s="56"/>
      <c r="CB2848" s="56"/>
      <c r="CC2848" s="56"/>
      <c r="CD2848" s="56"/>
      <c r="CE2848" s="56"/>
      <c r="CF2848" s="56"/>
      <c r="CG2848" s="56"/>
      <c r="CH2848" s="56"/>
      <c r="CI2848" s="56"/>
      <c r="CJ2848" s="56"/>
      <c r="CK2848" s="56"/>
      <c r="CL2848" s="56"/>
      <c r="CM2848" s="56"/>
      <c r="CN2848" s="56"/>
      <c r="CO2848" s="56"/>
      <c r="CP2848" s="56"/>
      <c r="CQ2848" s="56"/>
      <c r="CR2848" s="56"/>
      <c r="CS2848" s="56"/>
      <c r="CT2848" s="56"/>
      <c r="CU2848" s="56"/>
      <c r="CV2848" s="56"/>
      <c r="CW2848" s="56"/>
      <c r="CX2848" s="56"/>
      <c r="CY2848" s="56"/>
      <c r="CZ2848" s="56"/>
    </row>
    <row r="2849" spans="27:104" s="5" customFormat="1" x14ac:dyDescent="0.25">
      <c r="AA2849" s="56"/>
      <c r="AB2849" s="56"/>
      <c r="AC2849" s="56"/>
      <c r="AD2849" s="56"/>
      <c r="AE2849" s="56"/>
      <c r="AF2849" s="56"/>
      <c r="AG2849" s="56"/>
      <c r="AH2849" s="56"/>
      <c r="AI2849" s="56"/>
      <c r="AJ2849" s="56"/>
      <c r="AK2849" s="56"/>
      <c r="AL2849" s="56"/>
      <c r="AM2849" s="56"/>
      <c r="AN2849" s="56"/>
      <c r="AO2849" s="56"/>
      <c r="AP2849" s="56"/>
      <c r="AQ2849" s="56"/>
      <c r="AR2849" s="56"/>
      <c r="AS2849" s="56"/>
      <c r="AT2849" s="56"/>
      <c r="AU2849" s="56"/>
      <c r="AV2849" s="56"/>
      <c r="AW2849" s="56"/>
      <c r="AX2849" s="56"/>
      <c r="AY2849" s="56"/>
      <c r="AZ2849" s="56"/>
      <c r="BA2849" s="56"/>
      <c r="BB2849" s="16"/>
      <c r="BC2849" s="56"/>
      <c r="BD2849" s="56"/>
      <c r="BE2849" s="56"/>
      <c r="BF2849" s="56"/>
      <c r="BG2849" s="56"/>
      <c r="BH2849" s="56"/>
      <c r="BI2849" s="56"/>
      <c r="BJ2849" s="56"/>
      <c r="BK2849" s="56"/>
      <c r="BL2849" s="56"/>
      <c r="BM2849" s="56"/>
      <c r="BN2849" s="56"/>
      <c r="BO2849" s="56"/>
      <c r="BP2849" s="56"/>
      <c r="BQ2849" s="56"/>
      <c r="BR2849" s="56"/>
      <c r="BS2849" s="56"/>
      <c r="BT2849" s="56"/>
      <c r="BU2849" s="56"/>
      <c r="BV2849" s="56"/>
      <c r="BW2849" s="56"/>
      <c r="BX2849" s="56"/>
      <c r="BY2849" s="56"/>
      <c r="BZ2849" s="56"/>
      <c r="CA2849" s="56"/>
      <c r="CB2849" s="56"/>
      <c r="CC2849" s="56"/>
      <c r="CD2849" s="56"/>
      <c r="CE2849" s="56"/>
      <c r="CF2849" s="56"/>
      <c r="CG2849" s="56"/>
      <c r="CH2849" s="56"/>
      <c r="CI2849" s="56"/>
      <c r="CJ2849" s="56"/>
      <c r="CK2849" s="56"/>
      <c r="CL2849" s="56"/>
      <c r="CM2849" s="56"/>
      <c r="CN2849" s="56"/>
      <c r="CO2849" s="56"/>
      <c r="CP2849" s="56"/>
      <c r="CQ2849" s="56"/>
      <c r="CR2849" s="56"/>
      <c r="CS2849" s="56"/>
      <c r="CT2849" s="56"/>
      <c r="CU2849" s="56"/>
      <c r="CV2849" s="56"/>
      <c r="CW2849" s="56"/>
      <c r="CX2849" s="56"/>
      <c r="CY2849" s="56"/>
      <c r="CZ2849" s="56"/>
    </row>
    <row r="2850" spans="27:104" s="5" customFormat="1" x14ac:dyDescent="0.25">
      <c r="AA2850" s="56"/>
      <c r="AB2850" s="56"/>
      <c r="AC2850" s="56"/>
      <c r="AD2850" s="56"/>
      <c r="AE2850" s="56"/>
      <c r="AF2850" s="56"/>
      <c r="AG2850" s="56"/>
      <c r="AH2850" s="56"/>
      <c r="AI2850" s="56"/>
      <c r="AJ2850" s="56"/>
      <c r="AK2850" s="56"/>
      <c r="AL2850" s="56"/>
      <c r="AM2850" s="56"/>
      <c r="AN2850" s="56"/>
      <c r="AO2850" s="56"/>
      <c r="AP2850" s="56"/>
      <c r="AQ2850" s="56"/>
      <c r="AR2850" s="56"/>
      <c r="AS2850" s="56"/>
      <c r="AT2850" s="56"/>
      <c r="AU2850" s="56"/>
      <c r="AV2850" s="56"/>
      <c r="AW2850" s="56"/>
      <c r="AX2850" s="56"/>
      <c r="AY2850" s="56"/>
      <c r="AZ2850" s="56"/>
      <c r="BA2850" s="56"/>
      <c r="BB2850" s="16"/>
      <c r="BC2850" s="56"/>
      <c r="BD2850" s="56"/>
      <c r="BE2850" s="56"/>
      <c r="BF2850" s="56"/>
      <c r="BG2850" s="56"/>
      <c r="BH2850" s="56"/>
      <c r="BI2850" s="56"/>
      <c r="BJ2850" s="56"/>
      <c r="BK2850" s="56"/>
      <c r="BL2850" s="56"/>
      <c r="BM2850" s="56"/>
      <c r="BN2850" s="56"/>
      <c r="BO2850" s="56"/>
      <c r="BP2850" s="56"/>
      <c r="BQ2850" s="56"/>
      <c r="BR2850" s="56"/>
      <c r="BS2850" s="56"/>
      <c r="BT2850" s="56"/>
      <c r="BU2850" s="56"/>
      <c r="BV2850" s="56"/>
      <c r="BW2850" s="56"/>
      <c r="BX2850" s="56"/>
      <c r="BY2850" s="56"/>
      <c r="BZ2850" s="56"/>
      <c r="CA2850" s="56"/>
      <c r="CB2850" s="56"/>
      <c r="CC2850" s="56"/>
      <c r="CD2850" s="56"/>
      <c r="CE2850" s="56"/>
      <c r="CF2850" s="56"/>
      <c r="CG2850" s="56"/>
      <c r="CH2850" s="56"/>
      <c r="CI2850" s="56"/>
      <c r="CJ2850" s="56"/>
      <c r="CK2850" s="56"/>
      <c r="CL2850" s="56"/>
      <c r="CM2850" s="56"/>
      <c r="CN2850" s="56"/>
      <c r="CO2850" s="56"/>
      <c r="CP2850" s="56"/>
      <c r="CQ2850" s="56"/>
      <c r="CR2850" s="56"/>
      <c r="CS2850" s="56"/>
      <c r="CT2850" s="56"/>
      <c r="CU2850" s="56"/>
      <c r="CV2850" s="56"/>
      <c r="CW2850" s="56"/>
      <c r="CX2850" s="56"/>
      <c r="CY2850" s="56"/>
      <c r="CZ2850" s="56"/>
    </row>
    <row r="2851" spans="27:104" s="5" customFormat="1" x14ac:dyDescent="0.25">
      <c r="AA2851" s="56"/>
      <c r="AB2851" s="56"/>
      <c r="AC2851" s="56"/>
      <c r="AD2851" s="56"/>
      <c r="AE2851" s="56"/>
      <c r="AF2851" s="56"/>
      <c r="AG2851" s="56"/>
      <c r="AH2851" s="56"/>
      <c r="AI2851" s="56"/>
      <c r="AJ2851" s="56"/>
      <c r="AK2851" s="56"/>
      <c r="AL2851" s="56"/>
      <c r="AM2851" s="56"/>
      <c r="AN2851" s="56"/>
      <c r="AO2851" s="56"/>
      <c r="AP2851" s="56"/>
      <c r="AQ2851" s="56"/>
      <c r="AR2851" s="56"/>
      <c r="AS2851" s="56"/>
      <c r="AT2851" s="56"/>
      <c r="AU2851" s="56"/>
      <c r="AV2851" s="56"/>
      <c r="AW2851" s="56"/>
      <c r="AX2851" s="56"/>
      <c r="AY2851" s="56"/>
      <c r="AZ2851" s="56"/>
      <c r="BA2851" s="56"/>
      <c r="BB2851" s="16"/>
      <c r="BC2851" s="56"/>
      <c r="BD2851" s="56"/>
      <c r="BE2851" s="56"/>
      <c r="BF2851" s="56"/>
      <c r="BG2851" s="56"/>
      <c r="BH2851" s="56"/>
      <c r="BI2851" s="56"/>
      <c r="BJ2851" s="56"/>
      <c r="BK2851" s="56"/>
      <c r="BL2851" s="56"/>
      <c r="BM2851" s="56"/>
      <c r="BN2851" s="56"/>
      <c r="BO2851" s="56"/>
      <c r="BP2851" s="56"/>
      <c r="BQ2851" s="56"/>
      <c r="BR2851" s="56"/>
      <c r="BS2851" s="56"/>
      <c r="BT2851" s="56"/>
      <c r="BU2851" s="56"/>
      <c r="BV2851" s="56"/>
      <c r="BW2851" s="56"/>
      <c r="BX2851" s="56"/>
      <c r="BY2851" s="56"/>
      <c r="BZ2851" s="56"/>
      <c r="CA2851" s="56"/>
      <c r="CB2851" s="56"/>
      <c r="CC2851" s="56"/>
      <c r="CD2851" s="56"/>
      <c r="CE2851" s="56"/>
      <c r="CF2851" s="56"/>
      <c r="CG2851" s="56"/>
      <c r="CH2851" s="56"/>
      <c r="CI2851" s="56"/>
      <c r="CJ2851" s="56"/>
      <c r="CK2851" s="56"/>
      <c r="CL2851" s="56"/>
      <c r="CM2851" s="56"/>
      <c r="CN2851" s="56"/>
      <c r="CO2851" s="56"/>
      <c r="CP2851" s="56"/>
      <c r="CQ2851" s="56"/>
      <c r="CR2851" s="56"/>
      <c r="CS2851" s="56"/>
      <c r="CT2851" s="56"/>
      <c r="CU2851" s="56"/>
      <c r="CV2851" s="56"/>
      <c r="CW2851" s="56"/>
      <c r="CX2851" s="56"/>
      <c r="CY2851" s="56"/>
      <c r="CZ2851" s="56"/>
    </row>
    <row r="2852" spans="27:104" s="5" customFormat="1" x14ac:dyDescent="0.25">
      <c r="AA2852" s="56"/>
      <c r="AB2852" s="56"/>
      <c r="AC2852" s="56"/>
      <c r="AD2852" s="56"/>
      <c r="AE2852" s="56"/>
      <c r="AF2852" s="56"/>
      <c r="AG2852" s="56"/>
      <c r="AH2852" s="56"/>
      <c r="AI2852" s="56"/>
      <c r="AJ2852" s="56"/>
      <c r="AK2852" s="56"/>
      <c r="AL2852" s="56"/>
      <c r="AM2852" s="56"/>
      <c r="AN2852" s="56"/>
      <c r="AO2852" s="56"/>
      <c r="AP2852" s="56"/>
      <c r="AQ2852" s="56"/>
      <c r="AR2852" s="56"/>
      <c r="AS2852" s="56"/>
      <c r="AT2852" s="56"/>
      <c r="AU2852" s="56"/>
      <c r="AV2852" s="56"/>
      <c r="AW2852" s="56"/>
      <c r="AX2852" s="56"/>
      <c r="AY2852" s="56"/>
      <c r="AZ2852" s="56"/>
      <c r="BA2852" s="56"/>
      <c r="BB2852" s="16"/>
      <c r="BC2852" s="56"/>
      <c r="BD2852" s="56"/>
      <c r="BE2852" s="56"/>
      <c r="BF2852" s="56"/>
      <c r="BG2852" s="56"/>
      <c r="BH2852" s="56"/>
      <c r="BI2852" s="56"/>
      <c r="BJ2852" s="56"/>
      <c r="BK2852" s="56"/>
      <c r="BL2852" s="56"/>
      <c r="BM2852" s="56"/>
      <c r="BN2852" s="56"/>
      <c r="BO2852" s="56"/>
      <c r="BP2852" s="56"/>
      <c r="BQ2852" s="56"/>
      <c r="BR2852" s="56"/>
      <c r="BS2852" s="56"/>
      <c r="BT2852" s="56"/>
      <c r="BU2852" s="56"/>
      <c r="BV2852" s="56"/>
      <c r="BW2852" s="56"/>
      <c r="BX2852" s="56"/>
      <c r="BY2852" s="56"/>
      <c r="BZ2852" s="56"/>
      <c r="CA2852" s="56"/>
      <c r="CB2852" s="56"/>
      <c r="CC2852" s="56"/>
      <c r="CD2852" s="56"/>
      <c r="CE2852" s="56"/>
      <c r="CF2852" s="56"/>
      <c r="CG2852" s="56"/>
      <c r="CH2852" s="56"/>
      <c r="CI2852" s="56"/>
      <c r="CJ2852" s="56"/>
      <c r="CK2852" s="56"/>
      <c r="CL2852" s="56"/>
      <c r="CM2852" s="56"/>
      <c r="CN2852" s="56"/>
      <c r="CO2852" s="56"/>
      <c r="CP2852" s="56"/>
      <c r="CQ2852" s="56"/>
      <c r="CR2852" s="56"/>
      <c r="CS2852" s="56"/>
      <c r="CT2852" s="56"/>
      <c r="CU2852" s="56"/>
      <c r="CV2852" s="56"/>
      <c r="CW2852" s="56"/>
      <c r="CX2852" s="56"/>
      <c r="CY2852" s="56"/>
      <c r="CZ2852" s="56"/>
    </row>
    <row r="2853" spans="27:104" s="5" customFormat="1" x14ac:dyDescent="0.25">
      <c r="AA2853" s="56"/>
      <c r="AB2853" s="56"/>
      <c r="AC2853" s="56"/>
      <c r="AD2853" s="56"/>
      <c r="AE2853" s="56"/>
      <c r="AF2853" s="56"/>
      <c r="AG2853" s="56"/>
      <c r="AH2853" s="56"/>
      <c r="AI2853" s="56"/>
      <c r="AJ2853" s="56"/>
      <c r="AK2853" s="56"/>
      <c r="AL2853" s="56"/>
      <c r="AM2853" s="56"/>
      <c r="AN2853" s="56"/>
      <c r="AO2853" s="56"/>
      <c r="AP2853" s="56"/>
      <c r="AQ2853" s="56"/>
      <c r="AR2853" s="56"/>
      <c r="AS2853" s="56"/>
      <c r="AT2853" s="56"/>
      <c r="AU2853" s="56"/>
      <c r="AV2853" s="56"/>
      <c r="AW2853" s="56"/>
      <c r="AX2853" s="56"/>
      <c r="AY2853" s="56"/>
      <c r="AZ2853" s="56"/>
      <c r="BA2853" s="56"/>
      <c r="BB2853" s="16"/>
      <c r="BC2853" s="56"/>
      <c r="BD2853" s="56"/>
      <c r="BE2853" s="56"/>
      <c r="BF2853" s="56"/>
      <c r="BG2853" s="56"/>
      <c r="BH2853" s="56"/>
      <c r="BI2853" s="56"/>
      <c r="BJ2853" s="56"/>
      <c r="BK2853" s="56"/>
      <c r="BL2853" s="56"/>
      <c r="BM2853" s="56"/>
      <c r="BN2853" s="56"/>
      <c r="BO2853" s="56"/>
      <c r="BP2853" s="56"/>
      <c r="BQ2853" s="56"/>
      <c r="BR2853" s="56"/>
      <c r="BS2853" s="56"/>
      <c r="BT2853" s="56"/>
      <c r="BU2853" s="56"/>
      <c r="BV2853" s="56"/>
      <c r="BW2853" s="56"/>
      <c r="BX2853" s="56"/>
      <c r="BY2853" s="56"/>
      <c r="BZ2853" s="56"/>
      <c r="CA2853" s="56"/>
      <c r="CB2853" s="56"/>
      <c r="CC2853" s="56"/>
      <c r="CD2853" s="56"/>
      <c r="CE2853" s="56"/>
      <c r="CF2853" s="56"/>
      <c r="CG2853" s="56"/>
      <c r="CH2853" s="56"/>
      <c r="CI2853" s="56"/>
      <c r="CJ2853" s="56"/>
      <c r="CK2853" s="56"/>
      <c r="CL2853" s="56"/>
      <c r="CM2853" s="56"/>
      <c r="CN2853" s="56"/>
      <c r="CO2853" s="56"/>
      <c r="CP2853" s="56"/>
      <c r="CQ2853" s="56"/>
      <c r="CR2853" s="56"/>
      <c r="CS2853" s="56"/>
      <c r="CT2853" s="56"/>
      <c r="CU2853" s="56"/>
      <c r="CV2853" s="56"/>
      <c r="CW2853" s="56"/>
      <c r="CX2853" s="56"/>
      <c r="CY2853" s="56"/>
      <c r="CZ2853" s="56"/>
    </row>
    <row r="2854" spans="27:104" s="5" customFormat="1" x14ac:dyDescent="0.25">
      <c r="AA2854" s="56"/>
      <c r="AB2854" s="56"/>
      <c r="AC2854" s="56"/>
      <c r="AD2854" s="56"/>
      <c r="AE2854" s="56"/>
      <c r="AF2854" s="56"/>
      <c r="AG2854" s="56"/>
      <c r="AH2854" s="56"/>
      <c r="AI2854" s="56"/>
      <c r="AJ2854" s="56"/>
      <c r="AK2854" s="56"/>
      <c r="AL2854" s="56"/>
      <c r="AM2854" s="56"/>
      <c r="AN2854" s="56"/>
      <c r="AO2854" s="56"/>
      <c r="AP2854" s="56"/>
      <c r="AQ2854" s="56"/>
      <c r="AR2854" s="56"/>
      <c r="AS2854" s="56"/>
      <c r="AT2854" s="56"/>
      <c r="AU2854" s="56"/>
      <c r="AV2854" s="56"/>
      <c r="AW2854" s="56"/>
      <c r="AX2854" s="56"/>
      <c r="AY2854" s="56"/>
      <c r="AZ2854" s="56"/>
      <c r="BA2854" s="56"/>
      <c r="BB2854" s="16"/>
      <c r="BC2854" s="56"/>
      <c r="BD2854" s="56"/>
      <c r="BE2854" s="56"/>
      <c r="BF2854" s="56"/>
      <c r="BG2854" s="56"/>
      <c r="BH2854" s="56"/>
      <c r="BI2854" s="56"/>
      <c r="BJ2854" s="56"/>
      <c r="BK2854" s="56"/>
      <c r="BL2854" s="56"/>
      <c r="BM2854" s="56"/>
      <c r="BN2854" s="56"/>
      <c r="BO2854" s="56"/>
      <c r="BP2854" s="56"/>
      <c r="BQ2854" s="56"/>
      <c r="BR2854" s="56"/>
      <c r="BS2854" s="56"/>
      <c r="BT2854" s="56"/>
      <c r="BU2854" s="56"/>
      <c r="BV2854" s="56"/>
      <c r="BW2854" s="56"/>
      <c r="BX2854" s="56"/>
      <c r="BY2854" s="56"/>
      <c r="BZ2854" s="56"/>
      <c r="CA2854" s="56"/>
      <c r="CB2854" s="56"/>
      <c r="CC2854" s="56"/>
      <c r="CD2854" s="56"/>
      <c r="CE2854" s="56"/>
      <c r="CF2854" s="56"/>
      <c r="CG2854" s="56"/>
      <c r="CH2854" s="56"/>
      <c r="CI2854" s="56"/>
      <c r="CJ2854" s="56"/>
      <c r="CK2854" s="56"/>
      <c r="CL2854" s="56"/>
      <c r="CM2854" s="56"/>
      <c r="CN2854" s="56"/>
      <c r="CO2854" s="56"/>
      <c r="CP2854" s="56"/>
      <c r="CQ2854" s="56"/>
      <c r="CR2854" s="56"/>
      <c r="CS2854" s="56"/>
      <c r="CT2854" s="56"/>
      <c r="CU2854" s="56"/>
      <c r="CV2854" s="56"/>
      <c r="CW2854" s="56"/>
      <c r="CX2854" s="56"/>
      <c r="CY2854" s="56"/>
      <c r="CZ2854" s="56"/>
    </row>
    <row r="2855" spans="27:104" s="5" customFormat="1" x14ac:dyDescent="0.25">
      <c r="AA2855" s="56"/>
      <c r="AB2855" s="56"/>
      <c r="AC2855" s="56"/>
      <c r="AD2855" s="56"/>
      <c r="AE2855" s="56"/>
      <c r="AF2855" s="56"/>
      <c r="AG2855" s="56"/>
      <c r="AH2855" s="56"/>
      <c r="AI2855" s="56"/>
      <c r="AJ2855" s="56"/>
      <c r="AK2855" s="56"/>
      <c r="AL2855" s="56"/>
      <c r="AM2855" s="56"/>
      <c r="AN2855" s="56"/>
      <c r="AO2855" s="56"/>
      <c r="AP2855" s="56"/>
      <c r="AQ2855" s="56"/>
      <c r="AR2855" s="56"/>
      <c r="AS2855" s="56"/>
      <c r="AT2855" s="56"/>
      <c r="AU2855" s="56"/>
      <c r="AV2855" s="56"/>
      <c r="AW2855" s="56"/>
      <c r="AX2855" s="56"/>
      <c r="AY2855" s="56"/>
      <c r="AZ2855" s="56"/>
      <c r="BA2855" s="56"/>
      <c r="BB2855" s="16"/>
      <c r="BC2855" s="56"/>
      <c r="BD2855" s="56"/>
      <c r="BE2855" s="56"/>
      <c r="BF2855" s="56"/>
      <c r="BG2855" s="56"/>
      <c r="BH2855" s="56"/>
      <c r="BI2855" s="56"/>
      <c r="BJ2855" s="56"/>
      <c r="BK2855" s="56"/>
      <c r="BL2855" s="56"/>
      <c r="BM2855" s="56"/>
      <c r="BN2855" s="56"/>
      <c r="BO2855" s="56"/>
      <c r="BP2855" s="56"/>
      <c r="BQ2855" s="56"/>
      <c r="BR2855" s="56"/>
      <c r="BS2855" s="56"/>
      <c r="BT2855" s="56"/>
      <c r="BU2855" s="56"/>
      <c r="BV2855" s="56"/>
      <c r="BW2855" s="56"/>
      <c r="BX2855" s="56"/>
      <c r="BY2855" s="56"/>
      <c r="BZ2855" s="56"/>
      <c r="CA2855" s="56"/>
      <c r="CB2855" s="56"/>
      <c r="CC2855" s="56"/>
      <c r="CD2855" s="56"/>
      <c r="CE2855" s="56"/>
      <c r="CF2855" s="56"/>
      <c r="CG2855" s="56"/>
      <c r="CH2855" s="56"/>
      <c r="CI2855" s="56"/>
      <c r="CJ2855" s="56"/>
      <c r="CK2855" s="56"/>
      <c r="CL2855" s="56"/>
      <c r="CM2855" s="56"/>
      <c r="CN2855" s="56"/>
      <c r="CO2855" s="56"/>
      <c r="CP2855" s="56"/>
      <c r="CQ2855" s="56"/>
      <c r="CR2855" s="56"/>
      <c r="CS2855" s="56"/>
      <c r="CT2855" s="56"/>
      <c r="CU2855" s="56"/>
      <c r="CV2855" s="56"/>
      <c r="CW2855" s="56"/>
      <c r="CX2855" s="56"/>
      <c r="CY2855" s="56"/>
      <c r="CZ2855" s="56"/>
    </row>
    <row r="2856" spans="27:104" s="5" customFormat="1" x14ac:dyDescent="0.25">
      <c r="AA2856" s="56"/>
      <c r="AB2856" s="56"/>
      <c r="AC2856" s="56"/>
      <c r="AD2856" s="56"/>
      <c r="AE2856" s="56"/>
      <c r="AF2856" s="56"/>
      <c r="AG2856" s="56"/>
      <c r="AH2856" s="56"/>
      <c r="AI2856" s="56"/>
      <c r="AJ2856" s="56"/>
      <c r="AK2856" s="56"/>
      <c r="AL2856" s="56"/>
      <c r="AM2856" s="56"/>
      <c r="AN2856" s="56"/>
      <c r="AO2856" s="56"/>
      <c r="AP2856" s="56"/>
      <c r="AQ2856" s="56"/>
      <c r="AR2856" s="56"/>
      <c r="AS2856" s="56"/>
      <c r="AT2856" s="56"/>
      <c r="AU2856" s="56"/>
      <c r="AV2856" s="56"/>
      <c r="AW2856" s="56"/>
      <c r="AX2856" s="56"/>
      <c r="AY2856" s="56"/>
      <c r="AZ2856" s="56"/>
      <c r="BA2856" s="56"/>
      <c r="BB2856" s="16"/>
      <c r="BC2856" s="56"/>
      <c r="BD2856" s="56"/>
      <c r="BE2856" s="56"/>
      <c r="BF2856" s="56"/>
      <c r="BG2856" s="56"/>
      <c r="BH2856" s="56"/>
      <c r="BI2856" s="56"/>
      <c r="BJ2856" s="56"/>
      <c r="BK2856" s="56"/>
      <c r="BL2856" s="56"/>
      <c r="BM2856" s="56"/>
      <c r="BN2856" s="56"/>
      <c r="BO2856" s="56"/>
      <c r="BP2856" s="56"/>
      <c r="BQ2856" s="56"/>
      <c r="BR2856" s="56"/>
      <c r="BS2856" s="56"/>
      <c r="BT2856" s="56"/>
      <c r="BU2856" s="56"/>
      <c r="BV2856" s="56"/>
      <c r="BW2856" s="56"/>
      <c r="BX2856" s="56"/>
      <c r="BY2856" s="56"/>
      <c r="BZ2856" s="56"/>
      <c r="CA2856" s="56"/>
      <c r="CB2856" s="56"/>
      <c r="CC2856" s="56"/>
      <c r="CD2856" s="56"/>
      <c r="CE2856" s="56"/>
      <c r="CF2856" s="56"/>
      <c r="CG2856" s="56"/>
      <c r="CH2856" s="56"/>
      <c r="CI2856" s="56"/>
      <c r="CJ2856" s="56"/>
      <c r="CK2856" s="56"/>
      <c r="CL2856" s="56"/>
      <c r="CM2856" s="56"/>
      <c r="CN2856" s="56"/>
      <c r="CO2856" s="56"/>
      <c r="CP2856" s="56"/>
      <c r="CQ2856" s="56"/>
      <c r="CR2856" s="56"/>
      <c r="CS2856" s="56"/>
      <c r="CT2856" s="56"/>
      <c r="CU2856" s="56"/>
      <c r="CV2856" s="56"/>
      <c r="CW2856" s="56"/>
      <c r="CX2856" s="56"/>
      <c r="CY2856" s="56"/>
      <c r="CZ2856" s="56"/>
    </row>
    <row r="2857" spans="27:104" s="5" customFormat="1" x14ac:dyDescent="0.25">
      <c r="AA2857" s="56"/>
      <c r="AB2857" s="56"/>
      <c r="AC2857" s="56"/>
      <c r="AD2857" s="56"/>
      <c r="AE2857" s="56"/>
      <c r="AF2857" s="56"/>
      <c r="AG2857" s="56"/>
      <c r="AH2857" s="56"/>
      <c r="AI2857" s="56"/>
      <c r="AJ2857" s="56"/>
      <c r="AK2857" s="56"/>
      <c r="AL2857" s="56"/>
      <c r="AM2857" s="56"/>
      <c r="AN2857" s="56"/>
      <c r="AO2857" s="56"/>
      <c r="AP2857" s="56"/>
      <c r="AQ2857" s="56"/>
      <c r="AR2857" s="56"/>
      <c r="AS2857" s="56"/>
      <c r="AT2857" s="56"/>
      <c r="AU2857" s="56"/>
      <c r="AV2857" s="56"/>
      <c r="AW2857" s="56"/>
      <c r="AX2857" s="56"/>
      <c r="AY2857" s="56"/>
      <c r="AZ2857" s="56"/>
      <c r="BA2857" s="56"/>
      <c r="BB2857" s="16"/>
      <c r="BC2857" s="56"/>
      <c r="BD2857" s="56"/>
      <c r="BE2857" s="56"/>
      <c r="BF2857" s="56"/>
      <c r="BG2857" s="56"/>
      <c r="BH2857" s="56"/>
      <c r="BI2857" s="56"/>
      <c r="BJ2857" s="56"/>
      <c r="BK2857" s="56"/>
      <c r="BL2857" s="56"/>
      <c r="BM2857" s="56"/>
      <c r="BN2857" s="56"/>
      <c r="BO2857" s="56"/>
      <c r="BP2857" s="56"/>
      <c r="BQ2857" s="56"/>
      <c r="BR2857" s="56"/>
      <c r="BS2857" s="56"/>
      <c r="BT2857" s="56"/>
      <c r="BU2857" s="56"/>
      <c r="BV2857" s="56"/>
      <c r="BW2857" s="56"/>
      <c r="BX2857" s="56"/>
      <c r="BY2857" s="56"/>
      <c r="BZ2857" s="56"/>
      <c r="CA2857" s="56"/>
      <c r="CB2857" s="56"/>
      <c r="CC2857" s="56"/>
      <c r="CD2857" s="56"/>
      <c r="CE2857" s="56"/>
      <c r="CF2857" s="56"/>
      <c r="CG2857" s="56"/>
      <c r="CH2857" s="56"/>
      <c r="CI2857" s="56"/>
      <c r="CJ2857" s="56"/>
      <c r="CK2857" s="56"/>
      <c r="CL2857" s="56"/>
      <c r="CM2857" s="56"/>
      <c r="CN2857" s="56"/>
      <c r="CO2857" s="56"/>
      <c r="CP2857" s="56"/>
      <c r="CQ2857" s="56"/>
      <c r="CR2857" s="56"/>
      <c r="CS2857" s="56"/>
      <c r="CT2857" s="56"/>
      <c r="CU2857" s="56"/>
      <c r="CV2857" s="56"/>
      <c r="CW2857" s="56"/>
      <c r="CX2857" s="56"/>
      <c r="CY2857" s="56"/>
      <c r="CZ2857" s="56"/>
    </row>
    <row r="2858" spans="27:104" s="5" customFormat="1" x14ac:dyDescent="0.25">
      <c r="AA2858" s="56"/>
      <c r="AB2858" s="56"/>
      <c r="AC2858" s="56"/>
      <c r="AD2858" s="56"/>
      <c r="AE2858" s="56"/>
      <c r="AF2858" s="56"/>
      <c r="AG2858" s="56"/>
      <c r="AH2858" s="56"/>
      <c r="AI2858" s="56"/>
      <c r="AJ2858" s="56"/>
      <c r="AK2858" s="56"/>
      <c r="AL2858" s="56"/>
      <c r="AM2858" s="56"/>
      <c r="AN2858" s="56"/>
      <c r="AO2858" s="56"/>
      <c r="AP2858" s="56"/>
      <c r="AQ2858" s="56"/>
      <c r="AR2858" s="56"/>
      <c r="AS2858" s="56"/>
      <c r="AT2858" s="56"/>
      <c r="AU2858" s="56"/>
      <c r="AV2858" s="56"/>
      <c r="AW2858" s="56"/>
      <c r="AX2858" s="56"/>
      <c r="AY2858" s="56"/>
      <c r="AZ2858" s="56"/>
      <c r="BA2858" s="56"/>
      <c r="BB2858" s="16"/>
      <c r="BC2858" s="56"/>
      <c r="BD2858" s="56"/>
      <c r="BE2858" s="56"/>
      <c r="BF2858" s="56"/>
      <c r="BG2858" s="56"/>
      <c r="BH2858" s="56"/>
      <c r="BI2858" s="56"/>
      <c r="BJ2858" s="56"/>
      <c r="BK2858" s="56"/>
      <c r="BL2858" s="56"/>
      <c r="BM2858" s="56"/>
      <c r="BN2858" s="56"/>
      <c r="BO2858" s="56"/>
      <c r="BP2858" s="56"/>
      <c r="BQ2858" s="56"/>
      <c r="BR2858" s="56"/>
      <c r="BS2858" s="56"/>
      <c r="BT2858" s="56"/>
      <c r="BU2858" s="56"/>
      <c r="BV2858" s="56"/>
      <c r="BW2858" s="56"/>
      <c r="BX2858" s="56"/>
      <c r="BY2858" s="56"/>
      <c r="BZ2858" s="56"/>
      <c r="CA2858" s="56"/>
      <c r="CB2858" s="56"/>
      <c r="CC2858" s="56"/>
      <c r="CD2858" s="56"/>
      <c r="CE2858" s="56"/>
      <c r="CF2858" s="56"/>
      <c r="CG2858" s="56"/>
      <c r="CH2858" s="56"/>
      <c r="CI2858" s="56"/>
      <c r="CJ2858" s="56"/>
      <c r="CK2858" s="56"/>
      <c r="CL2858" s="56"/>
      <c r="CM2858" s="56"/>
      <c r="CN2858" s="56"/>
      <c r="CO2858" s="56"/>
      <c r="CP2858" s="56"/>
      <c r="CQ2858" s="56"/>
      <c r="CR2858" s="56"/>
      <c r="CS2858" s="56"/>
      <c r="CT2858" s="56"/>
      <c r="CU2858" s="56"/>
      <c r="CV2858" s="56"/>
      <c r="CW2858" s="56"/>
      <c r="CX2858" s="56"/>
      <c r="CY2858" s="56"/>
      <c r="CZ2858" s="56"/>
    </row>
    <row r="2859" spans="27:104" s="5" customFormat="1" x14ac:dyDescent="0.25">
      <c r="AA2859" s="56"/>
      <c r="AB2859" s="56"/>
      <c r="AC2859" s="56"/>
      <c r="AD2859" s="56"/>
      <c r="AE2859" s="56"/>
      <c r="AF2859" s="56"/>
      <c r="AG2859" s="56"/>
      <c r="AH2859" s="56"/>
      <c r="AI2859" s="56"/>
      <c r="AJ2859" s="56"/>
      <c r="AK2859" s="56"/>
      <c r="AL2859" s="56"/>
      <c r="AM2859" s="56"/>
      <c r="AN2859" s="56"/>
      <c r="AO2859" s="56"/>
      <c r="AP2859" s="56"/>
      <c r="AQ2859" s="56"/>
      <c r="AR2859" s="56"/>
      <c r="AS2859" s="56"/>
      <c r="AT2859" s="56"/>
      <c r="AU2859" s="56"/>
      <c r="AV2859" s="56"/>
      <c r="AW2859" s="56"/>
      <c r="AX2859" s="56"/>
      <c r="AY2859" s="56"/>
      <c r="AZ2859" s="56"/>
      <c r="BA2859" s="56"/>
      <c r="BB2859" s="16"/>
      <c r="BC2859" s="56"/>
      <c r="BD2859" s="56"/>
      <c r="BE2859" s="56"/>
      <c r="BF2859" s="56"/>
      <c r="BG2859" s="56"/>
      <c r="BH2859" s="56"/>
      <c r="BI2859" s="56"/>
      <c r="BJ2859" s="56"/>
      <c r="BK2859" s="56"/>
      <c r="BL2859" s="56"/>
      <c r="BM2859" s="56"/>
      <c r="BN2859" s="56"/>
      <c r="BO2859" s="56"/>
      <c r="BP2859" s="56"/>
      <c r="BQ2859" s="56"/>
      <c r="BR2859" s="56"/>
      <c r="BS2859" s="56"/>
      <c r="BT2859" s="56"/>
      <c r="BU2859" s="56"/>
      <c r="BV2859" s="56"/>
      <c r="BW2859" s="56"/>
      <c r="BX2859" s="56"/>
      <c r="BY2859" s="56"/>
      <c r="BZ2859" s="56"/>
      <c r="CA2859" s="56"/>
      <c r="CB2859" s="56"/>
      <c r="CC2859" s="56"/>
      <c r="CD2859" s="56"/>
      <c r="CE2859" s="56"/>
      <c r="CF2859" s="56"/>
      <c r="CG2859" s="56"/>
      <c r="CH2859" s="56"/>
      <c r="CI2859" s="56"/>
      <c r="CJ2859" s="56"/>
      <c r="CK2859" s="56"/>
      <c r="CL2859" s="56"/>
      <c r="CM2859" s="56"/>
      <c r="CN2859" s="56"/>
      <c r="CO2859" s="56"/>
      <c r="CP2859" s="56"/>
      <c r="CQ2859" s="56"/>
      <c r="CR2859" s="56"/>
      <c r="CS2859" s="56"/>
      <c r="CT2859" s="56"/>
      <c r="CU2859" s="56"/>
      <c r="CV2859" s="56"/>
      <c r="CW2859" s="56"/>
      <c r="CX2859" s="56"/>
      <c r="CY2859" s="56"/>
      <c r="CZ2859" s="56"/>
    </row>
    <row r="2860" spans="27:104" s="5" customFormat="1" x14ac:dyDescent="0.25">
      <c r="AA2860" s="56"/>
      <c r="AB2860" s="56"/>
      <c r="AC2860" s="56"/>
      <c r="AD2860" s="56"/>
      <c r="AE2860" s="56"/>
      <c r="AF2860" s="56"/>
      <c r="AG2860" s="56"/>
      <c r="AH2860" s="56"/>
      <c r="AI2860" s="56"/>
      <c r="AJ2860" s="56"/>
      <c r="AK2860" s="56"/>
      <c r="AL2860" s="56"/>
      <c r="AM2860" s="56"/>
      <c r="AN2860" s="56"/>
      <c r="AO2860" s="56"/>
      <c r="AP2860" s="56"/>
      <c r="AQ2860" s="56"/>
      <c r="AR2860" s="56"/>
      <c r="AS2860" s="56"/>
      <c r="AT2860" s="56"/>
      <c r="AU2860" s="56"/>
      <c r="AV2860" s="56"/>
      <c r="AW2860" s="56"/>
      <c r="AX2860" s="56"/>
      <c r="AY2860" s="56"/>
      <c r="AZ2860" s="56"/>
      <c r="BA2860" s="56"/>
      <c r="BB2860" s="16"/>
      <c r="BC2860" s="56"/>
      <c r="BD2860" s="56"/>
      <c r="BE2860" s="56"/>
      <c r="BF2860" s="56"/>
      <c r="BG2860" s="56"/>
      <c r="BH2860" s="56"/>
      <c r="BI2860" s="56"/>
      <c r="BJ2860" s="56"/>
      <c r="BK2860" s="56"/>
      <c r="BL2860" s="56"/>
      <c r="BM2860" s="56"/>
      <c r="BN2860" s="56"/>
      <c r="BO2860" s="56"/>
      <c r="BP2860" s="56"/>
      <c r="BQ2860" s="56"/>
      <c r="BR2860" s="56"/>
      <c r="BS2860" s="56"/>
      <c r="BT2860" s="56"/>
      <c r="BU2860" s="56"/>
      <c r="BV2860" s="56"/>
      <c r="BW2860" s="56"/>
      <c r="BX2860" s="56"/>
      <c r="BY2860" s="56"/>
      <c r="BZ2860" s="56"/>
      <c r="CA2860" s="56"/>
      <c r="CB2860" s="56"/>
      <c r="CC2860" s="56"/>
      <c r="CD2860" s="56"/>
      <c r="CE2860" s="56"/>
      <c r="CF2860" s="56"/>
      <c r="CG2860" s="56"/>
      <c r="CH2860" s="56"/>
      <c r="CI2860" s="56"/>
      <c r="CJ2860" s="56"/>
      <c r="CK2860" s="56"/>
      <c r="CL2860" s="56"/>
      <c r="CM2860" s="56"/>
      <c r="CN2860" s="56"/>
      <c r="CO2860" s="56"/>
      <c r="CP2860" s="56"/>
      <c r="CQ2860" s="56"/>
      <c r="CR2860" s="56"/>
      <c r="CS2860" s="56"/>
      <c r="CT2860" s="56"/>
      <c r="CU2860" s="56"/>
      <c r="CV2860" s="56"/>
      <c r="CW2860" s="56"/>
      <c r="CX2860" s="56"/>
      <c r="CY2860" s="56"/>
      <c r="CZ2860" s="56"/>
    </row>
    <row r="2861" spans="27:104" s="5" customFormat="1" x14ac:dyDescent="0.25">
      <c r="AA2861" s="56"/>
      <c r="AB2861" s="56"/>
      <c r="AC2861" s="56"/>
      <c r="AD2861" s="56"/>
      <c r="AE2861" s="56"/>
      <c r="AF2861" s="56"/>
      <c r="AG2861" s="56"/>
      <c r="AH2861" s="56"/>
      <c r="AI2861" s="56"/>
      <c r="AJ2861" s="56"/>
      <c r="AK2861" s="56"/>
      <c r="AL2861" s="56"/>
      <c r="AM2861" s="56"/>
      <c r="AN2861" s="56"/>
      <c r="AO2861" s="56"/>
      <c r="AP2861" s="56"/>
      <c r="AQ2861" s="56"/>
      <c r="AR2861" s="56"/>
      <c r="AS2861" s="56"/>
      <c r="AT2861" s="56"/>
      <c r="AU2861" s="56"/>
      <c r="AV2861" s="56"/>
      <c r="AW2861" s="56"/>
      <c r="AX2861" s="56"/>
      <c r="AY2861" s="56"/>
      <c r="AZ2861" s="56"/>
      <c r="BA2861" s="56"/>
      <c r="BB2861" s="16"/>
      <c r="BC2861" s="56"/>
      <c r="BD2861" s="56"/>
      <c r="BE2861" s="56"/>
      <c r="BF2861" s="56"/>
      <c r="BG2861" s="56"/>
      <c r="BH2861" s="56"/>
      <c r="BI2861" s="56"/>
      <c r="BJ2861" s="56"/>
      <c r="BK2861" s="56"/>
      <c r="BL2861" s="56"/>
      <c r="BM2861" s="56"/>
      <c r="BN2861" s="56"/>
      <c r="BO2861" s="56"/>
      <c r="BP2861" s="56"/>
      <c r="BQ2861" s="56"/>
      <c r="BR2861" s="56"/>
      <c r="BS2861" s="56"/>
      <c r="BT2861" s="56"/>
      <c r="BU2861" s="56"/>
      <c r="BV2861" s="56"/>
      <c r="BW2861" s="56"/>
      <c r="BX2861" s="56"/>
      <c r="BY2861" s="56"/>
      <c r="BZ2861" s="56"/>
      <c r="CA2861" s="56"/>
      <c r="CB2861" s="56"/>
      <c r="CC2861" s="56"/>
      <c r="CD2861" s="56"/>
      <c r="CE2861" s="56"/>
      <c r="CF2861" s="56"/>
      <c r="CG2861" s="56"/>
      <c r="CH2861" s="56"/>
      <c r="CI2861" s="56"/>
      <c r="CJ2861" s="56"/>
      <c r="CK2861" s="56"/>
      <c r="CL2861" s="56"/>
      <c r="CM2861" s="56"/>
      <c r="CN2861" s="56"/>
      <c r="CO2861" s="56"/>
      <c r="CP2861" s="56"/>
      <c r="CQ2861" s="56"/>
      <c r="CR2861" s="56"/>
      <c r="CS2861" s="56"/>
      <c r="CT2861" s="56"/>
      <c r="CU2861" s="56"/>
      <c r="CV2861" s="56"/>
      <c r="CW2861" s="56"/>
      <c r="CX2861" s="56"/>
      <c r="CY2861" s="56"/>
      <c r="CZ2861" s="56"/>
    </row>
    <row r="2862" spans="27:104" s="5" customFormat="1" x14ac:dyDescent="0.25">
      <c r="AA2862" s="56"/>
      <c r="AB2862" s="56"/>
      <c r="AC2862" s="56"/>
      <c r="AD2862" s="56"/>
      <c r="AE2862" s="56"/>
      <c r="AF2862" s="56"/>
      <c r="AG2862" s="56"/>
      <c r="AH2862" s="56"/>
      <c r="AI2862" s="56"/>
      <c r="AJ2862" s="56"/>
      <c r="AK2862" s="56"/>
      <c r="AL2862" s="56"/>
      <c r="AM2862" s="56"/>
      <c r="AN2862" s="56"/>
      <c r="AO2862" s="56"/>
      <c r="AP2862" s="56"/>
      <c r="AQ2862" s="56"/>
      <c r="AR2862" s="56"/>
      <c r="AS2862" s="56"/>
      <c r="AT2862" s="56"/>
      <c r="AU2862" s="56"/>
      <c r="AV2862" s="56"/>
      <c r="AW2862" s="56"/>
      <c r="AX2862" s="56"/>
      <c r="AY2862" s="56"/>
      <c r="AZ2862" s="56"/>
      <c r="BA2862" s="56"/>
      <c r="BB2862" s="16"/>
      <c r="BC2862" s="56"/>
      <c r="BD2862" s="56"/>
      <c r="BE2862" s="56"/>
      <c r="BF2862" s="56"/>
      <c r="BG2862" s="56"/>
      <c r="BH2862" s="56"/>
      <c r="BI2862" s="56"/>
      <c r="BJ2862" s="56"/>
      <c r="BK2862" s="56"/>
      <c r="BL2862" s="56"/>
      <c r="BM2862" s="56"/>
      <c r="BN2862" s="56"/>
      <c r="BO2862" s="56"/>
      <c r="BP2862" s="56"/>
      <c r="BQ2862" s="56"/>
      <c r="BR2862" s="56"/>
      <c r="BS2862" s="56"/>
      <c r="BT2862" s="56"/>
      <c r="BU2862" s="56"/>
      <c r="BV2862" s="56"/>
      <c r="BW2862" s="56"/>
      <c r="BX2862" s="56"/>
      <c r="BY2862" s="56"/>
      <c r="BZ2862" s="56"/>
      <c r="CA2862" s="56"/>
      <c r="CB2862" s="56"/>
      <c r="CC2862" s="56"/>
      <c r="CD2862" s="56"/>
      <c r="CE2862" s="56"/>
      <c r="CF2862" s="56"/>
      <c r="CG2862" s="56"/>
      <c r="CH2862" s="56"/>
      <c r="CI2862" s="56"/>
      <c r="CJ2862" s="56"/>
      <c r="CK2862" s="56"/>
      <c r="CL2862" s="56"/>
      <c r="CM2862" s="56"/>
      <c r="CN2862" s="56"/>
      <c r="CO2862" s="56"/>
      <c r="CP2862" s="56"/>
      <c r="CQ2862" s="56"/>
      <c r="CR2862" s="56"/>
      <c r="CS2862" s="56"/>
      <c r="CT2862" s="56"/>
      <c r="CU2862" s="56"/>
      <c r="CV2862" s="56"/>
      <c r="CW2862" s="56"/>
      <c r="CX2862" s="56"/>
      <c r="CY2862" s="56"/>
      <c r="CZ2862" s="56"/>
    </row>
    <row r="2863" spans="27:104" s="5" customFormat="1" x14ac:dyDescent="0.25">
      <c r="AA2863" s="56"/>
      <c r="AB2863" s="56"/>
      <c r="AC2863" s="56"/>
      <c r="AD2863" s="56"/>
      <c r="AE2863" s="56"/>
      <c r="AF2863" s="56"/>
      <c r="AG2863" s="56"/>
      <c r="AH2863" s="56"/>
      <c r="AI2863" s="56"/>
      <c r="AJ2863" s="56"/>
      <c r="AK2863" s="56"/>
      <c r="AL2863" s="56"/>
      <c r="AM2863" s="56"/>
      <c r="AN2863" s="56"/>
      <c r="AO2863" s="56"/>
      <c r="AP2863" s="56"/>
      <c r="AQ2863" s="56"/>
      <c r="AR2863" s="56"/>
      <c r="AS2863" s="56"/>
      <c r="AT2863" s="56"/>
      <c r="AU2863" s="56"/>
      <c r="AV2863" s="56"/>
      <c r="AW2863" s="56"/>
      <c r="AX2863" s="56"/>
      <c r="AY2863" s="56"/>
      <c r="AZ2863" s="56"/>
      <c r="BA2863" s="56"/>
      <c r="BB2863" s="16"/>
      <c r="BC2863" s="56"/>
      <c r="BD2863" s="56"/>
      <c r="BE2863" s="56"/>
      <c r="BF2863" s="56"/>
      <c r="BG2863" s="56"/>
      <c r="BH2863" s="56"/>
      <c r="BI2863" s="56"/>
      <c r="BJ2863" s="56"/>
      <c r="BK2863" s="56"/>
      <c r="BL2863" s="56"/>
      <c r="BM2863" s="56"/>
      <c r="BN2863" s="56"/>
      <c r="BO2863" s="56"/>
      <c r="BP2863" s="56"/>
      <c r="BQ2863" s="56"/>
      <c r="BR2863" s="56"/>
      <c r="BS2863" s="56"/>
      <c r="BT2863" s="56"/>
      <c r="BU2863" s="56"/>
      <c r="BV2863" s="56"/>
      <c r="BW2863" s="56"/>
      <c r="BX2863" s="56"/>
      <c r="BY2863" s="56"/>
      <c r="BZ2863" s="56"/>
      <c r="CA2863" s="56"/>
      <c r="CB2863" s="56"/>
      <c r="CC2863" s="56"/>
      <c r="CD2863" s="56"/>
      <c r="CE2863" s="56"/>
      <c r="CF2863" s="56"/>
      <c r="CG2863" s="56"/>
      <c r="CH2863" s="56"/>
      <c r="CI2863" s="56"/>
      <c r="CJ2863" s="56"/>
      <c r="CK2863" s="56"/>
      <c r="CL2863" s="56"/>
      <c r="CM2863" s="56"/>
      <c r="CN2863" s="56"/>
      <c r="CO2863" s="56"/>
      <c r="CP2863" s="56"/>
      <c r="CQ2863" s="56"/>
      <c r="CR2863" s="56"/>
      <c r="CS2863" s="56"/>
      <c r="CT2863" s="56"/>
      <c r="CU2863" s="56"/>
      <c r="CV2863" s="56"/>
      <c r="CW2863" s="56"/>
      <c r="CX2863" s="56"/>
      <c r="CY2863" s="56"/>
      <c r="CZ2863" s="56"/>
    </row>
    <row r="2864" spans="27:104" s="5" customFormat="1" x14ac:dyDescent="0.25">
      <c r="AA2864" s="56"/>
      <c r="AB2864" s="56"/>
      <c r="AC2864" s="56"/>
      <c r="AD2864" s="56"/>
      <c r="AE2864" s="56"/>
      <c r="AF2864" s="56"/>
      <c r="AG2864" s="56"/>
      <c r="AH2864" s="56"/>
      <c r="AI2864" s="56"/>
      <c r="AJ2864" s="56"/>
      <c r="AK2864" s="56"/>
      <c r="AL2864" s="56"/>
      <c r="AM2864" s="56"/>
      <c r="AN2864" s="56"/>
      <c r="AO2864" s="56"/>
      <c r="AP2864" s="56"/>
      <c r="AQ2864" s="56"/>
      <c r="AR2864" s="56"/>
      <c r="AS2864" s="56"/>
      <c r="AT2864" s="56"/>
      <c r="AU2864" s="56"/>
      <c r="AV2864" s="56"/>
      <c r="AW2864" s="56"/>
      <c r="AX2864" s="56"/>
      <c r="AY2864" s="56"/>
      <c r="AZ2864" s="56"/>
      <c r="BA2864" s="56"/>
      <c r="BB2864" s="16"/>
      <c r="BC2864" s="56"/>
      <c r="BD2864" s="56"/>
      <c r="BE2864" s="56"/>
      <c r="BF2864" s="56"/>
      <c r="BG2864" s="56"/>
      <c r="BH2864" s="56"/>
      <c r="BI2864" s="56"/>
      <c r="BJ2864" s="56"/>
      <c r="BK2864" s="56"/>
      <c r="BL2864" s="56"/>
      <c r="BM2864" s="56"/>
      <c r="BN2864" s="56"/>
      <c r="BO2864" s="56"/>
      <c r="BP2864" s="56"/>
      <c r="BQ2864" s="56"/>
      <c r="BR2864" s="56"/>
      <c r="BS2864" s="56"/>
      <c r="BT2864" s="56"/>
      <c r="BU2864" s="56"/>
      <c r="BV2864" s="56"/>
      <c r="BW2864" s="56"/>
      <c r="BX2864" s="56"/>
      <c r="BY2864" s="56"/>
      <c r="BZ2864" s="56"/>
      <c r="CA2864" s="56"/>
      <c r="CB2864" s="56"/>
      <c r="CC2864" s="56"/>
      <c r="CD2864" s="56"/>
      <c r="CE2864" s="56"/>
      <c r="CF2864" s="56"/>
      <c r="CG2864" s="56"/>
      <c r="CH2864" s="56"/>
      <c r="CI2864" s="56"/>
      <c r="CJ2864" s="56"/>
      <c r="CK2864" s="56"/>
      <c r="CL2864" s="56"/>
      <c r="CM2864" s="56"/>
      <c r="CN2864" s="56"/>
      <c r="CO2864" s="56"/>
      <c r="CP2864" s="56"/>
      <c r="CQ2864" s="56"/>
      <c r="CR2864" s="56"/>
      <c r="CS2864" s="56"/>
      <c r="CT2864" s="56"/>
      <c r="CU2864" s="56"/>
      <c r="CV2864" s="56"/>
      <c r="CW2864" s="56"/>
      <c r="CX2864" s="56"/>
      <c r="CY2864" s="56"/>
      <c r="CZ2864" s="56"/>
    </row>
    <row r="2865" spans="27:104" s="5" customFormat="1" x14ac:dyDescent="0.25">
      <c r="AA2865" s="56"/>
      <c r="AB2865" s="56"/>
      <c r="AC2865" s="56"/>
      <c r="AD2865" s="56"/>
      <c r="AE2865" s="56"/>
      <c r="AF2865" s="56"/>
      <c r="AG2865" s="56"/>
      <c r="AH2865" s="56"/>
      <c r="AI2865" s="56"/>
      <c r="AJ2865" s="56"/>
      <c r="AK2865" s="56"/>
      <c r="AL2865" s="56"/>
      <c r="AM2865" s="56"/>
      <c r="AN2865" s="56"/>
      <c r="AO2865" s="56"/>
      <c r="AP2865" s="56"/>
      <c r="AQ2865" s="56"/>
      <c r="AR2865" s="56"/>
      <c r="AS2865" s="56"/>
      <c r="AT2865" s="56"/>
      <c r="AU2865" s="56"/>
      <c r="AV2865" s="56"/>
      <c r="AW2865" s="56"/>
      <c r="AX2865" s="56"/>
      <c r="AY2865" s="56"/>
      <c r="AZ2865" s="56"/>
      <c r="BA2865" s="56"/>
      <c r="BB2865" s="16"/>
      <c r="BC2865" s="56"/>
      <c r="BD2865" s="56"/>
      <c r="BE2865" s="56"/>
      <c r="BF2865" s="56"/>
      <c r="BG2865" s="56"/>
      <c r="BH2865" s="56"/>
      <c r="BI2865" s="56"/>
      <c r="BJ2865" s="56"/>
      <c r="BK2865" s="56"/>
      <c r="BL2865" s="56"/>
      <c r="BM2865" s="56"/>
      <c r="BN2865" s="56"/>
      <c r="BO2865" s="56"/>
      <c r="BP2865" s="56"/>
      <c r="BQ2865" s="56"/>
      <c r="BR2865" s="56"/>
      <c r="BS2865" s="56"/>
      <c r="BT2865" s="56"/>
      <c r="BU2865" s="56"/>
      <c r="BV2865" s="56"/>
      <c r="BW2865" s="56"/>
      <c r="BX2865" s="56"/>
      <c r="BY2865" s="56"/>
      <c r="BZ2865" s="56"/>
      <c r="CA2865" s="56"/>
      <c r="CB2865" s="56"/>
      <c r="CC2865" s="56"/>
      <c r="CD2865" s="56"/>
      <c r="CE2865" s="56"/>
      <c r="CF2865" s="56"/>
      <c r="CG2865" s="56"/>
      <c r="CH2865" s="56"/>
      <c r="CI2865" s="56"/>
      <c r="CJ2865" s="56"/>
      <c r="CK2865" s="56"/>
      <c r="CL2865" s="56"/>
      <c r="CM2865" s="56"/>
      <c r="CN2865" s="56"/>
      <c r="CO2865" s="56"/>
      <c r="CP2865" s="56"/>
      <c r="CQ2865" s="56"/>
      <c r="CR2865" s="56"/>
      <c r="CS2865" s="56"/>
      <c r="CT2865" s="56"/>
      <c r="CU2865" s="56"/>
      <c r="CV2865" s="56"/>
      <c r="CW2865" s="56"/>
      <c r="CX2865" s="56"/>
      <c r="CY2865" s="56"/>
      <c r="CZ2865" s="56"/>
    </row>
    <row r="2866" spans="27:104" s="5" customFormat="1" x14ac:dyDescent="0.25">
      <c r="AA2866" s="56"/>
      <c r="AB2866" s="56"/>
      <c r="AC2866" s="56"/>
      <c r="AD2866" s="56"/>
      <c r="AE2866" s="56"/>
      <c r="AF2866" s="56"/>
      <c r="AG2866" s="56"/>
      <c r="AH2866" s="56"/>
      <c r="AI2866" s="56"/>
      <c r="AJ2866" s="56"/>
      <c r="AK2866" s="56"/>
      <c r="AL2866" s="56"/>
      <c r="AM2866" s="56"/>
      <c r="AN2866" s="56"/>
      <c r="AO2866" s="56"/>
      <c r="AP2866" s="56"/>
      <c r="AQ2866" s="56"/>
      <c r="AR2866" s="56"/>
      <c r="AS2866" s="56"/>
      <c r="AT2866" s="56"/>
      <c r="AU2866" s="56"/>
      <c r="AV2866" s="56"/>
      <c r="AW2866" s="56"/>
      <c r="AX2866" s="56"/>
      <c r="AY2866" s="56"/>
      <c r="AZ2866" s="56"/>
      <c r="BA2866" s="56"/>
      <c r="BB2866" s="16"/>
      <c r="BC2866" s="56"/>
      <c r="BD2866" s="56"/>
      <c r="BE2866" s="56"/>
      <c r="BF2866" s="56"/>
      <c r="BG2866" s="56"/>
      <c r="BH2866" s="56"/>
      <c r="BI2866" s="56"/>
      <c r="BJ2866" s="56"/>
      <c r="BK2866" s="56"/>
      <c r="BL2866" s="56"/>
      <c r="BM2866" s="56"/>
      <c r="BN2866" s="56"/>
      <c r="BO2866" s="56"/>
      <c r="BP2866" s="56"/>
      <c r="BQ2866" s="56"/>
      <c r="BR2866" s="56"/>
      <c r="BS2866" s="56"/>
      <c r="BT2866" s="56"/>
      <c r="BU2866" s="56"/>
      <c r="BV2866" s="56"/>
      <c r="BW2866" s="56"/>
      <c r="BX2866" s="56"/>
      <c r="BY2866" s="56"/>
      <c r="BZ2866" s="56"/>
      <c r="CA2866" s="56"/>
      <c r="CB2866" s="56"/>
      <c r="CC2866" s="56"/>
      <c r="CD2866" s="56"/>
      <c r="CE2866" s="56"/>
      <c r="CF2866" s="56"/>
      <c r="CG2866" s="56"/>
      <c r="CH2866" s="56"/>
      <c r="CI2866" s="56"/>
      <c r="CJ2866" s="56"/>
      <c r="CK2866" s="56"/>
      <c r="CL2866" s="56"/>
      <c r="CM2866" s="56"/>
      <c r="CN2866" s="56"/>
      <c r="CO2866" s="56"/>
      <c r="CP2866" s="56"/>
      <c r="CQ2866" s="56"/>
      <c r="CR2866" s="56"/>
      <c r="CS2866" s="56"/>
      <c r="CT2866" s="56"/>
      <c r="CU2866" s="56"/>
      <c r="CV2866" s="56"/>
      <c r="CW2866" s="56"/>
      <c r="CX2866" s="56"/>
      <c r="CY2866" s="56"/>
      <c r="CZ2866" s="56"/>
    </row>
    <row r="2867" spans="27:104" s="5" customFormat="1" x14ac:dyDescent="0.25">
      <c r="AA2867" s="56"/>
      <c r="AB2867" s="56"/>
      <c r="AC2867" s="56"/>
      <c r="AD2867" s="56"/>
      <c r="AE2867" s="56"/>
      <c r="AF2867" s="56"/>
      <c r="AG2867" s="56"/>
      <c r="AH2867" s="56"/>
      <c r="AI2867" s="56"/>
      <c r="AJ2867" s="56"/>
      <c r="AK2867" s="56"/>
      <c r="AL2867" s="56"/>
      <c r="AM2867" s="56"/>
      <c r="AN2867" s="56"/>
      <c r="AO2867" s="56"/>
      <c r="AP2867" s="56"/>
      <c r="AQ2867" s="56"/>
      <c r="AR2867" s="56"/>
      <c r="AS2867" s="56"/>
      <c r="AT2867" s="56"/>
      <c r="AU2867" s="56"/>
      <c r="AV2867" s="56"/>
      <c r="AW2867" s="56"/>
      <c r="AX2867" s="56"/>
      <c r="AY2867" s="56"/>
      <c r="AZ2867" s="56"/>
      <c r="BA2867" s="56"/>
      <c r="BB2867" s="16"/>
      <c r="BC2867" s="56"/>
      <c r="BD2867" s="56"/>
      <c r="BE2867" s="56"/>
      <c r="BF2867" s="56"/>
      <c r="BG2867" s="56"/>
      <c r="BH2867" s="56"/>
      <c r="BI2867" s="56"/>
      <c r="BJ2867" s="56"/>
      <c r="BK2867" s="56"/>
      <c r="BL2867" s="56"/>
      <c r="BM2867" s="56"/>
      <c r="BN2867" s="56"/>
      <c r="BO2867" s="56"/>
      <c r="BP2867" s="56"/>
      <c r="BQ2867" s="56"/>
      <c r="BR2867" s="56"/>
      <c r="BS2867" s="56"/>
      <c r="BT2867" s="56"/>
      <c r="BU2867" s="56"/>
      <c r="BV2867" s="56"/>
      <c r="BW2867" s="56"/>
      <c r="BX2867" s="56"/>
      <c r="BY2867" s="56"/>
      <c r="BZ2867" s="56"/>
      <c r="CA2867" s="56"/>
      <c r="CB2867" s="56"/>
      <c r="CC2867" s="56"/>
      <c r="CD2867" s="56"/>
      <c r="CE2867" s="56"/>
      <c r="CF2867" s="56"/>
      <c r="CG2867" s="56"/>
      <c r="CH2867" s="56"/>
      <c r="CI2867" s="56"/>
      <c r="CJ2867" s="56"/>
      <c r="CK2867" s="56"/>
      <c r="CL2867" s="56"/>
      <c r="CM2867" s="56"/>
      <c r="CN2867" s="56"/>
      <c r="CO2867" s="56"/>
      <c r="CP2867" s="56"/>
      <c r="CQ2867" s="56"/>
      <c r="CR2867" s="56"/>
      <c r="CS2867" s="56"/>
      <c r="CT2867" s="56"/>
      <c r="CU2867" s="56"/>
      <c r="CV2867" s="56"/>
      <c r="CW2867" s="56"/>
      <c r="CX2867" s="56"/>
      <c r="CY2867" s="56"/>
      <c r="CZ2867" s="56"/>
    </row>
    <row r="2868" spans="27:104" s="5" customFormat="1" x14ac:dyDescent="0.25">
      <c r="AA2868" s="56"/>
      <c r="AB2868" s="56"/>
      <c r="AC2868" s="56"/>
      <c r="AD2868" s="56"/>
      <c r="AE2868" s="56"/>
      <c r="AF2868" s="56"/>
      <c r="AG2868" s="56"/>
      <c r="AH2868" s="56"/>
      <c r="AI2868" s="56"/>
      <c r="AJ2868" s="56"/>
      <c r="AK2868" s="56"/>
      <c r="AL2868" s="56"/>
      <c r="AM2868" s="56"/>
      <c r="AN2868" s="56"/>
      <c r="AO2868" s="56"/>
      <c r="AP2868" s="56"/>
      <c r="AQ2868" s="56"/>
      <c r="AR2868" s="56"/>
      <c r="AS2868" s="56"/>
      <c r="AT2868" s="56"/>
      <c r="AU2868" s="56"/>
      <c r="AV2868" s="56"/>
      <c r="AW2868" s="56"/>
      <c r="AX2868" s="56"/>
      <c r="AY2868" s="56"/>
      <c r="AZ2868" s="56"/>
      <c r="BA2868" s="56"/>
      <c r="BB2868" s="16"/>
      <c r="BC2868" s="56"/>
      <c r="BD2868" s="56"/>
      <c r="BE2868" s="56"/>
      <c r="BF2868" s="56"/>
      <c r="BG2868" s="56"/>
      <c r="BH2868" s="56"/>
      <c r="BI2868" s="56"/>
      <c r="BJ2868" s="56"/>
      <c r="BK2868" s="56"/>
      <c r="BL2868" s="56"/>
      <c r="BM2868" s="56"/>
      <c r="BN2868" s="56"/>
      <c r="BO2868" s="56"/>
      <c r="BP2868" s="56"/>
      <c r="BQ2868" s="56"/>
      <c r="BR2868" s="56"/>
      <c r="BS2868" s="56"/>
      <c r="BT2868" s="56"/>
      <c r="BU2868" s="56"/>
      <c r="BV2868" s="56"/>
      <c r="BW2868" s="56"/>
      <c r="BX2868" s="56"/>
      <c r="BY2868" s="56"/>
      <c r="BZ2868" s="56"/>
      <c r="CA2868" s="56"/>
      <c r="CB2868" s="56"/>
      <c r="CC2868" s="56"/>
      <c r="CD2868" s="56"/>
      <c r="CE2868" s="56"/>
      <c r="CF2868" s="56"/>
      <c r="CG2868" s="56"/>
      <c r="CH2868" s="56"/>
      <c r="CI2868" s="56"/>
      <c r="CJ2868" s="56"/>
      <c r="CK2868" s="56"/>
      <c r="CL2868" s="56"/>
      <c r="CM2868" s="56"/>
      <c r="CN2868" s="56"/>
      <c r="CO2868" s="56"/>
      <c r="CP2868" s="56"/>
      <c r="CQ2868" s="56"/>
      <c r="CR2868" s="56"/>
      <c r="CS2868" s="56"/>
      <c r="CT2868" s="56"/>
      <c r="CU2868" s="56"/>
      <c r="CV2868" s="56"/>
      <c r="CW2868" s="56"/>
      <c r="CX2868" s="56"/>
      <c r="CY2868" s="56"/>
      <c r="CZ2868" s="56"/>
    </row>
    <row r="2869" spans="27:104" s="5" customFormat="1" x14ac:dyDescent="0.25">
      <c r="AA2869" s="56"/>
      <c r="AB2869" s="56"/>
      <c r="AC2869" s="56"/>
      <c r="AD2869" s="56"/>
      <c r="AE2869" s="56"/>
      <c r="AF2869" s="56"/>
      <c r="AG2869" s="56"/>
      <c r="AH2869" s="56"/>
      <c r="AI2869" s="56"/>
      <c r="AJ2869" s="56"/>
      <c r="AK2869" s="56"/>
      <c r="AL2869" s="56"/>
      <c r="AM2869" s="56"/>
      <c r="AN2869" s="56"/>
      <c r="AO2869" s="56"/>
      <c r="AP2869" s="56"/>
      <c r="AQ2869" s="56"/>
      <c r="AR2869" s="56"/>
      <c r="AS2869" s="56"/>
      <c r="AT2869" s="56"/>
      <c r="AU2869" s="56"/>
      <c r="AV2869" s="56"/>
      <c r="AW2869" s="56"/>
      <c r="AX2869" s="56"/>
      <c r="AY2869" s="56"/>
      <c r="AZ2869" s="56"/>
      <c r="BA2869" s="56"/>
      <c r="BB2869" s="16"/>
      <c r="BC2869" s="56"/>
      <c r="BD2869" s="56"/>
      <c r="BE2869" s="56"/>
      <c r="BF2869" s="56"/>
      <c r="BG2869" s="56"/>
      <c r="BH2869" s="56"/>
      <c r="BI2869" s="56"/>
      <c r="BJ2869" s="56"/>
      <c r="BK2869" s="56"/>
      <c r="BL2869" s="56"/>
      <c r="BM2869" s="56"/>
      <c r="BN2869" s="56"/>
      <c r="BO2869" s="56"/>
      <c r="BP2869" s="56"/>
      <c r="BQ2869" s="56"/>
      <c r="BR2869" s="56"/>
      <c r="BS2869" s="56"/>
      <c r="BT2869" s="56"/>
      <c r="BU2869" s="56"/>
      <c r="BV2869" s="56"/>
      <c r="BW2869" s="56"/>
      <c r="BX2869" s="56"/>
      <c r="BY2869" s="56"/>
      <c r="BZ2869" s="56"/>
      <c r="CA2869" s="56"/>
      <c r="CB2869" s="56"/>
      <c r="CC2869" s="56"/>
      <c r="CD2869" s="56"/>
      <c r="CE2869" s="56"/>
      <c r="CF2869" s="56"/>
      <c r="CG2869" s="56"/>
      <c r="CH2869" s="56"/>
      <c r="CI2869" s="56"/>
      <c r="CJ2869" s="56"/>
      <c r="CK2869" s="56"/>
      <c r="CL2869" s="56"/>
      <c r="CM2869" s="56"/>
      <c r="CN2869" s="56"/>
      <c r="CO2869" s="56"/>
      <c r="CP2869" s="56"/>
      <c r="CQ2869" s="56"/>
      <c r="CR2869" s="56"/>
      <c r="CS2869" s="56"/>
      <c r="CT2869" s="56"/>
      <c r="CU2869" s="56"/>
      <c r="CV2869" s="56"/>
      <c r="CW2869" s="56"/>
      <c r="CX2869" s="56"/>
      <c r="CY2869" s="56"/>
      <c r="CZ2869" s="56"/>
    </row>
    <row r="2870" spans="27:104" s="5" customFormat="1" x14ac:dyDescent="0.25">
      <c r="AA2870" s="56"/>
      <c r="AB2870" s="56"/>
      <c r="AC2870" s="56"/>
      <c r="AD2870" s="56"/>
      <c r="AE2870" s="56"/>
      <c r="AF2870" s="56"/>
      <c r="AG2870" s="56"/>
      <c r="AH2870" s="56"/>
      <c r="AI2870" s="56"/>
      <c r="AJ2870" s="56"/>
      <c r="AK2870" s="56"/>
      <c r="AL2870" s="56"/>
      <c r="AM2870" s="56"/>
      <c r="AN2870" s="56"/>
      <c r="AO2870" s="56"/>
      <c r="AP2870" s="56"/>
      <c r="AQ2870" s="56"/>
      <c r="AR2870" s="56"/>
      <c r="AS2870" s="56"/>
      <c r="AT2870" s="56"/>
      <c r="AU2870" s="56"/>
      <c r="AV2870" s="56"/>
      <c r="AW2870" s="56"/>
      <c r="AX2870" s="56"/>
      <c r="AY2870" s="56"/>
      <c r="AZ2870" s="56"/>
      <c r="BA2870" s="56"/>
      <c r="BB2870" s="16"/>
      <c r="BC2870" s="56"/>
      <c r="BD2870" s="56"/>
      <c r="BE2870" s="56"/>
      <c r="BF2870" s="56"/>
      <c r="BG2870" s="56"/>
      <c r="BH2870" s="56"/>
      <c r="BI2870" s="56"/>
      <c r="BJ2870" s="56"/>
      <c r="BK2870" s="56"/>
      <c r="BL2870" s="56"/>
      <c r="BM2870" s="56"/>
      <c r="BN2870" s="56"/>
      <c r="BO2870" s="56"/>
      <c r="BP2870" s="56"/>
      <c r="BQ2870" s="56"/>
      <c r="BR2870" s="56"/>
      <c r="BS2870" s="56"/>
      <c r="BT2870" s="56"/>
      <c r="BU2870" s="56"/>
      <c r="BV2870" s="56"/>
      <c r="BW2870" s="56"/>
      <c r="BX2870" s="56"/>
      <c r="BY2870" s="56"/>
      <c r="BZ2870" s="56"/>
      <c r="CA2870" s="56"/>
      <c r="CB2870" s="56"/>
      <c r="CC2870" s="56"/>
      <c r="CD2870" s="56"/>
      <c r="CE2870" s="56"/>
      <c r="CF2870" s="56"/>
      <c r="CG2870" s="56"/>
      <c r="CH2870" s="56"/>
      <c r="CI2870" s="56"/>
      <c r="CJ2870" s="56"/>
      <c r="CK2870" s="56"/>
      <c r="CL2870" s="56"/>
      <c r="CM2870" s="56"/>
      <c r="CN2870" s="56"/>
      <c r="CO2870" s="56"/>
      <c r="CP2870" s="56"/>
      <c r="CQ2870" s="56"/>
      <c r="CR2870" s="56"/>
      <c r="CS2870" s="56"/>
      <c r="CT2870" s="56"/>
      <c r="CU2870" s="56"/>
      <c r="CV2870" s="56"/>
      <c r="CW2870" s="56"/>
      <c r="CX2870" s="56"/>
      <c r="CY2870" s="56"/>
      <c r="CZ2870" s="56"/>
    </row>
    <row r="2871" spans="27:104" s="5" customFormat="1" x14ac:dyDescent="0.25">
      <c r="AA2871" s="56"/>
      <c r="AB2871" s="56"/>
      <c r="AC2871" s="56"/>
      <c r="AD2871" s="56"/>
      <c r="AE2871" s="56"/>
      <c r="AF2871" s="56"/>
      <c r="AG2871" s="56"/>
      <c r="AH2871" s="56"/>
      <c r="AI2871" s="56"/>
      <c r="AJ2871" s="56"/>
      <c r="AK2871" s="56"/>
      <c r="AL2871" s="56"/>
      <c r="AM2871" s="56"/>
      <c r="AN2871" s="56"/>
      <c r="AO2871" s="56"/>
      <c r="AP2871" s="56"/>
      <c r="AQ2871" s="56"/>
      <c r="AR2871" s="56"/>
      <c r="AS2871" s="56"/>
      <c r="AT2871" s="56"/>
      <c r="AU2871" s="56"/>
      <c r="AV2871" s="56"/>
      <c r="AW2871" s="56"/>
      <c r="AX2871" s="56"/>
      <c r="AY2871" s="56"/>
      <c r="AZ2871" s="56"/>
      <c r="BA2871" s="56"/>
      <c r="BB2871" s="16"/>
      <c r="BC2871" s="56"/>
      <c r="BD2871" s="56"/>
      <c r="BE2871" s="56"/>
      <c r="BF2871" s="56"/>
      <c r="BG2871" s="56"/>
      <c r="BH2871" s="56"/>
      <c r="BI2871" s="56"/>
      <c r="BJ2871" s="56"/>
      <c r="BK2871" s="56"/>
      <c r="BL2871" s="56"/>
      <c r="BM2871" s="56"/>
      <c r="BN2871" s="56"/>
      <c r="BO2871" s="56"/>
      <c r="BP2871" s="56"/>
      <c r="BQ2871" s="56"/>
      <c r="BR2871" s="56"/>
      <c r="BS2871" s="56"/>
      <c r="BT2871" s="56"/>
      <c r="BU2871" s="56"/>
      <c r="BV2871" s="56"/>
      <c r="BW2871" s="56"/>
      <c r="BX2871" s="56"/>
      <c r="BY2871" s="56"/>
      <c r="BZ2871" s="56"/>
      <c r="CA2871" s="56"/>
      <c r="CB2871" s="56"/>
      <c r="CC2871" s="56"/>
      <c r="CD2871" s="56"/>
      <c r="CE2871" s="56"/>
      <c r="CF2871" s="56"/>
      <c r="CG2871" s="56"/>
      <c r="CH2871" s="56"/>
      <c r="CI2871" s="56"/>
      <c r="CJ2871" s="56"/>
      <c r="CK2871" s="56"/>
      <c r="CL2871" s="56"/>
      <c r="CM2871" s="56"/>
      <c r="CN2871" s="56"/>
      <c r="CO2871" s="56"/>
      <c r="CP2871" s="56"/>
      <c r="CQ2871" s="56"/>
      <c r="CR2871" s="56"/>
      <c r="CS2871" s="56"/>
      <c r="CT2871" s="56"/>
      <c r="CU2871" s="56"/>
      <c r="CV2871" s="56"/>
      <c r="CW2871" s="56"/>
      <c r="CX2871" s="56"/>
      <c r="CY2871" s="56"/>
      <c r="CZ2871" s="56"/>
    </row>
    <row r="2872" spans="27:104" s="5" customFormat="1" x14ac:dyDescent="0.25">
      <c r="AA2872" s="56"/>
      <c r="AB2872" s="56"/>
      <c r="AC2872" s="56"/>
      <c r="AD2872" s="56"/>
      <c r="AE2872" s="56"/>
      <c r="AF2872" s="56"/>
      <c r="AG2872" s="56"/>
      <c r="AH2872" s="56"/>
      <c r="AI2872" s="56"/>
      <c r="AJ2872" s="56"/>
      <c r="AK2872" s="56"/>
      <c r="AL2872" s="56"/>
      <c r="AM2872" s="56"/>
      <c r="AN2872" s="56"/>
      <c r="AO2872" s="56"/>
      <c r="AP2872" s="56"/>
      <c r="AQ2872" s="56"/>
      <c r="AR2872" s="56"/>
      <c r="AS2872" s="56"/>
      <c r="AT2872" s="56"/>
      <c r="AU2872" s="56"/>
      <c r="AV2872" s="56"/>
      <c r="AW2872" s="56"/>
      <c r="AX2872" s="56"/>
      <c r="AY2872" s="56"/>
      <c r="AZ2872" s="56"/>
      <c r="BA2872" s="56"/>
      <c r="BB2872" s="16"/>
      <c r="BC2872" s="56"/>
      <c r="BD2872" s="56"/>
      <c r="BE2872" s="56"/>
      <c r="BF2872" s="56"/>
      <c r="BG2872" s="56"/>
      <c r="BH2872" s="56"/>
      <c r="BI2872" s="56"/>
      <c r="BJ2872" s="56"/>
      <c r="BK2872" s="56"/>
      <c r="BL2872" s="56"/>
      <c r="BM2872" s="56"/>
      <c r="BN2872" s="56"/>
      <c r="BO2872" s="56"/>
      <c r="BP2872" s="56"/>
      <c r="BQ2872" s="56"/>
      <c r="BR2872" s="56"/>
      <c r="BS2872" s="56"/>
      <c r="BT2872" s="56"/>
      <c r="BU2872" s="56"/>
      <c r="BV2872" s="56"/>
      <c r="BW2872" s="56"/>
      <c r="BX2872" s="56"/>
      <c r="BY2872" s="56"/>
      <c r="BZ2872" s="56"/>
      <c r="CA2872" s="56"/>
      <c r="CB2872" s="56"/>
      <c r="CC2872" s="56"/>
      <c r="CD2872" s="56"/>
      <c r="CE2872" s="56"/>
      <c r="CF2872" s="56"/>
      <c r="CG2872" s="56"/>
      <c r="CH2872" s="56"/>
      <c r="CI2872" s="56"/>
      <c r="CJ2872" s="56"/>
      <c r="CK2872" s="56"/>
      <c r="CL2872" s="56"/>
      <c r="CM2872" s="56"/>
      <c r="CN2872" s="56"/>
      <c r="CO2872" s="56"/>
      <c r="CP2872" s="56"/>
      <c r="CQ2872" s="56"/>
      <c r="CR2872" s="56"/>
      <c r="CS2872" s="56"/>
      <c r="CT2872" s="56"/>
      <c r="CU2872" s="56"/>
      <c r="CV2872" s="56"/>
      <c r="CW2872" s="56"/>
      <c r="CX2872" s="56"/>
      <c r="CY2872" s="56"/>
      <c r="CZ2872" s="56"/>
    </row>
    <row r="2873" spans="27:104" s="5" customFormat="1" x14ac:dyDescent="0.25">
      <c r="AA2873" s="56"/>
      <c r="AB2873" s="56"/>
      <c r="AC2873" s="56"/>
      <c r="AD2873" s="56"/>
      <c r="AE2873" s="56"/>
      <c r="AF2873" s="56"/>
      <c r="AG2873" s="56"/>
      <c r="AH2873" s="56"/>
      <c r="AI2873" s="56"/>
      <c r="AJ2873" s="56"/>
      <c r="AK2873" s="56"/>
      <c r="AL2873" s="56"/>
      <c r="AM2873" s="56"/>
      <c r="AN2873" s="56"/>
      <c r="AO2873" s="56"/>
      <c r="AP2873" s="56"/>
      <c r="AQ2873" s="56"/>
      <c r="AR2873" s="56"/>
      <c r="AS2873" s="56"/>
      <c r="AT2873" s="56"/>
      <c r="AU2873" s="56"/>
      <c r="AV2873" s="56"/>
      <c r="AW2873" s="56"/>
      <c r="AX2873" s="56"/>
      <c r="AY2873" s="56"/>
      <c r="AZ2873" s="56"/>
      <c r="BA2873" s="56"/>
      <c r="BB2873" s="16"/>
      <c r="BC2873" s="56"/>
      <c r="BD2873" s="56"/>
      <c r="BE2873" s="56"/>
      <c r="BF2873" s="56"/>
      <c r="BG2873" s="56"/>
      <c r="BH2873" s="56"/>
      <c r="BI2873" s="56"/>
      <c r="BJ2873" s="56"/>
      <c r="BK2873" s="56"/>
      <c r="BL2873" s="56"/>
      <c r="BM2873" s="56"/>
      <c r="BN2873" s="56"/>
      <c r="BO2873" s="56"/>
      <c r="BP2873" s="56"/>
      <c r="BQ2873" s="56"/>
      <c r="BR2873" s="56"/>
      <c r="BS2873" s="56"/>
      <c r="BT2873" s="56"/>
      <c r="BU2873" s="56"/>
      <c r="BV2873" s="56"/>
      <c r="BW2873" s="56"/>
      <c r="BX2873" s="56"/>
      <c r="BY2873" s="56"/>
      <c r="BZ2873" s="56"/>
      <c r="CA2873" s="56"/>
      <c r="CB2873" s="56"/>
      <c r="CC2873" s="56"/>
      <c r="CD2873" s="56"/>
      <c r="CE2873" s="56"/>
      <c r="CF2873" s="56"/>
      <c r="CG2873" s="56"/>
      <c r="CH2873" s="56"/>
      <c r="CI2873" s="56"/>
      <c r="CJ2873" s="56"/>
      <c r="CK2873" s="56"/>
      <c r="CL2873" s="56"/>
      <c r="CM2873" s="56"/>
      <c r="CN2873" s="56"/>
      <c r="CO2873" s="56"/>
      <c r="CP2873" s="56"/>
      <c r="CQ2873" s="56"/>
      <c r="CR2873" s="56"/>
      <c r="CS2873" s="56"/>
      <c r="CT2873" s="56"/>
      <c r="CU2873" s="56"/>
      <c r="CV2873" s="56"/>
      <c r="CW2873" s="56"/>
      <c r="CX2873" s="56"/>
      <c r="CY2873" s="56"/>
      <c r="CZ2873" s="56"/>
    </row>
    <row r="2874" spans="27:104" s="5" customFormat="1" x14ac:dyDescent="0.25">
      <c r="AA2874" s="56"/>
      <c r="AB2874" s="56"/>
      <c r="AC2874" s="56"/>
      <c r="AD2874" s="56"/>
      <c r="AE2874" s="56"/>
      <c r="AF2874" s="56"/>
      <c r="AG2874" s="56"/>
      <c r="AH2874" s="56"/>
      <c r="AI2874" s="56"/>
      <c r="AJ2874" s="56"/>
      <c r="AK2874" s="56"/>
      <c r="AL2874" s="56"/>
      <c r="AM2874" s="56"/>
      <c r="AN2874" s="56"/>
      <c r="AO2874" s="56"/>
      <c r="AP2874" s="56"/>
      <c r="AQ2874" s="56"/>
      <c r="AR2874" s="56"/>
      <c r="AS2874" s="56"/>
      <c r="AT2874" s="56"/>
      <c r="AU2874" s="56"/>
      <c r="AV2874" s="56"/>
      <c r="AW2874" s="56"/>
      <c r="AX2874" s="56"/>
      <c r="AY2874" s="56"/>
      <c r="AZ2874" s="56"/>
      <c r="BA2874" s="56"/>
      <c r="BB2874" s="16"/>
      <c r="BC2874" s="56"/>
      <c r="BD2874" s="56"/>
      <c r="BE2874" s="56"/>
      <c r="BF2874" s="56"/>
      <c r="BG2874" s="56"/>
      <c r="BH2874" s="56"/>
      <c r="BI2874" s="56"/>
      <c r="BJ2874" s="56"/>
      <c r="BK2874" s="56"/>
      <c r="BL2874" s="56"/>
      <c r="BM2874" s="56"/>
      <c r="BN2874" s="56"/>
      <c r="BO2874" s="56"/>
      <c r="BP2874" s="56"/>
      <c r="BQ2874" s="56"/>
      <c r="BR2874" s="56"/>
      <c r="BS2874" s="56"/>
      <c r="BT2874" s="56"/>
      <c r="BU2874" s="56"/>
      <c r="BV2874" s="56"/>
      <c r="BW2874" s="56"/>
      <c r="BX2874" s="56"/>
      <c r="BY2874" s="56"/>
      <c r="BZ2874" s="56"/>
      <c r="CA2874" s="56"/>
      <c r="CB2874" s="56"/>
      <c r="CC2874" s="56"/>
      <c r="CD2874" s="56"/>
      <c r="CE2874" s="56"/>
      <c r="CF2874" s="56"/>
      <c r="CG2874" s="56"/>
      <c r="CH2874" s="56"/>
      <c r="CI2874" s="56"/>
      <c r="CJ2874" s="56"/>
      <c r="CK2874" s="56"/>
      <c r="CL2874" s="56"/>
      <c r="CM2874" s="56"/>
      <c r="CN2874" s="56"/>
      <c r="CO2874" s="56"/>
      <c r="CP2874" s="56"/>
      <c r="CQ2874" s="56"/>
      <c r="CR2874" s="56"/>
      <c r="CS2874" s="56"/>
      <c r="CT2874" s="56"/>
      <c r="CU2874" s="56"/>
      <c r="CV2874" s="56"/>
      <c r="CW2874" s="56"/>
      <c r="CX2874" s="56"/>
      <c r="CY2874" s="56"/>
      <c r="CZ2874" s="56"/>
    </row>
    <row r="2875" spans="27:104" s="5" customFormat="1" x14ac:dyDescent="0.25">
      <c r="AA2875" s="56"/>
      <c r="AB2875" s="56"/>
      <c r="AC2875" s="56"/>
      <c r="AD2875" s="56"/>
      <c r="AE2875" s="56"/>
      <c r="AF2875" s="56"/>
      <c r="AG2875" s="56"/>
      <c r="AH2875" s="56"/>
      <c r="AI2875" s="56"/>
      <c r="AJ2875" s="56"/>
      <c r="AK2875" s="56"/>
      <c r="AL2875" s="56"/>
      <c r="AM2875" s="56"/>
      <c r="AN2875" s="56"/>
      <c r="AO2875" s="56"/>
      <c r="AP2875" s="56"/>
      <c r="AQ2875" s="56"/>
      <c r="AR2875" s="56"/>
      <c r="AS2875" s="56"/>
      <c r="AT2875" s="56"/>
      <c r="AU2875" s="56"/>
      <c r="AV2875" s="56"/>
      <c r="AW2875" s="56"/>
      <c r="AX2875" s="56"/>
      <c r="AY2875" s="56"/>
      <c r="AZ2875" s="56"/>
      <c r="BA2875" s="56"/>
      <c r="BB2875" s="16"/>
      <c r="BC2875" s="56"/>
      <c r="BD2875" s="56"/>
      <c r="BE2875" s="56"/>
      <c r="BF2875" s="56"/>
      <c r="BG2875" s="56"/>
      <c r="BH2875" s="56"/>
      <c r="BI2875" s="56"/>
      <c r="BJ2875" s="56"/>
      <c r="BK2875" s="56"/>
      <c r="BL2875" s="56"/>
      <c r="BM2875" s="56"/>
      <c r="BN2875" s="56"/>
      <c r="BO2875" s="56"/>
      <c r="BP2875" s="56"/>
      <c r="BQ2875" s="56"/>
      <c r="BR2875" s="56"/>
      <c r="BS2875" s="56"/>
      <c r="BT2875" s="56"/>
      <c r="BU2875" s="56"/>
      <c r="BV2875" s="56"/>
      <c r="BW2875" s="56"/>
      <c r="BX2875" s="56"/>
      <c r="BY2875" s="56"/>
      <c r="BZ2875" s="56"/>
      <c r="CA2875" s="56"/>
      <c r="CB2875" s="56"/>
      <c r="CC2875" s="56"/>
      <c r="CD2875" s="56"/>
      <c r="CE2875" s="56"/>
      <c r="CF2875" s="56"/>
      <c r="CG2875" s="56"/>
      <c r="CH2875" s="56"/>
      <c r="CI2875" s="56"/>
      <c r="CJ2875" s="56"/>
      <c r="CK2875" s="56"/>
      <c r="CL2875" s="56"/>
      <c r="CM2875" s="56"/>
      <c r="CN2875" s="56"/>
      <c r="CO2875" s="56"/>
      <c r="CP2875" s="56"/>
      <c r="CQ2875" s="56"/>
      <c r="CR2875" s="56"/>
      <c r="CS2875" s="56"/>
      <c r="CT2875" s="56"/>
      <c r="CU2875" s="56"/>
      <c r="CV2875" s="56"/>
      <c r="CW2875" s="56"/>
      <c r="CX2875" s="56"/>
      <c r="CY2875" s="56"/>
      <c r="CZ2875" s="56"/>
    </row>
    <row r="2876" spans="27:104" s="5" customFormat="1" x14ac:dyDescent="0.25">
      <c r="AA2876" s="56"/>
      <c r="AB2876" s="56"/>
      <c r="AC2876" s="56"/>
      <c r="AD2876" s="56"/>
      <c r="AE2876" s="56"/>
      <c r="AF2876" s="56"/>
      <c r="AG2876" s="56"/>
      <c r="AH2876" s="56"/>
      <c r="AI2876" s="56"/>
      <c r="AJ2876" s="56"/>
      <c r="AK2876" s="56"/>
      <c r="AL2876" s="56"/>
      <c r="AM2876" s="56"/>
      <c r="AN2876" s="56"/>
      <c r="AO2876" s="56"/>
      <c r="AP2876" s="56"/>
      <c r="AQ2876" s="56"/>
      <c r="AR2876" s="56"/>
      <c r="AS2876" s="56"/>
      <c r="AT2876" s="56"/>
      <c r="AU2876" s="56"/>
      <c r="AV2876" s="56"/>
      <c r="AW2876" s="56"/>
      <c r="AX2876" s="56"/>
      <c r="AY2876" s="56"/>
      <c r="AZ2876" s="56"/>
      <c r="BA2876" s="56"/>
      <c r="BB2876" s="16"/>
      <c r="BC2876" s="56"/>
      <c r="BD2876" s="56"/>
      <c r="BE2876" s="56"/>
      <c r="BF2876" s="56"/>
      <c r="BG2876" s="56"/>
      <c r="BH2876" s="56"/>
      <c r="BI2876" s="56"/>
      <c r="BJ2876" s="56"/>
      <c r="BK2876" s="56"/>
      <c r="BL2876" s="56"/>
      <c r="BM2876" s="56"/>
      <c r="BN2876" s="56"/>
      <c r="BO2876" s="56"/>
      <c r="BP2876" s="56"/>
      <c r="BQ2876" s="56"/>
      <c r="BR2876" s="56"/>
      <c r="BS2876" s="56"/>
      <c r="BT2876" s="56"/>
      <c r="BU2876" s="56"/>
      <c r="BV2876" s="56"/>
      <c r="BW2876" s="56"/>
      <c r="BX2876" s="56"/>
      <c r="BY2876" s="56"/>
      <c r="BZ2876" s="56"/>
      <c r="CA2876" s="56"/>
      <c r="CB2876" s="56"/>
      <c r="CC2876" s="56"/>
      <c r="CD2876" s="56"/>
      <c r="CE2876" s="56"/>
      <c r="CF2876" s="56"/>
      <c r="CG2876" s="56"/>
      <c r="CH2876" s="56"/>
      <c r="CI2876" s="56"/>
      <c r="CJ2876" s="56"/>
      <c r="CK2876" s="56"/>
      <c r="CL2876" s="56"/>
      <c r="CM2876" s="56"/>
      <c r="CN2876" s="56"/>
      <c r="CO2876" s="56"/>
      <c r="CP2876" s="56"/>
      <c r="CQ2876" s="56"/>
      <c r="CR2876" s="56"/>
      <c r="CS2876" s="56"/>
      <c r="CT2876" s="56"/>
      <c r="CU2876" s="56"/>
      <c r="CV2876" s="56"/>
      <c r="CW2876" s="56"/>
      <c r="CX2876" s="56"/>
      <c r="CY2876" s="56"/>
      <c r="CZ2876" s="56"/>
    </row>
    <row r="2877" spans="27:104" s="5" customFormat="1" x14ac:dyDescent="0.25">
      <c r="AA2877" s="56"/>
      <c r="AB2877" s="56"/>
      <c r="AC2877" s="56"/>
      <c r="AD2877" s="56"/>
      <c r="AE2877" s="56"/>
      <c r="AF2877" s="56"/>
      <c r="AG2877" s="56"/>
      <c r="AH2877" s="56"/>
      <c r="AI2877" s="56"/>
      <c r="AJ2877" s="56"/>
      <c r="AK2877" s="56"/>
      <c r="AL2877" s="56"/>
      <c r="AM2877" s="56"/>
      <c r="AN2877" s="56"/>
      <c r="AO2877" s="56"/>
      <c r="AP2877" s="56"/>
      <c r="AQ2877" s="56"/>
      <c r="AR2877" s="56"/>
      <c r="AS2877" s="56"/>
      <c r="AT2877" s="56"/>
      <c r="AU2877" s="56"/>
      <c r="AV2877" s="56"/>
      <c r="AW2877" s="56"/>
      <c r="AX2877" s="56"/>
      <c r="AY2877" s="56"/>
      <c r="AZ2877" s="56"/>
      <c r="BA2877" s="56"/>
      <c r="BB2877" s="16"/>
      <c r="BC2877" s="56"/>
      <c r="BD2877" s="56"/>
      <c r="BE2877" s="56"/>
      <c r="BF2877" s="56"/>
      <c r="BG2877" s="56"/>
      <c r="BH2877" s="56"/>
      <c r="BI2877" s="56"/>
      <c r="BJ2877" s="56"/>
      <c r="BK2877" s="56"/>
      <c r="BL2877" s="56"/>
      <c r="BM2877" s="56"/>
      <c r="BN2877" s="56"/>
      <c r="BO2877" s="56"/>
      <c r="BP2877" s="56"/>
      <c r="BQ2877" s="56"/>
      <c r="BR2877" s="56"/>
      <c r="BS2877" s="56"/>
      <c r="BT2877" s="56"/>
      <c r="BU2877" s="56"/>
      <c r="BV2877" s="56"/>
      <c r="BW2877" s="56"/>
      <c r="BX2877" s="56"/>
      <c r="BY2877" s="56"/>
      <c r="BZ2877" s="56"/>
      <c r="CA2877" s="56"/>
      <c r="CB2877" s="56"/>
      <c r="CC2877" s="56"/>
      <c r="CD2877" s="56"/>
      <c r="CE2877" s="56"/>
      <c r="CF2877" s="56"/>
      <c r="CG2877" s="56"/>
      <c r="CH2877" s="56"/>
      <c r="CI2877" s="56"/>
      <c r="CJ2877" s="56"/>
      <c r="CK2877" s="56"/>
      <c r="CL2877" s="56"/>
      <c r="CM2877" s="56"/>
      <c r="CN2877" s="56"/>
      <c r="CO2877" s="56"/>
      <c r="CP2877" s="56"/>
      <c r="CQ2877" s="56"/>
      <c r="CR2877" s="56"/>
      <c r="CS2877" s="56"/>
      <c r="CT2877" s="56"/>
      <c r="CU2877" s="56"/>
      <c r="CV2877" s="56"/>
      <c r="CW2877" s="56"/>
      <c r="CX2877" s="56"/>
      <c r="CY2877" s="56"/>
      <c r="CZ2877" s="56"/>
    </row>
    <row r="2878" spans="27:104" s="5" customFormat="1" x14ac:dyDescent="0.25">
      <c r="AA2878" s="56"/>
      <c r="AB2878" s="56"/>
      <c r="AC2878" s="56"/>
      <c r="AD2878" s="56"/>
      <c r="AE2878" s="56"/>
      <c r="AF2878" s="56"/>
      <c r="AG2878" s="56"/>
      <c r="AH2878" s="56"/>
      <c r="AI2878" s="56"/>
      <c r="AJ2878" s="56"/>
      <c r="AK2878" s="56"/>
      <c r="AL2878" s="56"/>
      <c r="AM2878" s="56"/>
      <c r="AN2878" s="56"/>
      <c r="AO2878" s="56"/>
      <c r="AP2878" s="56"/>
      <c r="AQ2878" s="56"/>
      <c r="AR2878" s="56"/>
      <c r="AS2878" s="56"/>
      <c r="AT2878" s="56"/>
      <c r="AU2878" s="56"/>
      <c r="AV2878" s="56"/>
      <c r="AW2878" s="56"/>
      <c r="AX2878" s="56"/>
      <c r="AY2878" s="56"/>
      <c r="AZ2878" s="56"/>
      <c r="BA2878" s="56"/>
      <c r="BB2878" s="16"/>
      <c r="BC2878" s="56"/>
      <c r="BD2878" s="56"/>
      <c r="BE2878" s="56"/>
      <c r="BF2878" s="56"/>
      <c r="BG2878" s="56"/>
      <c r="BH2878" s="56"/>
      <c r="BI2878" s="56"/>
      <c r="BJ2878" s="56"/>
      <c r="BK2878" s="56"/>
      <c r="BL2878" s="56"/>
      <c r="BM2878" s="56"/>
      <c r="BN2878" s="56"/>
      <c r="BO2878" s="56"/>
      <c r="BP2878" s="56"/>
      <c r="BQ2878" s="56"/>
      <c r="BR2878" s="56"/>
      <c r="BS2878" s="56"/>
      <c r="BT2878" s="56"/>
      <c r="BU2878" s="56"/>
      <c r="BV2878" s="56"/>
      <c r="BW2878" s="56"/>
      <c r="BX2878" s="56"/>
      <c r="BY2878" s="56"/>
      <c r="BZ2878" s="56"/>
      <c r="CA2878" s="56"/>
      <c r="CB2878" s="56"/>
      <c r="CC2878" s="56"/>
      <c r="CD2878" s="56"/>
      <c r="CE2878" s="56"/>
      <c r="CF2878" s="56"/>
      <c r="CG2878" s="56"/>
      <c r="CH2878" s="56"/>
      <c r="CI2878" s="56"/>
      <c r="CJ2878" s="56"/>
      <c r="CK2878" s="56"/>
      <c r="CL2878" s="56"/>
      <c r="CM2878" s="56"/>
      <c r="CN2878" s="56"/>
      <c r="CO2878" s="56"/>
      <c r="CP2878" s="56"/>
      <c r="CQ2878" s="56"/>
      <c r="CR2878" s="56"/>
      <c r="CS2878" s="56"/>
      <c r="CT2878" s="56"/>
      <c r="CU2878" s="56"/>
      <c r="CV2878" s="56"/>
      <c r="CW2878" s="56"/>
      <c r="CX2878" s="56"/>
      <c r="CY2878" s="56"/>
      <c r="CZ2878" s="56"/>
    </row>
    <row r="2879" spans="27:104" s="5" customFormat="1" x14ac:dyDescent="0.25">
      <c r="AA2879" s="56"/>
      <c r="AB2879" s="56"/>
      <c r="AC2879" s="56"/>
      <c r="AD2879" s="56"/>
      <c r="AE2879" s="56"/>
      <c r="AF2879" s="56"/>
      <c r="AG2879" s="56"/>
      <c r="AH2879" s="56"/>
      <c r="AI2879" s="56"/>
      <c r="AJ2879" s="56"/>
      <c r="AK2879" s="56"/>
      <c r="AL2879" s="56"/>
      <c r="AM2879" s="56"/>
      <c r="AN2879" s="56"/>
      <c r="AO2879" s="56"/>
      <c r="AP2879" s="56"/>
      <c r="AQ2879" s="56"/>
      <c r="AR2879" s="56"/>
      <c r="AS2879" s="56"/>
      <c r="AT2879" s="56"/>
      <c r="AU2879" s="56"/>
      <c r="AV2879" s="56"/>
      <c r="AW2879" s="56"/>
      <c r="AX2879" s="56"/>
      <c r="AY2879" s="56"/>
      <c r="AZ2879" s="56"/>
      <c r="BA2879" s="56"/>
      <c r="BB2879" s="16"/>
      <c r="BC2879" s="56"/>
      <c r="BD2879" s="56"/>
      <c r="BE2879" s="56"/>
      <c r="BF2879" s="56"/>
      <c r="BG2879" s="56"/>
      <c r="BH2879" s="56"/>
      <c r="BI2879" s="56"/>
      <c r="BJ2879" s="56"/>
      <c r="BK2879" s="56"/>
      <c r="BL2879" s="56"/>
      <c r="BM2879" s="56"/>
      <c r="BN2879" s="56"/>
      <c r="BO2879" s="56"/>
      <c r="BP2879" s="56"/>
      <c r="BQ2879" s="56"/>
      <c r="BR2879" s="56"/>
      <c r="BS2879" s="56"/>
      <c r="BT2879" s="56"/>
      <c r="BU2879" s="56"/>
      <c r="BV2879" s="56"/>
      <c r="BW2879" s="56"/>
      <c r="BX2879" s="56"/>
      <c r="BY2879" s="56"/>
      <c r="BZ2879" s="56"/>
      <c r="CA2879" s="56"/>
      <c r="CB2879" s="56"/>
      <c r="CC2879" s="56"/>
      <c r="CD2879" s="56"/>
      <c r="CE2879" s="56"/>
      <c r="CF2879" s="56"/>
      <c r="CG2879" s="56"/>
      <c r="CH2879" s="56"/>
      <c r="CI2879" s="56"/>
      <c r="CJ2879" s="56"/>
      <c r="CK2879" s="56"/>
      <c r="CL2879" s="56"/>
      <c r="CM2879" s="56"/>
      <c r="CN2879" s="56"/>
      <c r="CO2879" s="56"/>
      <c r="CP2879" s="56"/>
      <c r="CQ2879" s="56"/>
      <c r="CR2879" s="56"/>
      <c r="CS2879" s="56"/>
      <c r="CT2879" s="56"/>
      <c r="CU2879" s="56"/>
      <c r="CV2879" s="56"/>
      <c r="CW2879" s="56"/>
      <c r="CX2879" s="56"/>
      <c r="CY2879" s="56"/>
      <c r="CZ2879" s="56"/>
    </row>
    <row r="2880" spans="27:104" s="5" customFormat="1" x14ac:dyDescent="0.25">
      <c r="AA2880" s="56"/>
      <c r="AB2880" s="56"/>
      <c r="AC2880" s="56"/>
      <c r="AD2880" s="56"/>
      <c r="AE2880" s="56"/>
      <c r="AF2880" s="56"/>
      <c r="AG2880" s="56"/>
      <c r="AH2880" s="56"/>
      <c r="AI2880" s="56"/>
      <c r="AJ2880" s="56"/>
      <c r="AK2880" s="56"/>
      <c r="AL2880" s="56"/>
      <c r="AM2880" s="56"/>
      <c r="AN2880" s="56"/>
      <c r="AO2880" s="56"/>
      <c r="AP2880" s="56"/>
      <c r="AQ2880" s="56"/>
      <c r="AR2880" s="56"/>
      <c r="AS2880" s="56"/>
      <c r="AT2880" s="56"/>
      <c r="AU2880" s="56"/>
      <c r="AV2880" s="56"/>
      <c r="AW2880" s="56"/>
      <c r="AX2880" s="56"/>
      <c r="AY2880" s="56"/>
      <c r="AZ2880" s="56"/>
      <c r="BA2880" s="56"/>
      <c r="BB2880" s="16"/>
      <c r="BC2880" s="56"/>
      <c r="BD2880" s="56"/>
      <c r="BE2880" s="56"/>
      <c r="BF2880" s="56"/>
      <c r="BG2880" s="56"/>
      <c r="BH2880" s="56"/>
      <c r="BI2880" s="56"/>
      <c r="BJ2880" s="56"/>
      <c r="BK2880" s="56"/>
      <c r="BL2880" s="56"/>
      <c r="BM2880" s="56"/>
      <c r="BN2880" s="56"/>
      <c r="BO2880" s="56"/>
      <c r="BP2880" s="56"/>
      <c r="BQ2880" s="56"/>
      <c r="BR2880" s="56"/>
      <c r="BS2880" s="56"/>
      <c r="BT2880" s="56"/>
      <c r="BU2880" s="56"/>
      <c r="BV2880" s="56"/>
      <c r="BW2880" s="56"/>
      <c r="BX2880" s="56"/>
      <c r="BY2880" s="56"/>
      <c r="BZ2880" s="56"/>
      <c r="CA2880" s="56"/>
      <c r="CB2880" s="56"/>
      <c r="CC2880" s="56"/>
      <c r="CD2880" s="56"/>
      <c r="CE2880" s="56"/>
      <c r="CF2880" s="56"/>
      <c r="CG2880" s="56"/>
      <c r="CH2880" s="56"/>
      <c r="CI2880" s="56"/>
      <c r="CJ2880" s="56"/>
      <c r="CK2880" s="56"/>
      <c r="CL2880" s="56"/>
      <c r="CM2880" s="56"/>
      <c r="CN2880" s="56"/>
      <c r="CO2880" s="56"/>
      <c r="CP2880" s="56"/>
      <c r="CQ2880" s="56"/>
      <c r="CR2880" s="56"/>
      <c r="CS2880" s="56"/>
      <c r="CT2880" s="56"/>
      <c r="CU2880" s="56"/>
      <c r="CV2880" s="56"/>
      <c r="CW2880" s="56"/>
      <c r="CX2880" s="56"/>
      <c r="CY2880" s="56"/>
      <c r="CZ2880" s="56"/>
    </row>
    <row r="2881" spans="27:104" s="5" customFormat="1" x14ac:dyDescent="0.25">
      <c r="AA2881" s="56"/>
      <c r="AB2881" s="56"/>
      <c r="AC2881" s="56"/>
      <c r="AD2881" s="56"/>
      <c r="AE2881" s="56"/>
      <c r="AF2881" s="56"/>
      <c r="AG2881" s="56"/>
      <c r="AH2881" s="56"/>
      <c r="AI2881" s="56"/>
      <c r="AJ2881" s="56"/>
      <c r="AK2881" s="56"/>
      <c r="AL2881" s="56"/>
      <c r="AM2881" s="56"/>
      <c r="AN2881" s="56"/>
      <c r="AO2881" s="56"/>
      <c r="AP2881" s="56"/>
      <c r="AQ2881" s="56"/>
      <c r="AR2881" s="56"/>
      <c r="AS2881" s="56"/>
      <c r="AT2881" s="56"/>
      <c r="AU2881" s="56"/>
      <c r="AV2881" s="56"/>
      <c r="AW2881" s="56"/>
      <c r="AX2881" s="56"/>
      <c r="AY2881" s="56"/>
      <c r="AZ2881" s="56"/>
      <c r="BA2881" s="56"/>
      <c r="BB2881" s="16"/>
      <c r="BC2881" s="56"/>
      <c r="BD2881" s="56"/>
      <c r="BE2881" s="56"/>
      <c r="BF2881" s="56"/>
      <c r="BG2881" s="56"/>
      <c r="BH2881" s="56"/>
      <c r="BI2881" s="56"/>
      <c r="BJ2881" s="56"/>
      <c r="BK2881" s="56"/>
      <c r="BL2881" s="56"/>
      <c r="BM2881" s="56"/>
      <c r="BN2881" s="56"/>
      <c r="BO2881" s="56"/>
      <c r="BP2881" s="56"/>
      <c r="BQ2881" s="56"/>
      <c r="BR2881" s="56"/>
      <c r="BS2881" s="56"/>
      <c r="BT2881" s="56"/>
      <c r="BU2881" s="56"/>
      <c r="BV2881" s="56"/>
      <c r="BW2881" s="56"/>
      <c r="BX2881" s="56"/>
      <c r="BY2881" s="56"/>
      <c r="BZ2881" s="56"/>
      <c r="CA2881" s="56"/>
      <c r="CB2881" s="56"/>
      <c r="CC2881" s="56"/>
      <c r="CD2881" s="56"/>
      <c r="CE2881" s="56"/>
      <c r="CF2881" s="56"/>
      <c r="CG2881" s="56"/>
      <c r="CH2881" s="56"/>
      <c r="CI2881" s="56"/>
      <c r="CJ2881" s="56"/>
      <c r="CK2881" s="56"/>
      <c r="CL2881" s="56"/>
      <c r="CM2881" s="56"/>
      <c r="CN2881" s="56"/>
      <c r="CO2881" s="56"/>
      <c r="CP2881" s="56"/>
      <c r="CQ2881" s="56"/>
      <c r="CR2881" s="56"/>
      <c r="CS2881" s="56"/>
      <c r="CT2881" s="56"/>
      <c r="CU2881" s="56"/>
      <c r="CV2881" s="56"/>
      <c r="CW2881" s="56"/>
      <c r="CX2881" s="56"/>
      <c r="CY2881" s="56"/>
      <c r="CZ2881" s="56"/>
    </row>
    <row r="2882" spans="27:104" s="5" customFormat="1" x14ac:dyDescent="0.25">
      <c r="AA2882" s="56"/>
      <c r="AB2882" s="56"/>
      <c r="AC2882" s="56"/>
      <c r="AD2882" s="56"/>
      <c r="AE2882" s="56"/>
      <c r="AF2882" s="56"/>
      <c r="AG2882" s="56"/>
      <c r="AH2882" s="56"/>
      <c r="AI2882" s="56"/>
      <c r="AJ2882" s="56"/>
      <c r="AK2882" s="56"/>
      <c r="AL2882" s="56"/>
      <c r="AM2882" s="56"/>
      <c r="AN2882" s="56"/>
      <c r="AO2882" s="56"/>
      <c r="AP2882" s="56"/>
      <c r="AQ2882" s="56"/>
      <c r="AR2882" s="56"/>
      <c r="AS2882" s="56"/>
      <c r="AT2882" s="56"/>
      <c r="AU2882" s="56"/>
      <c r="AV2882" s="56"/>
      <c r="AW2882" s="56"/>
      <c r="AX2882" s="56"/>
      <c r="AY2882" s="56"/>
      <c r="AZ2882" s="56"/>
      <c r="BA2882" s="56"/>
      <c r="BB2882" s="16"/>
      <c r="BC2882" s="56"/>
      <c r="BD2882" s="56"/>
      <c r="BE2882" s="56"/>
      <c r="BF2882" s="56"/>
      <c r="BG2882" s="56"/>
      <c r="BH2882" s="56"/>
      <c r="BI2882" s="56"/>
      <c r="BJ2882" s="56"/>
      <c r="BK2882" s="56"/>
      <c r="BL2882" s="56"/>
      <c r="BM2882" s="56"/>
      <c r="BN2882" s="56"/>
      <c r="BO2882" s="56"/>
      <c r="BP2882" s="56"/>
      <c r="BQ2882" s="56"/>
      <c r="BR2882" s="56"/>
      <c r="BS2882" s="56"/>
      <c r="BT2882" s="56"/>
      <c r="BU2882" s="56"/>
      <c r="BV2882" s="56"/>
      <c r="BW2882" s="56"/>
      <c r="BX2882" s="56"/>
      <c r="BY2882" s="56"/>
      <c r="BZ2882" s="56"/>
      <c r="CA2882" s="56"/>
      <c r="CB2882" s="56"/>
      <c r="CC2882" s="56"/>
      <c r="CD2882" s="56"/>
      <c r="CE2882" s="56"/>
      <c r="CF2882" s="56"/>
      <c r="CG2882" s="56"/>
      <c r="CH2882" s="56"/>
      <c r="CI2882" s="56"/>
      <c r="CJ2882" s="56"/>
      <c r="CK2882" s="56"/>
      <c r="CL2882" s="56"/>
      <c r="CM2882" s="56"/>
      <c r="CN2882" s="56"/>
      <c r="CO2882" s="56"/>
      <c r="CP2882" s="56"/>
      <c r="CQ2882" s="56"/>
      <c r="CR2882" s="56"/>
      <c r="CS2882" s="56"/>
      <c r="CT2882" s="56"/>
      <c r="CU2882" s="56"/>
      <c r="CV2882" s="56"/>
      <c r="CW2882" s="56"/>
      <c r="CX2882" s="56"/>
      <c r="CY2882" s="56"/>
      <c r="CZ2882" s="56"/>
    </row>
    <row r="2883" spans="27:104" s="5" customFormat="1" x14ac:dyDescent="0.25">
      <c r="AA2883" s="56"/>
      <c r="AB2883" s="56"/>
      <c r="AC2883" s="56"/>
      <c r="AD2883" s="56"/>
      <c r="AE2883" s="56"/>
      <c r="AF2883" s="56"/>
      <c r="AG2883" s="56"/>
      <c r="AH2883" s="56"/>
      <c r="AI2883" s="56"/>
      <c r="AJ2883" s="56"/>
      <c r="AK2883" s="56"/>
      <c r="AL2883" s="56"/>
      <c r="AM2883" s="56"/>
      <c r="AN2883" s="56"/>
      <c r="AO2883" s="56"/>
      <c r="AP2883" s="56"/>
      <c r="AQ2883" s="56"/>
      <c r="AR2883" s="56"/>
      <c r="AS2883" s="56"/>
      <c r="AT2883" s="56"/>
      <c r="AU2883" s="56"/>
      <c r="AV2883" s="56"/>
      <c r="AW2883" s="56"/>
      <c r="AX2883" s="56"/>
      <c r="AY2883" s="56"/>
      <c r="AZ2883" s="56"/>
      <c r="BA2883" s="56"/>
      <c r="BB2883" s="16"/>
      <c r="BC2883" s="56"/>
      <c r="BD2883" s="56"/>
      <c r="BE2883" s="56"/>
      <c r="BF2883" s="56"/>
      <c r="BG2883" s="56"/>
      <c r="BH2883" s="56"/>
      <c r="BI2883" s="56"/>
      <c r="BJ2883" s="56"/>
      <c r="BK2883" s="56"/>
      <c r="BL2883" s="56"/>
      <c r="BM2883" s="56"/>
      <c r="BN2883" s="56"/>
      <c r="BO2883" s="56"/>
      <c r="BP2883" s="56"/>
      <c r="BQ2883" s="56"/>
      <c r="BR2883" s="56"/>
      <c r="BS2883" s="56"/>
      <c r="BT2883" s="56"/>
      <c r="BU2883" s="56"/>
      <c r="BV2883" s="56"/>
      <c r="BW2883" s="56"/>
      <c r="BX2883" s="56"/>
      <c r="BY2883" s="56"/>
      <c r="BZ2883" s="56"/>
      <c r="CA2883" s="56"/>
      <c r="CB2883" s="56"/>
      <c r="CC2883" s="56"/>
      <c r="CD2883" s="56"/>
      <c r="CE2883" s="56"/>
      <c r="CF2883" s="56"/>
      <c r="CG2883" s="56"/>
      <c r="CH2883" s="56"/>
      <c r="CI2883" s="56"/>
      <c r="CJ2883" s="56"/>
      <c r="CK2883" s="56"/>
      <c r="CL2883" s="56"/>
      <c r="CM2883" s="56"/>
      <c r="CN2883" s="56"/>
      <c r="CO2883" s="56"/>
      <c r="CP2883" s="56"/>
      <c r="CQ2883" s="56"/>
      <c r="CR2883" s="56"/>
      <c r="CS2883" s="56"/>
      <c r="CT2883" s="56"/>
      <c r="CU2883" s="56"/>
      <c r="CV2883" s="56"/>
      <c r="CW2883" s="56"/>
      <c r="CX2883" s="56"/>
      <c r="CY2883" s="56"/>
      <c r="CZ2883" s="56"/>
    </row>
    <row r="2884" spans="27:104" s="5" customFormat="1" x14ac:dyDescent="0.25">
      <c r="AA2884" s="56"/>
      <c r="AB2884" s="56"/>
      <c r="AC2884" s="56"/>
      <c r="AD2884" s="56"/>
      <c r="AE2884" s="56"/>
      <c r="AF2884" s="56"/>
      <c r="AG2884" s="56"/>
      <c r="AH2884" s="56"/>
      <c r="AI2884" s="56"/>
      <c r="AJ2884" s="56"/>
      <c r="AK2884" s="56"/>
      <c r="AL2884" s="56"/>
      <c r="AM2884" s="56"/>
      <c r="AN2884" s="56"/>
      <c r="AO2884" s="56"/>
      <c r="AP2884" s="56"/>
      <c r="AQ2884" s="56"/>
      <c r="AR2884" s="56"/>
      <c r="AS2884" s="56"/>
      <c r="AT2884" s="56"/>
      <c r="AU2884" s="56"/>
      <c r="AV2884" s="56"/>
      <c r="AW2884" s="56"/>
      <c r="AX2884" s="56"/>
      <c r="AY2884" s="56"/>
      <c r="AZ2884" s="56"/>
      <c r="BA2884" s="56"/>
      <c r="BB2884" s="16"/>
      <c r="BC2884" s="56"/>
      <c r="BD2884" s="56"/>
      <c r="BE2884" s="56"/>
      <c r="BF2884" s="56"/>
      <c r="BG2884" s="56"/>
      <c r="BH2884" s="56"/>
      <c r="BI2884" s="56"/>
      <c r="BJ2884" s="56"/>
      <c r="BK2884" s="56"/>
      <c r="BL2884" s="56"/>
      <c r="BM2884" s="56"/>
      <c r="BN2884" s="56"/>
      <c r="BO2884" s="56"/>
      <c r="BP2884" s="56"/>
      <c r="BQ2884" s="56"/>
      <c r="BR2884" s="56"/>
      <c r="BS2884" s="56"/>
      <c r="BT2884" s="56"/>
      <c r="BU2884" s="56"/>
      <c r="BV2884" s="56"/>
      <c r="BW2884" s="56"/>
      <c r="BX2884" s="56"/>
      <c r="BY2884" s="56"/>
      <c r="BZ2884" s="56"/>
      <c r="CA2884" s="56"/>
      <c r="CB2884" s="56"/>
      <c r="CC2884" s="56"/>
      <c r="CD2884" s="56"/>
      <c r="CE2884" s="56"/>
      <c r="CF2884" s="56"/>
      <c r="CG2884" s="56"/>
      <c r="CH2884" s="56"/>
      <c r="CI2884" s="56"/>
      <c r="CJ2884" s="56"/>
      <c r="CK2884" s="56"/>
      <c r="CL2884" s="56"/>
      <c r="CM2884" s="56"/>
      <c r="CN2884" s="56"/>
      <c r="CO2884" s="56"/>
      <c r="CP2884" s="56"/>
      <c r="CQ2884" s="56"/>
      <c r="CR2884" s="56"/>
      <c r="CS2884" s="56"/>
      <c r="CT2884" s="56"/>
      <c r="CU2884" s="56"/>
      <c r="CV2884" s="56"/>
      <c r="CW2884" s="56"/>
      <c r="CX2884" s="56"/>
      <c r="CY2884" s="56"/>
      <c r="CZ2884" s="56"/>
    </row>
    <row r="2885" spans="27:104" s="5" customFormat="1" x14ac:dyDescent="0.25">
      <c r="AA2885" s="56"/>
      <c r="AB2885" s="56"/>
      <c r="AC2885" s="56"/>
      <c r="AD2885" s="56"/>
      <c r="AE2885" s="56"/>
      <c r="AF2885" s="56"/>
      <c r="AG2885" s="56"/>
      <c r="AH2885" s="56"/>
      <c r="AI2885" s="56"/>
      <c r="AJ2885" s="56"/>
      <c r="AK2885" s="56"/>
      <c r="AL2885" s="56"/>
      <c r="AM2885" s="56"/>
      <c r="AN2885" s="56"/>
      <c r="AO2885" s="56"/>
      <c r="AP2885" s="56"/>
      <c r="AQ2885" s="56"/>
      <c r="AR2885" s="56"/>
      <c r="AS2885" s="56"/>
      <c r="AT2885" s="56"/>
      <c r="AU2885" s="56"/>
      <c r="AV2885" s="56"/>
      <c r="AW2885" s="56"/>
      <c r="AX2885" s="56"/>
      <c r="AY2885" s="56"/>
      <c r="AZ2885" s="56"/>
      <c r="BA2885" s="56"/>
      <c r="BB2885" s="16"/>
      <c r="BC2885" s="56"/>
      <c r="BD2885" s="56"/>
      <c r="BE2885" s="56"/>
      <c r="BF2885" s="56"/>
      <c r="BG2885" s="56"/>
      <c r="BH2885" s="56"/>
      <c r="BI2885" s="56"/>
      <c r="BJ2885" s="56"/>
      <c r="BK2885" s="56"/>
      <c r="BL2885" s="56"/>
      <c r="BM2885" s="56"/>
      <c r="BN2885" s="56"/>
      <c r="BO2885" s="56"/>
      <c r="BP2885" s="56"/>
      <c r="BQ2885" s="56"/>
      <c r="BR2885" s="56"/>
      <c r="BS2885" s="56"/>
      <c r="BT2885" s="56"/>
      <c r="BU2885" s="56"/>
      <c r="BV2885" s="56"/>
      <c r="BW2885" s="56"/>
      <c r="BX2885" s="56"/>
      <c r="BY2885" s="56"/>
      <c r="BZ2885" s="56"/>
      <c r="CA2885" s="56"/>
      <c r="CB2885" s="56"/>
      <c r="CC2885" s="56"/>
      <c r="CD2885" s="56"/>
      <c r="CE2885" s="56"/>
      <c r="CF2885" s="56"/>
      <c r="CG2885" s="56"/>
      <c r="CH2885" s="56"/>
      <c r="CI2885" s="56"/>
      <c r="CJ2885" s="56"/>
      <c r="CK2885" s="56"/>
      <c r="CL2885" s="56"/>
      <c r="CM2885" s="56"/>
      <c r="CN2885" s="56"/>
      <c r="CO2885" s="56"/>
      <c r="CP2885" s="56"/>
      <c r="CQ2885" s="56"/>
      <c r="CR2885" s="56"/>
      <c r="CS2885" s="56"/>
      <c r="CT2885" s="56"/>
      <c r="CU2885" s="56"/>
      <c r="CV2885" s="56"/>
      <c r="CW2885" s="56"/>
      <c r="CX2885" s="56"/>
      <c r="CY2885" s="56"/>
      <c r="CZ2885" s="56"/>
    </row>
    <row r="2886" spans="27:104" s="5" customFormat="1" x14ac:dyDescent="0.25">
      <c r="AA2886" s="56"/>
      <c r="AB2886" s="56"/>
      <c r="AC2886" s="56"/>
      <c r="AD2886" s="56"/>
      <c r="AE2886" s="56"/>
      <c r="AF2886" s="56"/>
      <c r="AG2886" s="56"/>
      <c r="AH2886" s="56"/>
      <c r="AI2886" s="56"/>
      <c r="AJ2886" s="56"/>
      <c r="AK2886" s="56"/>
      <c r="AL2886" s="56"/>
      <c r="AM2886" s="56"/>
      <c r="AN2886" s="56"/>
      <c r="AO2886" s="56"/>
      <c r="AP2886" s="56"/>
      <c r="AQ2886" s="56"/>
      <c r="AR2886" s="56"/>
      <c r="AS2886" s="56"/>
      <c r="AT2886" s="56"/>
      <c r="AU2886" s="56"/>
      <c r="AV2886" s="56"/>
      <c r="AW2886" s="56"/>
      <c r="AX2886" s="56"/>
      <c r="AY2886" s="56"/>
      <c r="AZ2886" s="56"/>
      <c r="BA2886" s="56"/>
      <c r="BB2886" s="16"/>
      <c r="BC2886" s="56"/>
      <c r="BD2886" s="56"/>
      <c r="BE2886" s="56"/>
      <c r="BF2886" s="56"/>
      <c r="BG2886" s="56"/>
      <c r="BH2886" s="56"/>
      <c r="BI2886" s="56"/>
      <c r="BJ2886" s="56"/>
      <c r="BK2886" s="56"/>
      <c r="BL2886" s="56"/>
      <c r="BM2886" s="56"/>
      <c r="BN2886" s="56"/>
      <c r="BO2886" s="56"/>
      <c r="BP2886" s="56"/>
      <c r="BQ2886" s="56"/>
      <c r="BR2886" s="56"/>
      <c r="BS2886" s="56"/>
      <c r="BT2886" s="56"/>
      <c r="BU2886" s="56"/>
      <c r="BV2886" s="56"/>
      <c r="BW2886" s="56"/>
      <c r="BX2886" s="56"/>
      <c r="BY2886" s="56"/>
      <c r="BZ2886" s="56"/>
      <c r="CA2886" s="56"/>
      <c r="CB2886" s="56"/>
      <c r="CC2886" s="56"/>
      <c r="CD2886" s="56"/>
      <c r="CE2886" s="56"/>
      <c r="CF2886" s="56"/>
      <c r="CG2886" s="56"/>
      <c r="CH2886" s="56"/>
      <c r="CI2886" s="56"/>
      <c r="CJ2886" s="56"/>
      <c r="CK2886" s="56"/>
      <c r="CL2886" s="56"/>
      <c r="CM2886" s="56"/>
      <c r="CN2886" s="56"/>
      <c r="CO2886" s="56"/>
      <c r="CP2886" s="56"/>
      <c r="CQ2886" s="56"/>
      <c r="CR2886" s="56"/>
      <c r="CS2886" s="56"/>
      <c r="CT2886" s="56"/>
      <c r="CU2886" s="56"/>
      <c r="CV2886" s="56"/>
      <c r="CW2886" s="56"/>
      <c r="CX2886" s="56"/>
      <c r="CY2886" s="56"/>
      <c r="CZ2886" s="56"/>
    </row>
    <row r="2887" spans="27:104" s="5" customFormat="1" x14ac:dyDescent="0.25">
      <c r="AA2887" s="56"/>
      <c r="AB2887" s="56"/>
      <c r="AC2887" s="56"/>
      <c r="AD2887" s="56"/>
      <c r="AE2887" s="56"/>
      <c r="AF2887" s="56"/>
      <c r="AG2887" s="56"/>
      <c r="AH2887" s="56"/>
      <c r="AI2887" s="56"/>
      <c r="AJ2887" s="56"/>
      <c r="AK2887" s="56"/>
      <c r="AL2887" s="56"/>
      <c r="AM2887" s="56"/>
      <c r="AN2887" s="56"/>
      <c r="AO2887" s="56"/>
      <c r="AP2887" s="56"/>
      <c r="AQ2887" s="56"/>
      <c r="AR2887" s="56"/>
      <c r="AS2887" s="56"/>
      <c r="AT2887" s="56"/>
      <c r="AU2887" s="56"/>
      <c r="AV2887" s="56"/>
      <c r="AW2887" s="56"/>
      <c r="AX2887" s="56"/>
      <c r="AY2887" s="56"/>
      <c r="AZ2887" s="56"/>
      <c r="BA2887" s="56"/>
      <c r="BB2887" s="16"/>
      <c r="BC2887" s="56"/>
      <c r="BD2887" s="56"/>
      <c r="BE2887" s="56"/>
      <c r="BF2887" s="56"/>
      <c r="BG2887" s="56"/>
      <c r="BH2887" s="56"/>
      <c r="BI2887" s="56"/>
      <c r="BJ2887" s="56"/>
      <c r="BK2887" s="56"/>
      <c r="BL2887" s="56"/>
      <c r="BM2887" s="56"/>
      <c r="BN2887" s="56"/>
      <c r="BO2887" s="56"/>
      <c r="BP2887" s="56"/>
      <c r="BQ2887" s="56"/>
      <c r="BR2887" s="56"/>
      <c r="BS2887" s="56"/>
      <c r="BT2887" s="56"/>
      <c r="BU2887" s="56"/>
      <c r="BV2887" s="56"/>
      <c r="BW2887" s="56"/>
      <c r="BX2887" s="56"/>
      <c r="BY2887" s="56"/>
      <c r="BZ2887" s="56"/>
      <c r="CA2887" s="56"/>
      <c r="CB2887" s="56"/>
      <c r="CC2887" s="56"/>
      <c r="CD2887" s="56"/>
      <c r="CE2887" s="56"/>
      <c r="CF2887" s="56"/>
      <c r="CG2887" s="56"/>
      <c r="CH2887" s="56"/>
      <c r="CI2887" s="56"/>
      <c r="CJ2887" s="56"/>
      <c r="CK2887" s="56"/>
      <c r="CL2887" s="56"/>
      <c r="CM2887" s="56"/>
      <c r="CN2887" s="56"/>
      <c r="CO2887" s="56"/>
      <c r="CP2887" s="56"/>
      <c r="CQ2887" s="56"/>
      <c r="CR2887" s="56"/>
      <c r="CS2887" s="56"/>
      <c r="CT2887" s="56"/>
      <c r="CU2887" s="56"/>
      <c r="CV2887" s="56"/>
      <c r="CW2887" s="56"/>
      <c r="CX2887" s="56"/>
      <c r="CY2887" s="56"/>
      <c r="CZ2887" s="56"/>
    </row>
    <row r="2888" spans="27:104" s="5" customFormat="1" x14ac:dyDescent="0.25">
      <c r="AA2888" s="56"/>
      <c r="AB2888" s="56"/>
      <c r="AC2888" s="56"/>
      <c r="AD2888" s="56"/>
      <c r="AE2888" s="56"/>
      <c r="AF2888" s="56"/>
      <c r="AG2888" s="56"/>
      <c r="AH2888" s="56"/>
      <c r="AI2888" s="56"/>
      <c r="AJ2888" s="56"/>
      <c r="AK2888" s="56"/>
      <c r="AL2888" s="56"/>
      <c r="AM2888" s="56"/>
      <c r="AN2888" s="56"/>
      <c r="AO2888" s="56"/>
      <c r="AP2888" s="56"/>
      <c r="AQ2888" s="56"/>
      <c r="AR2888" s="56"/>
      <c r="AS2888" s="56"/>
      <c r="AT2888" s="56"/>
      <c r="AU2888" s="56"/>
      <c r="AV2888" s="56"/>
      <c r="AW2888" s="56"/>
      <c r="AX2888" s="56"/>
      <c r="AY2888" s="56"/>
      <c r="AZ2888" s="56"/>
      <c r="BA2888" s="56"/>
      <c r="BB2888" s="16"/>
      <c r="BC2888" s="56"/>
      <c r="BD2888" s="56"/>
      <c r="BE2888" s="56"/>
      <c r="BF2888" s="56"/>
      <c r="BG2888" s="56"/>
      <c r="BH2888" s="56"/>
      <c r="BI2888" s="56"/>
      <c r="BJ2888" s="56"/>
      <c r="BK2888" s="56"/>
      <c r="BL2888" s="56"/>
      <c r="BM2888" s="56"/>
      <c r="BN2888" s="56"/>
      <c r="BO2888" s="56"/>
      <c r="BP2888" s="56"/>
      <c r="BQ2888" s="56"/>
      <c r="BR2888" s="56"/>
      <c r="BS2888" s="56"/>
      <c r="BT2888" s="56"/>
      <c r="BU2888" s="56"/>
      <c r="BV2888" s="56"/>
      <c r="BW2888" s="56"/>
      <c r="BX2888" s="56"/>
      <c r="BY2888" s="56"/>
      <c r="BZ2888" s="56"/>
      <c r="CA2888" s="56"/>
      <c r="CB2888" s="56"/>
      <c r="CC2888" s="56"/>
      <c r="CD2888" s="56"/>
      <c r="CE2888" s="56"/>
      <c r="CF2888" s="56"/>
      <c r="CG2888" s="56"/>
      <c r="CH2888" s="56"/>
      <c r="CI2888" s="56"/>
      <c r="CJ2888" s="56"/>
      <c r="CK2888" s="56"/>
      <c r="CL2888" s="56"/>
      <c r="CM2888" s="56"/>
      <c r="CN2888" s="56"/>
      <c r="CO2888" s="56"/>
      <c r="CP2888" s="56"/>
      <c r="CQ2888" s="56"/>
      <c r="CR2888" s="56"/>
      <c r="CS2888" s="56"/>
      <c r="CT2888" s="56"/>
      <c r="CU2888" s="56"/>
      <c r="CV2888" s="56"/>
      <c r="CW2888" s="56"/>
      <c r="CX2888" s="56"/>
      <c r="CY2888" s="56"/>
      <c r="CZ2888" s="56"/>
    </row>
    <row r="2889" spans="27:104" s="5" customFormat="1" x14ac:dyDescent="0.25">
      <c r="AA2889" s="56"/>
      <c r="AB2889" s="56"/>
      <c r="AC2889" s="56"/>
      <c r="AD2889" s="56"/>
      <c r="AE2889" s="56"/>
      <c r="AF2889" s="56"/>
      <c r="AG2889" s="56"/>
      <c r="AH2889" s="56"/>
      <c r="AI2889" s="56"/>
      <c r="AJ2889" s="56"/>
      <c r="AK2889" s="56"/>
      <c r="AL2889" s="56"/>
      <c r="AM2889" s="56"/>
      <c r="AN2889" s="56"/>
      <c r="AO2889" s="56"/>
      <c r="AP2889" s="56"/>
      <c r="AQ2889" s="56"/>
      <c r="AR2889" s="56"/>
      <c r="AS2889" s="56"/>
      <c r="AT2889" s="56"/>
      <c r="AU2889" s="56"/>
      <c r="AV2889" s="56"/>
      <c r="AW2889" s="56"/>
      <c r="AX2889" s="56"/>
      <c r="AY2889" s="56"/>
      <c r="AZ2889" s="56"/>
      <c r="BA2889" s="56"/>
      <c r="BB2889" s="16"/>
      <c r="BC2889" s="56"/>
      <c r="BD2889" s="56"/>
      <c r="BE2889" s="56"/>
      <c r="BF2889" s="56"/>
      <c r="BG2889" s="56"/>
      <c r="BH2889" s="56"/>
      <c r="BI2889" s="56"/>
      <c r="BJ2889" s="56"/>
      <c r="BK2889" s="56"/>
      <c r="BL2889" s="56"/>
      <c r="BM2889" s="56"/>
      <c r="BN2889" s="56"/>
      <c r="BO2889" s="56"/>
      <c r="BP2889" s="56"/>
      <c r="BQ2889" s="56"/>
      <c r="BR2889" s="56"/>
      <c r="BS2889" s="56"/>
      <c r="BT2889" s="56"/>
      <c r="BU2889" s="56"/>
      <c r="BV2889" s="56"/>
      <c r="BW2889" s="56"/>
      <c r="BX2889" s="56"/>
      <c r="BY2889" s="56"/>
      <c r="BZ2889" s="56"/>
      <c r="CA2889" s="56"/>
      <c r="CB2889" s="56"/>
      <c r="CC2889" s="56"/>
      <c r="CD2889" s="56"/>
      <c r="CE2889" s="56"/>
      <c r="CF2889" s="56"/>
      <c r="CG2889" s="56"/>
      <c r="CH2889" s="56"/>
      <c r="CI2889" s="56"/>
      <c r="CJ2889" s="56"/>
      <c r="CK2889" s="56"/>
      <c r="CL2889" s="56"/>
      <c r="CM2889" s="56"/>
      <c r="CN2889" s="56"/>
      <c r="CO2889" s="56"/>
      <c r="CP2889" s="56"/>
      <c r="CQ2889" s="56"/>
      <c r="CR2889" s="56"/>
      <c r="CS2889" s="56"/>
      <c r="CT2889" s="56"/>
      <c r="CU2889" s="56"/>
      <c r="CV2889" s="56"/>
      <c r="CW2889" s="56"/>
      <c r="CX2889" s="56"/>
      <c r="CY2889" s="56"/>
      <c r="CZ2889" s="56"/>
    </row>
    <row r="2890" spans="27:104" s="5" customFormat="1" x14ac:dyDescent="0.25">
      <c r="AA2890" s="56"/>
      <c r="AB2890" s="56"/>
      <c r="AC2890" s="56"/>
      <c r="AD2890" s="56"/>
      <c r="AE2890" s="56"/>
      <c r="AF2890" s="56"/>
      <c r="AG2890" s="56"/>
      <c r="AH2890" s="56"/>
      <c r="AI2890" s="56"/>
      <c r="AJ2890" s="56"/>
      <c r="AK2890" s="56"/>
      <c r="AL2890" s="56"/>
      <c r="AM2890" s="56"/>
      <c r="AN2890" s="56"/>
      <c r="AO2890" s="56"/>
      <c r="AP2890" s="56"/>
      <c r="AQ2890" s="56"/>
      <c r="AR2890" s="56"/>
      <c r="AS2890" s="56"/>
      <c r="AT2890" s="56"/>
      <c r="AU2890" s="56"/>
      <c r="AV2890" s="56"/>
      <c r="AW2890" s="56"/>
      <c r="AX2890" s="56"/>
      <c r="AY2890" s="56"/>
      <c r="AZ2890" s="56"/>
      <c r="BA2890" s="56"/>
      <c r="BB2890" s="16"/>
      <c r="BC2890" s="56"/>
      <c r="BD2890" s="56"/>
      <c r="BE2890" s="56"/>
      <c r="BF2890" s="56"/>
      <c r="BG2890" s="56"/>
      <c r="BH2890" s="56"/>
      <c r="BI2890" s="56"/>
      <c r="BJ2890" s="56"/>
      <c r="BK2890" s="56"/>
      <c r="BL2890" s="56"/>
      <c r="BM2890" s="56"/>
      <c r="BN2890" s="56"/>
      <c r="BO2890" s="56"/>
      <c r="BP2890" s="56"/>
      <c r="BQ2890" s="56"/>
      <c r="BR2890" s="56"/>
      <c r="BS2890" s="56"/>
      <c r="BT2890" s="56"/>
      <c r="BU2890" s="56"/>
      <c r="BV2890" s="56"/>
      <c r="BW2890" s="56"/>
      <c r="BX2890" s="56"/>
      <c r="BY2890" s="56"/>
      <c r="BZ2890" s="56"/>
      <c r="CA2890" s="56"/>
      <c r="CB2890" s="56"/>
      <c r="CC2890" s="56"/>
      <c r="CD2890" s="56"/>
      <c r="CE2890" s="56"/>
      <c r="CF2890" s="56"/>
      <c r="CG2890" s="56"/>
      <c r="CH2890" s="56"/>
      <c r="CI2890" s="56"/>
      <c r="CJ2890" s="56"/>
      <c r="CK2890" s="56"/>
      <c r="CL2890" s="56"/>
      <c r="CM2890" s="56"/>
      <c r="CN2890" s="56"/>
      <c r="CO2890" s="56"/>
      <c r="CP2890" s="56"/>
      <c r="CQ2890" s="56"/>
      <c r="CR2890" s="56"/>
      <c r="CS2890" s="56"/>
      <c r="CT2890" s="56"/>
      <c r="CU2890" s="56"/>
      <c r="CV2890" s="56"/>
      <c r="CW2890" s="56"/>
      <c r="CX2890" s="56"/>
      <c r="CY2890" s="56"/>
      <c r="CZ2890" s="56"/>
    </row>
    <row r="2891" spans="27:104" s="5" customFormat="1" x14ac:dyDescent="0.25">
      <c r="AA2891" s="56"/>
      <c r="AB2891" s="56"/>
      <c r="AC2891" s="56"/>
      <c r="AD2891" s="56"/>
      <c r="AE2891" s="56"/>
      <c r="AF2891" s="56"/>
      <c r="AG2891" s="56"/>
      <c r="AH2891" s="56"/>
      <c r="AI2891" s="56"/>
      <c r="AJ2891" s="56"/>
      <c r="AK2891" s="56"/>
      <c r="AL2891" s="56"/>
      <c r="AM2891" s="56"/>
      <c r="AN2891" s="56"/>
      <c r="AO2891" s="56"/>
      <c r="AP2891" s="56"/>
      <c r="AQ2891" s="56"/>
      <c r="AR2891" s="56"/>
      <c r="AS2891" s="56"/>
      <c r="AT2891" s="56"/>
      <c r="AU2891" s="56"/>
      <c r="AV2891" s="56"/>
      <c r="AW2891" s="56"/>
      <c r="AX2891" s="56"/>
      <c r="AY2891" s="56"/>
      <c r="AZ2891" s="56"/>
      <c r="BA2891" s="56"/>
      <c r="BB2891" s="16"/>
      <c r="BC2891" s="56"/>
      <c r="BD2891" s="56"/>
      <c r="BE2891" s="56"/>
      <c r="BF2891" s="56"/>
      <c r="BG2891" s="56"/>
      <c r="BH2891" s="56"/>
      <c r="BI2891" s="56"/>
      <c r="BJ2891" s="56"/>
      <c r="BK2891" s="56"/>
      <c r="BL2891" s="56"/>
      <c r="BM2891" s="56"/>
      <c r="BN2891" s="56"/>
      <c r="BO2891" s="56"/>
      <c r="BP2891" s="56"/>
      <c r="BQ2891" s="56"/>
      <c r="BR2891" s="56"/>
      <c r="BS2891" s="56"/>
      <c r="BT2891" s="56"/>
      <c r="BU2891" s="56"/>
      <c r="BV2891" s="56"/>
      <c r="BW2891" s="56"/>
      <c r="BX2891" s="56"/>
      <c r="BY2891" s="56"/>
      <c r="BZ2891" s="56"/>
      <c r="CA2891" s="56"/>
      <c r="CB2891" s="56"/>
      <c r="CC2891" s="56"/>
      <c r="CD2891" s="56"/>
      <c r="CE2891" s="56"/>
      <c r="CF2891" s="56"/>
      <c r="CG2891" s="56"/>
      <c r="CH2891" s="56"/>
      <c r="CI2891" s="56"/>
      <c r="CJ2891" s="56"/>
      <c r="CK2891" s="56"/>
      <c r="CL2891" s="56"/>
      <c r="CM2891" s="56"/>
      <c r="CN2891" s="56"/>
      <c r="CO2891" s="56"/>
      <c r="CP2891" s="56"/>
      <c r="CQ2891" s="56"/>
      <c r="CR2891" s="56"/>
      <c r="CS2891" s="56"/>
      <c r="CT2891" s="56"/>
      <c r="CU2891" s="56"/>
      <c r="CV2891" s="56"/>
      <c r="CW2891" s="56"/>
      <c r="CX2891" s="56"/>
      <c r="CY2891" s="56"/>
      <c r="CZ2891" s="56"/>
    </row>
    <row r="2892" spans="27:104" s="5" customFormat="1" x14ac:dyDescent="0.25">
      <c r="AA2892" s="56"/>
      <c r="AB2892" s="56"/>
      <c r="AC2892" s="56"/>
      <c r="AD2892" s="56"/>
      <c r="AE2892" s="56"/>
      <c r="AF2892" s="56"/>
      <c r="AG2892" s="56"/>
      <c r="AH2892" s="56"/>
      <c r="AI2892" s="56"/>
      <c r="AJ2892" s="56"/>
      <c r="AK2892" s="56"/>
      <c r="AL2892" s="56"/>
      <c r="AM2892" s="56"/>
      <c r="AN2892" s="56"/>
      <c r="AO2892" s="56"/>
      <c r="AP2892" s="56"/>
      <c r="AQ2892" s="56"/>
      <c r="AR2892" s="56"/>
      <c r="AS2892" s="56"/>
      <c r="AT2892" s="56"/>
      <c r="AU2892" s="56"/>
      <c r="AV2892" s="56"/>
      <c r="AW2892" s="56"/>
      <c r="AX2892" s="56"/>
      <c r="AY2892" s="56"/>
      <c r="AZ2892" s="56"/>
      <c r="BA2892" s="56"/>
      <c r="BB2892" s="16"/>
      <c r="BC2892" s="56"/>
      <c r="BD2892" s="56"/>
      <c r="BE2892" s="56"/>
      <c r="BF2892" s="56"/>
      <c r="BG2892" s="56"/>
      <c r="BH2892" s="56"/>
      <c r="BI2892" s="56"/>
      <c r="BJ2892" s="56"/>
      <c r="BK2892" s="56"/>
      <c r="BL2892" s="56"/>
      <c r="BM2892" s="56"/>
      <c r="BN2892" s="56"/>
      <c r="BO2892" s="56"/>
      <c r="BP2892" s="56"/>
      <c r="BQ2892" s="56"/>
      <c r="BR2892" s="56"/>
      <c r="BS2892" s="56"/>
      <c r="BT2892" s="56"/>
      <c r="BU2892" s="56"/>
      <c r="BV2892" s="56"/>
      <c r="BW2892" s="56"/>
      <c r="BX2892" s="56"/>
      <c r="BY2892" s="56"/>
      <c r="BZ2892" s="56"/>
      <c r="CA2892" s="56"/>
      <c r="CB2892" s="56"/>
      <c r="CC2892" s="56"/>
      <c r="CD2892" s="56"/>
      <c r="CE2892" s="56"/>
      <c r="CF2892" s="56"/>
      <c r="CG2892" s="56"/>
      <c r="CH2892" s="56"/>
      <c r="CI2892" s="56"/>
      <c r="CJ2892" s="56"/>
      <c r="CK2892" s="56"/>
      <c r="CL2892" s="56"/>
      <c r="CM2892" s="56"/>
      <c r="CN2892" s="56"/>
      <c r="CO2892" s="56"/>
      <c r="CP2892" s="56"/>
      <c r="CQ2892" s="56"/>
      <c r="CR2892" s="56"/>
      <c r="CS2892" s="56"/>
      <c r="CT2892" s="56"/>
      <c r="CU2892" s="56"/>
      <c r="CV2892" s="56"/>
      <c r="CW2892" s="56"/>
      <c r="CX2892" s="56"/>
      <c r="CY2892" s="56"/>
      <c r="CZ2892" s="56"/>
    </row>
    <row r="2893" spans="27:104" s="5" customFormat="1" x14ac:dyDescent="0.25">
      <c r="AA2893" s="56"/>
      <c r="AB2893" s="56"/>
      <c r="AC2893" s="56"/>
      <c r="AD2893" s="56"/>
      <c r="AE2893" s="56"/>
      <c r="AF2893" s="56"/>
      <c r="AG2893" s="56"/>
      <c r="AH2893" s="56"/>
      <c r="AI2893" s="56"/>
      <c r="AJ2893" s="56"/>
      <c r="AK2893" s="56"/>
      <c r="AL2893" s="56"/>
      <c r="AM2893" s="56"/>
      <c r="AN2893" s="56"/>
      <c r="AO2893" s="56"/>
      <c r="AP2893" s="56"/>
      <c r="AQ2893" s="56"/>
      <c r="AR2893" s="56"/>
      <c r="AS2893" s="56"/>
      <c r="AT2893" s="56"/>
      <c r="AU2893" s="56"/>
      <c r="AV2893" s="56"/>
      <c r="AW2893" s="56"/>
      <c r="AX2893" s="56"/>
      <c r="AY2893" s="56"/>
      <c r="AZ2893" s="56"/>
      <c r="BA2893" s="56"/>
      <c r="BB2893" s="16"/>
      <c r="BC2893" s="56"/>
      <c r="BD2893" s="56"/>
      <c r="BE2893" s="56"/>
      <c r="BF2893" s="56"/>
      <c r="BG2893" s="56"/>
      <c r="BH2893" s="56"/>
      <c r="BI2893" s="56"/>
      <c r="BJ2893" s="56"/>
      <c r="BK2893" s="56"/>
      <c r="BL2893" s="56"/>
      <c r="BM2893" s="56"/>
      <c r="BN2893" s="56"/>
      <c r="BO2893" s="56"/>
      <c r="BP2893" s="56"/>
      <c r="BQ2893" s="56"/>
      <c r="BR2893" s="56"/>
      <c r="BS2893" s="56"/>
      <c r="BT2893" s="56"/>
      <c r="BU2893" s="56"/>
      <c r="BV2893" s="56"/>
      <c r="BW2893" s="56"/>
      <c r="BX2893" s="56"/>
      <c r="BY2893" s="56"/>
      <c r="BZ2893" s="56"/>
      <c r="CA2893" s="56"/>
      <c r="CB2893" s="56"/>
      <c r="CC2893" s="56"/>
      <c r="CD2893" s="56"/>
      <c r="CE2893" s="56"/>
      <c r="CF2893" s="56"/>
      <c r="CG2893" s="56"/>
      <c r="CH2893" s="56"/>
      <c r="CI2893" s="56"/>
      <c r="CJ2893" s="56"/>
      <c r="CK2893" s="56"/>
      <c r="CL2893" s="56"/>
      <c r="CM2893" s="56"/>
      <c r="CN2893" s="56"/>
      <c r="CO2893" s="56"/>
      <c r="CP2893" s="56"/>
      <c r="CQ2893" s="56"/>
      <c r="CR2893" s="56"/>
      <c r="CS2893" s="56"/>
      <c r="CT2893" s="56"/>
      <c r="CU2893" s="56"/>
      <c r="CV2893" s="56"/>
      <c r="CW2893" s="56"/>
      <c r="CX2893" s="56"/>
      <c r="CY2893" s="56"/>
      <c r="CZ2893" s="56"/>
    </row>
    <row r="2894" spans="27:104" s="5" customFormat="1" x14ac:dyDescent="0.25">
      <c r="AA2894" s="56"/>
      <c r="AB2894" s="56"/>
      <c r="AC2894" s="56"/>
      <c r="AD2894" s="56"/>
      <c r="AE2894" s="56"/>
      <c r="AF2894" s="56"/>
      <c r="AG2894" s="56"/>
      <c r="AH2894" s="56"/>
      <c r="AI2894" s="56"/>
      <c r="AJ2894" s="56"/>
      <c r="AK2894" s="56"/>
      <c r="AL2894" s="56"/>
      <c r="AM2894" s="56"/>
      <c r="AN2894" s="56"/>
      <c r="AO2894" s="56"/>
      <c r="AP2894" s="56"/>
      <c r="AQ2894" s="56"/>
      <c r="AR2894" s="56"/>
      <c r="AS2894" s="56"/>
      <c r="AT2894" s="56"/>
      <c r="AU2894" s="56"/>
      <c r="AV2894" s="56"/>
      <c r="AW2894" s="56"/>
      <c r="AX2894" s="56"/>
      <c r="AY2894" s="56"/>
      <c r="AZ2894" s="56"/>
      <c r="BA2894" s="56"/>
      <c r="BB2894" s="16"/>
      <c r="BC2894" s="56"/>
      <c r="BD2894" s="56"/>
      <c r="BE2894" s="56"/>
      <c r="BF2894" s="56"/>
      <c r="BG2894" s="56"/>
      <c r="BH2894" s="56"/>
      <c r="BI2894" s="56"/>
      <c r="BJ2894" s="56"/>
      <c r="BK2894" s="56"/>
      <c r="BL2894" s="56"/>
      <c r="BM2894" s="56"/>
      <c r="BN2894" s="56"/>
      <c r="BO2894" s="56"/>
      <c r="BP2894" s="56"/>
      <c r="BQ2894" s="56"/>
      <c r="BR2894" s="56"/>
      <c r="BS2894" s="56"/>
      <c r="BT2894" s="56"/>
      <c r="BU2894" s="56"/>
      <c r="BV2894" s="56"/>
      <c r="BW2894" s="56"/>
      <c r="BX2894" s="56"/>
      <c r="BY2894" s="56"/>
      <c r="BZ2894" s="56"/>
      <c r="CA2894" s="56"/>
      <c r="CB2894" s="56"/>
      <c r="CC2894" s="56"/>
      <c r="CD2894" s="56"/>
      <c r="CE2894" s="56"/>
      <c r="CF2894" s="56"/>
      <c r="CG2894" s="56"/>
      <c r="CH2894" s="56"/>
      <c r="CI2894" s="56"/>
      <c r="CJ2894" s="56"/>
      <c r="CK2894" s="56"/>
      <c r="CL2894" s="56"/>
      <c r="CM2894" s="56"/>
      <c r="CN2894" s="56"/>
      <c r="CO2894" s="56"/>
      <c r="CP2894" s="56"/>
      <c r="CQ2894" s="56"/>
      <c r="CR2894" s="56"/>
      <c r="CS2894" s="56"/>
      <c r="CT2894" s="56"/>
      <c r="CU2894" s="56"/>
      <c r="CV2894" s="56"/>
      <c r="CW2894" s="56"/>
      <c r="CX2894" s="56"/>
      <c r="CY2894" s="56"/>
      <c r="CZ2894" s="56"/>
    </row>
    <row r="2895" spans="27:104" s="5" customFormat="1" x14ac:dyDescent="0.25">
      <c r="AA2895" s="56"/>
      <c r="AB2895" s="56"/>
      <c r="AC2895" s="56"/>
      <c r="AD2895" s="56"/>
      <c r="AE2895" s="56"/>
      <c r="AF2895" s="56"/>
      <c r="AG2895" s="56"/>
      <c r="AH2895" s="56"/>
      <c r="AI2895" s="56"/>
      <c r="AJ2895" s="56"/>
      <c r="AK2895" s="56"/>
      <c r="AL2895" s="56"/>
      <c r="AM2895" s="56"/>
      <c r="AN2895" s="56"/>
      <c r="AO2895" s="56"/>
      <c r="AP2895" s="56"/>
      <c r="AQ2895" s="56"/>
      <c r="AR2895" s="56"/>
      <c r="AS2895" s="56"/>
      <c r="AT2895" s="56"/>
      <c r="AU2895" s="56"/>
      <c r="AV2895" s="56"/>
      <c r="AW2895" s="56"/>
      <c r="AX2895" s="56"/>
      <c r="AY2895" s="56"/>
      <c r="AZ2895" s="56"/>
      <c r="BA2895" s="56"/>
      <c r="BB2895" s="16"/>
      <c r="BC2895" s="56"/>
      <c r="BD2895" s="56"/>
      <c r="BE2895" s="56"/>
      <c r="BF2895" s="56"/>
      <c r="BG2895" s="56"/>
      <c r="BH2895" s="56"/>
      <c r="BI2895" s="56"/>
      <c r="BJ2895" s="56"/>
      <c r="BK2895" s="56"/>
      <c r="BL2895" s="56"/>
      <c r="BM2895" s="56"/>
      <c r="BN2895" s="56"/>
      <c r="BO2895" s="56"/>
      <c r="BP2895" s="56"/>
      <c r="BQ2895" s="56"/>
      <c r="BR2895" s="56"/>
      <c r="BS2895" s="56"/>
      <c r="BT2895" s="56"/>
      <c r="BU2895" s="56"/>
      <c r="BV2895" s="56"/>
      <c r="BW2895" s="56"/>
      <c r="BX2895" s="56"/>
      <c r="BY2895" s="56"/>
      <c r="BZ2895" s="56"/>
      <c r="CA2895" s="56"/>
      <c r="CB2895" s="56"/>
      <c r="CC2895" s="56"/>
      <c r="CD2895" s="56"/>
      <c r="CE2895" s="56"/>
      <c r="CF2895" s="56"/>
      <c r="CG2895" s="56"/>
      <c r="CH2895" s="56"/>
      <c r="CI2895" s="56"/>
      <c r="CJ2895" s="56"/>
      <c r="CK2895" s="56"/>
      <c r="CL2895" s="56"/>
      <c r="CM2895" s="56"/>
      <c r="CN2895" s="56"/>
      <c r="CO2895" s="56"/>
      <c r="CP2895" s="56"/>
      <c r="CQ2895" s="56"/>
      <c r="CR2895" s="56"/>
      <c r="CS2895" s="56"/>
      <c r="CT2895" s="56"/>
      <c r="CU2895" s="56"/>
      <c r="CV2895" s="56"/>
      <c r="CW2895" s="56"/>
      <c r="CX2895" s="56"/>
      <c r="CY2895" s="56"/>
      <c r="CZ2895" s="56"/>
    </row>
    <row r="2896" spans="27:104" s="5" customFormat="1" x14ac:dyDescent="0.25">
      <c r="AA2896" s="56"/>
      <c r="AB2896" s="56"/>
      <c r="AC2896" s="56"/>
      <c r="AD2896" s="56"/>
      <c r="AE2896" s="56"/>
      <c r="AF2896" s="56"/>
      <c r="AG2896" s="56"/>
      <c r="AH2896" s="56"/>
      <c r="AI2896" s="56"/>
      <c r="AJ2896" s="56"/>
      <c r="AK2896" s="56"/>
      <c r="AL2896" s="56"/>
      <c r="AM2896" s="56"/>
      <c r="AN2896" s="56"/>
      <c r="AO2896" s="56"/>
      <c r="AP2896" s="56"/>
      <c r="AQ2896" s="56"/>
      <c r="AR2896" s="56"/>
      <c r="AS2896" s="56"/>
      <c r="AT2896" s="56"/>
      <c r="AU2896" s="56"/>
      <c r="AV2896" s="56"/>
      <c r="AW2896" s="56"/>
      <c r="AX2896" s="56"/>
      <c r="AY2896" s="56"/>
      <c r="AZ2896" s="56"/>
      <c r="BA2896" s="56"/>
      <c r="BB2896" s="16"/>
      <c r="BC2896" s="56"/>
      <c r="BD2896" s="56"/>
      <c r="BE2896" s="56"/>
      <c r="BF2896" s="56"/>
      <c r="BG2896" s="56"/>
      <c r="BH2896" s="56"/>
      <c r="BI2896" s="56"/>
      <c r="BJ2896" s="56"/>
      <c r="BK2896" s="56"/>
      <c r="BL2896" s="56"/>
      <c r="BM2896" s="56"/>
      <c r="BN2896" s="56"/>
      <c r="BO2896" s="56"/>
      <c r="BP2896" s="56"/>
      <c r="BQ2896" s="56"/>
      <c r="BR2896" s="56"/>
      <c r="BS2896" s="56"/>
      <c r="BT2896" s="56"/>
      <c r="BU2896" s="56"/>
      <c r="BV2896" s="56"/>
      <c r="BW2896" s="56"/>
      <c r="BX2896" s="56"/>
      <c r="BY2896" s="56"/>
      <c r="BZ2896" s="56"/>
      <c r="CA2896" s="56"/>
      <c r="CB2896" s="56"/>
      <c r="CC2896" s="56"/>
      <c r="CD2896" s="56"/>
      <c r="CE2896" s="56"/>
      <c r="CF2896" s="56"/>
      <c r="CG2896" s="56"/>
      <c r="CH2896" s="56"/>
      <c r="CI2896" s="56"/>
      <c r="CJ2896" s="56"/>
      <c r="CK2896" s="56"/>
      <c r="CL2896" s="56"/>
      <c r="CM2896" s="56"/>
      <c r="CN2896" s="56"/>
      <c r="CO2896" s="56"/>
      <c r="CP2896" s="56"/>
      <c r="CQ2896" s="56"/>
      <c r="CR2896" s="56"/>
      <c r="CS2896" s="56"/>
      <c r="CT2896" s="56"/>
      <c r="CU2896" s="56"/>
      <c r="CV2896" s="56"/>
      <c r="CW2896" s="56"/>
      <c r="CX2896" s="56"/>
      <c r="CY2896" s="56"/>
      <c r="CZ2896" s="56"/>
    </row>
    <row r="2897" spans="27:104" s="5" customFormat="1" x14ac:dyDescent="0.25">
      <c r="AA2897" s="56"/>
      <c r="AB2897" s="56"/>
      <c r="AC2897" s="56"/>
      <c r="AD2897" s="56"/>
      <c r="AE2897" s="56"/>
      <c r="AF2897" s="56"/>
      <c r="AG2897" s="56"/>
      <c r="AH2897" s="56"/>
      <c r="AI2897" s="56"/>
      <c r="AJ2897" s="56"/>
      <c r="AK2897" s="56"/>
      <c r="AL2897" s="56"/>
      <c r="AM2897" s="56"/>
      <c r="AN2897" s="56"/>
      <c r="AO2897" s="56"/>
      <c r="AP2897" s="56"/>
      <c r="AQ2897" s="56"/>
      <c r="AR2897" s="56"/>
      <c r="AS2897" s="56"/>
      <c r="AT2897" s="56"/>
      <c r="AU2897" s="56"/>
      <c r="AV2897" s="56"/>
      <c r="AW2897" s="56"/>
      <c r="AX2897" s="56"/>
      <c r="AY2897" s="56"/>
      <c r="AZ2897" s="56"/>
      <c r="BA2897" s="56"/>
      <c r="BB2897" s="16"/>
      <c r="BC2897" s="56"/>
      <c r="BD2897" s="56"/>
      <c r="BE2897" s="56"/>
      <c r="BF2897" s="56"/>
      <c r="BG2897" s="56"/>
      <c r="BH2897" s="56"/>
      <c r="BI2897" s="56"/>
      <c r="BJ2897" s="56"/>
      <c r="BK2897" s="56"/>
      <c r="BL2897" s="56"/>
      <c r="BM2897" s="56"/>
      <c r="BN2897" s="56"/>
      <c r="BO2897" s="56"/>
      <c r="BP2897" s="56"/>
      <c r="BQ2897" s="56"/>
      <c r="BR2897" s="56"/>
      <c r="BS2897" s="56"/>
      <c r="BT2897" s="56"/>
      <c r="BU2897" s="56"/>
      <c r="BV2897" s="56"/>
      <c r="BW2897" s="56"/>
      <c r="BX2897" s="56"/>
      <c r="BY2897" s="56"/>
      <c r="BZ2897" s="56"/>
      <c r="CA2897" s="56"/>
      <c r="CB2897" s="56"/>
      <c r="CC2897" s="56"/>
      <c r="CD2897" s="56"/>
      <c r="CE2897" s="56"/>
      <c r="CF2897" s="56"/>
      <c r="CG2897" s="56"/>
      <c r="CH2897" s="56"/>
      <c r="CI2897" s="56"/>
      <c r="CJ2897" s="56"/>
      <c r="CK2897" s="56"/>
      <c r="CL2897" s="56"/>
      <c r="CM2897" s="56"/>
      <c r="CN2897" s="56"/>
      <c r="CO2897" s="56"/>
      <c r="CP2897" s="56"/>
      <c r="CQ2897" s="56"/>
      <c r="CR2897" s="56"/>
      <c r="CS2897" s="56"/>
      <c r="CT2897" s="56"/>
      <c r="CU2897" s="56"/>
      <c r="CV2897" s="56"/>
      <c r="CW2897" s="56"/>
      <c r="CX2897" s="56"/>
      <c r="CY2897" s="56"/>
      <c r="CZ2897" s="56"/>
    </row>
    <row r="2898" spans="27:104" s="5" customFormat="1" x14ac:dyDescent="0.25">
      <c r="AA2898" s="56"/>
      <c r="AB2898" s="56"/>
      <c r="AC2898" s="56"/>
      <c r="AD2898" s="56"/>
      <c r="AE2898" s="56"/>
      <c r="AF2898" s="56"/>
      <c r="AG2898" s="56"/>
      <c r="AH2898" s="56"/>
      <c r="AI2898" s="56"/>
      <c r="AJ2898" s="56"/>
      <c r="AK2898" s="56"/>
      <c r="AL2898" s="56"/>
      <c r="AM2898" s="56"/>
      <c r="AN2898" s="56"/>
      <c r="AO2898" s="56"/>
      <c r="AP2898" s="56"/>
      <c r="AQ2898" s="56"/>
      <c r="AR2898" s="56"/>
      <c r="AS2898" s="56"/>
      <c r="AT2898" s="56"/>
      <c r="AU2898" s="56"/>
      <c r="AV2898" s="56"/>
      <c r="AW2898" s="56"/>
      <c r="AX2898" s="56"/>
      <c r="AY2898" s="56"/>
      <c r="AZ2898" s="56"/>
      <c r="BA2898" s="56"/>
      <c r="BB2898" s="16"/>
      <c r="BC2898" s="56"/>
      <c r="BD2898" s="56"/>
      <c r="BE2898" s="56"/>
      <c r="BF2898" s="56"/>
      <c r="BG2898" s="56"/>
      <c r="BH2898" s="56"/>
      <c r="BI2898" s="56"/>
      <c r="BJ2898" s="56"/>
      <c r="BK2898" s="56"/>
      <c r="BL2898" s="56"/>
      <c r="BM2898" s="56"/>
      <c r="BN2898" s="56"/>
      <c r="BO2898" s="56"/>
      <c r="BP2898" s="56"/>
      <c r="BQ2898" s="56"/>
      <c r="BR2898" s="56"/>
      <c r="BS2898" s="56"/>
      <c r="BT2898" s="56"/>
      <c r="BU2898" s="56"/>
      <c r="BV2898" s="56"/>
      <c r="BW2898" s="56"/>
      <c r="BX2898" s="56"/>
      <c r="BY2898" s="56"/>
      <c r="BZ2898" s="56"/>
      <c r="CA2898" s="56"/>
      <c r="CB2898" s="56"/>
      <c r="CC2898" s="56"/>
      <c r="CD2898" s="56"/>
      <c r="CE2898" s="56"/>
      <c r="CF2898" s="56"/>
      <c r="CG2898" s="56"/>
      <c r="CH2898" s="56"/>
      <c r="CI2898" s="56"/>
      <c r="CJ2898" s="56"/>
      <c r="CK2898" s="56"/>
      <c r="CL2898" s="56"/>
      <c r="CM2898" s="56"/>
      <c r="CN2898" s="56"/>
      <c r="CO2898" s="56"/>
      <c r="CP2898" s="56"/>
      <c r="CQ2898" s="56"/>
      <c r="CR2898" s="56"/>
      <c r="CS2898" s="56"/>
      <c r="CT2898" s="56"/>
      <c r="CU2898" s="56"/>
      <c r="CV2898" s="56"/>
      <c r="CW2898" s="56"/>
      <c r="CX2898" s="56"/>
      <c r="CY2898" s="56"/>
      <c r="CZ2898" s="56"/>
    </row>
    <row r="2899" spans="27:104" s="5" customFormat="1" x14ac:dyDescent="0.25">
      <c r="AA2899" s="56"/>
      <c r="AB2899" s="56"/>
      <c r="AC2899" s="56"/>
      <c r="AD2899" s="56"/>
      <c r="AE2899" s="56"/>
      <c r="AF2899" s="56"/>
      <c r="AG2899" s="56"/>
      <c r="AH2899" s="56"/>
      <c r="AI2899" s="56"/>
      <c r="AJ2899" s="56"/>
      <c r="AK2899" s="56"/>
      <c r="AL2899" s="56"/>
      <c r="AM2899" s="56"/>
      <c r="AN2899" s="56"/>
      <c r="AO2899" s="56"/>
      <c r="AP2899" s="56"/>
      <c r="AQ2899" s="56"/>
      <c r="AR2899" s="56"/>
      <c r="AS2899" s="56"/>
      <c r="AT2899" s="56"/>
      <c r="AU2899" s="56"/>
      <c r="AV2899" s="56"/>
      <c r="AW2899" s="56"/>
      <c r="AX2899" s="56"/>
      <c r="AY2899" s="56"/>
      <c r="AZ2899" s="56"/>
      <c r="BA2899" s="56"/>
      <c r="BB2899" s="16"/>
      <c r="BC2899" s="56"/>
      <c r="BD2899" s="56"/>
      <c r="BE2899" s="56"/>
      <c r="BF2899" s="56"/>
      <c r="BG2899" s="56"/>
      <c r="BH2899" s="56"/>
      <c r="BI2899" s="56"/>
      <c r="BJ2899" s="56"/>
      <c r="BK2899" s="56"/>
      <c r="BL2899" s="56"/>
      <c r="BM2899" s="56"/>
      <c r="BN2899" s="56"/>
      <c r="BO2899" s="56"/>
      <c r="BP2899" s="56"/>
      <c r="BQ2899" s="56"/>
      <c r="BR2899" s="56"/>
      <c r="BS2899" s="56"/>
      <c r="BT2899" s="56"/>
      <c r="BU2899" s="56"/>
      <c r="BV2899" s="56"/>
      <c r="BW2899" s="56"/>
      <c r="BX2899" s="56"/>
      <c r="BY2899" s="56"/>
      <c r="BZ2899" s="56"/>
      <c r="CA2899" s="56"/>
      <c r="CB2899" s="56"/>
      <c r="CC2899" s="56"/>
      <c r="CD2899" s="56"/>
      <c r="CE2899" s="56"/>
      <c r="CF2899" s="56"/>
      <c r="CG2899" s="56"/>
      <c r="CH2899" s="56"/>
      <c r="CI2899" s="56"/>
      <c r="CJ2899" s="56"/>
      <c r="CK2899" s="56"/>
      <c r="CL2899" s="56"/>
      <c r="CM2899" s="56"/>
      <c r="CN2899" s="56"/>
      <c r="CO2899" s="56"/>
      <c r="CP2899" s="56"/>
      <c r="CQ2899" s="56"/>
      <c r="CR2899" s="56"/>
      <c r="CS2899" s="56"/>
      <c r="CT2899" s="56"/>
      <c r="CU2899" s="56"/>
      <c r="CV2899" s="56"/>
      <c r="CW2899" s="56"/>
      <c r="CX2899" s="56"/>
      <c r="CY2899" s="56"/>
      <c r="CZ2899" s="56"/>
    </row>
    <row r="2900" spans="27:104" s="5" customFormat="1" x14ac:dyDescent="0.25">
      <c r="AA2900" s="56"/>
      <c r="AB2900" s="56"/>
      <c r="AC2900" s="56"/>
      <c r="AD2900" s="56"/>
      <c r="AE2900" s="56"/>
      <c r="AF2900" s="56"/>
      <c r="AG2900" s="56"/>
      <c r="AH2900" s="56"/>
      <c r="AI2900" s="56"/>
      <c r="AJ2900" s="56"/>
      <c r="AK2900" s="56"/>
      <c r="AL2900" s="56"/>
      <c r="AM2900" s="56"/>
      <c r="AN2900" s="56"/>
      <c r="AO2900" s="56"/>
      <c r="AP2900" s="56"/>
      <c r="AQ2900" s="56"/>
      <c r="AR2900" s="56"/>
      <c r="AS2900" s="56"/>
      <c r="AT2900" s="56"/>
      <c r="AU2900" s="56"/>
      <c r="AV2900" s="56"/>
      <c r="AW2900" s="56"/>
      <c r="AX2900" s="56"/>
      <c r="AY2900" s="56"/>
      <c r="AZ2900" s="56"/>
      <c r="BA2900" s="56"/>
      <c r="BB2900" s="16"/>
      <c r="BC2900" s="56"/>
      <c r="BD2900" s="56"/>
      <c r="BE2900" s="56"/>
      <c r="BF2900" s="56"/>
      <c r="BG2900" s="56"/>
      <c r="BH2900" s="56"/>
      <c r="BI2900" s="56"/>
      <c r="BJ2900" s="56"/>
      <c r="BK2900" s="56"/>
      <c r="BL2900" s="56"/>
      <c r="BM2900" s="56"/>
      <c r="BN2900" s="56"/>
      <c r="BO2900" s="56"/>
      <c r="BP2900" s="56"/>
      <c r="BQ2900" s="56"/>
      <c r="BR2900" s="56"/>
      <c r="BS2900" s="56"/>
      <c r="BT2900" s="56"/>
      <c r="BU2900" s="56"/>
      <c r="BV2900" s="56"/>
      <c r="BW2900" s="56"/>
      <c r="BX2900" s="56"/>
      <c r="BY2900" s="56"/>
      <c r="BZ2900" s="56"/>
      <c r="CA2900" s="56"/>
      <c r="CB2900" s="56"/>
      <c r="CC2900" s="56"/>
      <c r="CD2900" s="56"/>
      <c r="CE2900" s="56"/>
      <c r="CF2900" s="56"/>
      <c r="CG2900" s="56"/>
      <c r="CH2900" s="56"/>
      <c r="CI2900" s="56"/>
      <c r="CJ2900" s="56"/>
      <c r="CK2900" s="56"/>
      <c r="CL2900" s="56"/>
      <c r="CM2900" s="56"/>
      <c r="CN2900" s="56"/>
      <c r="CO2900" s="56"/>
      <c r="CP2900" s="56"/>
      <c r="CQ2900" s="56"/>
      <c r="CR2900" s="56"/>
      <c r="CS2900" s="56"/>
      <c r="CT2900" s="56"/>
      <c r="CU2900" s="56"/>
      <c r="CV2900" s="56"/>
      <c r="CW2900" s="56"/>
      <c r="CX2900" s="56"/>
      <c r="CY2900" s="56"/>
      <c r="CZ2900" s="56"/>
    </row>
    <row r="2901" spans="27:104" s="5" customFormat="1" x14ac:dyDescent="0.25">
      <c r="AA2901" s="56"/>
      <c r="AB2901" s="56"/>
      <c r="AC2901" s="56"/>
      <c r="AD2901" s="56"/>
      <c r="AE2901" s="56"/>
      <c r="AF2901" s="56"/>
      <c r="AG2901" s="56"/>
      <c r="AH2901" s="56"/>
      <c r="AI2901" s="56"/>
      <c r="AJ2901" s="56"/>
      <c r="AK2901" s="56"/>
      <c r="AL2901" s="56"/>
      <c r="AM2901" s="56"/>
      <c r="AN2901" s="56"/>
      <c r="AO2901" s="56"/>
      <c r="AP2901" s="56"/>
      <c r="AQ2901" s="56"/>
      <c r="AR2901" s="56"/>
      <c r="AS2901" s="56"/>
      <c r="AT2901" s="56"/>
      <c r="AU2901" s="56"/>
      <c r="AV2901" s="56"/>
      <c r="AW2901" s="56"/>
      <c r="AX2901" s="56"/>
      <c r="AY2901" s="56"/>
      <c r="AZ2901" s="56"/>
      <c r="BA2901" s="56"/>
      <c r="BB2901" s="16"/>
      <c r="BC2901" s="56"/>
      <c r="BD2901" s="56"/>
      <c r="BE2901" s="56"/>
      <c r="BF2901" s="56"/>
      <c r="BG2901" s="56"/>
      <c r="BH2901" s="56"/>
      <c r="BI2901" s="56"/>
      <c r="BJ2901" s="56"/>
      <c r="BK2901" s="56"/>
      <c r="BL2901" s="56"/>
      <c r="BM2901" s="56"/>
      <c r="BN2901" s="56"/>
      <c r="BO2901" s="56"/>
      <c r="BP2901" s="56"/>
      <c r="BQ2901" s="56"/>
      <c r="BR2901" s="56"/>
      <c r="BS2901" s="56"/>
      <c r="BT2901" s="56"/>
      <c r="BU2901" s="56"/>
      <c r="BV2901" s="56"/>
      <c r="BW2901" s="56"/>
      <c r="BX2901" s="56"/>
      <c r="BY2901" s="56"/>
      <c r="BZ2901" s="56"/>
      <c r="CA2901" s="56"/>
      <c r="CB2901" s="56"/>
      <c r="CC2901" s="56"/>
      <c r="CD2901" s="56"/>
      <c r="CE2901" s="56"/>
      <c r="CF2901" s="56"/>
      <c r="CG2901" s="56"/>
      <c r="CH2901" s="56"/>
      <c r="CI2901" s="56"/>
      <c r="CJ2901" s="56"/>
      <c r="CK2901" s="56"/>
      <c r="CL2901" s="56"/>
      <c r="CM2901" s="56"/>
      <c r="CN2901" s="56"/>
      <c r="CO2901" s="56"/>
      <c r="CP2901" s="56"/>
      <c r="CQ2901" s="56"/>
      <c r="CR2901" s="56"/>
      <c r="CS2901" s="56"/>
      <c r="CT2901" s="56"/>
      <c r="CU2901" s="56"/>
      <c r="CV2901" s="56"/>
      <c r="CW2901" s="56"/>
      <c r="CX2901" s="56"/>
      <c r="CY2901" s="56"/>
      <c r="CZ2901" s="56"/>
    </row>
    <row r="2902" spans="27:104" s="5" customFormat="1" x14ac:dyDescent="0.25">
      <c r="AA2902" s="56"/>
      <c r="AB2902" s="56"/>
      <c r="AC2902" s="56"/>
      <c r="AD2902" s="56"/>
      <c r="AE2902" s="56"/>
      <c r="AF2902" s="56"/>
      <c r="AG2902" s="56"/>
      <c r="AH2902" s="56"/>
      <c r="AI2902" s="56"/>
      <c r="AJ2902" s="56"/>
      <c r="AK2902" s="56"/>
      <c r="AL2902" s="56"/>
      <c r="AM2902" s="56"/>
      <c r="AN2902" s="56"/>
      <c r="AO2902" s="56"/>
      <c r="AP2902" s="56"/>
      <c r="AQ2902" s="56"/>
      <c r="AR2902" s="56"/>
      <c r="AS2902" s="56"/>
      <c r="AT2902" s="56"/>
      <c r="AU2902" s="56"/>
      <c r="AV2902" s="56"/>
      <c r="AW2902" s="56"/>
      <c r="AX2902" s="56"/>
      <c r="AY2902" s="56"/>
      <c r="AZ2902" s="56"/>
      <c r="BA2902" s="56"/>
      <c r="BB2902" s="16"/>
      <c r="BC2902" s="56"/>
      <c r="BD2902" s="56"/>
      <c r="BE2902" s="56"/>
      <c r="BF2902" s="56"/>
      <c r="BG2902" s="56"/>
      <c r="BH2902" s="56"/>
      <c r="BI2902" s="56"/>
      <c r="BJ2902" s="56"/>
      <c r="BK2902" s="56"/>
      <c r="BL2902" s="56"/>
      <c r="BM2902" s="56"/>
      <c r="BN2902" s="56"/>
      <c r="BO2902" s="56"/>
      <c r="BP2902" s="56"/>
      <c r="BQ2902" s="56"/>
      <c r="BR2902" s="56"/>
      <c r="BS2902" s="56"/>
      <c r="BT2902" s="56"/>
      <c r="BU2902" s="56"/>
      <c r="BV2902" s="56"/>
      <c r="BW2902" s="56"/>
      <c r="BX2902" s="56"/>
      <c r="BY2902" s="56"/>
      <c r="BZ2902" s="56"/>
      <c r="CA2902" s="56"/>
      <c r="CB2902" s="56"/>
      <c r="CC2902" s="56"/>
      <c r="CD2902" s="56"/>
      <c r="CE2902" s="56"/>
      <c r="CF2902" s="56"/>
      <c r="CG2902" s="56"/>
      <c r="CH2902" s="56"/>
      <c r="CI2902" s="56"/>
      <c r="CJ2902" s="56"/>
      <c r="CK2902" s="56"/>
      <c r="CL2902" s="56"/>
      <c r="CM2902" s="56"/>
      <c r="CN2902" s="56"/>
      <c r="CO2902" s="56"/>
      <c r="CP2902" s="56"/>
      <c r="CQ2902" s="56"/>
      <c r="CR2902" s="56"/>
      <c r="CS2902" s="56"/>
      <c r="CT2902" s="56"/>
      <c r="CU2902" s="56"/>
      <c r="CV2902" s="56"/>
      <c r="CW2902" s="56"/>
      <c r="CX2902" s="56"/>
      <c r="CY2902" s="56"/>
      <c r="CZ2902" s="56"/>
    </row>
    <row r="2903" spans="27:104" s="5" customFormat="1" x14ac:dyDescent="0.25">
      <c r="AA2903" s="56"/>
      <c r="AB2903" s="56"/>
      <c r="AC2903" s="56"/>
      <c r="AD2903" s="56"/>
      <c r="AE2903" s="56"/>
      <c r="AF2903" s="56"/>
      <c r="AG2903" s="56"/>
      <c r="AH2903" s="56"/>
      <c r="AI2903" s="56"/>
      <c r="AJ2903" s="56"/>
      <c r="AK2903" s="56"/>
      <c r="AL2903" s="56"/>
      <c r="AM2903" s="56"/>
      <c r="AN2903" s="56"/>
      <c r="AO2903" s="56"/>
      <c r="AP2903" s="56"/>
      <c r="AQ2903" s="56"/>
      <c r="AR2903" s="56"/>
      <c r="AS2903" s="56"/>
      <c r="AT2903" s="56"/>
      <c r="AU2903" s="56"/>
      <c r="AV2903" s="56"/>
      <c r="AW2903" s="56"/>
      <c r="AX2903" s="56"/>
      <c r="AY2903" s="56"/>
      <c r="AZ2903" s="56"/>
      <c r="BA2903" s="56"/>
      <c r="BB2903" s="16"/>
      <c r="BC2903" s="56"/>
      <c r="BD2903" s="56"/>
      <c r="BE2903" s="56"/>
      <c r="BF2903" s="56"/>
      <c r="BG2903" s="56"/>
      <c r="BH2903" s="56"/>
      <c r="BI2903" s="56"/>
      <c r="BJ2903" s="56"/>
      <c r="BK2903" s="56"/>
      <c r="BL2903" s="56"/>
      <c r="BM2903" s="56"/>
      <c r="BN2903" s="56"/>
      <c r="BO2903" s="56"/>
      <c r="BP2903" s="56"/>
      <c r="BQ2903" s="56"/>
      <c r="BR2903" s="56"/>
      <c r="BS2903" s="56"/>
      <c r="BT2903" s="56"/>
      <c r="BU2903" s="56"/>
      <c r="BV2903" s="56"/>
      <c r="BW2903" s="56"/>
      <c r="BX2903" s="56"/>
      <c r="BY2903" s="56"/>
      <c r="BZ2903" s="56"/>
      <c r="CA2903" s="56"/>
      <c r="CB2903" s="56"/>
      <c r="CC2903" s="56"/>
      <c r="CD2903" s="56"/>
      <c r="CE2903" s="56"/>
      <c r="CF2903" s="56"/>
      <c r="CG2903" s="56"/>
      <c r="CH2903" s="56"/>
      <c r="CI2903" s="56"/>
      <c r="CJ2903" s="56"/>
      <c r="CK2903" s="56"/>
      <c r="CL2903" s="56"/>
      <c r="CM2903" s="56"/>
      <c r="CN2903" s="56"/>
      <c r="CO2903" s="56"/>
      <c r="CP2903" s="56"/>
      <c r="CQ2903" s="56"/>
      <c r="CR2903" s="56"/>
      <c r="CS2903" s="56"/>
      <c r="CT2903" s="56"/>
      <c r="CU2903" s="56"/>
      <c r="CV2903" s="56"/>
      <c r="CW2903" s="56"/>
      <c r="CX2903" s="56"/>
      <c r="CY2903" s="56"/>
      <c r="CZ2903" s="56"/>
    </row>
    <row r="2904" spans="27:104" s="5" customFormat="1" x14ac:dyDescent="0.25">
      <c r="AA2904" s="56"/>
      <c r="AB2904" s="56"/>
      <c r="AC2904" s="56"/>
      <c r="AD2904" s="56"/>
      <c r="AE2904" s="56"/>
      <c r="AF2904" s="56"/>
      <c r="AG2904" s="56"/>
      <c r="AH2904" s="56"/>
      <c r="AI2904" s="56"/>
      <c r="AJ2904" s="56"/>
      <c r="AK2904" s="56"/>
      <c r="AL2904" s="56"/>
      <c r="AM2904" s="56"/>
      <c r="AN2904" s="56"/>
      <c r="AO2904" s="56"/>
      <c r="AP2904" s="56"/>
      <c r="AQ2904" s="56"/>
      <c r="AR2904" s="56"/>
      <c r="AS2904" s="56"/>
      <c r="AT2904" s="56"/>
      <c r="AU2904" s="56"/>
      <c r="AV2904" s="56"/>
      <c r="AW2904" s="56"/>
      <c r="AX2904" s="56"/>
      <c r="AY2904" s="56"/>
      <c r="AZ2904" s="56"/>
      <c r="BA2904" s="56"/>
      <c r="BB2904" s="16"/>
      <c r="BC2904" s="56"/>
      <c r="BD2904" s="56"/>
      <c r="BE2904" s="56"/>
      <c r="BF2904" s="56"/>
      <c r="BG2904" s="56"/>
      <c r="BH2904" s="56"/>
      <c r="BI2904" s="56"/>
      <c r="BJ2904" s="56"/>
      <c r="BK2904" s="56"/>
      <c r="BL2904" s="56"/>
      <c r="BM2904" s="56"/>
      <c r="BN2904" s="56"/>
      <c r="BO2904" s="56"/>
      <c r="BP2904" s="56"/>
      <c r="BQ2904" s="56"/>
      <c r="BR2904" s="56"/>
      <c r="BS2904" s="56"/>
      <c r="BT2904" s="56"/>
      <c r="BU2904" s="56"/>
      <c r="BV2904" s="56"/>
      <c r="BW2904" s="56"/>
      <c r="BX2904" s="56"/>
      <c r="BY2904" s="56"/>
      <c r="BZ2904" s="56"/>
      <c r="CA2904" s="56"/>
      <c r="CB2904" s="56"/>
      <c r="CC2904" s="56"/>
      <c r="CD2904" s="56"/>
      <c r="CE2904" s="56"/>
      <c r="CF2904" s="56"/>
      <c r="CG2904" s="56"/>
      <c r="CH2904" s="56"/>
      <c r="CI2904" s="56"/>
      <c r="CJ2904" s="56"/>
      <c r="CK2904" s="56"/>
      <c r="CL2904" s="56"/>
      <c r="CM2904" s="56"/>
      <c r="CN2904" s="56"/>
      <c r="CO2904" s="56"/>
      <c r="CP2904" s="56"/>
      <c r="CQ2904" s="56"/>
      <c r="CR2904" s="56"/>
      <c r="CS2904" s="56"/>
      <c r="CT2904" s="56"/>
      <c r="CU2904" s="56"/>
      <c r="CV2904" s="56"/>
      <c r="CW2904" s="56"/>
      <c r="CX2904" s="56"/>
      <c r="CY2904" s="56"/>
      <c r="CZ2904" s="56"/>
    </row>
    <row r="2905" spans="27:104" s="5" customFormat="1" x14ac:dyDescent="0.25">
      <c r="AA2905" s="56"/>
      <c r="AB2905" s="56"/>
      <c r="AC2905" s="56"/>
      <c r="AD2905" s="56"/>
      <c r="AE2905" s="56"/>
      <c r="AF2905" s="56"/>
      <c r="AG2905" s="56"/>
      <c r="AH2905" s="56"/>
      <c r="AI2905" s="56"/>
      <c r="AJ2905" s="56"/>
      <c r="AK2905" s="56"/>
      <c r="AL2905" s="56"/>
      <c r="AM2905" s="56"/>
      <c r="AN2905" s="56"/>
      <c r="AO2905" s="56"/>
      <c r="AP2905" s="56"/>
      <c r="AQ2905" s="56"/>
      <c r="AR2905" s="56"/>
      <c r="AS2905" s="56"/>
      <c r="AT2905" s="56"/>
      <c r="AU2905" s="56"/>
      <c r="AV2905" s="56"/>
      <c r="AW2905" s="56"/>
      <c r="AX2905" s="56"/>
      <c r="AY2905" s="56"/>
      <c r="AZ2905" s="56"/>
      <c r="BA2905" s="56"/>
      <c r="BB2905" s="16"/>
      <c r="BC2905" s="56"/>
      <c r="BD2905" s="56"/>
      <c r="BE2905" s="56"/>
      <c r="BF2905" s="56"/>
      <c r="BG2905" s="56"/>
      <c r="BH2905" s="56"/>
      <c r="BI2905" s="56"/>
      <c r="BJ2905" s="56"/>
      <c r="BK2905" s="56"/>
      <c r="BL2905" s="56"/>
      <c r="BM2905" s="56"/>
      <c r="BN2905" s="56"/>
      <c r="BO2905" s="56"/>
      <c r="BP2905" s="56"/>
      <c r="BQ2905" s="56"/>
      <c r="BR2905" s="56"/>
      <c r="BS2905" s="56"/>
      <c r="BT2905" s="56"/>
      <c r="BU2905" s="56"/>
      <c r="BV2905" s="56"/>
      <c r="BW2905" s="56"/>
      <c r="BX2905" s="56"/>
      <c r="BY2905" s="56"/>
      <c r="BZ2905" s="56"/>
      <c r="CA2905" s="56"/>
      <c r="CB2905" s="56"/>
      <c r="CC2905" s="56"/>
      <c r="CD2905" s="56"/>
      <c r="CE2905" s="56"/>
      <c r="CF2905" s="56"/>
      <c r="CG2905" s="56"/>
      <c r="CH2905" s="56"/>
      <c r="CI2905" s="56"/>
      <c r="CJ2905" s="56"/>
      <c r="CK2905" s="56"/>
      <c r="CL2905" s="56"/>
      <c r="CM2905" s="56"/>
      <c r="CN2905" s="56"/>
      <c r="CO2905" s="56"/>
      <c r="CP2905" s="56"/>
      <c r="CQ2905" s="56"/>
      <c r="CR2905" s="56"/>
      <c r="CS2905" s="56"/>
      <c r="CT2905" s="56"/>
      <c r="CU2905" s="56"/>
      <c r="CV2905" s="56"/>
      <c r="CW2905" s="56"/>
      <c r="CX2905" s="56"/>
      <c r="CY2905" s="56"/>
      <c r="CZ2905" s="56"/>
    </row>
    <row r="2906" spans="27:104" s="5" customFormat="1" x14ac:dyDescent="0.25">
      <c r="AA2906" s="56"/>
      <c r="AB2906" s="56"/>
      <c r="AC2906" s="56"/>
      <c r="AD2906" s="56"/>
      <c r="AE2906" s="56"/>
      <c r="AF2906" s="56"/>
      <c r="AG2906" s="56"/>
      <c r="AH2906" s="56"/>
      <c r="AI2906" s="56"/>
      <c r="AJ2906" s="56"/>
      <c r="AK2906" s="56"/>
      <c r="AL2906" s="56"/>
      <c r="AM2906" s="56"/>
      <c r="AN2906" s="56"/>
      <c r="AO2906" s="56"/>
      <c r="AP2906" s="56"/>
      <c r="AQ2906" s="56"/>
      <c r="AR2906" s="56"/>
      <c r="AS2906" s="56"/>
      <c r="AT2906" s="56"/>
      <c r="AU2906" s="56"/>
      <c r="AV2906" s="56"/>
      <c r="AW2906" s="56"/>
      <c r="AX2906" s="56"/>
      <c r="AY2906" s="56"/>
      <c r="AZ2906" s="56"/>
      <c r="BA2906" s="56"/>
      <c r="BB2906" s="16"/>
      <c r="BC2906" s="56"/>
      <c r="BD2906" s="56"/>
      <c r="BE2906" s="56"/>
      <c r="BF2906" s="56"/>
      <c r="BG2906" s="56"/>
      <c r="BH2906" s="56"/>
      <c r="BI2906" s="56"/>
      <c r="BJ2906" s="56"/>
      <c r="BK2906" s="56"/>
      <c r="BL2906" s="56"/>
      <c r="BM2906" s="56"/>
      <c r="BN2906" s="56"/>
      <c r="BO2906" s="56"/>
      <c r="BP2906" s="56"/>
      <c r="BQ2906" s="56"/>
      <c r="BR2906" s="56"/>
      <c r="BS2906" s="56"/>
      <c r="BT2906" s="56"/>
      <c r="BU2906" s="56"/>
      <c r="BV2906" s="56"/>
      <c r="BW2906" s="56"/>
      <c r="BX2906" s="56"/>
      <c r="BY2906" s="56"/>
      <c r="BZ2906" s="56"/>
      <c r="CA2906" s="56"/>
      <c r="CB2906" s="56"/>
      <c r="CC2906" s="56"/>
      <c r="CD2906" s="56"/>
      <c r="CE2906" s="56"/>
      <c r="CF2906" s="56"/>
      <c r="CG2906" s="56"/>
      <c r="CH2906" s="56"/>
      <c r="CI2906" s="56"/>
      <c r="CJ2906" s="56"/>
      <c r="CK2906" s="56"/>
      <c r="CL2906" s="56"/>
      <c r="CM2906" s="56"/>
      <c r="CN2906" s="56"/>
      <c r="CO2906" s="56"/>
      <c r="CP2906" s="56"/>
      <c r="CQ2906" s="56"/>
      <c r="CR2906" s="56"/>
      <c r="CS2906" s="56"/>
      <c r="CT2906" s="56"/>
      <c r="CU2906" s="56"/>
      <c r="CV2906" s="56"/>
      <c r="CW2906" s="56"/>
      <c r="CX2906" s="56"/>
      <c r="CY2906" s="56"/>
      <c r="CZ2906" s="56"/>
    </row>
    <row r="2907" spans="27:104" s="5" customFormat="1" x14ac:dyDescent="0.25">
      <c r="AA2907" s="56"/>
      <c r="AB2907" s="56"/>
      <c r="AC2907" s="56"/>
      <c r="AD2907" s="56"/>
      <c r="AE2907" s="56"/>
      <c r="AF2907" s="56"/>
      <c r="AG2907" s="56"/>
      <c r="AH2907" s="56"/>
      <c r="AI2907" s="56"/>
      <c r="AJ2907" s="56"/>
      <c r="AK2907" s="56"/>
      <c r="AL2907" s="56"/>
      <c r="AM2907" s="56"/>
      <c r="AN2907" s="56"/>
      <c r="AO2907" s="56"/>
      <c r="AP2907" s="56"/>
      <c r="AQ2907" s="56"/>
      <c r="AR2907" s="56"/>
      <c r="AS2907" s="56"/>
      <c r="AT2907" s="56"/>
      <c r="AU2907" s="56"/>
      <c r="AV2907" s="56"/>
      <c r="AW2907" s="56"/>
      <c r="AX2907" s="56"/>
      <c r="AY2907" s="56"/>
      <c r="AZ2907" s="56"/>
      <c r="BA2907" s="56"/>
      <c r="BB2907" s="16"/>
      <c r="BC2907" s="56"/>
      <c r="BD2907" s="56"/>
      <c r="BE2907" s="56"/>
      <c r="BF2907" s="56"/>
      <c r="BG2907" s="56"/>
      <c r="BH2907" s="56"/>
      <c r="BI2907" s="56"/>
      <c r="BJ2907" s="56"/>
      <c r="BK2907" s="56"/>
      <c r="BL2907" s="56"/>
      <c r="BM2907" s="56"/>
      <c r="BN2907" s="56"/>
      <c r="BO2907" s="56"/>
      <c r="BP2907" s="56"/>
      <c r="BQ2907" s="56"/>
      <c r="BR2907" s="56"/>
      <c r="BS2907" s="56"/>
      <c r="BT2907" s="56"/>
      <c r="BU2907" s="56"/>
      <c r="BV2907" s="56"/>
      <c r="BW2907" s="56"/>
      <c r="BX2907" s="56"/>
      <c r="BY2907" s="56"/>
      <c r="BZ2907" s="56"/>
      <c r="CA2907" s="56"/>
      <c r="CB2907" s="56"/>
      <c r="CC2907" s="56"/>
      <c r="CD2907" s="56"/>
      <c r="CE2907" s="56"/>
      <c r="CF2907" s="56"/>
      <c r="CG2907" s="56"/>
      <c r="CH2907" s="56"/>
      <c r="CI2907" s="56"/>
      <c r="CJ2907" s="56"/>
      <c r="CK2907" s="56"/>
      <c r="CL2907" s="56"/>
      <c r="CM2907" s="56"/>
      <c r="CN2907" s="56"/>
      <c r="CO2907" s="56"/>
      <c r="CP2907" s="56"/>
      <c r="CQ2907" s="56"/>
      <c r="CR2907" s="56"/>
      <c r="CS2907" s="56"/>
      <c r="CT2907" s="56"/>
      <c r="CU2907" s="56"/>
      <c r="CV2907" s="56"/>
      <c r="CW2907" s="56"/>
      <c r="CX2907" s="56"/>
      <c r="CY2907" s="56"/>
      <c r="CZ2907" s="56"/>
    </row>
    <row r="2908" spans="27:104" s="5" customFormat="1" x14ac:dyDescent="0.25">
      <c r="AA2908" s="56"/>
      <c r="AB2908" s="56"/>
      <c r="AC2908" s="56"/>
      <c r="AD2908" s="56"/>
      <c r="AE2908" s="56"/>
      <c r="AF2908" s="56"/>
      <c r="AG2908" s="56"/>
      <c r="AH2908" s="56"/>
      <c r="AI2908" s="56"/>
      <c r="AJ2908" s="56"/>
      <c r="AK2908" s="56"/>
      <c r="AL2908" s="56"/>
      <c r="AM2908" s="56"/>
      <c r="AN2908" s="56"/>
      <c r="AO2908" s="56"/>
      <c r="AP2908" s="56"/>
      <c r="AQ2908" s="56"/>
      <c r="AR2908" s="56"/>
      <c r="AS2908" s="56"/>
      <c r="AT2908" s="56"/>
      <c r="AU2908" s="56"/>
      <c r="AV2908" s="56"/>
      <c r="AW2908" s="56"/>
      <c r="AX2908" s="56"/>
      <c r="AY2908" s="56"/>
      <c r="AZ2908" s="56"/>
      <c r="BA2908" s="56"/>
      <c r="BB2908" s="16"/>
      <c r="BC2908" s="56"/>
      <c r="BD2908" s="56"/>
      <c r="BE2908" s="56"/>
      <c r="BF2908" s="56"/>
      <c r="BG2908" s="56"/>
      <c r="BH2908" s="56"/>
      <c r="BI2908" s="56"/>
      <c r="BJ2908" s="56"/>
      <c r="BK2908" s="56"/>
      <c r="BL2908" s="56"/>
      <c r="BM2908" s="56"/>
      <c r="BN2908" s="56"/>
      <c r="BO2908" s="56"/>
      <c r="BP2908" s="56"/>
      <c r="BQ2908" s="56"/>
      <c r="BR2908" s="56"/>
      <c r="BS2908" s="56"/>
      <c r="BT2908" s="56"/>
      <c r="BU2908" s="56"/>
      <c r="BV2908" s="56"/>
      <c r="BW2908" s="56"/>
      <c r="BX2908" s="56"/>
      <c r="BY2908" s="56"/>
      <c r="BZ2908" s="56"/>
      <c r="CA2908" s="56"/>
      <c r="CB2908" s="56"/>
      <c r="CC2908" s="56"/>
      <c r="CD2908" s="56"/>
      <c r="CE2908" s="56"/>
      <c r="CF2908" s="56"/>
      <c r="CG2908" s="56"/>
      <c r="CH2908" s="56"/>
      <c r="CI2908" s="56"/>
      <c r="CJ2908" s="56"/>
      <c r="CK2908" s="56"/>
      <c r="CL2908" s="56"/>
      <c r="CM2908" s="56"/>
      <c r="CN2908" s="56"/>
      <c r="CO2908" s="56"/>
      <c r="CP2908" s="56"/>
      <c r="CQ2908" s="56"/>
      <c r="CR2908" s="56"/>
      <c r="CS2908" s="56"/>
      <c r="CT2908" s="56"/>
      <c r="CU2908" s="56"/>
      <c r="CV2908" s="56"/>
      <c r="CW2908" s="56"/>
      <c r="CX2908" s="56"/>
      <c r="CY2908" s="56"/>
      <c r="CZ2908" s="56"/>
    </row>
    <row r="2909" spans="27:104" s="5" customFormat="1" x14ac:dyDescent="0.25">
      <c r="AA2909" s="56"/>
      <c r="AB2909" s="56"/>
      <c r="AC2909" s="56"/>
      <c r="AD2909" s="56"/>
      <c r="AE2909" s="56"/>
      <c r="AF2909" s="56"/>
      <c r="AG2909" s="56"/>
      <c r="AH2909" s="56"/>
      <c r="AI2909" s="56"/>
      <c r="AJ2909" s="56"/>
      <c r="AK2909" s="56"/>
      <c r="AL2909" s="56"/>
      <c r="AM2909" s="56"/>
      <c r="AN2909" s="56"/>
      <c r="AO2909" s="56"/>
      <c r="AP2909" s="56"/>
      <c r="AQ2909" s="56"/>
      <c r="AR2909" s="56"/>
      <c r="AS2909" s="56"/>
      <c r="AT2909" s="56"/>
      <c r="AU2909" s="56"/>
      <c r="AV2909" s="56"/>
      <c r="AW2909" s="56"/>
      <c r="AX2909" s="56"/>
      <c r="AY2909" s="56"/>
      <c r="AZ2909" s="56"/>
      <c r="BA2909" s="56"/>
      <c r="BB2909" s="16"/>
      <c r="BC2909" s="56"/>
      <c r="BD2909" s="56"/>
      <c r="BE2909" s="56"/>
      <c r="BF2909" s="56"/>
      <c r="BG2909" s="56"/>
      <c r="BH2909" s="56"/>
      <c r="BI2909" s="56"/>
      <c r="BJ2909" s="56"/>
      <c r="BK2909" s="56"/>
      <c r="BL2909" s="56"/>
      <c r="BM2909" s="56"/>
      <c r="BN2909" s="56"/>
      <c r="BO2909" s="56"/>
      <c r="BP2909" s="56"/>
      <c r="BQ2909" s="56"/>
      <c r="BR2909" s="56"/>
      <c r="BS2909" s="56"/>
      <c r="BT2909" s="56"/>
      <c r="BU2909" s="56"/>
      <c r="BV2909" s="56"/>
      <c r="BW2909" s="56"/>
      <c r="BX2909" s="56"/>
      <c r="BY2909" s="56"/>
      <c r="BZ2909" s="56"/>
      <c r="CA2909" s="56"/>
      <c r="CB2909" s="56"/>
      <c r="CC2909" s="56"/>
      <c r="CD2909" s="56"/>
      <c r="CE2909" s="56"/>
      <c r="CF2909" s="56"/>
      <c r="CG2909" s="56"/>
      <c r="CH2909" s="56"/>
      <c r="CI2909" s="56"/>
      <c r="CJ2909" s="56"/>
      <c r="CK2909" s="56"/>
      <c r="CL2909" s="56"/>
      <c r="CM2909" s="56"/>
      <c r="CN2909" s="56"/>
      <c r="CO2909" s="56"/>
      <c r="CP2909" s="56"/>
      <c r="CQ2909" s="56"/>
      <c r="CR2909" s="56"/>
      <c r="CS2909" s="56"/>
      <c r="CT2909" s="56"/>
      <c r="CU2909" s="56"/>
      <c r="CV2909" s="56"/>
      <c r="CW2909" s="56"/>
      <c r="CX2909" s="56"/>
      <c r="CY2909" s="56"/>
      <c r="CZ2909" s="56"/>
    </row>
    <row r="2910" spans="27:104" s="5" customFormat="1" x14ac:dyDescent="0.25">
      <c r="AA2910" s="56"/>
      <c r="AB2910" s="56"/>
      <c r="AC2910" s="56"/>
      <c r="AD2910" s="56"/>
      <c r="AE2910" s="56"/>
      <c r="AF2910" s="56"/>
      <c r="AG2910" s="56"/>
      <c r="AH2910" s="56"/>
      <c r="AI2910" s="56"/>
      <c r="AJ2910" s="56"/>
      <c r="AK2910" s="56"/>
      <c r="AL2910" s="56"/>
      <c r="AM2910" s="56"/>
      <c r="AN2910" s="56"/>
      <c r="AO2910" s="56"/>
      <c r="AP2910" s="56"/>
      <c r="AQ2910" s="56"/>
      <c r="AR2910" s="56"/>
      <c r="AS2910" s="56"/>
      <c r="AT2910" s="56"/>
      <c r="AU2910" s="56"/>
      <c r="AV2910" s="56"/>
      <c r="AW2910" s="56"/>
      <c r="AX2910" s="56"/>
      <c r="AY2910" s="56"/>
      <c r="AZ2910" s="56"/>
      <c r="BA2910" s="56"/>
      <c r="BB2910" s="16"/>
      <c r="BC2910" s="56"/>
      <c r="BD2910" s="56"/>
      <c r="BE2910" s="56"/>
      <c r="BF2910" s="56"/>
      <c r="BG2910" s="56"/>
      <c r="BH2910" s="56"/>
      <c r="BI2910" s="56"/>
      <c r="BJ2910" s="56"/>
      <c r="BK2910" s="56"/>
      <c r="BL2910" s="56"/>
      <c r="BM2910" s="56"/>
      <c r="BN2910" s="56"/>
      <c r="BO2910" s="56"/>
      <c r="BP2910" s="56"/>
      <c r="BQ2910" s="56"/>
      <c r="BR2910" s="56"/>
      <c r="BS2910" s="56"/>
      <c r="BT2910" s="56"/>
      <c r="BU2910" s="56"/>
      <c r="BV2910" s="56"/>
      <c r="BW2910" s="56"/>
      <c r="BX2910" s="56"/>
      <c r="BY2910" s="56"/>
      <c r="BZ2910" s="56"/>
      <c r="CA2910" s="56"/>
      <c r="CB2910" s="56"/>
      <c r="CC2910" s="56"/>
      <c r="CD2910" s="56"/>
      <c r="CE2910" s="56"/>
      <c r="CF2910" s="56"/>
      <c r="CG2910" s="56"/>
      <c r="CH2910" s="56"/>
      <c r="CI2910" s="56"/>
      <c r="CJ2910" s="56"/>
      <c r="CK2910" s="56"/>
      <c r="CL2910" s="56"/>
      <c r="CM2910" s="56"/>
      <c r="CN2910" s="56"/>
      <c r="CO2910" s="56"/>
      <c r="CP2910" s="56"/>
      <c r="CQ2910" s="56"/>
      <c r="CR2910" s="56"/>
      <c r="CS2910" s="56"/>
      <c r="CT2910" s="56"/>
      <c r="CU2910" s="56"/>
      <c r="CV2910" s="56"/>
      <c r="CW2910" s="56"/>
      <c r="CX2910" s="56"/>
      <c r="CY2910" s="56"/>
      <c r="CZ2910" s="56"/>
    </row>
    <row r="2911" spans="27:104" s="5" customFormat="1" x14ac:dyDescent="0.25">
      <c r="AA2911" s="56"/>
      <c r="AB2911" s="56"/>
      <c r="AC2911" s="56"/>
      <c r="AD2911" s="56"/>
      <c r="AE2911" s="56"/>
      <c r="AF2911" s="56"/>
      <c r="AG2911" s="56"/>
      <c r="AH2911" s="56"/>
      <c r="AI2911" s="56"/>
      <c r="AJ2911" s="56"/>
      <c r="AK2911" s="56"/>
      <c r="AL2911" s="56"/>
      <c r="AM2911" s="56"/>
      <c r="AN2911" s="56"/>
      <c r="AO2911" s="56"/>
      <c r="AP2911" s="56"/>
      <c r="AQ2911" s="56"/>
      <c r="AR2911" s="56"/>
      <c r="AS2911" s="56"/>
      <c r="AT2911" s="56"/>
      <c r="AU2911" s="56"/>
      <c r="AV2911" s="56"/>
      <c r="AW2911" s="56"/>
      <c r="AX2911" s="56"/>
      <c r="AY2911" s="56"/>
      <c r="AZ2911" s="56"/>
      <c r="BA2911" s="56"/>
      <c r="BB2911" s="16"/>
      <c r="BC2911" s="56"/>
      <c r="BD2911" s="56"/>
      <c r="BE2911" s="56"/>
      <c r="BF2911" s="56"/>
      <c r="BG2911" s="56"/>
      <c r="BH2911" s="56"/>
      <c r="BI2911" s="56"/>
      <c r="BJ2911" s="56"/>
      <c r="BK2911" s="56"/>
      <c r="BL2911" s="56"/>
      <c r="BM2911" s="56"/>
      <c r="BN2911" s="56"/>
      <c r="BO2911" s="56"/>
      <c r="BP2911" s="56"/>
      <c r="BQ2911" s="56"/>
      <c r="BR2911" s="56"/>
      <c r="BS2911" s="56"/>
      <c r="BT2911" s="56"/>
      <c r="BU2911" s="56"/>
      <c r="BV2911" s="56"/>
      <c r="BW2911" s="56"/>
      <c r="BX2911" s="56"/>
      <c r="BY2911" s="56"/>
      <c r="BZ2911" s="56"/>
      <c r="CA2911" s="56"/>
      <c r="CB2911" s="56"/>
      <c r="CC2911" s="56"/>
      <c r="CD2911" s="56"/>
      <c r="CE2911" s="56"/>
      <c r="CF2911" s="56"/>
      <c r="CG2911" s="56"/>
      <c r="CH2911" s="56"/>
      <c r="CI2911" s="56"/>
      <c r="CJ2911" s="56"/>
      <c r="CK2911" s="56"/>
      <c r="CL2911" s="56"/>
      <c r="CM2911" s="56"/>
      <c r="CN2911" s="56"/>
      <c r="CO2911" s="56"/>
      <c r="CP2911" s="56"/>
      <c r="CQ2911" s="56"/>
      <c r="CR2911" s="56"/>
      <c r="CS2911" s="56"/>
      <c r="CT2911" s="56"/>
      <c r="CU2911" s="56"/>
      <c r="CV2911" s="56"/>
      <c r="CW2911" s="56"/>
      <c r="CX2911" s="56"/>
      <c r="CY2911" s="56"/>
      <c r="CZ2911" s="56"/>
    </row>
    <row r="2912" spans="27:104" s="5" customFormat="1" x14ac:dyDescent="0.25">
      <c r="AA2912" s="56"/>
      <c r="AB2912" s="56"/>
      <c r="AC2912" s="56"/>
      <c r="AD2912" s="56"/>
      <c r="AE2912" s="56"/>
      <c r="AF2912" s="56"/>
      <c r="AG2912" s="56"/>
      <c r="AH2912" s="56"/>
      <c r="AI2912" s="56"/>
      <c r="AJ2912" s="56"/>
      <c r="AK2912" s="56"/>
      <c r="AL2912" s="56"/>
      <c r="AM2912" s="56"/>
      <c r="AN2912" s="56"/>
      <c r="AO2912" s="56"/>
      <c r="AP2912" s="56"/>
      <c r="AQ2912" s="56"/>
      <c r="AR2912" s="56"/>
      <c r="AS2912" s="56"/>
      <c r="AT2912" s="56"/>
      <c r="AU2912" s="56"/>
      <c r="AV2912" s="56"/>
      <c r="AW2912" s="56"/>
      <c r="AX2912" s="56"/>
      <c r="AY2912" s="56"/>
      <c r="AZ2912" s="56"/>
      <c r="BA2912" s="56"/>
      <c r="BB2912" s="16"/>
      <c r="BC2912" s="56"/>
      <c r="BD2912" s="56"/>
      <c r="BE2912" s="56"/>
      <c r="BF2912" s="56"/>
      <c r="BG2912" s="56"/>
      <c r="BH2912" s="56"/>
      <c r="BI2912" s="56"/>
      <c r="BJ2912" s="56"/>
      <c r="BK2912" s="56"/>
      <c r="BL2912" s="56"/>
      <c r="BM2912" s="56"/>
      <c r="BN2912" s="56"/>
      <c r="BO2912" s="56"/>
      <c r="BP2912" s="56"/>
      <c r="BQ2912" s="56"/>
      <c r="BR2912" s="56"/>
      <c r="BS2912" s="56"/>
      <c r="BT2912" s="56"/>
      <c r="BU2912" s="56"/>
      <c r="BV2912" s="56"/>
      <c r="BW2912" s="56"/>
      <c r="BX2912" s="56"/>
      <c r="BY2912" s="56"/>
      <c r="BZ2912" s="56"/>
      <c r="CA2912" s="56"/>
      <c r="CB2912" s="56"/>
      <c r="CC2912" s="56"/>
      <c r="CD2912" s="56"/>
      <c r="CE2912" s="56"/>
      <c r="CF2912" s="56"/>
      <c r="CG2912" s="56"/>
      <c r="CH2912" s="56"/>
      <c r="CI2912" s="56"/>
      <c r="CJ2912" s="56"/>
      <c r="CK2912" s="56"/>
      <c r="CL2912" s="56"/>
      <c r="CM2912" s="56"/>
      <c r="CN2912" s="56"/>
      <c r="CO2912" s="56"/>
      <c r="CP2912" s="56"/>
      <c r="CQ2912" s="56"/>
      <c r="CR2912" s="56"/>
      <c r="CS2912" s="56"/>
      <c r="CT2912" s="56"/>
      <c r="CU2912" s="56"/>
      <c r="CV2912" s="56"/>
      <c r="CW2912" s="56"/>
      <c r="CX2912" s="56"/>
      <c r="CY2912" s="56"/>
      <c r="CZ2912" s="56"/>
    </row>
    <row r="2913" spans="27:104" s="5" customFormat="1" x14ac:dyDescent="0.25">
      <c r="AA2913" s="56"/>
      <c r="AB2913" s="56"/>
      <c r="AC2913" s="56"/>
      <c r="AD2913" s="56"/>
      <c r="AE2913" s="56"/>
      <c r="AF2913" s="56"/>
      <c r="AG2913" s="56"/>
      <c r="AH2913" s="56"/>
      <c r="AI2913" s="56"/>
      <c r="AJ2913" s="56"/>
      <c r="AK2913" s="56"/>
      <c r="AL2913" s="56"/>
      <c r="AM2913" s="56"/>
      <c r="AN2913" s="56"/>
      <c r="AO2913" s="56"/>
      <c r="AP2913" s="56"/>
      <c r="AQ2913" s="56"/>
      <c r="AR2913" s="56"/>
      <c r="AS2913" s="56"/>
      <c r="AT2913" s="56"/>
      <c r="AU2913" s="56"/>
      <c r="AV2913" s="56"/>
      <c r="AW2913" s="56"/>
      <c r="AX2913" s="56"/>
      <c r="AY2913" s="56"/>
      <c r="AZ2913" s="56"/>
      <c r="BA2913" s="56"/>
      <c r="BB2913" s="16"/>
      <c r="BC2913" s="56"/>
      <c r="BD2913" s="56"/>
      <c r="BE2913" s="56"/>
      <c r="BF2913" s="56"/>
      <c r="BG2913" s="56"/>
      <c r="BH2913" s="56"/>
      <c r="BI2913" s="56"/>
      <c r="BJ2913" s="56"/>
      <c r="BK2913" s="56"/>
      <c r="BL2913" s="56"/>
      <c r="BM2913" s="56"/>
      <c r="BN2913" s="56"/>
      <c r="BO2913" s="56"/>
      <c r="BP2913" s="56"/>
      <c r="BQ2913" s="56"/>
      <c r="BR2913" s="56"/>
      <c r="BS2913" s="56"/>
      <c r="BT2913" s="56"/>
      <c r="BU2913" s="56"/>
      <c r="BV2913" s="56"/>
      <c r="BW2913" s="56"/>
      <c r="BX2913" s="56"/>
      <c r="BY2913" s="56"/>
      <c r="BZ2913" s="56"/>
      <c r="CA2913" s="56"/>
      <c r="CB2913" s="56"/>
      <c r="CC2913" s="56"/>
      <c r="CD2913" s="56"/>
      <c r="CE2913" s="56"/>
      <c r="CF2913" s="56"/>
      <c r="CG2913" s="56"/>
      <c r="CH2913" s="56"/>
      <c r="CI2913" s="56"/>
      <c r="CJ2913" s="56"/>
      <c r="CK2913" s="56"/>
      <c r="CL2913" s="56"/>
      <c r="CM2913" s="56"/>
      <c r="CN2913" s="56"/>
      <c r="CO2913" s="56"/>
      <c r="CP2913" s="56"/>
      <c r="CQ2913" s="56"/>
      <c r="CR2913" s="56"/>
      <c r="CS2913" s="56"/>
      <c r="CT2913" s="56"/>
      <c r="CU2913" s="56"/>
      <c r="CV2913" s="56"/>
      <c r="CW2913" s="56"/>
      <c r="CX2913" s="56"/>
      <c r="CY2913" s="56"/>
      <c r="CZ2913" s="56"/>
    </row>
    <row r="2914" spans="27:104" s="5" customFormat="1" x14ac:dyDescent="0.25">
      <c r="AA2914" s="56"/>
      <c r="AB2914" s="56"/>
      <c r="AC2914" s="56"/>
      <c r="AD2914" s="56"/>
      <c r="AE2914" s="56"/>
      <c r="AF2914" s="56"/>
      <c r="AG2914" s="56"/>
      <c r="AH2914" s="56"/>
      <c r="AI2914" s="56"/>
      <c r="AJ2914" s="56"/>
      <c r="AK2914" s="56"/>
      <c r="AL2914" s="56"/>
      <c r="AM2914" s="56"/>
      <c r="AN2914" s="56"/>
      <c r="AO2914" s="56"/>
      <c r="AP2914" s="56"/>
      <c r="AQ2914" s="56"/>
      <c r="AR2914" s="56"/>
      <c r="AS2914" s="56"/>
      <c r="AT2914" s="56"/>
      <c r="AU2914" s="56"/>
      <c r="AV2914" s="56"/>
      <c r="AW2914" s="56"/>
      <c r="AX2914" s="56"/>
      <c r="AY2914" s="56"/>
      <c r="AZ2914" s="56"/>
      <c r="BA2914" s="56"/>
      <c r="BB2914" s="16"/>
      <c r="BC2914" s="56"/>
      <c r="BD2914" s="56"/>
      <c r="BE2914" s="56"/>
      <c r="BF2914" s="56"/>
      <c r="BG2914" s="56"/>
      <c r="BH2914" s="56"/>
      <c r="BI2914" s="56"/>
      <c r="BJ2914" s="56"/>
      <c r="BK2914" s="56"/>
      <c r="BL2914" s="56"/>
      <c r="BM2914" s="56"/>
      <c r="BN2914" s="56"/>
      <c r="BO2914" s="56"/>
      <c r="BP2914" s="56"/>
      <c r="BQ2914" s="56"/>
      <c r="BR2914" s="56"/>
      <c r="BS2914" s="56"/>
      <c r="BT2914" s="56"/>
      <c r="BU2914" s="56"/>
      <c r="BV2914" s="56"/>
      <c r="BW2914" s="56"/>
      <c r="BX2914" s="56"/>
      <c r="BY2914" s="56"/>
      <c r="BZ2914" s="56"/>
      <c r="CA2914" s="56"/>
      <c r="CB2914" s="56"/>
      <c r="CC2914" s="56"/>
      <c r="CD2914" s="56"/>
      <c r="CE2914" s="56"/>
      <c r="CF2914" s="56"/>
      <c r="CG2914" s="56"/>
      <c r="CH2914" s="56"/>
      <c r="CI2914" s="56"/>
      <c r="CJ2914" s="56"/>
      <c r="CK2914" s="56"/>
      <c r="CL2914" s="56"/>
      <c r="CM2914" s="56"/>
      <c r="CN2914" s="56"/>
      <c r="CO2914" s="56"/>
      <c r="CP2914" s="56"/>
      <c r="CQ2914" s="56"/>
      <c r="CR2914" s="56"/>
      <c r="CS2914" s="56"/>
      <c r="CT2914" s="56"/>
      <c r="CU2914" s="56"/>
      <c r="CV2914" s="56"/>
      <c r="CW2914" s="56"/>
      <c r="CX2914" s="56"/>
      <c r="CY2914" s="56"/>
      <c r="CZ2914" s="56"/>
    </row>
    <row r="2915" spans="27:104" s="5" customFormat="1" x14ac:dyDescent="0.25">
      <c r="AA2915" s="56"/>
      <c r="AB2915" s="56"/>
      <c r="AC2915" s="56"/>
      <c r="AD2915" s="56"/>
      <c r="AE2915" s="56"/>
      <c r="AF2915" s="56"/>
      <c r="AG2915" s="56"/>
      <c r="AH2915" s="56"/>
      <c r="AI2915" s="56"/>
      <c r="AJ2915" s="56"/>
      <c r="AK2915" s="56"/>
      <c r="AL2915" s="56"/>
      <c r="AM2915" s="56"/>
      <c r="AN2915" s="56"/>
      <c r="AO2915" s="56"/>
      <c r="AP2915" s="56"/>
      <c r="AQ2915" s="56"/>
      <c r="AR2915" s="56"/>
      <c r="AS2915" s="56"/>
      <c r="AT2915" s="56"/>
      <c r="AU2915" s="56"/>
      <c r="AV2915" s="56"/>
      <c r="AW2915" s="56"/>
      <c r="AX2915" s="56"/>
      <c r="AY2915" s="56"/>
      <c r="AZ2915" s="56"/>
      <c r="BA2915" s="56"/>
      <c r="BB2915" s="16"/>
      <c r="BC2915" s="56"/>
      <c r="BD2915" s="56"/>
      <c r="BE2915" s="56"/>
      <c r="BF2915" s="56"/>
      <c r="BG2915" s="56"/>
      <c r="BH2915" s="56"/>
      <c r="BI2915" s="56"/>
      <c r="BJ2915" s="56"/>
      <c r="BK2915" s="56"/>
      <c r="BL2915" s="56"/>
      <c r="BM2915" s="56"/>
      <c r="BN2915" s="56"/>
      <c r="BO2915" s="56"/>
      <c r="BP2915" s="56"/>
      <c r="BQ2915" s="56"/>
      <c r="BR2915" s="56"/>
      <c r="BS2915" s="56"/>
      <c r="BT2915" s="56"/>
      <c r="BU2915" s="56"/>
      <c r="BV2915" s="56"/>
      <c r="BW2915" s="56"/>
      <c r="BX2915" s="56"/>
      <c r="BY2915" s="56"/>
      <c r="BZ2915" s="56"/>
      <c r="CA2915" s="56"/>
      <c r="CB2915" s="56"/>
      <c r="CC2915" s="56"/>
      <c r="CD2915" s="56"/>
      <c r="CE2915" s="56"/>
      <c r="CF2915" s="56"/>
      <c r="CG2915" s="56"/>
      <c r="CH2915" s="56"/>
      <c r="CI2915" s="56"/>
      <c r="CJ2915" s="56"/>
      <c r="CK2915" s="56"/>
      <c r="CL2915" s="56"/>
      <c r="CM2915" s="56"/>
      <c r="CN2915" s="56"/>
      <c r="CO2915" s="56"/>
      <c r="CP2915" s="56"/>
      <c r="CQ2915" s="56"/>
      <c r="CR2915" s="56"/>
      <c r="CS2915" s="56"/>
      <c r="CT2915" s="56"/>
      <c r="CU2915" s="56"/>
      <c r="CV2915" s="56"/>
      <c r="CW2915" s="56"/>
      <c r="CX2915" s="56"/>
      <c r="CY2915" s="56"/>
      <c r="CZ2915" s="56"/>
    </row>
    <row r="2916" spans="27:104" s="5" customFormat="1" x14ac:dyDescent="0.25">
      <c r="AA2916" s="56"/>
      <c r="AB2916" s="56"/>
      <c r="AC2916" s="56"/>
      <c r="AD2916" s="56"/>
      <c r="AE2916" s="56"/>
      <c r="AF2916" s="56"/>
      <c r="AG2916" s="56"/>
      <c r="AH2916" s="56"/>
      <c r="AI2916" s="56"/>
      <c r="AJ2916" s="56"/>
      <c r="AK2916" s="56"/>
      <c r="AL2916" s="56"/>
      <c r="AM2916" s="56"/>
      <c r="AN2916" s="56"/>
      <c r="AO2916" s="56"/>
      <c r="AP2916" s="56"/>
      <c r="AQ2916" s="56"/>
      <c r="AR2916" s="56"/>
      <c r="AS2916" s="56"/>
      <c r="AT2916" s="56"/>
      <c r="AU2916" s="56"/>
      <c r="AV2916" s="56"/>
      <c r="AW2916" s="56"/>
      <c r="AX2916" s="56"/>
      <c r="AY2916" s="56"/>
      <c r="AZ2916" s="56"/>
      <c r="BA2916" s="56"/>
      <c r="BB2916" s="16"/>
      <c r="BC2916" s="56"/>
      <c r="BD2916" s="56"/>
      <c r="BE2916" s="56"/>
      <c r="BF2916" s="56"/>
      <c r="BG2916" s="56"/>
      <c r="BH2916" s="56"/>
      <c r="BI2916" s="56"/>
      <c r="BJ2916" s="56"/>
      <c r="BK2916" s="56"/>
      <c r="BL2916" s="56"/>
      <c r="BM2916" s="56"/>
      <c r="BN2916" s="56"/>
      <c r="BO2916" s="56"/>
      <c r="BP2916" s="56"/>
      <c r="BQ2916" s="56"/>
      <c r="BR2916" s="56"/>
      <c r="BS2916" s="56"/>
      <c r="BT2916" s="56"/>
      <c r="BU2916" s="56"/>
      <c r="BV2916" s="56"/>
      <c r="BW2916" s="56"/>
      <c r="BX2916" s="56"/>
      <c r="BY2916" s="56"/>
      <c r="BZ2916" s="56"/>
      <c r="CA2916" s="56"/>
      <c r="CB2916" s="56"/>
      <c r="CC2916" s="56"/>
      <c r="CD2916" s="56"/>
      <c r="CE2916" s="56"/>
      <c r="CF2916" s="56"/>
      <c r="CG2916" s="56"/>
      <c r="CH2916" s="56"/>
      <c r="CI2916" s="56"/>
      <c r="CJ2916" s="56"/>
      <c r="CK2916" s="56"/>
      <c r="CL2916" s="56"/>
      <c r="CM2916" s="56"/>
      <c r="CN2916" s="56"/>
      <c r="CO2916" s="56"/>
      <c r="CP2916" s="56"/>
      <c r="CQ2916" s="56"/>
      <c r="CR2916" s="56"/>
      <c r="CS2916" s="56"/>
      <c r="CT2916" s="56"/>
      <c r="CU2916" s="56"/>
      <c r="CV2916" s="56"/>
      <c r="CW2916" s="56"/>
      <c r="CX2916" s="56"/>
      <c r="CY2916" s="56"/>
      <c r="CZ2916" s="56"/>
    </row>
    <row r="2917" spans="27:104" s="5" customFormat="1" x14ac:dyDescent="0.25">
      <c r="AA2917" s="56"/>
      <c r="AB2917" s="56"/>
      <c r="AC2917" s="56"/>
      <c r="AD2917" s="56"/>
      <c r="AE2917" s="56"/>
      <c r="AF2917" s="56"/>
      <c r="AG2917" s="56"/>
      <c r="AH2917" s="56"/>
      <c r="AI2917" s="56"/>
      <c r="AJ2917" s="56"/>
      <c r="AK2917" s="56"/>
      <c r="AL2917" s="56"/>
      <c r="AM2917" s="56"/>
      <c r="AN2917" s="56"/>
      <c r="AO2917" s="56"/>
      <c r="AP2917" s="56"/>
      <c r="AQ2917" s="56"/>
      <c r="AR2917" s="56"/>
      <c r="AS2917" s="56"/>
      <c r="AT2917" s="56"/>
      <c r="AU2917" s="56"/>
      <c r="AV2917" s="56"/>
      <c r="AW2917" s="56"/>
      <c r="AX2917" s="56"/>
      <c r="AY2917" s="56"/>
      <c r="AZ2917" s="56"/>
      <c r="BA2917" s="56"/>
      <c r="BB2917" s="16"/>
      <c r="BC2917" s="56"/>
      <c r="BD2917" s="56"/>
      <c r="BE2917" s="56"/>
      <c r="BF2917" s="56"/>
      <c r="BG2917" s="56"/>
      <c r="BH2917" s="56"/>
      <c r="BI2917" s="56"/>
      <c r="BJ2917" s="56"/>
      <c r="BK2917" s="56"/>
      <c r="BL2917" s="56"/>
      <c r="BM2917" s="56"/>
      <c r="BN2917" s="56"/>
      <c r="BO2917" s="56"/>
      <c r="BP2917" s="56"/>
      <c r="BQ2917" s="56"/>
      <c r="BR2917" s="56"/>
      <c r="BS2917" s="56"/>
      <c r="BT2917" s="56"/>
      <c r="BU2917" s="56"/>
      <c r="BV2917" s="56"/>
      <c r="BW2917" s="56"/>
      <c r="BX2917" s="56"/>
      <c r="BY2917" s="56"/>
      <c r="BZ2917" s="56"/>
      <c r="CA2917" s="56"/>
      <c r="CB2917" s="56"/>
      <c r="CC2917" s="56"/>
      <c r="CD2917" s="56"/>
      <c r="CE2917" s="56"/>
      <c r="CF2917" s="56"/>
      <c r="CG2917" s="56"/>
      <c r="CH2917" s="56"/>
      <c r="CI2917" s="56"/>
      <c r="CJ2917" s="56"/>
      <c r="CK2917" s="56"/>
      <c r="CL2917" s="56"/>
      <c r="CM2917" s="56"/>
      <c r="CN2917" s="56"/>
      <c r="CO2917" s="56"/>
      <c r="CP2917" s="56"/>
      <c r="CQ2917" s="56"/>
      <c r="CR2917" s="56"/>
      <c r="CS2917" s="56"/>
      <c r="CT2917" s="56"/>
      <c r="CU2917" s="56"/>
      <c r="CV2917" s="56"/>
      <c r="CW2917" s="56"/>
      <c r="CX2917" s="56"/>
      <c r="CY2917" s="56"/>
      <c r="CZ2917" s="56"/>
    </row>
    <row r="2918" spans="27:104" s="5" customFormat="1" x14ac:dyDescent="0.25">
      <c r="AA2918" s="56"/>
      <c r="AB2918" s="56"/>
      <c r="AC2918" s="56"/>
      <c r="AD2918" s="56"/>
      <c r="AE2918" s="56"/>
      <c r="AF2918" s="56"/>
      <c r="AG2918" s="56"/>
      <c r="AH2918" s="56"/>
      <c r="AI2918" s="56"/>
      <c r="AJ2918" s="56"/>
      <c r="AK2918" s="56"/>
      <c r="AL2918" s="56"/>
      <c r="AM2918" s="56"/>
      <c r="AN2918" s="56"/>
      <c r="AO2918" s="56"/>
      <c r="AP2918" s="56"/>
      <c r="AQ2918" s="56"/>
      <c r="AR2918" s="56"/>
      <c r="AS2918" s="56"/>
      <c r="AT2918" s="56"/>
      <c r="AU2918" s="56"/>
      <c r="AV2918" s="56"/>
      <c r="AW2918" s="56"/>
      <c r="AX2918" s="56"/>
      <c r="AY2918" s="56"/>
      <c r="AZ2918" s="56"/>
      <c r="BA2918" s="56"/>
      <c r="BB2918" s="16"/>
      <c r="BC2918" s="56"/>
      <c r="BD2918" s="56"/>
      <c r="BE2918" s="56"/>
      <c r="BF2918" s="56"/>
      <c r="BG2918" s="56"/>
      <c r="BH2918" s="56"/>
      <c r="BI2918" s="56"/>
      <c r="BJ2918" s="56"/>
      <c r="BK2918" s="56"/>
      <c r="BL2918" s="56"/>
      <c r="BM2918" s="56"/>
      <c r="BN2918" s="56"/>
      <c r="BO2918" s="56"/>
      <c r="BP2918" s="56"/>
      <c r="BQ2918" s="56"/>
      <c r="BR2918" s="56"/>
      <c r="BS2918" s="56"/>
      <c r="BT2918" s="56"/>
      <c r="BU2918" s="56"/>
      <c r="BV2918" s="56"/>
      <c r="BW2918" s="56"/>
      <c r="BX2918" s="56"/>
      <c r="BY2918" s="56"/>
      <c r="BZ2918" s="56"/>
      <c r="CA2918" s="56"/>
      <c r="CB2918" s="56"/>
      <c r="CC2918" s="56"/>
      <c r="CD2918" s="56"/>
      <c r="CE2918" s="56"/>
      <c r="CF2918" s="56"/>
      <c r="CG2918" s="56"/>
      <c r="CH2918" s="56"/>
      <c r="CI2918" s="56"/>
      <c r="CJ2918" s="56"/>
      <c r="CK2918" s="56"/>
      <c r="CL2918" s="56"/>
      <c r="CM2918" s="56"/>
      <c r="CN2918" s="56"/>
      <c r="CO2918" s="56"/>
      <c r="CP2918" s="56"/>
      <c r="CQ2918" s="56"/>
      <c r="CR2918" s="56"/>
      <c r="CS2918" s="56"/>
      <c r="CT2918" s="56"/>
      <c r="CU2918" s="56"/>
      <c r="CV2918" s="56"/>
      <c r="CW2918" s="56"/>
      <c r="CX2918" s="56"/>
      <c r="CY2918" s="56"/>
      <c r="CZ2918" s="56"/>
    </row>
    <row r="2919" spans="27:104" s="5" customFormat="1" x14ac:dyDescent="0.25">
      <c r="AA2919" s="56"/>
      <c r="AB2919" s="56"/>
      <c r="AC2919" s="56"/>
      <c r="AD2919" s="56"/>
      <c r="AE2919" s="56"/>
      <c r="AF2919" s="56"/>
      <c r="AG2919" s="56"/>
      <c r="AH2919" s="56"/>
      <c r="AI2919" s="56"/>
      <c r="AJ2919" s="56"/>
      <c r="AK2919" s="56"/>
      <c r="AL2919" s="56"/>
      <c r="AM2919" s="56"/>
      <c r="AN2919" s="56"/>
      <c r="AO2919" s="56"/>
      <c r="AP2919" s="56"/>
      <c r="AQ2919" s="56"/>
      <c r="AR2919" s="56"/>
      <c r="AS2919" s="56"/>
      <c r="AT2919" s="56"/>
      <c r="AU2919" s="56"/>
      <c r="AV2919" s="56"/>
      <c r="AW2919" s="56"/>
      <c r="AX2919" s="56"/>
      <c r="AY2919" s="56"/>
      <c r="AZ2919" s="56"/>
      <c r="BA2919" s="56"/>
      <c r="BB2919" s="16"/>
      <c r="BC2919" s="56"/>
      <c r="BD2919" s="56"/>
      <c r="BE2919" s="56"/>
      <c r="BF2919" s="56"/>
      <c r="BG2919" s="56"/>
      <c r="BH2919" s="56"/>
      <c r="BI2919" s="56"/>
      <c r="BJ2919" s="56"/>
      <c r="BK2919" s="56"/>
      <c r="BL2919" s="56"/>
      <c r="BM2919" s="56"/>
      <c r="BN2919" s="56"/>
      <c r="BO2919" s="56"/>
      <c r="BP2919" s="56"/>
      <c r="BQ2919" s="56"/>
      <c r="BR2919" s="56"/>
      <c r="BS2919" s="56"/>
      <c r="BT2919" s="56"/>
      <c r="BU2919" s="56"/>
      <c r="BV2919" s="56"/>
      <c r="BW2919" s="56"/>
      <c r="BX2919" s="56"/>
      <c r="BY2919" s="56"/>
      <c r="BZ2919" s="56"/>
      <c r="CA2919" s="56"/>
      <c r="CB2919" s="56"/>
      <c r="CC2919" s="56"/>
      <c r="CD2919" s="56"/>
      <c r="CE2919" s="56"/>
      <c r="CF2919" s="56"/>
      <c r="CG2919" s="56"/>
      <c r="CH2919" s="56"/>
      <c r="CI2919" s="56"/>
      <c r="CJ2919" s="56"/>
      <c r="CK2919" s="56"/>
      <c r="CL2919" s="56"/>
      <c r="CM2919" s="56"/>
      <c r="CN2919" s="56"/>
      <c r="CO2919" s="56"/>
      <c r="CP2919" s="56"/>
      <c r="CQ2919" s="56"/>
      <c r="CR2919" s="56"/>
      <c r="CS2919" s="56"/>
      <c r="CT2919" s="56"/>
      <c r="CU2919" s="56"/>
      <c r="CV2919" s="56"/>
      <c r="CW2919" s="56"/>
      <c r="CX2919" s="56"/>
      <c r="CY2919" s="56"/>
      <c r="CZ2919" s="56"/>
    </row>
    <row r="2920" spans="27:104" s="5" customFormat="1" x14ac:dyDescent="0.25">
      <c r="AA2920" s="56"/>
      <c r="AB2920" s="56"/>
      <c r="AC2920" s="56"/>
      <c r="AD2920" s="56"/>
      <c r="AE2920" s="56"/>
      <c r="AF2920" s="56"/>
      <c r="AG2920" s="56"/>
      <c r="AH2920" s="56"/>
      <c r="AI2920" s="56"/>
      <c r="AJ2920" s="56"/>
      <c r="AK2920" s="56"/>
      <c r="AL2920" s="56"/>
      <c r="AM2920" s="56"/>
      <c r="AN2920" s="56"/>
      <c r="AO2920" s="56"/>
      <c r="AP2920" s="56"/>
      <c r="AQ2920" s="56"/>
      <c r="AR2920" s="56"/>
      <c r="AS2920" s="56"/>
      <c r="AT2920" s="56"/>
      <c r="AU2920" s="56"/>
      <c r="AV2920" s="56"/>
      <c r="AW2920" s="56"/>
      <c r="AX2920" s="56"/>
      <c r="AY2920" s="56"/>
      <c r="AZ2920" s="56"/>
      <c r="BA2920" s="56"/>
      <c r="BB2920" s="16"/>
      <c r="BC2920" s="56"/>
      <c r="BD2920" s="56"/>
      <c r="BE2920" s="56"/>
      <c r="BF2920" s="56"/>
      <c r="BG2920" s="56"/>
      <c r="BH2920" s="56"/>
      <c r="BI2920" s="56"/>
      <c r="BJ2920" s="56"/>
      <c r="BK2920" s="56"/>
      <c r="BL2920" s="56"/>
      <c r="BM2920" s="56"/>
      <c r="BN2920" s="56"/>
      <c r="BO2920" s="56"/>
      <c r="BP2920" s="56"/>
      <c r="BQ2920" s="56"/>
      <c r="BR2920" s="56"/>
      <c r="BS2920" s="56"/>
      <c r="BT2920" s="56"/>
      <c r="BU2920" s="56"/>
      <c r="BV2920" s="56"/>
      <c r="BW2920" s="56"/>
      <c r="BX2920" s="56"/>
      <c r="BY2920" s="56"/>
      <c r="BZ2920" s="56"/>
      <c r="CA2920" s="56"/>
      <c r="CB2920" s="56"/>
      <c r="CC2920" s="56"/>
      <c r="CD2920" s="56"/>
      <c r="CE2920" s="56"/>
      <c r="CF2920" s="56"/>
      <c r="CG2920" s="56"/>
      <c r="CH2920" s="56"/>
      <c r="CI2920" s="56"/>
      <c r="CJ2920" s="56"/>
      <c r="CK2920" s="56"/>
      <c r="CL2920" s="56"/>
      <c r="CM2920" s="56"/>
      <c r="CN2920" s="56"/>
      <c r="CO2920" s="56"/>
      <c r="CP2920" s="56"/>
      <c r="CQ2920" s="56"/>
      <c r="CR2920" s="56"/>
      <c r="CS2920" s="56"/>
      <c r="CT2920" s="56"/>
      <c r="CU2920" s="56"/>
      <c r="CV2920" s="56"/>
      <c r="CW2920" s="56"/>
      <c r="CX2920" s="56"/>
      <c r="CY2920" s="56"/>
      <c r="CZ2920" s="56"/>
    </row>
    <row r="2921" spans="27:104" s="5" customFormat="1" x14ac:dyDescent="0.25">
      <c r="AA2921" s="56"/>
      <c r="AB2921" s="56"/>
      <c r="AC2921" s="56"/>
      <c r="AD2921" s="56"/>
      <c r="AE2921" s="56"/>
      <c r="AF2921" s="56"/>
      <c r="AG2921" s="56"/>
      <c r="AH2921" s="56"/>
      <c r="AI2921" s="56"/>
      <c r="AJ2921" s="56"/>
      <c r="AK2921" s="56"/>
      <c r="AL2921" s="56"/>
      <c r="AM2921" s="56"/>
      <c r="AN2921" s="56"/>
      <c r="AO2921" s="56"/>
      <c r="AP2921" s="56"/>
      <c r="AQ2921" s="56"/>
      <c r="AR2921" s="56"/>
      <c r="AS2921" s="56"/>
      <c r="AT2921" s="56"/>
      <c r="AU2921" s="56"/>
      <c r="AV2921" s="56"/>
      <c r="AW2921" s="56"/>
      <c r="AX2921" s="56"/>
      <c r="AY2921" s="56"/>
      <c r="AZ2921" s="56"/>
      <c r="BA2921" s="56"/>
      <c r="BB2921" s="16"/>
      <c r="BC2921" s="56"/>
      <c r="BD2921" s="56"/>
      <c r="BE2921" s="56"/>
      <c r="BF2921" s="56"/>
      <c r="BG2921" s="56"/>
      <c r="BH2921" s="56"/>
      <c r="BI2921" s="56"/>
      <c r="BJ2921" s="56"/>
      <c r="BK2921" s="56"/>
      <c r="BL2921" s="56"/>
      <c r="BM2921" s="56"/>
      <c r="BN2921" s="56"/>
      <c r="BO2921" s="56"/>
      <c r="BP2921" s="56"/>
      <c r="BQ2921" s="56"/>
      <c r="BR2921" s="56"/>
      <c r="BS2921" s="56"/>
      <c r="BT2921" s="56"/>
      <c r="BU2921" s="56"/>
      <c r="BV2921" s="56"/>
      <c r="BW2921" s="56"/>
      <c r="BX2921" s="56"/>
      <c r="BY2921" s="56"/>
      <c r="BZ2921" s="56"/>
      <c r="CA2921" s="56"/>
      <c r="CB2921" s="56"/>
      <c r="CC2921" s="56"/>
      <c r="CD2921" s="56"/>
      <c r="CE2921" s="56"/>
      <c r="CF2921" s="56"/>
      <c r="CG2921" s="56"/>
      <c r="CH2921" s="56"/>
      <c r="CI2921" s="56"/>
      <c r="CJ2921" s="56"/>
      <c r="CK2921" s="56"/>
      <c r="CL2921" s="56"/>
      <c r="CM2921" s="56"/>
      <c r="CN2921" s="56"/>
      <c r="CO2921" s="56"/>
      <c r="CP2921" s="56"/>
      <c r="CQ2921" s="56"/>
      <c r="CR2921" s="56"/>
      <c r="CS2921" s="56"/>
      <c r="CT2921" s="56"/>
      <c r="CU2921" s="56"/>
      <c r="CV2921" s="56"/>
      <c r="CW2921" s="56"/>
      <c r="CX2921" s="56"/>
      <c r="CY2921" s="56"/>
      <c r="CZ2921" s="56"/>
    </row>
    <row r="2922" spans="27:104" s="5" customFormat="1" x14ac:dyDescent="0.25">
      <c r="AA2922" s="56"/>
      <c r="AB2922" s="56"/>
      <c r="AC2922" s="56"/>
      <c r="AD2922" s="56"/>
      <c r="AE2922" s="56"/>
      <c r="AF2922" s="56"/>
      <c r="AG2922" s="56"/>
      <c r="AH2922" s="56"/>
      <c r="AI2922" s="56"/>
      <c r="AJ2922" s="56"/>
      <c r="AK2922" s="56"/>
      <c r="AL2922" s="56"/>
      <c r="AM2922" s="56"/>
      <c r="AN2922" s="56"/>
      <c r="AO2922" s="56"/>
      <c r="AP2922" s="56"/>
      <c r="AQ2922" s="56"/>
      <c r="AR2922" s="56"/>
      <c r="AS2922" s="56"/>
      <c r="AT2922" s="56"/>
      <c r="AU2922" s="56"/>
      <c r="AV2922" s="56"/>
      <c r="AW2922" s="56"/>
      <c r="AX2922" s="56"/>
      <c r="AY2922" s="56"/>
      <c r="AZ2922" s="56"/>
      <c r="BA2922" s="56"/>
      <c r="BB2922" s="16"/>
      <c r="BC2922" s="56"/>
      <c r="BD2922" s="56"/>
      <c r="BE2922" s="56"/>
      <c r="BF2922" s="56"/>
      <c r="BG2922" s="56"/>
      <c r="BH2922" s="56"/>
      <c r="BI2922" s="56"/>
      <c r="BJ2922" s="56"/>
      <c r="BK2922" s="56"/>
      <c r="BL2922" s="56"/>
      <c r="BM2922" s="56"/>
      <c r="BN2922" s="56"/>
      <c r="BO2922" s="56"/>
      <c r="BP2922" s="56"/>
      <c r="BQ2922" s="56"/>
      <c r="BR2922" s="56"/>
      <c r="BS2922" s="56"/>
      <c r="BT2922" s="56"/>
      <c r="BU2922" s="56"/>
      <c r="BV2922" s="56"/>
      <c r="BW2922" s="56"/>
      <c r="BX2922" s="56"/>
      <c r="BY2922" s="56"/>
      <c r="BZ2922" s="56"/>
      <c r="CA2922" s="56"/>
      <c r="CB2922" s="56"/>
      <c r="CC2922" s="56"/>
      <c r="CD2922" s="56"/>
      <c r="CE2922" s="56"/>
      <c r="CF2922" s="56"/>
      <c r="CG2922" s="56"/>
      <c r="CH2922" s="56"/>
      <c r="CI2922" s="56"/>
      <c r="CJ2922" s="56"/>
      <c r="CK2922" s="56"/>
      <c r="CL2922" s="56"/>
      <c r="CM2922" s="56"/>
      <c r="CN2922" s="56"/>
      <c r="CO2922" s="56"/>
      <c r="CP2922" s="56"/>
      <c r="CQ2922" s="56"/>
      <c r="CR2922" s="56"/>
      <c r="CS2922" s="56"/>
      <c r="CT2922" s="56"/>
      <c r="CU2922" s="56"/>
      <c r="CV2922" s="56"/>
      <c r="CW2922" s="56"/>
      <c r="CX2922" s="56"/>
      <c r="CY2922" s="56"/>
      <c r="CZ2922" s="56"/>
    </row>
    <row r="2923" spans="27:104" s="5" customFormat="1" x14ac:dyDescent="0.25">
      <c r="AA2923" s="56"/>
      <c r="AB2923" s="56"/>
      <c r="AC2923" s="56"/>
      <c r="AD2923" s="56"/>
      <c r="AE2923" s="56"/>
      <c r="AF2923" s="56"/>
      <c r="AG2923" s="56"/>
      <c r="AH2923" s="56"/>
      <c r="AI2923" s="56"/>
      <c r="AJ2923" s="56"/>
      <c r="AK2923" s="56"/>
      <c r="AL2923" s="56"/>
      <c r="AM2923" s="56"/>
      <c r="AN2923" s="56"/>
      <c r="AO2923" s="56"/>
      <c r="AP2923" s="56"/>
      <c r="AQ2923" s="56"/>
      <c r="AR2923" s="56"/>
      <c r="AS2923" s="56"/>
      <c r="AT2923" s="56"/>
      <c r="AU2923" s="56"/>
      <c r="AV2923" s="56"/>
      <c r="AW2923" s="56"/>
      <c r="AX2923" s="56"/>
      <c r="AY2923" s="56"/>
      <c r="AZ2923" s="56"/>
      <c r="BA2923" s="56"/>
      <c r="BB2923" s="16"/>
      <c r="BC2923" s="56"/>
      <c r="BD2923" s="56"/>
      <c r="BE2923" s="56"/>
      <c r="BF2923" s="56"/>
      <c r="BG2923" s="56"/>
      <c r="BH2923" s="56"/>
      <c r="BI2923" s="56"/>
      <c r="BJ2923" s="56"/>
      <c r="BK2923" s="56"/>
      <c r="BL2923" s="56"/>
      <c r="BM2923" s="56"/>
      <c r="BN2923" s="56"/>
      <c r="BO2923" s="56"/>
      <c r="BP2923" s="56"/>
      <c r="BQ2923" s="56"/>
      <c r="BR2923" s="56"/>
      <c r="BS2923" s="56"/>
      <c r="BT2923" s="56"/>
      <c r="BU2923" s="56"/>
      <c r="BV2923" s="56"/>
      <c r="BW2923" s="56"/>
      <c r="BX2923" s="56"/>
      <c r="BY2923" s="56"/>
      <c r="BZ2923" s="56"/>
      <c r="CA2923" s="56"/>
      <c r="CB2923" s="56"/>
      <c r="CC2923" s="56"/>
      <c r="CD2923" s="56"/>
      <c r="CE2923" s="56"/>
      <c r="CF2923" s="56"/>
      <c r="CG2923" s="56"/>
      <c r="CH2923" s="56"/>
      <c r="CI2923" s="56"/>
      <c r="CJ2923" s="56"/>
      <c r="CK2923" s="56"/>
      <c r="CL2923" s="56"/>
      <c r="CM2923" s="56"/>
      <c r="CN2923" s="56"/>
      <c r="CO2923" s="56"/>
      <c r="CP2923" s="56"/>
      <c r="CQ2923" s="56"/>
      <c r="CR2923" s="56"/>
      <c r="CS2923" s="56"/>
      <c r="CT2923" s="56"/>
      <c r="CU2923" s="56"/>
      <c r="CV2923" s="56"/>
      <c r="CW2923" s="56"/>
      <c r="CX2923" s="56"/>
      <c r="CY2923" s="56"/>
      <c r="CZ2923" s="56"/>
    </row>
    <row r="2924" spans="27:104" s="5" customFormat="1" x14ac:dyDescent="0.25">
      <c r="AA2924" s="56"/>
      <c r="AB2924" s="56"/>
      <c r="AC2924" s="56"/>
      <c r="AD2924" s="56"/>
      <c r="AE2924" s="56"/>
      <c r="AF2924" s="56"/>
      <c r="AG2924" s="56"/>
      <c r="AH2924" s="56"/>
      <c r="AI2924" s="56"/>
      <c r="AJ2924" s="56"/>
      <c r="AK2924" s="56"/>
      <c r="AL2924" s="56"/>
      <c r="AM2924" s="56"/>
      <c r="AN2924" s="56"/>
      <c r="AO2924" s="56"/>
      <c r="AP2924" s="56"/>
      <c r="AQ2924" s="56"/>
      <c r="AR2924" s="56"/>
      <c r="AS2924" s="56"/>
      <c r="AT2924" s="56"/>
      <c r="AU2924" s="56"/>
      <c r="AV2924" s="56"/>
      <c r="AW2924" s="56"/>
      <c r="AX2924" s="56"/>
      <c r="AY2924" s="56"/>
      <c r="AZ2924" s="56"/>
      <c r="BA2924" s="56"/>
      <c r="BB2924" s="16"/>
      <c r="BC2924" s="56"/>
      <c r="BD2924" s="56"/>
      <c r="BE2924" s="56"/>
      <c r="BF2924" s="56"/>
      <c r="BG2924" s="56"/>
      <c r="BH2924" s="56"/>
      <c r="BI2924" s="56"/>
      <c r="BJ2924" s="56"/>
      <c r="BK2924" s="56"/>
      <c r="BL2924" s="56"/>
      <c r="BM2924" s="56"/>
      <c r="BN2924" s="56"/>
      <c r="BO2924" s="56"/>
      <c r="BP2924" s="56"/>
      <c r="BQ2924" s="56"/>
      <c r="BR2924" s="56"/>
      <c r="BS2924" s="56"/>
      <c r="BT2924" s="56"/>
      <c r="BU2924" s="56"/>
      <c r="BV2924" s="56"/>
      <c r="BW2924" s="56"/>
      <c r="BX2924" s="56"/>
      <c r="BY2924" s="56"/>
      <c r="BZ2924" s="56"/>
      <c r="CA2924" s="56"/>
      <c r="CB2924" s="56"/>
      <c r="CC2924" s="56"/>
      <c r="CD2924" s="56"/>
      <c r="CE2924" s="56"/>
      <c r="CF2924" s="56"/>
      <c r="CG2924" s="56"/>
      <c r="CH2924" s="56"/>
      <c r="CI2924" s="56"/>
      <c r="CJ2924" s="56"/>
      <c r="CK2924" s="56"/>
      <c r="CL2924" s="56"/>
      <c r="CM2924" s="56"/>
      <c r="CN2924" s="56"/>
      <c r="CO2924" s="56"/>
      <c r="CP2924" s="56"/>
      <c r="CQ2924" s="56"/>
      <c r="CR2924" s="56"/>
      <c r="CS2924" s="56"/>
      <c r="CT2924" s="56"/>
      <c r="CU2924" s="56"/>
      <c r="CV2924" s="56"/>
      <c r="CW2924" s="56"/>
      <c r="CX2924" s="56"/>
      <c r="CY2924" s="56"/>
      <c r="CZ2924" s="56"/>
    </row>
    <row r="2925" spans="27:104" s="5" customFormat="1" x14ac:dyDescent="0.25">
      <c r="AA2925" s="56"/>
      <c r="AB2925" s="56"/>
      <c r="AC2925" s="56"/>
      <c r="AD2925" s="56"/>
      <c r="AE2925" s="56"/>
      <c r="AF2925" s="56"/>
      <c r="AG2925" s="56"/>
      <c r="AH2925" s="56"/>
      <c r="AI2925" s="56"/>
      <c r="AJ2925" s="56"/>
      <c r="AK2925" s="56"/>
      <c r="AL2925" s="56"/>
      <c r="AM2925" s="56"/>
      <c r="AN2925" s="56"/>
      <c r="AO2925" s="56"/>
      <c r="AP2925" s="56"/>
      <c r="AQ2925" s="56"/>
      <c r="AR2925" s="56"/>
      <c r="AS2925" s="56"/>
      <c r="AT2925" s="56"/>
      <c r="AU2925" s="56"/>
      <c r="AV2925" s="56"/>
      <c r="AW2925" s="56"/>
      <c r="AX2925" s="56"/>
      <c r="AY2925" s="56"/>
      <c r="AZ2925" s="56"/>
      <c r="BA2925" s="56"/>
      <c r="BB2925" s="16"/>
      <c r="BC2925" s="56"/>
      <c r="BD2925" s="56"/>
      <c r="BE2925" s="56"/>
      <c r="BF2925" s="56"/>
      <c r="BG2925" s="56"/>
      <c r="BH2925" s="56"/>
      <c r="BI2925" s="56"/>
      <c r="BJ2925" s="56"/>
      <c r="BK2925" s="56"/>
      <c r="BL2925" s="56"/>
      <c r="BM2925" s="56"/>
      <c r="BN2925" s="56"/>
      <c r="BO2925" s="56"/>
      <c r="BP2925" s="56"/>
      <c r="BQ2925" s="56"/>
      <c r="BR2925" s="56"/>
      <c r="BS2925" s="56"/>
      <c r="BT2925" s="56"/>
      <c r="BU2925" s="56"/>
      <c r="BV2925" s="56"/>
      <c r="BW2925" s="56"/>
      <c r="BX2925" s="56"/>
      <c r="BY2925" s="56"/>
      <c r="BZ2925" s="56"/>
      <c r="CA2925" s="56"/>
      <c r="CB2925" s="56"/>
      <c r="CC2925" s="56"/>
      <c r="CD2925" s="56"/>
      <c r="CE2925" s="56"/>
      <c r="CF2925" s="56"/>
      <c r="CG2925" s="56"/>
      <c r="CH2925" s="56"/>
      <c r="CI2925" s="56"/>
      <c r="CJ2925" s="56"/>
      <c r="CK2925" s="56"/>
      <c r="CL2925" s="56"/>
      <c r="CM2925" s="56"/>
      <c r="CN2925" s="56"/>
      <c r="CO2925" s="56"/>
      <c r="CP2925" s="56"/>
      <c r="CQ2925" s="56"/>
      <c r="CR2925" s="56"/>
      <c r="CS2925" s="56"/>
      <c r="CT2925" s="56"/>
      <c r="CU2925" s="56"/>
      <c r="CV2925" s="56"/>
      <c r="CW2925" s="56"/>
      <c r="CX2925" s="56"/>
      <c r="CY2925" s="56"/>
      <c r="CZ2925" s="56"/>
    </row>
    <row r="2926" spans="27:104" s="5" customFormat="1" x14ac:dyDescent="0.25">
      <c r="AA2926" s="56"/>
      <c r="AB2926" s="56"/>
      <c r="AC2926" s="56"/>
      <c r="AD2926" s="56"/>
      <c r="AE2926" s="56"/>
      <c r="AF2926" s="56"/>
      <c r="AG2926" s="56"/>
      <c r="AH2926" s="56"/>
      <c r="AI2926" s="56"/>
      <c r="AJ2926" s="56"/>
      <c r="AK2926" s="56"/>
      <c r="AL2926" s="56"/>
      <c r="AM2926" s="56"/>
      <c r="AN2926" s="56"/>
      <c r="AO2926" s="56"/>
      <c r="AP2926" s="56"/>
      <c r="AQ2926" s="56"/>
      <c r="AR2926" s="56"/>
      <c r="AS2926" s="56"/>
      <c r="AT2926" s="56"/>
      <c r="AU2926" s="56"/>
      <c r="AV2926" s="56"/>
      <c r="AW2926" s="56"/>
      <c r="AX2926" s="56"/>
      <c r="AY2926" s="56"/>
      <c r="AZ2926" s="56"/>
      <c r="BA2926" s="56"/>
      <c r="BB2926" s="16"/>
      <c r="BC2926" s="56"/>
      <c r="BD2926" s="56"/>
      <c r="BE2926" s="56"/>
      <c r="BF2926" s="56"/>
      <c r="BG2926" s="56"/>
      <c r="BH2926" s="56"/>
      <c r="BI2926" s="56"/>
      <c r="BJ2926" s="56"/>
      <c r="BK2926" s="56"/>
      <c r="BL2926" s="56"/>
      <c r="BM2926" s="56"/>
      <c r="BN2926" s="56"/>
      <c r="BO2926" s="56"/>
      <c r="BP2926" s="56"/>
      <c r="BQ2926" s="56"/>
      <c r="BR2926" s="56"/>
      <c r="BS2926" s="56"/>
      <c r="BT2926" s="56"/>
      <c r="BU2926" s="56"/>
      <c r="BV2926" s="56"/>
      <c r="BW2926" s="56"/>
      <c r="BX2926" s="56"/>
      <c r="BY2926" s="56"/>
      <c r="BZ2926" s="56"/>
      <c r="CA2926" s="56"/>
      <c r="CB2926" s="56"/>
      <c r="CC2926" s="56"/>
      <c r="CD2926" s="56"/>
      <c r="CE2926" s="56"/>
      <c r="CF2926" s="56"/>
      <c r="CG2926" s="56"/>
      <c r="CH2926" s="56"/>
      <c r="CI2926" s="56"/>
      <c r="CJ2926" s="56"/>
      <c r="CK2926" s="56"/>
      <c r="CL2926" s="56"/>
      <c r="CM2926" s="56"/>
      <c r="CN2926" s="56"/>
      <c r="CO2926" s="56"/>
      <c r="CP2926" s="56"/>
      <c r="CQ2926" s="56"/>
      <c r="CR2926" s="56"/>
      <c r="CS2926" s="56"/>
      <c r="CT2926" s="56"/>
      <c r="CU2926" s="56"/>
      <c r="CV2926" s="56"/>
      <c r="CW2926" s="56"/>
      <c r="CX2926" s="56"/>
      <c r="CY2926" s="56"/>
      <c r="CZ2926" s="56"/>
    </row>
    <row r="2927" spans="27:104" s="5" customFormat="1" x14ac:dyDescent="0.25">
      <c r="AA2927" s="56"/>
      <c r="AB2927" s="56"/>
      <c r="AC2927" s="56"/>
      <c r="AD2927" s="56"/>
      <c r="AE2927" s="56"/>
      <c r="AF2927" s="56"/>
      <c r="AG2927" s="56"/>
      <c r="AH2927" s="56"/>
      <c r="AI2927" s="56"/>
      <c r="AJ2927" s="56"/>
      <c r="AK2927" s="56"/>
      <c r="AL2927" s="56"/>
      <c r="AM2927" s="56"/>
      <c r="AN2927" s="56"/>
      <c r="AO2927" s="56"/>
      <c r="AP2927" s="56"/>
      <c r="AQ2927" s="56"/>
      <c r="AR2927" s="56"/>
      <c r="AS2927" s="56"/>
      <c r="AT2927" s="56"/>
      <c r="AU2927" s="56"/>
      <c r="AV2927" s="56"/>
      <c r="AW2927" s="56"/>
      <c r="AX2927" s="56"/>
      <c r="AY2927" s="56"/>
      <c r="AZ2927" s="56"/>
      <c r="BA2927" s="56"/>
      <c r="BB2927" s="16"/>
      <c r="BC2927" s="56"/>
      <c r="BD2927" s="56"/>
      <c r="BE2927" s="56"/>
      <c r="BF2927" s="56"/>
      <c r="BG2927" s="56"/>
      <c r="BH2927" s="56"/>
      <c r="BI2927" s="56"/>
      <c r="BJ2927" s="56"/>
      <c r="BK2927" s="56"/>
      <c r="BL2927" s="56"/>
      <c r="BM2927" s="56"/>
      <c r="BN2927" s="56"/>
      <c r="BO2927" s="56"/>
      <c r="BP2927" s="56"/>
      <c r="BQ2927" s="56"/>
      <c r="BR2927" s="56"/>
      <c r="BS2927" s="56"/>
      <c r="BT2927" s="56"/>
      <c r="BU2927" s="56"/>
      <c r="BV2927" s="56"/>
      <c r="BW2927" s="56"/>
      <c r="BX2927" s="56"/>
      <c r="BY2927" s="56"/>
      <c r="BZ2927" s="56"/>
      <c r="CA2927" s="56"/>
      <c r="CB2927" s="56"/>
      <c r="CC2927" s="56"/>
      <c r="CD2927" s="56"/>
      <c r="CE2927" s="56"/>
      <c r="CF2927" s="56"/>
      <c r="CG2927" s="56"/>
      <c r="CH2927" s="56"/>
      <c r="CI2927" s="56"/>
      <c r="CJ2927" s="56"/>
      <c r="CK2927" s="56"/>
      <c r="CL2927" s="56"/>
      <c r="CM2927" s="56"/>
      <c r="CN2927" s="56"/>
      <c r="CO2927" s="56"/>
      <c r="CP2927" s="56"/>
      <c r="CQ2927" s="56"/>
      <c r="CR2927" s="56"/>
      <c r="CS2927" s="56"/>
      <c r="CT2927" s="56"/>
      <c r="CU2927" s="56"/>
      <c r="CV2927" s="56"/>
      <c r="CW2927" s="56"/>
      <c r="CX2927" s="56"/>
      <c r="CY2927" s="56"/>
      <c r="CZ2927" s="56"/>
    </row>
    <row r="2928" spans="27:104" s="5" customFormat="1" x14ac:dyDescent="0.25">
      <c r="AA2928" s="56"/>
      <c r="AB2928" s="56"/>
      <c r="AC2928" s="56"/>
      <c r="AD2928" s="56"/>
      <c r="AE2928" s="56"/>
      <c r="AF2928" s="56"/>
      <c r="AG2928" s="56"/>
      <c r="AH2928" s="56"/>
      <c r="AI2928" s="56"/>
      <c r="AJ2928" s="56"/>
      <c r="AK2928" s="56"/>
      <c r="AL2928" s="56"/>
      <c r="AM2928" s="56"/>
      <c r="AN2928" s="56"/>
      <c r="AO2928" s="56"/>
      <c r="AP2928" s="56"/>
      <c r="AQ2928" s="56"/>
      <c r="AR2928" s="56"/>
      <c r="AS2928" s="56"/>
      <c r="AT2928" s="56"/>
      <c r="AU2928" s="56"/>
      <c r="AV2928" s="56"/>
      <c r="AW2928" s="56"/>
      <c r="AX2928" s="56"/>
      <c r="AY2928" s="56"/>
      <c r="AZ2928" s="56"/>
      <c r="BA2928" s="56"/>
      <c r="BB2928" s="16"/>
      <c r="BC2928" s="56"/>
      <c r="BD2928" s="56"/>
      <c r="BE2928" s="56"/>
      <c r="BF2928" s="56"/>
      <c r="BG2928" s="56"/>
      <c r="BH2928" s="56"/>
      <c r="BI2928" s="56"/>
      <c r="BJ2928" s="56"/>
      <c r="BK2928" s="56"/>
      <c r="BL2928" s="56"/>
      <c r="BM2928" s="56"/>
      <c r="BN2928" s="56"/>
      <c r="BO2928" s="56"/>
      <c r="BP2928" s="56"/>
      <c r="BQ2928" s="56"/>
      <c r="BR2928" s="56"/>
      <c r="BS2928" s="56"/>
      <c r="BT2928" s="56"/>
      <c r="BU2928" s="56"/>
      <c r="BV2928" s="56"/>
      <c r="BW2928" s="56"/>
      <c r="BX2928" s="56"/>
      <c r="BY2928" s="56"/>
      <c r="BZ2928" s="56"/>
      <c r="CA2928" s="56"/>
      <c r="CB2928" s="56"/>
      <c r="CC2928" s="56"/>
      <c r="CD2928" s="56"/>
      <c r="CE2928" s="56"/>
      <c r="CF2928" s="56"/>
      <c r="CG2928" s="56"/>
      <c r="CH2928" s="56"/>
      <c r="CI2928" s="56"/>
      <c r="CJ2928" s="56"/>
      <c r="CK2928" s="56"/>
      <c r="CL2928" s="56"/>
      <c r="CM2928" s="56"/>
      <c r="CN2928" s="56"/>
      <c r="CO2928" s="56"/>
      <c r="CP2928" s="56"/>
      <c r="CQ2928" s="56"/>
      <c r="CR2928" s="56"/>
      <c r="CS2928" s="56"/>
      <c r="CT2928" s="56"/>
      <c r="CU2928" s="56"/>
      <c r="CV2928" s="56"/>
      <c r="CW2928" s="56"/>
      <c r="CX2928" s="56"/>
      <c r="CY2928" s="56"/>
      <c r="CZ2928" s="56"/>
    </row>
    <row r="2929" spans="27:104" s="5" customFormat="1" x14ac:dyDescent="0.25">
      <c r="AA2929" s="56"/>
      <c r="AB2929" s="56"/>
      <c r="AC2929" s="56"/>
      <c r="AD2929" s="56"/>
      <c r="AE2929" s="56"/>
      <c r="AF2929" s="56"/>
      <c r="AG2929" s="56"/>
      <c r="AH2929" s="56"/>
      <c r="AI2929" s="56"/>
      <c r="AJ2929" s="56"/>
      <c r="AK2929" s="56"/>
      <c r="AL2929" s="56"/>
      <c r="AM2929" s="56"/>
      <c r="AN2929" s="56"/>
      <c r="AO2929" s="56"/>
      <c r="AP2929" s="56"/>
      <c r="AQ2929" s="56"/>
      <c r="AR2929" s="56"/>
      <c r="AS2929" s="56"/>
      <c r="AT2929" s="56"/>
      <c r="AU2929" s="56"/>
      <c r="AV2929" s="56"/>
      <c r="AW2929" s="56"/>
      <c r="AX2929" s="56"/>
      <c r="AY2929" s="56"/>
      <c r="AZ2929" s="56"/>
      <c r="BA2929" s="56"/>
      <c r="BB2929" s="16"/>
      <c r="BC2929" s="56"/>
      <c r="BD2929" s="56"/>
      <c r="BE2929" s="56"/>
      <c r="BF2929" s="56"/>
      <c r="BG2929" s="56"/>
      <c r="BH2929" s="56"/>
      <c r="BI2929" s="56"/>
      <c r="BJ2929" s="56"/>
      <c r="BK2929" s="56"/>
      <c r="BL2929" s="56"/>
      <c r="BM2929" s="56"/>
      <c r="BN2929" s="56"/>
      <c r="BO2929" s="56"/>
      <c r="BP2929" s="56"/>
      <c r="BQ2929" s="56"/>
      <c r="BR2929" s="56"/>
      <c r="BS2929" s="56"/>
      <c r="BT2929" s="56"/>
      <c r="BU2929" s="56"/>
      <c r="BV2929" s="56"/>
      <c r="BW2929" s="56"/>
      <c r="BX2929" s="56"/>
      <c r="BY2929" s="56"/>
      <c r="BZ2929" s="56"/>
      <c r="CA2929" s="56"/>
      <c r="CB2929" s="56"/>
      <c r="CC2929" s="56"/>
      <c r="CD2929" s="56"/>
      <c r="CE2929" s="56"/>
      <c r="CF2929" s="56"/>
      <c r="CG2929" s="56"/>
      <c r="CH2929" s="56"/>
      <c r="CI2929" s="56"/>
      <c r="CJ2929" s="56"/>
      <c r="CK2929" s="56"/>
      <c r="CL2929" s="56"/>
      <c r="CM2929" s="56"/>
      <c r="CN2929" s="56"/>
      <c r="CO2929" s="56"/>
      <c r="CP2929" s="56"/>
      <c r="CQ2929" s="56"/>
      <c r="CR2929" s="56"/>
      <c r="CS2929" s="56"/>
      <c r="CT2929" s="56"/>
      <c r="CU2929" s="56"/>
      <c r="CV2929" s="56"/>
      <c r="CW2929" s="56"/>
      <c r="CX2929" s="56"/>
      <c r="CY2929" s="56"/>
      <c r="CZ2929" s="56"/>
    </row>
    <row r="2930" spans="27:104" s="5" customFormat="1" x14ac:dyDescent="0.25">
      <c r="AA2930" s="56"/>
      <c r="AB2930" s="56"/>
      <c r="AC2930" s="56"/>
      <c r="AD2930" s="56"/>
      <c r="AE2930" s="56"/>
      <c r="AF2930" s="56"/>
      <c r="AG2930" s="56"/>
      <c r="AH2930" s="56"/>
      <c r="AI2930" s="56"/>
      <c r="AJ2930" s="56"/>
      <c r="AK2930" s="56"/>
      <c r="AL2930" s="56"/>
      <c r="AM2930" s="56"/>
      <c r="AN2930" s="56"/>
      <c r="AO2930" s="56"/>
      <c r="AP2930" s="56"/>
      <c r="AQ2930" s="56"/>
      <c r="AR2930" s="56"/>
      <c r="AS2930" s="56"/>
      <c r="AT2930" s="56"/>
      <c r="AU2930" s="56"/>
      <c r="AV2930" s="56"/>
      <c r="AW2930" s="56"/>
      <c r="AX2930" s="56"/>
      <c r="AY2930" s="56"/>
      <c r="AZ2930" s="56"/>
      <c r="BA2930" s="56"/>
      <c r="BB2930" s="16"/>
      <c r="BC2930" s="56"/>
      <c r="BD2930" s="56"/>
      <c r="BE2930" s="56"/>
      <c r="BF2930" s="56"/>
      <c r="BG2930" s="56"/>
      <c r="BH2930" s="56"/>
      <c r="BI2930" s="56"/>
      <c r="BJ2930" s="56"/>
      <c r="BK2930" s="56"/>
      <c r="BL2930" s="56"/>
      <c r="BM2930" s="56"/>
      <c r="BN2930" s="56"/>
      <c r="BO2930" s="56"/>
      <c r="BP2930" s="56"/>
      <c r="BQ2930" s="56"/>
      <c r="BR2930" s="56"/>
      <c r="BS2930" s="56"/>
      <c r="BT2930" s="56"/>
      <c r="BU2930" s="56"/>
      <c r="BV2930" s="56"/>
      <c r="BW2930" s="56"/>
      <c r="BX2930" s="56"/>
      <c r="BY2930" s="56"/>
      <c r="BZ2930" s="56"/>
      <c r="CA2930" s="56"/>
      <c r="CB2930" s="56"/>
      <c r="CC2930" s="56"/>
      <c r="CD2930" s="56"/>
      <c r="CE2930" s="56"/>
      <c r="CF2930" s="56"/>
      <c r="CG2930" s="56"/>
      <c r="CH2930" s="56"/>
      <c r="CI2930" s="56"/>
      <c r="CJ2930" s="56"/>
      <c r="CK2930" s="56"/>
      <c r="CL2930" s="56"/>
      <c r="CM2930" s="56"/>
      <c r="CN2930" s="56"/>
      <c r="CO2930" s="56"/>
      <c r="CP2930" s="56"/>
      <c r="CQ2930" s="56"/>
      <c r="CR2930" s="56"/>
      <c r="CS2930" s="56"/>
      <c r="CT2930" s="56"/>
      <c r="CU2930" s="56"/>
      <c r="CV2930" s="56"/>
      <c r="CW2930" s="56"/>
      <c r="CX2930" s="56"/>
      <c r="CY2930" s="56"/>
      <c r="CZ2930" s="56"/>
    </row>
    <row r="2931" spans="27:104" s="5" customFormat="1" x14ac:dyDescent="0.25">
      <c r="AA2931" s="56"/>
      <c r="AB2931" s="56"/>
      <c r="AC2931" s="56"/>
      <c r="AD2931" s="56"/>
      <c r="AE2931" s="56"/>
      <c r="AF2931" s="56"/>
      <c r="AG2931" s="56"/>
      <c r="AH2931" s="56"/>
      <c r="AI2931" s="56"/>
      <c r="AJ2931" s="56"/>
      <c r="AK2931" s="56"/>
      <c r="AL2931" s="56"/>
      <c r="AM2931" s="56"/>
      <c r="AN2931" s="56"/>
      <c r="AO2931" s="56"/>
      <c r="AP2931" s="56"/>
      <c r="AQ2931" s="56"/>
      <c r="AR2931" s="56"/>
      <c r="AS2931" s="56"/>
      <c r="AT2931" s="56"/>
      <c r="AU2931" s="56"/>
      <c r="AV2931" s="56"/>
      <c r="AW2931" s="56"/>
      <c r="AX2931" s="56"/>
      <c r="AY2931" s="56"/>
      <c r="AZ2931" s="56"/>
      <c r="BA2931" s="56"/>
      <c r="BB2931" s="16"/>
      <c r="BC2931" s="56"/>
      <c r="BD2931" s="56"/>
      <c r="BE2931" s="56"/>
      <c r="BF2931" s="56"/>
      <c r="BG2931" s="56"/>
      <c r="BH2931" s="56"/>
      <c r="BI2931" s="56"/>
      <c r="BJ2931" s="56"/>
      <c r="BK2931" s="56"/>
      <c r="BL2931" s="56"/>
      <c r="BM2931" s="56"/>
      <c r="BN2931" s="56"/>
      <c r="BO2931" s="56"/>
      <c r="BP2931" s="56"/>
      <c r="BQ2931" s="56"/>
      <c r="BR2931" s="56"/>
      <c r="BS2931" s="56"/>
      <c r="BT2931" s="56"/>
      <c r="BU2931" s="56"/>
      <c r="BV2931" s="56"/>
      <c r="BW2931" s="56"/>
      <c r="BX2931" s="56"/>
      <c r="BY2931" s="56"/>
      <c r="BZ2931" s="56"/>
      <c r="CA2931" s="56"/>
      <c r="CB2931" s="56"/>
      <c r="CC2931" s="56"/>
      <c r="CD2931" s="56"/>
      <c r="CE2931" s="56"/>
      <c r="CF2931" s="56"/>
      <c r="CG2931" s="56"/>
      <c r="CH2931" s="56"/>
      <c r="CI2931" s="56"/>
      <c r="CJ2931" s="56"/>
      <c r="CK2931" s="56"/>
      <c r="CL2931" s="56"/>
      <c r="CM2931" s="56"/>
      <c r="CN2931" s="56"/>
      <c r="CO2931" s="56"/>
      <c r="CP2931" s="56"/>
      <c r="CQ2931" s="56"/>
      <c r="CR2931" s="56"/>
      <c r="CS2931" s="56"/>
      <c r="CT2931" s="56"/>
      <c r="CU2931" s="56"/>
      <c r="CV2931" s="56"/>
      <c r="CW2931" s="56"/>
      <c r="CX2931" s="56"/>
      <c r="CY2931" s="56"/>
      <c r="CZ2931" s="56"/>
    </row>
    <row r="2932" spans="27:104" s="5" customFormat="1" x14ac:dyDescent="0.25">
      <c r="AA2932" s="56"/>
      <c r="AB2932" s="56"/>
      <c r="AC2932" s="56"/>
      <c r="AD2932" s="56"/>
      <c r="AE2932" s="56"/>
      <c r="AF2932" s="56"/>
      <c r="AG2932" s="56"/>
      <c r="AH2932" s="56"/>
      <c r="AI2932" s="56"/>
      <c r="AJ2932" s="56"/>
      <c r="AK2932" s="56"/>
      <c r="AL2932" s="56"/>
      <c r="AM2932" s="56"/>
      <c r="AN2932" s="56"/>
      <c r="AO2932" s="56"/>
      <c r="AP2932" s="56"/>
      <c r="AQ2932" s="56"/>
      <c r="AR2932" s="56"/>
      <c r="AS2932" s="56"/>
      <c r="AT2932" s="56"/>
      <c r="AU2932" s="56"/>
      <c r="AV2932" s="56"/>
      <c r="AW2932" s="56"/>
      <c r="AX2932" s="56"/>
      <c r="AY2932" s="56"/>
      <c r="AZ2932" s="56"/>
      <c r="BA2932" s="56"/>
      <c r="BB2932" s="16"/>
      <c r="BC2932" s="56"/>
      <c r="BD2932" s="56"/>
      <c r="BE2932" s="56"/>
      <c r="BF2932" s="56"/>
      <c r="BG2932" s="56"/>
      <c r="BH2932" s="56"/>
      <c r="BI2932" s="56"/>
      <c r="BJ2932" s="56"/>
      <c r="BK2932" s="56"/>
      <c r="BL2932" s="56"/>
      <c r="BM2932" s="56"/>
      <c r="BN2932" s="56"/>
      <c r="BO2932" s="56"/>
      <c r="BP2932" s="56"/>
      <c r="BQ2932" s="56"/>
      <c r="BR2932" s="56"/>
      <c r="BS2932" s="56"/>
      <c r="BT2932" s="56"/>
      <c r="BU2932" s="56"/>
      <c r="BV2932" s="56"/>
      <c r="BW2932" s="56"/>
      <c r="BX2932" s="56"/>
      <c r="BY2932" s="56"/>
      <c r="BZ2932" s="56"/>
      <c r="CA2932" s="56"/>
      <c r="CB2932" s="56"/>
      <c r="CC2932" s="56"/>
      <c r="CD2932" s="56"/>
      <c r="CE2932" s="56"/>
      <c r="CF2932" s="56"/>
      <c r="CG2932" s="56"/>
      <c r="CH2932" s="56"/>
      <c r="CI2932" s="56"/>
      <c r="CJ2932" s="56"/>
      <c r="CK2932" s="56"/>
      <c r="CL2932" s="56"/>
      <c r="CM2932" s="56"/>
      <c r="CN2932" s="56"/>
      <c r="CO2932" s="56"/>
      <c r="CP2932" s="56"/>
      <c r="CQ2932" s="56"/>
      <c r="CR2932" s="56"/>
      <c r="CS2932" s="56"/>
      <c r="CT2932" s="56"/>
      <c r="CU2932" s="56"/>
      <c r="CV2932" s="56"/>
      <c r="CW2932" s="56"/>
      <c r="CX2932" s="56"/>
      <c r="CY2932" s="56"/>
      <c r="CZ2932" s="56"/>
    </row>
    <row r="2933" spans="27:104" s="5" customFormat="1" x14ac:dyDescent="0.25">
      <c r="AA2933" s="56"/>
      <c r="AB2933" s="56"/>
      <c r="AC2933" s="56"/>
      <c r="AD2933" s="56"/>
      <c r="AE2933" s="56"/>
      <c r="AF2933" s="56"/>
      <c r="AG2933" s="56"/>
      <c r="AH2933" s="56"/>
      <c r="AI2933" s="56"/>
      <c r="AJ2933" s="56"/>
      <c r="AK2933" s="56"/>
      <c r="AL2933" s="56"/>
      <c r="AM2933" s="56"/>
      <c r="AN2933" s="56"/>
      <c r="AO2933" s="56"/>
      <c r="AP2933" s="56"/>
      <c r="AQ2933" s="56"/>
      <c r="AR2933" s="56"/>
      <c r="AS2933" s="56"/>
      <c r="AT2933" s="56"/>
      <c r="AU2933" s="56"/>
      <c r="AV2933" s="56"/>
      <c r="AW2933" s="56"/>
      <c r="AX2933" s="56"/>
      <c r="AY2933" s="56"/>
      <c r="AZ2933" s="56"/>
      <c r="BA2933" s="56"/>
      <c r="BB2933" s="16"/>
      <c r="BC2933" s="56"/>
      <c r="BD2933" s="56"/>
      <c r="BE2933" s="56"/>
      <c r="BF2933" s="56"/>
      <c r="BG2933" s="56"/>
      <c r="BH2933" s="56"/>
      <c r="BI2933" s="56"/>
      <c r="BJ2933" s="56"/>
      <c r="BK2933" s="56"/>
      <c r="BL2933" s="56"/>
      <c r="BM2933" s="56"/>
      <c r="BN2933" s="56"/>
      <c r="BO2933" s="56"/>
      <c r="BP2933" s="56"/>
      <c r="BQ2933" s="56"/>
      <c r="BR2933" s="56"/>
      <c r="BS2933" s="56"/>
      <c r="BT2933" s="56"/>
      <c r="BU2933" s="56"/>
      <c r="BV2933" s="56"/>
      <c r="BW2933" s="56"/>
      <c r="BX2933" s="56"/>
      <c r="BY2933" s="56"/>
      <c r="BZ2933" s="56"/>
      <c r="CA2933" s="56"/>
      <c r="CB2933" s="56"/>
      <c r="CC2933" s="56"/>
      <c r="CD2933" s="56"/>
      <c r="CE2933" s="56"/>
      <c r="CF2933" s="56"/>
      <c r="CG2933" s="56"/>
      <c r="CH2933" s="56"/>
      <c r="CI2933" s="56"/>
      <c r="CJ2933" s="56"/>
      <c r="CK2933" s="56"/>
      <c r="CL2933" s="56"/>
      <c r="CM2933" s="56"/>
      <c r="CN2933" s="56"/>
      <c r="CO2933" s="56"/>
      <c r="CP2933" s="56"/>
      <c r="CQ2933" s="56"/>
      <c r="CR2933" s="56"/>
      <c r="CS2933" s="56"/>
      <c r="CT2933" s="56"/>
      <c r="CU2933" s="56"/>
      <c r="CV2933" s="56"/>
      <c r="CW2933" s="56"/>
      <c r="CX2933" s="56"/>
      <c r="CY2933" s="56"/>
      <c r="CZ2933" s="56"/>
    </row>
    <row r="2934" spans="27:104" s="5" customFormat="1" x14ac:dyDescent="0.25">
      <c r="AA2934" s="56"/>
      <c r="AB2934" s="56"/>
      <c r="AC2934" s="56"/>
      <c r="AD2934" s="56"/>
      <c r="AE2934" s="56"/>
      <c r="AF2934" s="56"/>
      <c r="AG2934" s="56"/>
      <c r="AH2934" s="56"/>
      <c r="AI2934" s="56"/>
      <c r="AJ2934" s="56"/>
      <c r="AK2934" s="56"/>
      <c r="AL2934" s="56"/>
      <c r="AM2934" s="56"/>
      <c r="AN2934" s="56"/>
      <c r="AO2934" s="56"/>
      <c r="AP2934" s="56"/>
      <c r="AQ2934" s="56"/>
      <c r="AR2934" s="56"/>
      <c r="AS2934" s="56"/>
      <c r="AT2934" s="56"/>
      <c r="AU2934" s="56"/>
      <c r="AV2934" s="56"/>
      <c r="AW2934" s="56"/>
      <c r="AX2934" s="56"/>
      <c r="AY2934" s="56"/>
      <c r="AZ2934" s="56"/>
      <c r="BA2934" s="56"/>
      <c r="BB2934" s="16"/>
      <c r="BC2934" s="56"/>
      <c r="BD2934" s="56"/>
      <c r="BE2934" s="56"/>
      <c r="BF2934" s="56"/>
      <c r="BG2934" s="56"/>
      <c r="BH2934" s="56"/>
      <c r="BI2934" s="56"/>
      <c r="BJ2934" s="56"/>
      <c r="BK2934" s="56"/>
      <c r="BL2934" s="56"/>
      <c r="BM2934" s="56"/>
      <c r="BN2934" s="56"/>
      <c r="BO2934" s="56"/>
      <c r="BP2934" s="56"/>
      <c r="BQ2934" s="56"/>
      <c r="BR2934" s="56"/>
      <c r="BS2934" s="56"/>
      <c r="BT2934" s="56"/>
      <c r="BU2934" s="56"/>
      <c r="BV2934" s="56"/>
      <c r="BW2934" s="56"/>
      <c r="BX2934" s="56"/>
      <c r="BY2934" s="56"/>
      <c r="BZ2934" s="56"/>
      <c r="CA2934" s="56"/>
      <c r="CB2934" s="56"/>
      <c r="CC2934" s="56"/>
      <c r="CD2934" s="56"/>
      <c r="CE2934" s="56"/>
      <c r="CF2934" s="56"/>
      <c r="CG2934" s="56"/>
      <c r="CH2934" s="56"/>
      <c r="CI2934" s="56"/>
      <c r="CJ2934" s="56"/>
      <c r="CK2934" s="56"/>
      <c r="CL2934" s="56"/>
      <c r="CM2934" s="56"/>
      <c r="CN2934" s="56"/>
      <c r="CO2934" s="56"/>
      <c r="CP2934" s="56"/>
      <c r="CQ2934" s="56"/>
      <c r="CR2934" s="56"/>
      <c r="CS2934" s="56"/>
      <c r="CT2934" s="56"/>
      <c r="CU2934" s="56"/>
      <c r="CV2934" s="56"/>
      <c r="CW2934" s="56"/>
      <c r="CX2934" s="56"/>
      <c r="CY2934" s="56"/>
      <c r="CZ2934" s="56"/>
    </row>
    <row r="2935" spans="27:104" s="5" customFormat="1" x14ac:dyDescent="0.25">
      <c r="AA2935" s="56"/>
      <c r="AB2935" s="56"/>
      <c r="AC2935" s="56"/>
      <c r="AD2935" s="56"/>
      <c r="AE2935" s="56"/>
      <c r="AF2935" s="56"/>
      <c r="AG2935" s="56"/>
      <c r="AH2935" s="56"/>
      <c r="AI2935" s="56"/>
      <c r="AJ2935" s="56"/>
      <c r="AK2935" s="56"/>
      <c r="AL2935" s="56"/>
      <c r="AM2935" s="56"/>
      <c r="AN2935" s="56"/>
      <c r="AO2935" s="56"/>
      <c r="AP2935" s="56"/>
      <c r="AQ2935" s="56"/>
      <c r="AR2935" s="56"/>
      <c r="AS2935" s="56"/>
      <c r="AT2935" s="56"/>
      <c r="AU2935" s="56"/>
      <c r="AV2935" s="56"/>
      <c r="AW2935" s="56"/>
      <c r="AX2935" s="56"/>
      <c r="AY2935" s="56"/>
      <c r="AZ2935" s="56"/>
      <c r="BA2935" s="56"/>
      <c r="BB2935" s="16"/>
      <c r="BC2935" s="56"/>
      <c r="BD2935" s="56"/>
      <c r="BE2935" s="56"/>
      <c r="BF2935" s="56"/>
      <c r="BG2935" s="56"/>
      <c r="BH2935" s="56"/>
      <c r="BI2935" s="56"/>
      <c r="BJ2935" s="56"/>
      <c r="BK2935" s="56"/>
      <c r="BL2935" s="56"/>
      <c r="BM2935" s="56"/>
      <c r="BN2935" s="56"/>
      <c r="BO2935" s="56"/>
      <c r="BP2935" s="56"/>
      <c r="BQ2935" s="56"/>
      <c r="BR2935" s="56"/>
      <c r="BS2935" s="56"/>
      <c r="BT2935" s="56"/>
      <c r="BU2935" s="56"/>
      <c r="BV2935" s="56"/>
      <c r="BW2935" s="56"/>
      <c r="BX2935" s="56"/>
      <c r="BY2935" s="56"/>
      <c r="BZ2935" s="56"/>
      <c r="CA2935" s="56"/>
      <c r="CB2935" s="56"/>
      <c r="CC2935" s="56"/>
      <c r="CD2935" s="56"/>
      <c r="CE2935" s="56"/>
      <c r="CF2935" s="56"/>
      <c r="CG2935" s="56"/>
      <c r="CH2935" s="56"/>
      <c r="CI2935" s="56"/>
      <c r="CJ2935" s="56"/>
      <c r="CK2935" s="56"/>
      <c r="CL2935" s="56"/>
      <c r="CM2935" s="56"/>
      <c r="CN2935" s="56"/>
      <c r="CO2935" s="56"/>
      <c r="CP2935" s="56"/>
      <c r="CQ2935" s="56"/>
      <c r="CR2935" s="56"/>
      <c r="CS2935" s="56"/>
      <c r="CT2935" s="56"/>
      <c r="CU2935" s="56"/>
      <c r="CV2935" s="56"/>
      <c r="CW2935" s="56"/>
      <c r="CX2935" s="56"/>
      <c r="CY2935" s="56"/>
      <c r="CZ2935" s="56"/>
    </row>
    <row r="2936" spans="27:104" s="5" customFormat="1" x14ac:dyDescent="0.25">
      <c r="AA2936" s="56"/>
      <c r="AB2936" s="56"/>
      <c r="AC2936" s="56"/>
      <c r="AD2936" s="56"/>
      <c r="AE2936" s="56"/>
      <c r="AF2936" s="56"/>
      <c r="AG2936" s="56"/>
      <c r="AH2936" s="56"/>
      <c r="AI2936" s="56"/>
      <c r="AJ2936" s="56"/>
      <c r="AK2936" s="56"/>
      <c r="AL2936" s="56"/>
      <c r="AM2936" s="56"/>
      <c r="AN2936" s="56"/>
      <c r="AO2936" s="56"/>
      <c r="AP2936" s="56"/>
      <c r="AQ2936" s="56"/>
      <c r="AR2936" s="56"/>
      <c r="AS2936" s="56"/>
      <c r="AT2936" s="56"/>
      <c r="AU2936" s="56"/>
      <c r="AV2936" s="56"/>
      <c r="AW2936" s="56"/>
      <c r="AX2936" s="56"/>
      <c r="AY2936" s="56"/>
      <c r="AZ2936" s="56"/>
      <c r="BA2936" s="56"/>
      <c r="BB2936" s="16"/>
      <c r="BC2936" s="56"/>
      <c r="BD2936" s="56"/>
      <c r="BE2936" s="56"/>
      <c r="BF2936" s="56"/>
      <c r="BG2936" s="56"/>
      <c r="BH2936" s="56"/>
      <c r="BI2936" s="56"/>
      <c r="BJ2936" s="56"/>
      <c r="BK2936" s="56"/>
      <c r="BL2936" s="56"/>
      <c r="BM2936" s="56"/>
      <c r="BN2936" s="56"/>
      <c r="BO2936" s="56"/>
      <c r="BP2936" s="56"/>
      <c r="BQ2936" s="56"/>
      <c r="BR2936" s="56"/>
      <c r="BS2936" s="56"/>
      <c r="BT2936" s="56"/>
      <c r="BU2936" s="56"/>
      <c r="BV2936" s="56"/>
      <c r="BW2936" s="56"/>
      <c r="BX2936" s="56"/>
      <c r="BY2936" s="56"/>
      <c r="BZ2936" s="56"/>
      <c r="CA2936" s="56"/>
      <c r="CB2936" s="56"/>
      <c r="CC2936" s="56"/>
      <c r="CD2936" s="56"/>
      <c r="CE2936" s="56"/>
      <c r="CF2936" s="56"/>
      <c r="CG2936" s="56"/>
      <c r="CH2936" s="56"/>
      <c r="CI2936" s="56"/>
      <c r="CJ2936" s="56"/>
      <c r="CK2936" s="56"/>
      <c r="CL2936" s="56"/>
      <c r="CM2936" s="56"/>
      <c r="CN2936" s="56"/>
      <c r="CO2936" s="56"/>
      <c r="CP2936" s="56"/>
      <c r="CQ2936" s="56"/>
      <c r="CR2936" s="56"/>
      <c r="CS2936" s="56"/>
      <c r="CT2936" s="56"/>
      <c r="CU2936" s="56"/>
      <c r="CV2936" s="56"/>
      <c r="CW2936" s="56"/>
      <c r="CX2936" s="56"/>
      <c r="CY2936" s="56"/>
      <c r="CZ2936" s="56"/>
    </row>
    <row r="2937" spans="27:104" s="5" customFormat="1" x14ac:dyDescent="0.25">
      <c r="AA2937" s="56"/>
      <c r="AB2937" s="56"/>
      <c r="AC2937" s="56"/>
      <c r="AD2937" s="56"/>
      <c r="AE2937" s="56"/>
      <c r="AF2937" s="56"/>
      <c r="AG2937" s="56"/>
      <c r="AH2937" s="56"/>
      <c r="AI2937" s="56"/>
      <c r="AJ2937" s="56"/>
      <c r="AK2937" s="56"/>
      <c r="AL2937" s="56"/>
      <c r="AM2937" s="56"/>
      <c r="AN2937" s="56"/>
      <c r="AO2937" s="56"/>
      <c r="AP2937" s="56"/>
      <c r="AQ2937" s="56"/>
      <c r="AR2937" s="56"/>
      <c r="AS2937" s="56"/>
      <c r="AT2937" s="56"/>
      <c r="AU2937" s="56"/>
      <c r="AV2937" s="56"/>
      <c r="AW2937" s="56"/>
      <c r="AX2937" s="56"/>
      <c r="AY2937" s="56"/>
      <c r="AZ2937" s="56"/>
      <c r="BA2937" s="56"/>
      <c r="BB2937" s="16"/>
      <c r="BC2937" s="56"/>
      <c r="BD2937" s="56"/>
      <c r="BE2937" s="56"/>
      <c r="BF2937" s="56"/>
      <c r="BG2937" s="56"/>
      <c r="BH2937" s="56"/>
      <c r="BI2937" s="56"/>
      <c r="BJ2937" s="56"/>
      <c r="BK2937" s="56"/>
      <c r="BL2937" s="56"/>
      <c r="BM2937" s="56"/>
      <c r="BN2937" s="56"/>
      <c r="BO2937" s="56"/>
      <c r="BP2937" s="56"/>
      <c r="BQ2937" s="56"/>
      <c r="BR2937" s="56"/>
      <c r="BS2937" s="56"/>
      <c r="BT2937" s="56"/>
      <c r="BU2937" s="56"/>
      <c r="BV2937" s="56"/>
      <c r="BW2937" s="56"/>
      <c r="BX2937" s="56"/>
      <c r="BY2937" s="56"/>
      <c r="BZ2937" s="56"/>
      <c r="CA2937" s="56"/>
      <c r="CB2937" s="56"/>
      <c r="CC2937" s="56"/>
      <c r="CD2937" s="56"/>
      <c r="CE2937" s="56"/>
      <c r="CF2937" s="56"/>
      <c r="CG2937" s="56"/>
      <c r="CH2937" s="56"/>
      <c r="CI2937" s="56"/>
      <c r="CJ2937" s="56"/>
      <c r="CK2937" s="56"/>
      <c r="CL2937" s="56"/>
      <c r="CM2937" s="56"/>
      <c r="CN2937" s="56"/>
      <c r="CO2937" s="56"/>
      <c r="CP2937" s="56"/>
      <c r="CQ2937" s="56"/>
      <c r="CR2937" s="56"/>
      <c r="CS2937" s="56"/>
      <c r="CT2937" s="56"/>
      <c r="CU2937" s="56"/>
      <c r="CV2937" s="56"/>
      <c r="CW2937" s="56"/>
      <c r="CX2937" s="56"/>
      <c r="CY2937" s="56"/>
      <c r="CZ2937" s="56"/>
    </row>
    <row r="2938" spans="27:104" s="5" customFormat="1" x14ac:dyDescent="0.25">
      <c r="AA2938" s="56"/>
      <c r="AB2938" s="56"/>
      <c r="AC2938" s="56"/>
      <c r="AD2938" s="56"/>
      <c r="AE2938" s="56"/>
      <c r="AF2938" s="56"/>
      <c r="AG2938" s="56"/>
      <c r="AH2938" s="56"/>
      <c r="AI2938" s="56"/>
      <c r="AJ2938" s="56"/>
      <c r="AK2938" s="56"/>
      <c r="AL2938" s="56"/>
      <c r="AM2938" s="56"/>
      <c r="AN2938" s="56"/>
      <c r="AO2938" s="56"/>
      <c r="AP2938" s="56"/>
      <c r="AQ2938" s="56"/>
      <c r="AR2938" s="56"/>
      <c r="AS2938" s="56"/>
      <c r="AT2938" s="56"/>
      <c r="AU2938" s="56"/>
      <c r="AV2938" s="56"/>
      <c r="AW2938" s="56"/>
      <c r="AX2938" s="56"/>
      <c r="AY2938" s="56"/>
      <c r="AZ2938" s="56"/>
      <c r="BA2938" s="56"/>
      <c r="BB2938" s="16"/>
      <c r="BC2938" s="56"/>
      <c r="BD2938" s="56"/>
      <c r="BE2938" s="56"/>
      <c r="BF2938" s="56"/>
      <c r="BG2938" s="56"/>
      <c r="BH2938" s="56"/>
      <c r="BI2938" s="56"/>
      <c r="BJ2938" s="56"/>
      <c r="BK2938" s="56"/>
      <c r="BL2938" s="56"/>
      <c r="BM2938" s="56"/>
      <c r="BN2938" s="56"/>
      <c r="BO2938" s="56"/>
      <c r="BP2938" s="56"/>
      <c r="BQ2938" s="56"/>
      <c r="BR2938" s="56"/>
      <c r="BS2938" s="56"/>
      <c r="BT2938" s="56"/>
      <c r="BU2938" s="56"/>
      <c r="BV2938" s="56"/>
      <c r="BW2938" s="56"/>
      <c r="BX2938" s="56"/>
      <c r="BY2938" s="56"/>
      <c r="BZ2938" s="56"/>
      <c r="CA2938" s="56"/>
      <c r="CB2938" s="56"/>
      <c r="CC2938" s="56"/>
      <c r="CD2938" s="56"/>
      <c r="CE2938" s="56"/>
      <c r="CF2938" s="56"/>
      <c r="CG2938" s="56"/>
      <c r="CH2938" s="56"/>
      <c r="CI2938" s="56"/>
      <c r="CJ2938" s="56"/>
      <c r="CK2938" s="56"/>
      <c r="CL2938" s="56"/>
      <c r="CM2938" s="56"/>
      <c r="CN2938" s="56"/>
      <c r="CO2938" s="56"/>
      <c r="CP2938" s="56"/>
      <c r="CQ2938" s="56"/>
      <c r="CR2938" s="56"/>
      <c r="CS2938" s="56"/>
      <c r="CT2938" s="56"/>
      <c r="CU2938" s="56"/>
      <c r="CV2938" s="56"/>
      <c r="CW2938" s="56"/>
      <c r="CX2938" s="56"/>
      <c r="CY2938" s="56"/>
      <c r="CZ2938" s="56"/>
    </row>
    <row r="2939" spans="27:104" s="5" customFormat="1" x14ac:dyDescent="0.25">
      <c r="AA2939" s="56"/>
      <c r="AB2939" s="56"/>
      <c r="AC2939" s="56"/>
      <c r="AD2939" s="56"/>
      <c r="AE2939" s="56"/>
      <c r="AF2939" s="56"/>
      <c r="AG2939" s="56"/>
      <c r="AH2939" s="56"/>
      <c r="AI2939" s="56"/>
      <c r="AJ2939" s="56"/>
      <c r="AK2939" s="56"/>
      <c r="AL2939" s="56"/>
      <c r="AM2939" s="56"/>
      <c r="AN2939" s="56"/>
      <c r="AO2939" s="56"/>
      <c r="AP2939" s="56"/>
      <c r="AQ2939" s="56"/>
      <c r="AR2939" s="56"/>
      <c r="AS2939" s="56"/>
      <c r="AT2939" s="56"/>
      <c r="AU2939" s="56"/>
      <c r="AV2939" s="56"/>
      <c r="AW2939" s="56"/>
      <c r="AX2939" s="56"/>
      <c r="AY2939" s="56"/>
      <c r="AZ2939" s="56"/>
      <c r="BA2939" s="56"/>
      <c r="BB2939" s="16"/>
      <c r="BC2939" s="56"/>
      <c r="BD2939" s="56"/>
      <c r="BE2939" s="56"/>
      <c r="BF2939" s="56"/>
      <c r="BG2939" s="56"/>
      <c r="BH2939" s="56"/>
      <c r="BI2939" s="56"/>
      <c r="BJ2939" s="56"/>
      <c r="BK2939" s="56"/>
      <c r="BL2939" s="56"/>
      <c r="BM2939" s="56"/>
      <c r="BN2939" s="56"/>
      <c r="BO2939" s="56"/>
      <c r="BP2939" s="56"/>
      <c r="BQ2939" s="56"/>
      <c r="BR2939" s="56"/>
      <c r="BS2939" s="56"/>
      <c r="BT2939" s="56"/>
      <c r="BU2939" s="56"/>
      <c r="BV2939" s="56"/>
      <c r="BW2939" s="56"/>
      <c r="BX2939" s="56"/>
      <c r="BY2939" s="56"/>
      <c r="BZ2939" s="56"/>
      <c r="CA2939" s="56"/>
      <c r="CB2939" s="56"/>
      <c r="CC2939" s="56"/>
      <c r="CD2939" s="56"/>
      <c r="CE2939" s="56"/>
      <c r="CF2939" s="56"/>
      <c r="CG2939" s="56"/>
      <c r="CH2939" s="56"/>
      <c r="CI2939" s="56"/>
      <c r="CJ2939" s="56"/>
      <c r="CK2939" s="56"/>
      <c r="CL2939" s="56"/>
      <c r="CM2939" s="56"/>
      <c r="CN2939" s="56"/>
      <c r="CO2939" s="56"/>
      <c r="CP2939" s="56"/>
      <c r="CQ2939" s="56"/>
      <c r="CR2939" s="56"/>
      <c r="CS2939" s="56"/>
      <c r="CT2939" s="56"/>
      <c r="CU2939" s="56"/>
      <c r="CV2939" s="56"/>
      <c r="CW2939" s="56"/>
      <c r="CX2939" s="56"/>
      <c r="CY2939" s="56"/>
      <c r="CZ2939" s="56"/>
    </row>
    <row r="2940" spans="27:104" s="5" customFormat="1" x14ac:dyDescent="0.25">
      <c r="AA2940" s="56"/>
      <c r="AB2940" s="56"/>
      <c r="AC2940" s="56"/>
      <c r="AD2940" s="56"/>
      <c r="AE2940" s="56"/>
      <c r="AF2940" s="56"/>
      <c r="AG2940" s="56"/>
      <c r="AH2940" s="56"/>
      <c r="AI2940" s="56"/>
      <c r="AJ2940" s="56"/>
      <c r="AK2940" s="56"/>
      <c r="AL2940" s="56"/>
      <c r="AM2940" s="56"/>
      <c r="AN2940" s="56"/>
      <c r="AO2940" s="56"/>
      <c r="AP2940" s="56"/>
      <c r="AQ2940" s="56"/>
      <c r="AR2940" s="56"/>
      <c r="AS2940" s="56"/>
      <c r="AT2940" s="56"/>
      <c r="AU2940" s="56"/>
      <c r="AV2940" s="56"/>
      <c r="AW2940" s="56"/>
      <c r="AX2940" s="56"/>
      <c r="AY2940" s="56"/>
      <c r="AZ2940" s="56"/>
      <c r="BA2940" s="56"/>
      <c r="BB2940" s="16"/>
      <c r="BC2940" s="56"/>
      <c r="BD2940" s="56"/>
      <c r="BE2940" s="56"/>
      <c r="BF2940" s="56"/>
      <c r="BG2940" s="56"/>
      <c r="BH2940" s="56"/>
      <c r="BI2940" s="56"/>
      <c r="BJ2940" s="56"/>
      <c r="BK2940" s="56"/>
      <c r="BL2940" s="56"/>
      <c r="BM2940" s="56"/>
      <c r="BN2940" s="56"/>
      <c r="BO2940" s="56"/>
      <c r="BP2940" s="56"/>
      <c r="BQ2940" s="56"/>
      <c r="BR2940" s="56"/>
      <c r="BS2940" s="56"/>
      <c r="BT2940" s="56"/>
      <c r="BU2940" s="56"/>
      <c r="BV2940" s="56"/>
      <c r="BW2940" s="56"/>
      <c r="BX2940" s="56"/>
      <c r="BY2940" s="56"/>
      <c r="BZ2940" s="56"/>
      <c r="CA2940" s="56"/>
      <c r="CB2940" s="56"/>
      <c r="CC2940" s="56"/>
      <c r="CD2940" s="56"/>
      <c r="CE2940" s="56"/>
      <c r="CF2940" s="56"/>
      <c r="CG2940" s="56"/>
      <c r="CH2940" s="56"/>
      <c r="CI2940" s="56"/>
      <c r="CJ2940" s="56"/>
      <c r="CK2940" s="56"/>
      <c r="CL2940" s="56"/>
      <c r="CM2940" s="56"/>
      <c r="CN2940" s="56"/>
      <c r="CO2940" s="56"/>
      <c r="CP2940" s="56"/>
      <c r="CQ2940" s="56"/>
      <c r="CR2940" s="56"/>
      <c r="CS2940" s="56"/>
      <c r="CT2940" s="56"/>
      <c r="CU2940" s="56"/>
      <c r="CV2940" s="56"/>
      <c r="CW2940" s="56"/>
      <c r="CX2940" s="56"/>
      <c r="CY2940" s="56"/>
      <c r="CZ2940" s="56"/>
    </row>
    <row r="2941" spans="27:104" s="5" customFormat="1" x14ac:dyDescent="0.25">
      <c r="AA2941" s="56"/>
      <c r="AB2941" s="56"/>
      <c r="AC2941" s="56"/>
      <c r="AD2941" s="56"/>
      <c r="AE2941" s="56"/>
      <c r="AF2941" s="56"/>
      <c r="AG2941" s="56"/>
      <c r="AH2941" s="56"/>
      <c r="AI2941" s="56"/>
      <c r="AJ2941" s="56"/>
      <c r="AK2941" s="56"/>
      <c r="AL2941" s="56"/>
      <c r="AM2941" s="56"/>
      <c r="AN2941" s="56"/>
      <c r="AO2941" s="56"/>
      <c r="AP2941" s="56"/>
      <c r="AQ2941" s="56"/>
      <c r="AR2941" s="56"/>
      <c r="AS2941" s="56"/>
      <c r="AT2941" s="56"/>
      <c r="AU2941" s="56"/>
      <c r="AV2941" s="56"/>
      <c r="AW2941" s="56"/>
      <c r="AX2941" s="56"/>
      <c r="AY2941" s="56"/>
      <c r="AZ2941" s="56"/>
      <c r="BA2941" s="56"/>
      <c r="BB2941" s="16"/>
      <c r="BC2941" s="56"/>
      <c r="BD2941" s="56"/>
      <c r="BE2941" s="56"/>
      <c r="BF2941" s="56"/>
      <c r="BG2941" s="56"/>
      <c r="BH2941" s="56"/>
      <c r="BI2941" s="56"/>
      <c r="BJ2941" s="56"/>
      <c r="BK2941" s="56"/>
      <c r="BL2941" s="56"/>
      <c r="BM2941" s="56"/>
      <c r="BN2941" s="56"/>
      <c r="BO2941" s="56"/>
      <c r="BP2941" s="56"/>
      <c r="BQ2941" s="56"/>
      <c r="BR2941" s="56"/>
      <c r="BS2941" s="56"/>
      <c r="BT2941" s="56"/>
      <c r="BU2941" s="56"/>
      <c r="BV2941" s="56"/>
      <c r="BW2941" s="56"/>
      <c r="BX2941" s="56"/>
      <c r="BY2941" s="56"/>
      <c r="BZ2941" s="56"/>
      <c r="CA2941" s="56"/>
      <c r="CB2941" s="56"/>
      <c r="CC2941" s="56"/>
      <c r="CD2941" s="56"/>
      <c r="CE2941" s="56"/>
      <c r="CF2941" s="56"/>
      <c r="CG2941" s="56"/>
      <c r="CH2941" s="56"/>
      <c r="CI2941" s="56"/>
      <c r="CJ2941" s="56"/>
      <c r="CK2941" s="56"/>
      <c r="CL2941" s="56"/>
      <c r="CM2941" s="56"/>
      <c r="CN2941" s="56"/>
      <c r="CO2941" s="56"/>
      <c r="CP2941" s="56"/>
      <c r="CQ2941" s="56"/>
      <c r="CR2941" s="56"/>
      <c r="CS2941" s="56"/>
      <c r="CT2941" s="56"/>
      <c r="CU2941" s="56"/>
      <c r="CV2941" s="56"/>
      <c r="CW2941" s="56"/>
      <c r="CX2941" s="56"/>
      <c r="CY2941" s="56"/>
      <c r="CZ2941" s="56"/>
    </row>
    <row r="2942" spans="27:104" s="5" customFormat="1" x14ac:dyDescent="0.25">
      <c r="AA2942" s="56"/>
      <c r="AB2942" s="56"/>
      <c r="AC2942" s="56"/>
      <c r="AD2942" s="56"/>
      <c r="AE2942" s="56"/>
      <c r="AF2942" s="56"/>
      <c r="AG2942" s="56"/>
      <c r="AH2942" s="56"/>
      <c r="AI2942" s="56"/>
      <c r="AJ2942" s="56"/>
      <c r="AK2942" s="56"/>
      <c r="AL2942" s="56"/>
      <c r="AM2942" s="56"/>
      <c r="AN2942" s="56"/>
      <c r="AO2942" s="56"/>
      <c r="AP2942" s="56"/>
      <c r="AQ2942" s="56"/>
      <c r="AR2942" s="56"/>
      <c r="AS2942" s="56"/>
      <c r="AT2942" s="56"/>
      <c r="AU2942" s="56"/>
      <c r="AV2942" s="56"/>
      <c r="AW2942" s="56"/>
      <c r="AX2942" s="56"/>
      <c r="AY2942" s="56"/>
      <c r="AZ2942" s="56"/>
      <c r="BA2942" s="56"/>
      <c r="BB2942" s="16"/>
      <c r="BC2942" s="56"/>
      <c r="BD2942" s="56"/>
      <c r="BE2942" s="56"/>
      <c r="BF2942" s="56"/>
      <c r="BG2942" s="56"/>
      <c r="BH2942" s="56"/>
      <c r="BI2942" s="56"/>
      <c r="BJ2942" s="56"/>
      <c r="BK2942" s="56"/>
      <c r="BL2942" s="56"/>
      <c r="BM2942" s="56"/>
      <c r="BN2942" s="56"/>
      <c r="BO2942" s="56"/>
      <c r="BP2942" s="56"/>
      <c r="BQ2942" s="56"/>
      <c r="BR2942" s="56"/>
      <c r="BS2942" s="56"/>
      <c r="BT2942" s="56"/>
      <c r="BU2942" s="56"/>
      <c r="BV2942" s="56"/>
      <c r="BW2942" s="56"/>
      <c r="BX2942" s="56"/>
      <c r="BY2942" s="56"/>
      <c r="BZ2942" s="56"/>
      <c r="CA2942" s="56"/>
      <c r="CB2942" s="56"/>
      <c r="CC2942" s="56"/>
      <c r="CD2942" s="56"/>
      <c r="CE2942" s="56"/>
      <c r="CF2942" s="56"/>
      <c r="CG2942" s="56"/>
      <c r="CH2942" s="56"/>
      <c r="CI2942" s="56"/>
      <c r="CJ2942" s="56"/>
      <c r="CK2942" s="56"/>
      <c r="CL2942" s="56"/>
      <c r="CM2942" s="56"/>
      <c r="CN2942" s="56"/>
      <c r="CO2942" s="56"/>
      <c r="CP2942" s="56"/>
      <c r="CQ2942" s="56"/>
      <c r="CR2942" s="56"/>
      <c r="CS2942" s="56"/>
      <c r="CT2942" s="56"/>
      <c r="CU2942" s="56"/>
      <c r="CV2942" s="56"/>
      <c r="CW2942" s="56"/>
      <c r="CX2942" s="56"/>
      <c r="CY2942" s="56"/>
      <c r="CZ2942" s="56"/>
    </row>
    <row r="2943" spans="27:104" s="5" customFormat="1" x14ac:dyDescent="0.25">
      <c r="AA2943" s="56"/>
      <c r="AB2943" s="56"/>
      <c r="AC2943" s="56"/>
      <c r="AD2943" s="56"/>
      <c r="AE2943" s="56"/>
      <c r="AF2943" s="56"/>
      <c r="AG2943" s="56"/>
      <c r="AH2943" s="56"/>
      <c r="AI2943" s="56"/>
      <c r="AJ2943" s="56"/>
      <c r="AK2943" s="56"/>
      <c r="AL2943" s="56"/>
      <c r="AM2943" s="56"/>
      <c r="AN2943" s="56"/>
      <c r="AO2943" s="56"/>
      <c r="AP2943" s="56"/>
      <c r="AQ2943" s="56"/>
      <c r="AR2943" s="56"/>
      <c r="AS2943" s="56"/>
      <c r="AT2943" s="56"/>
      <c r="AU2943" s="56"/>
      <c r="AV2943" s="56"/>
      <c r="AW2943" s="56"/>
      <c r="AX2943" s="56"/>
      <c r="AY2943" s="56"/>
      <c r="AZ2943" s="56"/>
      <c r="BA2943" s="56"/>
      <c r="BB2943" s="16"/>
      <c r="BC2943" s="56"/>
      <c r="BD2943" s="56"/>
      <c r="BE2943" s="56"/>
      <c r="BF2943" s="56"/>
      <c r="BG2943" s="56"/>
      <c r="BH2943" s="56"/>
      <c r="BI2943" s="56"/>
      <c r="BJ2943" s="56"/>
      <c r="BK2943" s="56"/>
      <c r="BL2943" s="56"/>
      <c r="BM2943" s="56"/>
      <c r="BN2943" s="56"/>
      <c r="BO2943" s="56"/>
      <c r="BP2943" s="56"/>
      <c r="BQ2943" s="56"/>
      <c r="BR2943" s="56"/>
      <c r="BS2943" s="56"/>
      <c r="BT2943" s="56"/>
      <c r="BU2943" s="56"/>
      <c r="BV2943" s="56"/>
      <c r="BW2943" s="56"/>
      <c r="BX2943" s="56"/>
      <c r="BY2943" s="56"/>
      <c r="BZ2943" s="56"/>
      <c r="CA2943" s="56"/>
      <c r="CB2943" s="56"/>
      <c r="CC2943" s="56"/>
      <c r="CD2943" s="56"/>
      <c r="CE2943" s="56"/>
      <c r="CF2943" s="56"/>
      <c r="CG2943" s="56"/>
      <c r="CH2943" s="56"/>
      <c r="CI2943" s="56"/>
      <c r="CJ2943" s="56"/>
      <c r="CK2943" s="56"/>
      <c r="CL2943" s="56"/>
      <c r="CM2943" s="56"/>
      <c r="CN2943" s="56"/>
      <c r="CO2943" s="56"/>
      <c r="CP2943" s="56"/>
      <c r="CQ2943" s="56"/>
      <c r="CR2943" s="56"/>
      <c r="CS2943" s="56"/>
      <c r="CT2943" s="56"/>
      <c r="CU2943" s="56"/>
      <c r="CV2943" s="56"/>
      <c r="CW2943" s="56"/>
      <c r="CX2943" s="56"/>
      <c r="CY2943" s="56"/>
      <c r="CZ2943" s="56"/>
    </row>
    <row r="2944" spans="27:104" s="5" customFormat="1" x14ac:dyDescent="0.25">
      <c r="AA2944" s="56"/>
      <c r="AB2944" s="56"/>
      <c r="AC2944" s="56"/>
      <c r="AD2944" s="56"/>
      <c r="AE2944" s="56"/>
      <c r="AF2944" s="56"/>
      <c r="AG2944" s="56"/>
      <c r="AH2944" s="56"/>
      <c r="AI2944" s="56"/>
      <c r="AJ2944" s="56"/>
      <c r="AK2944" s="56"/>
      <c r="AL2944" s="56"/>
      <c r="AM2944" s="56"/>
      <c r="AN2944" s="56"/>
      <c r="AO2944" s="56"/>
      <c r="AP2944" s="56"/>
      <c r="AQ2944" s="56"/>
      <c r="AR2944" s="56"/>
      <c r="AS2944" s="56"/>
      <c r="AT2944" s="56"/>
      <c r="AU2944" s="56"/>
      <c r="AV2944" s="56"/>
      <c r="AW2944" s="56"/>
      <c r="AX2944" s="56"/>
      <c r="AY2944" s="56"/>
      <c r="AZ2944" s="56"/>
      <c r="BA2944" s="56"/>
      <c r="BB2944" s="16"/>
      <c r="BC2944" s="56"/>
      <c r="BD2944" s="56"/>
      <c r="BE2944" s="56"/>
      <c r="BF2944" s="56"/>
      <c r="BG2944" s="56"/>
      <c r="BH2944" s="56"/>
      <c r="BI2944" s="56"/>
      <c r="BJ2944" s="56"/>
      <c r="BK2944" s="56"/>
      <c r="BL2944" s="56"/>
      <c r="BM2944" s="56"/>
      <c r="BN2944" s="56"/>
      <c r="BO2944" s="56"/>
      <c r="BP2944" s="56"/>
      <c r="BQ2944" s="56"/>
      <c r="BR2944" s="56"/>
      <c r="BS2944" s="56"/>
      <c r="BT2944" s="56"/>
      <c r="BU2944" s="56"/>
      <c r="BV2944" s="56"/>
      <c r="BW2944" s="56"/>
      <c r="BX2944" s="56"/>
      <c r="BY2944" s="56"/>
      <c r="BZ2944" s="56"/>
      <c r="CA2944" s="56"/>
      <c r="CB2944" s="56"/>
      <c r="CC2944" s="56"/>
      <c r="CD2944" s="56"/>
      <c r="CE2944" s="56"/>
      <c r="CF2944" s="56"/>
      <c r="CG2944" s="56"/>
      <c r="CH2944" s="56"/>
      <c r="CI2944" s="56"/>
      <c r="CJ2944" s="56"/>
      <c r="CK2944" s="56"/>
      <c r="CL2944" s="56"/>
      <c r="CM2944" s="56"/>
      <c r="CN2944" s="56"/>
      <c r="CO2944" s="56"/>
      <c r="CP2944" s="56"/>
      <c r="CQ2944" s="56"/>
      <c r="CR2944" s="56"/>
      <c r="CS2944" s="56"/>
      <c r="CT2944" s="56"/>
      <c r="CU2944" s="56"/>
      <c r="CV2944" s="56"/>
      <c r="CW2944" s="56"/>
      <c r="CX2944" s="56"/>
      <c r="CY2944" s="56"/>
      <c r="CZ2944" s="56"/>
    </row>
    <row r="2945" spans="27:104" s="5" customFormat="1" x14ac:dyDescent="0.25">
      <c r="AA2945" s="56"/>
      <c r="AB2945" s="56"/>
      <c r="AC2945" s="56"/>
      <c r="AD2945" s="56"/>
      <c r="AE2945" s="56"/>
      <c r="AF2945" s="56"/>
      <c r="AG2945" s="56"/>
      <c r="AH2945" s="56"/>
      <c r="AI2945" s="56"/>
      <c r="AJ2945" s="56"/>
      <c r="AK2945" s="56"/>
      <c r="AL2945" s="56"/>
      <c r="AM2945" s="56"/>
      <c r="AN2945" s="56"/>
      <c r="AO2945" s="56"/>
      <c r="AP2945" s="56"/>
      <c r="AQ2945" s="56"/>
      <c r="AR2945" s="56"/>
      <c r="AS2945" s="56"/>
      <c r="AT2945" s="56"/>
      <c r="AU2945" s="56"/>
      <c r="AV2945" s="56"/>
      <c r="AW2945" s="56"/>
      <c r="AX2945" s="56"/>
      <c r="AY2945" s="56"/>
      <c r="AZ2945" s="56"/>
      <c r="BA2945" s="56"/>
      <c r="BB2945" s="16"/>
      <c r="BC2945" s="56"/>
      <c r="BD2945" s="56"/>
      <c r="BE2945" s="56"/>
      <c r="BF2945" s="56"/>
      <c r="BG2945" s="56"/>
      <c r="BH2945" s="56"/>
      <c r="BI2945" s="56"/>
      <c r="BJ2945" s="56"/>
      <c r="BK2945" s="56"/>
      <c r="BL2945" s="56"/>
      <c r="BM2945" s="56"/>
      <c r="BN2945" s="56"/>
      <c r="BO2945" s="56"/>
      <c r="BP2945" s="56"/>
      <c r="BQ2945" s="56"/>
      <c r="BR2945" s="56"/>
      <c r="BS2945" s="56"/>
      <c r="BT2945" s="56"/>
      <c r="BU2945" s="56"/>
      <c r="BV2945" s="56"/>
      <c r="BW2945" s="56"/>
      <c r="BX2945" s="56"/>
      <c r="BY2945" s="56"/>
      <c r="BZ2945" s="56"/>
      <c r="CA2945" s="56"/>
      <c r="CB2945" s="56"/>
      <c r="CC2945" s="56"/>
      <c r="CD2945" s="56"/>
      <c r="CE2945" s="56"/>
      <c r="CF2945" s="56"/>
      <c r="CG2945" s="56"/>
      <c r="CH2945" s="56"/>
      <c r="CI2945" s="56"/>
      <c r="CJ2945" s="56"/>
      <c r="CK2945" s="56"/>
      <c r="CL2945" s="56"/>
      <c r="CM2945" s="56"/>
      <c r="CN2945" s="56"/>
      <c r="CO2945" s="56"/>
      <c r="CP2945" s="56"/>
      <c r="CQ2945" s="56"/>
      <c r="CR2945" s="56"/>
      <c r="CS2945" s="56"/>
      <c r="CT2945" s="56"/>
      <c r="CU2945" s="56"/>
      <c r="CV2945" s="56"/>
      <c r="CW2945" s="56"/>
      <c r="CX2945" s="56"/>
      <c r="CY2945" s="56"/>
      <c r="CZ2945" s="56"/>
    </row>
    <row r="2946" spans="27:104" s="5" customFormat="1" x14ac:dyDescent="0.25">
      <c r="AA2946" s="56"/>
      <c r="AB2946" s="56"/>
      <c r="AC2946" s="56"/>
      <c r="AD2946" s="56"/>
      <c r="AE2946" s="56"/>
      <c r="AF2946" s="56"/>
      <c r="AG2946" s="56"/>
      <c r="AH2946" s="56"/>
      <c r="AI2946" s="56"/>
      <c r="AJ2946" s="56"/>
      <c r="AK2946" s="56"/>
      <c r="AL2946" s="56"/>
      <c r="AM2946" s="56"/>
      <c r="AN2946" s="56"/>
      <c r="AO2946" s="56"/>
      <c r="AP2946" s="56"/>
      <c r="AQ2946" s="56"/>
      <c r="AR2946" s="56"/>
      <c r="AS2946" s="56"/>
      <c r="AT2946" s="56"/>
      <c r="AU2946" s="56"/>
      <c r="AV2946" s="56"/>
      <c r="AW2946" s="56"/>
      <c r="AX2946" s="56"/>
      <c r="AY2946" s="56"/>
      <c r="AZ2946" s="56"/>
      <c r="BA2946" s="56"/>
      <c r="BB2946" s="16"/>
      <c r="BC2946" s="56"/>
      <c r="BD2946" s="56"/>
      <c r="BE2946" s="56"/>
      <c r="BF2946" s="56"/>
      <c r="BG2946" s="56"/>
      <c r="BH2946" s="56"/>
      <c r="BI2946" s="56"/>
      <c r="BJ2946" s="56"/>
      <c r="BK2946" s="56"/>
      <c r="BL2946" s="56"/>
      <c r="BM2946" s="56"/>
      <c r="BN2946" s="56"/>
      <c r="BO2946" s="56"/>
      <c r="BP2946" s="56"/>
      <c r="BQ2946" s="56"/>
      <c r="BR2946" s="56"/>
      <c r="BS2946" s="56"/>
      <c r="BT2946" s="56"/>
      <c r="BU2946" s="56"/>
      <c r="BV2946" s="56"/>
      <c r="BW2946" s="56"/>
      <c r="BX2946" s="56"/>
      <c r="BY2946" s="56"/>
      <c r="BZ2946" s="56"/>
      <c r="CA2946" s="56"/>
      <c r="CB2946" s="56"/>
      <c r="CC2946" s="56"/>
      <c r="CD2946" s="56"/>
      <c r="CE2946" s="56"/>
      <c r="CF2946" s="56"/>
      <c r="CG2946" s="56"/>
      <c r="CH2946" s="56"/>
      <c r="CI2946" s="56"/>
      <c r="CJ2946" s="56"/>
      <c r="CK2946" s="56"/>
      <c r="CL2946" s="56"/>
      <c r="CM2946" s="56"/>
      <c r="CN2946" s="56"/>
      <c r="CO2946" s="56"/>
      <c r="CP2946" s="56"/>
      <c r="CQ2946" s="56"/>
      <c r="CR2946" s="56"/>
      <c r="CS2946" s="56"/>
      <c r="CT2946" s="56"/>
      <c r="CU2946" s="56"/>
      <c r="CV2946" s="56"/>
      <c r="CW2946" s="56"/>
      <c r="CX2946" s="56"/>
      <c r="CY2946" s="56"/>
      <c r="CZ2946" s="56"/>
    </row>
    <row r="2947" spans="27:104" s="5" customFormat="1" x14ac:dyDescent="0.25">
      <c r="AA2947" s="56"/>
      <c r="AB2947" s="56"/>
      <c r="AC2947" s="56"/>
      <c r="AD2947" s="56"/>
      <c r="AE2947" s="56"/>
      <c r="AF2947" s="56"/>
      <c r="AG2947" s="56"/>
      <c r="AH2947" s="56"/>
      <c r="AI2947" s="56"/>
      <c r="AJ2947" s="56"/>
      <c r="AK2947" s="56"/>
      <c r="AL2947" s="56"/>
      <c r="AM2947" s="56"/>
      <c r="AN2947" s="56"/>
      <c r="AO2947" s="56"/>
      <c r="AP2947" s="56"/>
      <c r="AQ2947" s="56"/>
      <c r="AR2947" s="56"/>
      <c r="AS2947" s="56"/>
      <c r="AT2947" s="56"/>
      <c r="AU2947" s="56"/>
      <c r="AV2947" s="56"/>
      <c r="AW2947" s="56"/>
      <c r="AX2947" s="56"/>
      <c r="AY2947" s="56"/>
      <c r="AZ2947" s="56"/>
      <c r="BA2947" s="56"/>
      <c r="BB2947" s="16"/>
      <c r="BC2947" s="56"/>
      <c r="BD2947" s="56"/>
      <c r="BE2947" s="56"/>
      <c r="BF2947" s="56"/>
      <c r="BG2947" s="56"/>
      <c r="BH2947" s="56"/>
      <c r="BI2947" s="56"/>
      <c r="BJ2947" s="56"/>
      <c r="BK2947" s="56"/>
      <c r="BL2947" s="56"/>
      <c r="BM2947" s="56"/>
      <c r="BN2947" s="56"/>
      <c r="BO2947" s="56"/>
      <c r="BP2947" s="56"/>
      <c r="BQ2947" s="56"/>
      <c r="BR2947" s="56"/>
      <c r="BS2947" s="56"/>
      <c r="BT2947" s="56"/>
      <c r="BU2947" s="56"/>
      <c r="BV2947" s="56"/>
      <c r="BW2947" s="56"/>
      <c r="BX2947" s="56"/>
      <c r="BY2947" s="56"/>
      <c r="BZ2947" s="56"/>
      <c r="CA2947" s="56"/>
      <c r="CB2947" s="56"/>
      <c r="CC2947" s="56"/>
      <c r="CD2947" s="56"/>
      <c r="CE2947" s="56"/>
      <c r="CF2947" s="56"/>
      <c r="CG2947" s="56"/>
      <c r="CH2947" s="56"/>
      <c r="CI2947" s="56"/>
      <c r="CJ2947" s="56"/>
      <c r="CK2947" s="56"/>
      <c r="CL2947" s="56"/>
      <c r="CM2947" s="56"/>
      <c r="CN2947" s="56"/>
      <c r="CO2947" s="56"/>
      <c r="CP2947" s="56"/>
      <c r="CQ2947" s="56"/>
      <c r="CR2947" s="56"/>
      <c r="CS2947" s="56"/>
      <c r="CT2947" s="56"/>
      <c r="CU2947" s="56"/>
      <c r="CV2947" s="56"/>
      <c r="CW2947" s="56"/>
      <c r="CX2947" s="56"/>
      <c r="CY2947" s="56"/>
      <c r="CZ2947" s="56"/>
    </row>
    <row r="2948" spans="27:104" s="5" customFormat="1" x14ac:dyDescent="0.25">
      <c r="AA2948" s="56"/>
      <c r="AB2948" s="56"/>
      <c r="AC2948" s="56"/>
      <c r="AD2948" s="56"/>
      <c r="AE2948" s="56"/>
      <c r="AF2948" s="56"/>
      <c r="AG2948" s="56"/>
      <c r="AH2948" s="56"/>
      <c r="AI2948" s="56"/>
      <c r="AJ2948" s="56"/>
      <c r="AK2948" s="56"/>
      <c r="AL2948" s="56"/>
      <c r="AM2948" s="56"/>
      <c r="AN2948" s="56"/>
      <c r="AO2948" s="56"/>
      <c r="AP2948" s="56"/>
      <c r="AQ2948" s="56"/>
      <c r="AR2948" s="56"/>
      <c r="AS2948" s="56"/>
      <c r="AT2948" s="56"/>
      <c r="AU2948" s="56"/>
      <c r="AV2948" s="56"/>
      <c r="AW2948" s="56"/>
      <c r="AX2948" s="56"/>
      <c r="AY2948" s="56"/>
      <c r="AZ2948" s="56"/>
      <c r="BA2948" s="56"/>
      <c r="BB2948" s="16"/>
      <c r="BC2948" s="56"/>
      <c r="BD2948" s="56"/>
      <c r="BE2948" s="56"/>
      <c r="BF2948" s="56"/>
      <c r="BG2948" s="56"/>
      <c r="BH2948" s="56"/>
      <c r="BI2948" s="56"/>
      <c r="BJ2948" s="56"/>
      <c r="BK2948" s="56"/>
      <c r="BL2948" s="56"/>
      <c r="BM2948" s="56"/>
      <c r="BN2948" s="56"/>
      <c r="BO2948" s="56"/>
      <c r="BP2948" s="56"/>
      <c r="BQ2948" s="56"/>
      <c r="BR2948" s="56"/>
      <c r="BS2948" s="56"/>
      <c r="BT2948" s="56"/>
      <c r="BU2948" s="56"/>
      <c r="BV2948" s="56"/>
      <c r="BW2948" s="56"/>
      <c r="BX2948" s="56"/>
      <c r="BY2948" s="56"/>
      <c r="BZ2948" s="56"/>
      <c r="CA2948" s="56"/>
      <c r="CB2948" s="56"/>
      <c r="CC2948" s="56"/>
      <c r="CD2948" s="56"/>
      <c r="CE2948" s="56"/>
      <c r="CF2948" s="56"/>
      <c r="CG2948" s="56"/>
      <c r="CH2948" s="56"/>
      <c r="CI2948" s="56"/>
      <c r="CJ2948" s="56"/>
      <c r="CK2948" s="56"/>
      <c r="CL2948" s="56"/>
      <c r="CM2948" s="56"/>
      <c r="CN2948" s="56"/>
      <c r="CO2948" s="56"/>
      <c r="CP2948" s="56"/>
      <c r="CQ2948" s="56"/>
      <c r="CR2948" s="56"/>
      <c r="CS2948" s="56"/>
      <c r="CT2948" s="56"/>
      <c r="CU2948" s="56"/>
      <c r="CV2948" s="56"/>
      <c r="CW2948" s="56"/>
      <c r="CX2948" s="56"/>
      <c r="CY2948" s="56"/>
      <c r="CZ2948" s="56"/>
    </row>
    <row r="2949" spans="27:104" s="5" customFormat="1" x14ac:dyDescent="0.25">
      <c r="AA2949" s="56"/>
      <c r="AB2949" s="56"/>
      <c r="AC2949" s="56"/>
      <c r="AD2949" s="56"/>
      <c r="AE2949" s="56"/>
      <c r="AF2949" s="56"/>
      <c r="AG2949" s="56"/>
      <c r="AH2949" s="56"/>
      <c r="AI2949" s="56"/>
      <c r="AJ2949" s="56"/>
      <c r="AK2949" s="56"/>
      <c r="AL2949" s="56"/>
      <c r="AM2949" s="56"/>
      <c r="AN2949" s="56"/>
      <c r="AO2949" s="56"/>
      <c r="AP2949" s="56"/>
      <c r="AQ2949" s="56"/>
      <c r="AR2949" s="56"/>
      <c r="AS2949" s="56"/>
      <c r="AT2949" s="56"/>
      <c r="AU2949" s="56"/>
      <c r="AV2949" s="56"/>
      <c r="AW2949" s="56"/>
      <c r="AX2949" s="56"/>
      <c r="AY2949" s="56"/>
      <c r="AZ2949" s="56"/>
      <c r="BA2949" s="56"/>
      <c r="BB2949" s="16"/>
      <c r="BC2949" s="56"/>
      <c r="BD2949" s="56"/>
      <c r="BE2949" s="56"/>
      <c r="BF2949" s="56"/>
      <c r="BG2949" s="56"/>
      <c r="BH2949" s="56"/>
      <c r="BI2949" s="56"/>
      <c r="BJ2949" s="56"/>
      <c r="BK2949" s="56"/>
      <c r="BL2949" s="56"/>
      <c r="BM2949" s="56"/>
      <c r="BN2949" s="56"/>
      <c r="BO2949" s="56"/>
      <c r="BP2949" s="56"/>
      <c r="BQ2949" s="56"/>
      <c r="BR2949" s="56"/>
      <c r="BS2949" s="56"/>
      <c r="BT2949" s="56"/>
      <c r="BU2949" s="56"/>
      <c r="BV2949" s="56"/>
      <c r="BW2949" s="56"/>
      <c r="BX2949" s="56"/>
      <c r="BY2949" s="56"/>
      <c r="BZ2949" s="56"/>
      <c r="CA2949" s="56"/>
      <c r="CB2949" s="56"/>
      <c r="CC2949" s="56"/>
      <c r="CD2949" s="56"/>
      <c r="CE2949" s="56"/>
      <c r="CF2949" s="56"/>
      <c r="CG2949" s="56"/>
      <c r="CH2949" s="56"/>
      <c r="CI2949" s="56"/>
      <c r="CJ2949" s="56"/>
      <c r="CK2949" s="56"/>
      <c r="CL2949" s="56"/>
      <c r="CM2949" s="56"/>
      <c r="CN2949" s="56"/>
      <c r="CO2949" s="56"/>
      <c r="CP2949" s="56"/>
      <c r="CQ2949" s="56"/>
      <c r="CR2949" s="56"/>
      <c r="CS2949" s="56"/>
      <c r="CT2949" s="56"/>
      <c r="CU2949" s="56"/>
      <c r="CV2949" s="56"/>
      <c r="CW2949" s="56"/>
      <c r="CX2949" s="56"/>
      <c r="CY2949" s="56"/>
      <c r="CZ2949" s="56"/>
    </row>
    <row r="2950" spans="27:104" s="5" customFormat="1" x14ac:dyDescent="0.25">
      <c r="AA2950" s="56"/>
      <c r="AB2950" s="56"/>
      <c r="AC2950" s="56"/>
      <c r="AD2950" s="56"/>
      <c r="AE2950" s="56"/>
      <c r="AF2950" s="56"/>
      <c r="AG2950" s="56"/>
      <c r="AH2950" s="56"/>
      <c r="AI2950" s="56"/>
      <c r="AJ2950" s="56"/>
      <c r="AK2950" s="56"/>
      <c r="AL2950" s="56"/>
      <c r="AM2950" s="56"/>
      <c r="AN2950" s="56"/>
      <c r="AO2950" s="56"/>
      <c r="AP2950" s="56"/>
      <c r="AQ2950" s="56"/>
      <c r="AR2950" s="56"/>
      <c r="AS2950" s="56"/>
      <c r="AT2950" s="56"/>
      <c r="AU2950" s="56"/>
      <c r="AV2950" s="56"/>
      <c r="AW2950" s="56"/>
      <c r="AX2950" s="56"/>
      <c r="AY2950" s="56"/>
      <c r="AZ2950" s="56"/>
      <c r="BA2950" s="56"/>
      <c r="BB2950" s="16"/>
      <c r="BC2950" s="56"/>
      <c r="BD2950" s="56"/>
      <c r="BE2950" s="56"/>
      <c r="BF2950" s="56"/>
      <c r="BG2950" s="56"/>
      <c r="BH2950" s="56"/>
      <c r="BI2950" s="56"/>
      <c r="BJ2950" s="56"/>
      <c r="BK2950" s="56"/>
      <c r="BL2950" s="56"/>
      <c r="BM2950" s="56"/>
      <c r="BN2950" s="56"/>
      <c r="BO2950" s="56"/>
      <c r="BP2950" s="56"/>
      <c r="BQ2950" s="56"/>
      <c r="BR2950" s="56"/>
      <c r="BS2950" s="56"/>
      <c r="BT2950" s="56"/>
      <c r="BU2950" s="56"/>
      <c r="BV2950" s="56"/>
      <c r="BW2950" s="56"/>
      <c r="BX2950" s="56"/>
      <c r="BY2950" s="56"/>
      <c r="BZ2950" s="56"/>
      <c r="CA2950" s="56"/>
      <c r="CB2950" s="56"/>
      <c r="CC2950" s="56"/>
      <c r="CD2950" s="56"/>
      <c r="CE2950" s="56"/>
      <c r="CF2950" s="56"/>
      <c r="CG2950" s="56"/>
      <c r="CH2950" s="56"/>
      <c r="CI2950" s="56"/>
      <c r="CJ2950" s="56"/>
      <c r="CK2950" s="56"/>
      <c r="CL2950" s="56"/>
      <c r="CM2950" s="56"/>
      <c r="CN2950" s="56"/>
      <c r="CO2950" s="56"/>
      <c r="CP2950" s="56"/>
      <c r="CQ2950" s="56"/>
      <c r="CR2950" s="56"/>
      <c r="CS2950" s="56"/>
      <c r="CT2950" s="56"/>
      <c r="CU2950" s="56"/>
      <c r="CV2950" s="56"/>
      <c r="CW2950" s="56"/>
      <c r="CX2950" s="56"/>
      <c r="CY2950" s="56"/>
      <c r="CZ2950" s="56"/>
    </row>
    <row r="2951" spans="27:104" s="5" customFormat="1" x14ac:dyDescent="0.25">
      <c r="AA2951" s="56"/>
      <c r="AB2951" s="56"/>
      <c r="AC2951" s="56"/>
      <c r="AD2951" s="56"/>
      <c r="AE2951" s="56"/>
      <c r="AF2951" s="56"/>
      <c r="AG2951" s="56"/>
      <c r="AH2951" s="56"/>
      <c r="AI2951" s="56"/>
      <c r="AJ2951" s="56"/>
      <c r="AK2951" s="56"/>
      <c r="AL2951" s="56"/>
      <c r="AM2951" s="56"/>
      <c r="AN2951" s="56"/>
      <c r="AO2951" s="56"/>
      <c r="AP2951" s="56"/>
      <c r="AQ2951" s="56"/>
      <c r="AR2951" s="56"/>
      <c r="AS2951" s="56"/>
      <c r="AT2951" s="56"/>
      <c r="AU2951" s="56"/>
      <c r="AV2951" s="56"/>
      <c r="AW2951" s="56"/>
      <c r="AX2951" s="56"/>
      <c r="AY2951" s="56"/>
      <c r="AZ2951" s="56"/>
      <c r="BA2951" s="56"/>
      <c r="BB2951" s="16"/>
      <c r="BC2951" s="56"/>
      <c r="BD2951" s="56"/>
      <c r="BE2951" s="56"/>
      <c r="BF2951" s="56"/>
      <c r="BG2951" s="56"/>
      <c r="BH2951" s="56"/>
      <c r="BI2951" s="56"/>
      <c r="BJ2951" s="56"/>
      <c r="BK2951" s="56"/>
      <c r="BL2951" s="56"/>
      <c r="BM2951" s="56"/>
      <c r="BN2951" s="56"/>
      <c r="BO2951" s="56"/>
      <c r="BP2951" s="56"/>
      <c r="BQ2951" s="56"/>
      <c r="BR2951" s="56"/>
      <c r="BS2951" s="56"/>
      <c r="BT2951" s="56"/>
      <c r="BU2951" s="56"/>
      <c r="BV2951" s="56"/>
      <c r="BW2951" s="56"/>
      <c r="BX2951" s="56"/>
      <c r="BY2951" s="56"/>
      <c r="BZ2951" s="56"/>
      <c r="CA2951" s="56"/>
      <c r="CB2951" s="56"/>
      <c r="CC2951" s="56"/>
      <c r="CD2951" s="56"/>
      <c r="CE2951" s="56"/>
      <c r="CF2951" s="56"/>
      <c r="CG2951" s="56"/>
      <c r="CH2951" s="56"/>
      <c r="CI2951" s="56"/>
      <c r="CJ2951" s="56"/>
      <c r="CK2951" s="56"/>
      <c r="CL2951" s="56"/>
      <c r="CM2951" s="56"/>
      <c r="CN2951" s="56"/>
      <c r="CO2951" s="56"/>
      <c r="CP2951" s="56"/>
      <c r="CQ2951" s="56"/>
      <c r="CR2951" s="56"/>
      <c r="CS2951" s="56"/>
      <c r="CT2951" s="56"/>
      <c r="CU2951" s="56"/>
      <c r="CV2951" s="56"/>
      <c r="CW2951" s="56"/>
      <c r="CX2951" s="56"/>
      <c r="CY2951" s="56"/>
      <c r="CZ2951" s="56"/>
    </row>
    <row r="2952" spans="27:104" s="5" customFormat="1" x14ac:dyDescent="0.25">
      <c r="AA2952" s="56"/>
      <c r="AB2952" s="56"/>
      <c r="AC2952" s="56"/>
      <c r="AD2952" s="56"/>
      <c r="AE2952" s="56"/>
      <c r="AF2952" s="56"/>
      <c r="AG2952" s="56"/>
      <c r="AH2952" s="56"/>
      <c r="AI2952" s="56"/>
      <c r="AJ2952" s="56"/>
      <c r="AK2952" s="56"/>
      <c r="AL2952" s="56"/>
      <c r="AM2952" s="56"/>
      <c r="AN2952" s="56"/>
      <c r="AO2952" s="56"/>
      <c r="AP2952" s="56"/>
      <c r="AQ2952" s="56"/>
      <c r="AR2952" s="56"/>
      <c r="AS2952" s="56"/>
      <c r="AT2952" s="56"/>
      <c r="AU2952" s="56"/>
      <c r="AV2952" s="56"/>
      <c r="AW2952" s="56"/>
      <c r="AX2952" s="56"/>
      <c r="AY2952" s="56"/>
      <c r="AZ2952" s="56"/>
      <c r="BA2952" s="56"/>
      <c r="BB2952" s="16"/>
      <c r="BC2952" s="56"/>
      <c r="BD2952" s="56"/>
      <c r="BE2952" s="56"/>
      <c r="BF2952" s="56"/>
      <c r="BG2952" s="56"/>
      <c r="BH2952" s="56"/>
      <c r="BI2952" s="56"/>
      <c r="BJ2952" s="56"/>
      <c r="BK2952" s="56"/>
      <c r="BL2952" s="56"/>
      <c r="BM2952" s="56"/>
      <c r="BN2952" s="56"/>
      <c r="BO2952" s="56"/>
      <c r="BP2952" s="56"/>
      <c r="BQ2952" s="56"/>
      <c r="BR2952" s="56"/>
      <c r="BS2952" s="56"/>
      <c r="BT2952" s="56"/>
      <c r="BU2952" s="56"/>
      <c r="BV2952" s="56"/>
      <c r="BW2952" s="56"/>
      <c r="BX2952" s="56"/>
      <c r="BY2952" s="56"/>
      <c r="BZ2952" s="56"/>
      <c r="CA2952" s="56"/>
      <c r="CB2952" s="56"/>
      <c r="CC2952" s="56"/>
      <c r="CD2952" s="56"/>
      <c r="CE2952" s="56"/>
      <c r="CF2952" s="56"/>
      <c r="CG2952" s="56"/>
      <c r="CH2952" s="56"/>
      <c r="CI2952" s="56"/>
      <c r="CJ2952" s="56"/>
      <c r="CK2952" s="56"/>
      <c r="CL2952" s="56"/>
      <c r="CM2952" s="56"/>
      <c r="CN2952" s="56"/>
      <c r="CO2952" s="56"/>
      <c r="CP2952" s="56"/>
      <c r="CQ2952" s="56"/>
      <c r="CR2952" s="56"/>
      <c r="CS2952" s="56"/>
      <c r="CT2952" s="56"/>
      <c r="CU2952" s="56"/>
      <c r="CV2952" s="56"/>
      <c r="CW2952" s="56"/>
      <c r="CX2952" s="56"/>
      <c r="CY2952" s="56"/>
      <c r="CZ2952" s="56"/>
    </row>
    <row r="2953" spans="27:104" s="5" customFormat="1" x14ac:dyDescent="0.25">
      <c r="AA2953" s="56"/>
      <c r="AB2953" s="56"/>
      <c r="AC2953" s="56"/>
      <c r="AD2953" s="56"/>
      <c r="AE2953" s="56"/>
      <c r="AF2953" s="56"/>
      <c r="AG2953" s="56"/>
      <c r="AH2953" s="56"/>
      <c r="AI2953" s="56"/>
      <c r="AJ2953" s="56"/>
      <c r="AK2953" s="56"/>
      <c r="AL2953" s="56"/>
      <c r="AM2953" s="56"/>
      <c r="AN2953" s="56"/>
      <c r="AO2953" s="56"/>
      <c r="AP2953" s="56"/>
      <c r="AQ2953" s="56"/>
      <c r="AR2953" s="56"/>
      <c r="AS2953" s="56"/>
      <c r="AT2953" s="56"/>
      <c r="AU2953" s="56"/>
      <c r="AV2953" s="56"/>
      <c r="AW2953" s="56"/>
      <c r="AX2953" s="56"/>
      <c r="AY2953" s="56"/>
      <c r="AZ2953" s="56"/>
      <c r="BA2953" s="56"/>
      <c r="BB2953" s="16"/>
      <c r="BC2953" s="56"/>
      <c r="BD2953" s="56"/>
      <c r="BE2953" s="56"/>
      <c r="BF2953" s="56"/>
      <c r="BG2953" s="56"/>
      <c r="BH2953" s="56"/>
      <c r="BI2953" s="56"/>
      <c r="BJ2953" s="56"/>
      <c r="BK2953" s="56"/>
      <c r="BL2953" s="56"/>
      <c r="BM2953" s="56"/>
      <c r="BN2953" s="56"/>
      <c r="BO2953" s="56"/>
      <c r="BP2953" s="56"/>
      <c r="BQ2953" s="56"/>
      <c r="BR2953" s="56"/>
      <c r="BS2953" s="56"/>
      <c r="BT2953" s="56"/>
      <c r="BU2953" s="56"/>
      <c r="BV2953" s="56"/>
      <c r="BW2953" s="56"/>
      <c r="BX2953" s="56"/>
      <c r="BY2953" s="56"/>
      <c r="BZ2953" s="56"/>
      <c r="CA2953" s="56"/>
      <c r="CB2953" s="56"/>
      <c r="CC2953" s="56"/>
      <c r="CD2953" s="56"/>
      <c r="CE2953" s="56"/>
      <c r="CF2953" s="56"/>
      <c r="CG2953" s="56"/>
      <c r="CH2953" s="56"/>
      <c r="CI2953" s="56"/>
      <c r="CJ2953" s="56"/>
      <c r="CK2953" s="56"/>
      <c r="CL2953" s="56"/>
      <c r="CM2953" s="56"/>
      <c r="CN2953" s="56"/>
      <c r="CO2953" s="56"/>
      <c r="CP2953" s="56"/>
      <c r="CQ2953" s="56"/>
      <c r="CR2953" s="56"/>
      <c r="CS2953" s="56"/>
      <c r="CT2953" s="56"/>
      <c r="CU2953" s="56"/>
      <c r="CV2953" s="56"/>
      <c r="CW2953" s="56"/>
      <c r="CX2953" s="56"/>
      <c r="CY2953" s="56"/>
      <c r="CZ2953" s="56"/>
    </row>
    <row r="2954" spans="27:104" s="5" customFormat="1" x14ac:dyDescent="0.25">
      <c r="AA2954" s="56"/>
      <c r="AB2954" s="56"/>
      <c r="AC2954" s="56"/>
      <c r="AD2954" s="56"/>
      <c r="AE2954" s="56"/>
      <c r="AF2954" s="56"/>
      <c r="AG2954" s="56"/>
      <c r="AH2954" s="56"/>
      <c r="AI2954" s="56"/>
      <c r="AJ2954" s="56"/>
      <c r="AK2954" s="56"/>
      <c r="AL2954" s="56"/>
      <c r="AM2954" s="56"/>
      <c r="AN2954" s="56"/>
      <c r="AO2954" s="56"/>
      <c r="AP2954" s="56"/>
      <c r="AQ2954" s="56"/>
      <c r="AR2954" s="56"/>
      <c r="AS2954" s="56"/>
      <c r="AT2954" s="56"/>
      <c r="AU2954" s="56"/>
      <c r="AV2954" s="56"/>
      <c r="AW2954" s="56"/>
      <c r="AX2954" s="56"/>
      <c r="AY2954" s="56"/>
      <c r="AZ2954" s="56"/>
      <c r="BA2954" s="56"/>
      <c r="BB2954" s="16"/>
      <c r="BC2954" s="56"/>
      <c r="BD2954" s="56"/>
      <c r="BE2954" s="56"/>
      <c r="BF2954" s="56"/>
      <c r="BG2954" s="56"/>
      <c r="BH2954" s="56"/>
      <c r="BI2954" s="56"/>
      <c r="BJ2954" s="56"/>
      <c r="BK2954" s="56"/>
      <c r="BL2954" s="56"/>
      <c r="BM2954" s="56"/>
      <c r="BN2954" s="56"/>
      <c r="BO2954" s="56"/>
      <c r="BP2954" s="56"/>
      <c r="BQ2954" s="56"/>
      <c r="BR2954" s="56"/>
      <c r="BS2954" s="56"/>
      <c r="BT2954" s="56"/>
      <c r="BU2954" s="56"/>
      <c r="BV2954" s="56"/>
      <c r="BW2954" s="56"/>
      <c r="BX2954" s="56"/>
      <c r="BY2954" s="56"/>
      <c r="BZ2954" s="56"/>
      <c r="CA2954" s="56"/>
      <c r="CB2954" s="56"/>
      <c r="CC2954" s="56"/>
      <c r="CD2954" s="56"/>
      <c r="CE2954" s="56"/>
      <c r="CF2954" s="56"/>
      <c r="CG2954" s="56"/>
      <c r="CH2954" s="56"/>
      <c r="CI2954" s="56"/>
      <c r="CJ2954" s="56"/>
      <c r="CK2954" s="56"/>
      <c r="CL2954" s="56"/>
      <c r="CM2954" s="56"/>
      <c r="CN2954" s="56"/>
      <c r="CO2954" s="56"/>
      <c r="CP2954" s="56"/>
      <c r="CQ2954" s="56"/>
      <c r="CR2954" s="56"/>
      <c r="CS2954" s="56"/>
      <c r="CT2954" s="56"/>
      <c r="CU2954" s="56"/>
      <c r="CV2954" s="56"/>
      <c r="CW2954" s="56"/>
      <c r="CX2954" s="56"/>
      <c r="CY2954" s="56"/>
      <c r="CZ2954" s="56"/>
    </row>
    <row r="2955" spans="27:104" s="5" customFormat="1" x14ac:dyDescent="0.25">
      <c r="AA2955" s="56"/>
      <c r="AB2955" s="56"/>
      <c r="AC2955" s="56"/>
      <c r="AD2955" s="56"/>
      <c r="AE2955" s="56"/>
      <c r="AF2955" s="56"/>
      <c r="AG2955" s="56"/>
      <c r="AH2955" s="56"/>
      <c r="AI2955" s="56"/>
      <c r="AJ2955" s="56"/>
      <c r="AK2955" s="56"/>
      <c r="AL2955" s="56"/>
      <c r="AM2955" s="56"/>
      <c r="AN2955" s="56"/>
      <c r="AO2955" s="56"/>
      <c r="AP2955" s="56"/>
      <c r="AQ2955" s="56"/>
      <c r="AR2955" s="56"/>
      <c r="AS2955" s="56"/>
      <c r="AT2955" s="56"/>
      <c r="AU2955" s="56"/>
      <c r="AV2955" s="56"/>
      <c r="AW2955" s="56"/>
      <c r="AX2955" s="56"/>
      <c r="AY2955" s="56"/>
      <c r="AZ2955" s="56"/>
      <c r="BA2955" s="56"/>
      <c r="BB2955" s="16"/>
      <c r="BC2955" s="56"/>
      <c r="BD2955" s="56"/>
      <c r="BE2955" s="56"/>
      <c r="BF2955" s="56"/>
      <c r="BG2955" s="56"/>
      <c r="BH2955" s="56"/>
      <c r="BI2955" s="56"/>
      <c r="BJ2955" s="56"/>
      <c r="BK2955" s="56"/>
      <c r="BL2955" s="56"/>
      <c r="BM2955" s="56"/>
      <c r="BN2955" s="56"/>
      <c r="BO2955" s="56"/>
      <c r="BP2955" s="56"/>
      <c r="BQ2955" s="56"/>
      <c r="BR2955" s="56"/>
      <c r="BS2955" s="56"/>
      <c r="BT2955" s="56"/>
      <c r="BU2955" s="56"/>
      <c r="BV2955" s="56"/>
      <c r="BW2955" s="56"/>
      <c r="BX2955" s="56"/>
      <c r="BY2955" s="56"/>
      <c r="BZ2955" s="56"/>
      <c r="CA2955" s="56"/>
      <c r="CB2955" s="56"/>
      <c r="CC2955" s="56"/>
      <c r="CD2955" s="56"/>
      <c r="CE2955" s="56"/>
      <c r="CF2955" s="56"/>
      <c r="CG2955" s="56"/>
      <c r="CH2955" s="56"/>
      <c r="CI2955" s="56"/>
      <c r="CJ2955" s="56"/>
      <c r="CK2955" s="56"/>
      <c r="CL2955" s="56"/>
      <c r="CM2955" s="56"/>
      <c r="CN2955" s="56"/>
      <c r="CO2955" s="56"/>
      <c r="CP2955" s="56"/>
      <c r="CQ2955" s="56"/>
      <c r="CR2955" s="56"/>
      <c r="CS2955" s="56"/>
      <c r="CT2955" s="56"/>
      <c r="CU2955" s="56"/>
      <c r="CV2955" s="56"/>
      <c r="CW2955" s="56"/>
      <c r="CX2955" s="56"/>
      <c r="CY2955" s="56"/>
      <c r="CZ2955" s="56"/>
    </row>
    <row r="2956" spans="27:104" s="5" customFormat="1" x14ac:dyDescent="0.25">
      <c r="AA2956" s="56"/>
      <c r="AB2956" s="56"/>
      <c r="AC2956" s="56"/>
      <c r="AD2956" s="56"/>
      <c r="AE2956" s="56"/>
      <c r="AF2956" s="56"/>
      <c r="AG2956" s="56"/>
      <c r="AH2956" s="56"/>
      <c r="AI2956" s="56"/>
      <c r="AJ2956" s="56"/>
      <c r="AK2956" s="56"/>
      <c r="AL2956" s="56"/>
      <c r="AM2956" s="56"/>
      <c r="AN2956" s="56"/>
      <c r="AO2956" s="56"/>
      <c r="AP2956" s="56"/>
      <c r="AQ2956" s="56"/>
      <c r="AR2956" s="56"/>
      <c r="AS2956" s="56"/>
      <c r="AT2956" s="56"/>
      <c r="AU2956" s="56"/>
      <c r="AV2956" s="56"/>
      <c r="AW2956" s="56"/>
      <c r="AX2956" s="56"/>
      <c r="AY2956" s="56"/>
      <c r="AZ2956" s="56"/>
      <c r="BA2956" s="56"/>
      <c r="BB2956" s="16"/>
      <c r="BC2956" s="56"/>
      <c r="BD2956" s="56"/>
      <c r="BE2956" s="56"/>
      <c r="BF2956" s="56"/>
      <c r="BG2956" s="56"/>
      <c r="BH2956" s="56"/>
      <c r="BI2956" s="56"/>
      <c r="BJ2956" s="56"/>
      <c r="BK2956" s="56"/>
      <c r="BL2956" s="56"/>
      <c r="BM2956" s="56"/>
      <c r="BN2956" s="56"/>
      <c r="BO2956" s="56"/>
      <c r="BP2956" s="56"/>
      <c r="BQ2956" s="56"/>
      <c r="BR2956" s="56"/>
      <c r="BS2956" s="56"/>
      <c r="BT2956" s="56"/>
      <c r="BU2956" s="56"/>
      <c r="BV2956" s="56"/>
      <c r="BW2956" s="56"/>
      <c r="BX2956" s="56"/>
      <c r="BY2956" s="56"/>
      <c r="BZ2956" s="56"/>
      <c r="CA2956" s="56"/>
      <c r="CB2956" s="56"/>
      <c r="CC2956" s="56"/>
      <c r="CD2956" s="56"/>
      <c r="CE2956" s="56"/>
      <c r="CF2956" s="56"/>
      <c r="CG2956" s="56"/>
      <c r="CH2956" s="56"/>
      <c r="CI2956" s="56"/>
      <c r="CJ2956" s="56"/>
      <c r="CK2956" s="56"/>
      <c r="CL2956" s="56"/>
      <c r="CM2956" s="56"/>
      <c r="CN2956" s="56"/>
      <c r="CO2956" s="56"/>
      <c r="CP2956" s="56"/>
      <c r="CQ2956" s="56"/>
      <c r="CR2956" s="56"/>
      <c r="CS2956" s="56"/>
      <c r="CT2956" s="56"/>
      <c r="CU2956" s="56"/>
      <c r="CV2956" s="56"/>
      <c r="CW2956" s="56"/>
      <c r="CX2956" s="56"/>
      <c r="CY2956" s="56"/>
      <c r="CZ2956" s="56"/>
    </row>
    <row r="2957" spans="27:104" s="5" customFormat="1" x14ac:dyDescent="0.25">
      <c r="AA2957" s="56"/>
      <c r="AB2957" s="56"/>
      <c r="AC2957" s="56"/>
      <c r="AD2957" s="56"/>
      <c r="AE2957" s="56"/>
      <c r="AF2957" s="56"/>
      <c r="AG2957" s="56"/>
      <c r="AH2957" s="56"/>
      <c r="AI2957" s="56"/>
      <c r="AJ2957" s="56"/>
      <c r="AK2957" s="56"/>
      <c r="AL2957" s="56"/>
      <c r="AM2957" s="56"/>
      <c r="AN2957" s="56"/>
      <c r="AO2957" s="56"/>
      <c r="AP2957" s="56"/>
      <c r="AQ2957" s="56"/>
      <c r="AR2957" s="56"/>
      <c r="AS2957" s="56"/>
      <c r="AT2957" s="56"/>
      <c r="AU2957" s="56"/>
      <c r="AV2957" s="56"/>
      <c r="AW2957" s="56"/>
      <c r="AX2957" s="56"/>
      <c r="AY2957" s="56"/>
      <c r="AZ2957" s="56"/>
      <c r="BA2957" s="56"/>
      <c r="BB2957" s="16"/>
      <c r="BC2957" s="56"/>
      <c r="BD2957" s="56"/>
      <c r="BE2957" s="56"/>
      <c r="BF2957" s="56"/>
      <c r="BG2957" s="56"/>
      <c r="BH2957" s="56"/>
      <c r="BI2957" s="56"/>
      <c r="BJ2957" s="56"/>
      <c r="BK2957" s="56"/>
      <c r="BL2957" s="56"/>
      <c r="BM2957" s="56"/>
      <c r="BN2957" s="56"/>
      <c r="BO2957" s="56"/>
      <c r="BP2957" s="56"/>
      <c r="BQ2957" s="56"/>
      <c r="BR2957" s="56"/>
      <c r="BS2957" s="56"/>
      <c r="BT2957" s="56"/>
      <c r="BU2957" s="56"/>
      <c r="BV2957" s="56"/>
      <c r="BW2957" s="56"/>
      <c r="BX2957" s="56"/>
      <c r="BY2957" s="56"/>
      <c r="BZ2957" s="56"/>
      <c r="CA2957" s="56"/>
      <c r="CB2957" s="56"/>
      <c r="CC2957" s="56"/>
      <c r="CD2957" s="56"/>
      <c r="CE2957" s="56"/>
      <c r="CF2957" s="56"/>
      <c r="CG2957" s="56"/>
      <c r="CH2957" s="56"/>
      <c r="CI2957" s="56"/>
      <c r="CJ2957" s="56"/>
      <c r="CK2957" s="56"/>
      <c r="CL2957" s="56"/>
      <c r="CM2957" s="56"/>
      <c r="CN2957" s="56"/>
      <c r="CO2957" s="56"/>
      <c r="CP2957" s="56"/>
      <c r="CQ2957" s="56"/>
      <c r="CR2957" s="56"/>
      <c r="CS2957" s="56"/>
      <c r="CT2957" s="56"/>
      <c r="CU2957" s="56"/>
      <c r="CV2957" s="56"/>
      <c r="CW2957" s="56"/>
      <c r="CX2957" s="56"/>
      <c r="CY2957" s="56"/>
      <c r="CZ2957" s="56"/>
    </row>
    <row r="2958" spans="27:104" s="5" customFormat="1" x14ac:dyDescent="0.25">
      <c r="AA2958" s="56"/>
      <c r="AB2958" s="56"/>
      <c r="AC2958" s="56"/>
      <c r="AD2958" s="56"/>
      <c r="AE2958" s="56"/>
      <c r="AF2958" s="56"/>
      <c r="AG2958" s="56"/>
      <c r="AH2958" s="56"/>
      <c r="AI2958" s="56"/>
      <c r="AJ2958" s="56"/>
      <c r="AK2958" s="56"/>
      <c r="AL2958" s="56"/>
      <c r="AM2958" s="56"/>
      <c r="AN2958" s="56"/>
      <c r="AO2958" s="56"/>
      <c r="AP2958" s="56"/>
      <c r="AQ2958" s="56"/>
      <c r="AR2958" s="56"/>
      <c r="AS2958" s="56"/>
      <c r="AT2958" s="56"/>
      <c r="AU2958" s="56"/>
      <c r="AV2958" s="56"/>
      <c r="AW2958" s="56"/>
      <c r="AX2958" s="56"/>
      <c r="AY2958" s="56"/>
      <c r="AZ2958" s="56"/>
      <c r="BA2958" s="56"/>
      <c r="BB2958" s="16"/>
      <c r="BC2958" s="56"/>
      <c r="BD2958" s="56"/>
      <c r="BE2958" s="56"/>
      <c r="BF2958" s="56"/>
      <c r="BG2958" s="56"/>
      <c r="BH2958" s="56"/>
      <c r="BI2958" s="56"/>
      <c r="BJ2958" s="56"/>
      <c r="BK2958" s="56"/>
      <c r="BL2958" s="56"/>
      <c r="BM2958" s="56"/>
      <c r="BN2958" s="56"/>
      <c r="BO2958" s="56"/>
      <c r="BP2958" s="56"/>
      <c r="BQ2958" s="56"/>
      <c r="BR2958" s="56"/>
      <c r="BS2958" s="56"/>
      <c r="BT2958" s="56"/>
      <c r="BU2958" s="56"/>
      <c r="BV2958" s="56"/>
      <c r="BW2958" s="56"/>
      <c r="BX2958" s="56"/>
      <c r="BY2958" s="56"/>
      <c r="BZ2958" s="56"/>
      <c r="CA2958" s="56"/>
      <c r="CB2958" s="56"/>
      <c r="CC2958" s="56"/>
      <c r="CD2958" s="56"/>
      <c r="CE2958" s="56"/>
      <c r="CF2958" s="56"/>
      <c r="CG2958" s="56"/>
      <c r="CH2958" s="56"/>
      <c r="CI2958" s="56"/>
      <c r="CJ2958" s="56"/>
      <c r="CK2958" s="56"/>
      <c r="CL2958" s="56"/>
      <c r="CM2958" s="56"/>
      <c r="CN2958" s="56"/>
      <c r="CO2958" s="56"/>
      <c r="CP2958" s="56"/>
      <c r="CQ2958" s="56"/>
      <c r="CR2958" s="56"/>
      <c r="CS2958" s="56"/>
      <c r="CT2958" s="56"/>
      <c r="CU2958" s="56"/>
      <c r="CV2958" s="56"/>
      <c r="CW2958" s="56"/>
      <c r="CX2958" s="56"/>
      <c r="CY2958" s="56"/>
      <c r="CZ2958" s="56"/>
    </row>
    <row r="2959" spans="27:104" s="5" customFormat="1" x14ac:dyDescent="0.25">
      <c r="AA2959" s="56"/>
      <c r="AB2959" s="56"/>
      <c r="AC2959" s="56"/>
      <c r="AD2959" s="56"/>
      <c r="AE2959" s="56"/>
      <c r="AF2959" s="56"/>
      <c r="AG2959" s="56"/>
      <c r="AH2959" s="56"/>
      <c r="AI2959" s="56"/>
      <c r="AJ2959" s="56"/>
      <c r="AK2959" s="56"/>
      <c r="AL2959" s="56"/>
      <c r="AM2959" s="56"/>
      <c r="AN2959" s="56"/>
      <c r="AO2959" s="56"/>
      <c r="AP2959" s="56"/>
      <c r="AQ2959" s="56"/>
      <c r="AR2959" s="56"/>
      <c r="AS2959" s="56"/>
      <c r="AT2959" s="56"/>
      <c r="AU2959" s="56"/>
      <c r="AV2959" s="56"/>
      <c r="AW2959" s="56"/>
      <c r="AX2959" s="56"/>
      <c r="AY2959" s="56"/>
      <c r="AZ2959" s="56"/>
      <c r="BA2959" s="56"/>
      <c r="BB2959" s="16"/>
      <c r="BC2959" s="56"/>
      <c r="BD2959" s="56"/>
      <c r="BE2959" s="56"/>
      <c r="BF2959" s="56"/>
      <c r="BG2959" s="56"/>
      <c r="BH2959" s="56"/>
      <c r="BI2959" s="56"/>
      <c r="BJ2959" s="56"/>
      <c r="BK2959" s="56"/>
      <c r="BL2959" s="56"/>
      <c r="BM2959" s="56"/>
      <c r="BN2959" s="56"/>
      <c r="BO2959" s="56"/>
      <c r="BP2959" s="56"/>
      <c r="BQ2959" s="56"/>
      <c r="BR2959" s="56"/>
      <c r="BS2959" s="56"/>
      <c r="BT2959" s="56"/>
      <c r="BU2959" s="56"/>
      <c r="BV2959" s="56"/>
      <c r="BW2959" s="56"/>
      <c r="BX2959" s="56"/>
      <c r="BY2959" s="56"/>
      <c r="BZ2959" s="56"/>
      <c r="CA2959" s="56"/>
      <c r="CB2959" s="56"/>
      <c r="CC2959" s="56"/>
      <c r="CD2959" s="56"/>
      <c r="CE2959" s="56"/>
      <c r="CF2959" s="56"/>
      <c r="CG2959" s="56"/>
      <c r="CH2959" s="56"/>
      <c r="CI2959" s="56"/>
      <c r="CJ2959" s="56"/>
      <c r="CK2959" s="56"/>
      <c r="CL2959" s="56"/>
      <c r="CM2959" s="56"/>
      <c r="CN2959" s="56"/>
      <c r="CO2959" s="56"/>
      <c r="CP2959" s="56"/>
      <c r="CQ2959" s="56"/>
      <c r="CR2959" s="56"/>
      <c r="CS2959" s="56"/>
      <c r="CT2959" s="56"/>
      <c r="CU2959" s="56"/>
      <c r="CV2959" s="56"/>
      <c r="CW2959" s="56"/>
      <c r="CX2959" s="56"/>
      <c r="CY2959" s="56"/>
      <c r="CZ2959" s="56"/>
    </row>
    <row r="2960" spans="27:104" s="5" customFormat="1" x14ac:dyDescent="0.25">
      <c r="AA2960" s="56"/>
      <c r="AB2960" s="56"/>
      <c r="AC2960" s="56"/>
      <c r="AD2960" s="56"/>
      <c r="AE2960" s="56"/>
      <c r="AF2960" s="56"/>
      <c r="AG2960" s="56"/>
      <c r="AH2960" s="56"/>
      <c r="AI2960" s="56"/>
      <c r="AJ2960" s="56"/>
      <c r="AK2960" s="56"/>
      <c r="AL2960" s="56"/>
      <c r="AM2960" s="56"/>
      <c r="AN2960" s="56"/>
      <c r="AO2960" s="56"/>
      <c r="AP2960" s="56"/>
      <c r="AQ2960" s="56"/>
      <c r="AR2960" s="56"/>
      <c r="AS2960" s="56"/>
      <c r="AT2960" s="56"/>
      <c r="AU2960" s="56"/>
      <c r="AV2960" s="56"/>
      <c r="AW2960" s="56"/>
      <c r="AX2960" s="56"/>
      <c r="AY2960" s="56"/>
      <c r="AZ2960" s="56"/>
      <c r="BA2960" s="56"/>
      <c r="BB2960" s="16"/>
      <c r="BC2960" s="56"/>
      <c r="BD2960" s="56"/>
      <c r="BE2960" s="56"/>
      <c r="BF2960" s="56"/>
      <c r="BG2960" s="56"/>
      <c r="BH2960" s="56"/>
      <c r="BI2960" s="56"/>
      <c r="BJ2960" s="56"/>
      <c r="BK2960" s="56"/>
      <c r="BL2960" s="56"/>
      <c r="BM2960" s="56"/>
      <c r="BN2960" s="56"/>
      <c r="BO2960" s="56"/>
      <c r="BP2960" s="56"/>
      <c r="BQ2960" s="56"/>
      <c r="BR2960" s="56"/>
      <c r="BS2960" s="56"/>
      <c r="BT2960" s="56"/>
      <c r="BU2960" s="56"/>
      <c r="BV2960" s="56"/>
      <c r="BW2960" s="56"/>
      <c r="BX2960" s="56"/>
      <c r="BY2960" s="56"/>
      <c r="BZ2960" s="56"/>
      <c r="CA2960" s="56"/>
      <c r="CB2960" s="56"/>
      <c r="CC2960" s="56"/>
      <c r="CD2960" s="56"/>
      <c r="CE2960" s="56"/>
      <c r="CF2960" s="56"/>
      <c r="CG2960" s="56"/>
      <c r="CH2960" s="56"/>
      <c r="CI2960" s="56"/>
      <c r="CJ2960" s="56"/>
      <c r="CK2960" s="56"/>
      <c r="CL2960" s="56"/>
      <c r="CM2960" s="56"/>
      <c r="CN2960" s="56"/>
      <c r="CO2960" s="56"/>
      <c r="CP2960" s="56"/>
      <c r="CQ2960" s="56"/>
      <c r="CR2960" s="56"/>
      <c r="CS2960" s="56"/>
      <c r="CT2960" s="56"/>
      <c r="CU2960" s="56"/>
      <c r="CV2960" s="56"/>
      <c r="CW2960" s="56"/>
      <c r="CX2960" s="56"/>
      <c r="CY2960" s="56"/>
      <c r="CZ2960" s="56"/>
    </row>
    <row r="2961" spans="27:104" s="5" customFormat="1" x14ac:dyDescent="0.25">
      <c r="AA2961" s="56"/>
      <c r="AB2961" s="56"/>
      <c r="AC2961" s="56"/>
      <c r="AD2961" s="56"/>
      <c r="AE2961" s="56"/>
      <c r="AF2961" s="56"/>
      <c r="AG2961" s="56"/>
      <c r="AH2961" s="56"/>
      <c r="AI2961" s="56"/>
      <c r="AJ2961" s="56"/>
      <c r="AK2961" s="56"/>
      <c r="AL2961" s="56"/>
      <c r="AM2961" s="56"/>
      <c r="AN2961" s="56"/>
      <c r="AO2961" s="56"/>
      <c r="AP2961" s="56"/>
      <c r="AQ2961" s="56"/>
      <c r="AR2961" s="56"/>
      <c r="AS2961" s="56"/>
      <c r="AT2961" s="56"/>
      <c r="AU2961" s="56"/>
      <c r="AV2961" s="56"/>
      <c r="AW2961" s="56"/>
      <c r="AX2961" s="56"/>
      <c r="AY2961" s="56"/>
      <c r="AZ2961" s="56"/>
      <c r="BA2961" s="56"/>
      <c r="BB2961" s="16"/>
      <c r="BC2961" s="56"/>
      <c r="BD2961" s="56"/>
      <c r="BE2961" s="56"/>
      <c r="BF2961" s="56"/>
      <c r="BG2961" s="56"/>
      <c r="BH2961" s="56"/>
      <c r="BI2961" s="56"/>
      <c r="BJ2961" s="56"/>
      <c r="BK2961" s="56"/>
      <c r="BL2961" s="56"/>
      <c r="BM2961" s="56"/>
      <c r="BN2961" s="56"/>
      <c r="BO2961" s="56"/>
      <c r="BP2961" s="56"/>
      <c r="BQ2961" s="56"/>
      <c r="BR2961" s="56"/>
      <c r="BS2961" s="56"/>
      <c r="BT2961" s="56"/>
      <c r="BU2961" s="56"/>
      <c r="BV2961" s="56"/>
      <c r="BW2961" s="56"/>
      <c r="BX2961" s="56"/>
      <c r="BY2961" s="56"/>
      <c r="BZ2961" s="56"/>
      <c r="CA2961" s="56"/>
      <c r="CB2961" s="56"/>
      <c r="CC2961" s="56"/>
      <c r="CD2961" s="56"/>
      <c r="CE2961" s="56"/>
      <c r="CF2961" s="56"/>
      <c r="CG2961" s="56"/>
      <c r="CH2961" s="56"/>
      <c r="CI2961" s="56"/>
      <c r="CJ2961" s="56"/>
      <c r="CK2961" s="56"/>
      <c r="CL2961" s="56"/>
      <c r="CM2961" s="56"/>
      <c r="CN2961" s="56"/>
      <c r="CO2961" s="56"/>
      <c r="CP2961" s="56"/>
      <c r="CQ2961" s="56"/>
      <c r="CR2961" s="56"/>
      <c r="CS2961" s="56"/>
      <c r="CT2961" s="56"/>
      <c r="CU2961" s="56"/>
      <c r="CV2961" s="56"/>
      <c r="CW2961" s="56"/>
      <c r="CX2961" s="56"/>
      <c r="CY2961" s="56"/>
      <c r="CZ2961" s="56"/>
    </row>
    <row r="2962" spans="27:104" s="5" customFormat="1" x14ac:dyDescent="0.25">
      <c r="AA2962" s="56"/>
      <c r="AB2962" s="56"/>
      <c r="AC2962" s="56"/>
      <c r="AD2962" s="56"/>
      <c r="AE2962" s="56"/>
      <c r="AF2962" s="56"/>
      <c r="AG2962" s="56"/>
      <c r="AH2962" s="56"/>
      <c r="AI2962" s="56"/>
      <c r="AJ2962" s="56"/>
      <c r="AK2962" s="56"/>
      <c r="AL2962" s="56"/>
      <c r="AM2962" s="56"/>
      <c r="AN2962" s="56"/>
      <c r="AO2962" s="56"/>
      <c r="AP2962" s="56"/>
      <c r="AQ2962" s="56"/>
      <c r="AR2962" s="56"/>
      <c r="AS2962" s="56"/>
      <c r="AT2962" s="56"/>
      <c r="AU2962" s="56"/>
      <c r="AV2962" s="56"/>
      <c r="AW2962" s="56"/>
      <c r="AX2962" s="56"/>
      <c r="AY2962" s="56"/>
      <c r="AZ2962" s="56"/>
      <c r="BA2962" s="56"/>
      <c r="BB2962" s="16"/>
      <c r="BC2962" s="56"/>
      <c r="BD2962" s="56"/>
      <c r="BE2962" s="56"/>
      <c r="BF2962" s="56"/>
      <c r="BG2962" s="56"/>
      <c r="BH2962" s="56"/>
      <c r="BI2962" s="56"/>
      <c r="BJ2962" s="56"/>
      <c r="BK2962" s="56"/>
      <c r="BL2962" s="56"/>
      <c r="BM2962" s="56"/>
      <c r="BN2962" s="56"/>
      <c r="BO2962" s="56"/>
      <c r="BP2962" s="56"/>
      <c r="BQ2962" s="56"/>
      <c r="BR2962" s="56"/>
      <c r="BS2962" s="56"/>
      <c r="BT2962" s="56"/>
      <c r="BU2962" s="56"/>
      <c r="BV2962" s="56"/>
      <c r="BW2962" s="56"/>
      <c r="BX2962" s="56"/>
      <c r="BY2962" s="56"/>
      <c r="BZ2962" s="56"/>
      <c r="CA2962" s="56"/>
      <c r="CB2962" s="56"/>
      <c r="CC2962" s="56"/>
      <c r="CD2962" s="56"/>
      <c r="CE2962" s="56"/>
      <c r="CF2962" s="56"/>
      <c r="CG2962" s="56"/>
      <c r="CH2962" s="56"/>
      <c r="CI2962" s="56"/>
      <c r="CJ2962" s="56"/>
      <c r="CK2962" s="56"/>
      <c r="CL2962" s="56"/>
      <c r="CM2962" s="56"/>
      <c r="CN2962" s="56"/>
      <c r="CO2962" s="56"/>
      <c r="CP2962" s="56"/>
      <c r="CQ2962" s="56"/>
      <c r="CR2962" s="56"/>
      <c r="CS2962" s="56"/>
      <c r="CT2962" s="56"/>
      <c r="CU2962" s="56"/>
      <c r="CV2962" s="56"/>
      <c r="CW2962" s="56"/>
      <c r="CX2962" s="56"/>
      <c r="CY2962" s="56"/>
      <c r="CZ2962" s="56"/>
    </row>
    <row r="2963" spans="27:104" s="5" customFormat="1" x14ac:dyDescent="0.25">
      <c r="AA2963" s="56"/>
      <c r="AB2963" s="56"/>
      <c r="AC2963" s="56"/>
      <c r="AD2963" s="56"/>
      <c r="AE2963" s="56"/>
      <c r="AF2963" s="56"/>
      <c r="AG2963" s="56"/>
      <c r="AH2963" s="56"/>
      <c r="AI2963" s="56"/>
      <c r="AJ2963" s="56"/>
      <c r="AK2963" s="56"/>
      <c r="AL2963" s="56"/>
      <c r="AM2963" s="56"/>
      <c r="AN2963" s="56"/>
      <c r="AO2963" s="56"/>
      <c r="AP2963" s="56"/>
      <c r="AQ2963" s="56"/>
      <c r="AR2963" s="56"/>
      <c r="AS2963" s="56"/>
      <c r="AT2963" s="56"/>
      <c r="AU2963" s="56"/>
      <c r="AV2963" s="56"/>
      <c r="AW2963" s="56"/>
      <c r="AX2963" s="56"/>
      <c r="AY2963" s="56"/>
      <c r="AZ2963" s="56"/>
      <c r="BA2963" s="56"/>
      <c r="BB2963" s="16"/>
      <c r="BC2963" s="56"/>
      <c r="BD2963" s="56"/>
      <c r="BE2963" s="56"/>
      <c r="BF2963" s="56"/>
      <c r="BG2963" s="56"/>
      <c r="BH2963" s="56"/>
      <c r="BI2963" s="56"/>
      <c r="BJ2963" s="56"/>
      <c r="BK2963" s="56"/>
      <c r="BL2963" s="56"/>
      <c r="BM2963" s="56"/>
      <c r="BN2963" s="56"/>
      <c r="BO2963" s="56"/>
      <c r="BP2963" s="56"/>
      <c r="BQ2963" s="56"/>
      <c r="BR2963" s="56"/>
      <c r="BS2963" s="56"/>
      <c r="BT2963" s="56"/>
      <c r="BU2963" s="56"/>
      <c r="BV2963" s="56"/>
      <c r="BW2963" s="56"/>
      <c r="BX2963" s="56"/>
      <c r="BY2963" s="56"/>
      <c r="BZ2963" s="56"/>
      <c r="CA2963" s="56"/>
      <c r="CB2963" s="56"/>
      <c r="CC2963" s="56"/>
      <c r="CD2963" s="56"/>
      <c r="CE2963" s="56"/>
      <c r="CF2963" s="56"/>
      <c r="CG2963" s="56"/>
      <c r="CH2963" s="56"/>
      <c r="CI2963" s="56"/>
      <c r="CJ2963" s="56"/>
      <c r="CK2963" s="56"/>
      <c r="CL2963" s="56"/>
      <c r="CM2963" s="56"/>
      <c r="CN2963" s="56"/>
      <c r="CO2963" s="56"/>
      <c r="CP2963" s="56"/>
      <c r="CQ2963" s="56"/>
      <c r="CR2963" s="56"/>
      <c r="CS2963" s="56"/>
      <c r="CT2963" s="56"/>
      <c r="CU2963" s="56"/>
      <c r="CV2963" s="56"/>
      <c r="CW2963" s="56"/>
      <c r="CX2963" s="56"/>
      <c r="CY2963" s="56"/>
      <c r="CZ2963" s="56"/>
    </row>
    <row r="2964" spans="27:104" s="5" customFormat="1" x14ac:dyDescent="0.25">
      <c r="AA2964" s="56"/>
      <c r="AB2964" s="56"/>
      <c r="AC2964" s="56"/>
      <c r="AD2964" s="56"/>
      <c r="AE2964" s="56"/>
      <c r="AF2964" s="56"/>
      <c r="AG2964" s="56"/>
      <c r="AH2964" s="56"/>
      <c r="AI2964" s="56"/>
      <c r="AJ2964" s="56"/>
      <c r="AK2964" s="56"/>
      <c r="AL2964" s="56"/>
      <c r="AM2964" s="56"/>
      <c r="AN2964" s="56"/>
      <c r="AO2964" s="56"/>
      <c r="AP2964" s="56"/>
      <c r="AQ2964" s="56"/>
      <c r="AR2964" s="56"/>
      <c r="AS2964" s="56"/>
      <c r="AT2964" s="56"/>
      <c r="AU2964" s="56"/>
      <c r="AV2964" s="56"/>
      <c r="AW2964" s="56"/>
      <c r="AX2964" s="56"/>
      <c r="AY2964" s="56"/>
      <c r="AZ2964" s="56"/>
      <c r="BA2964" s="56"/>
      <c r="BB2964" s="16"/>
      <c r="BC2964" s="56"/>
      <c r="BD2964" s="56"/>
      <c r="BE2964" s="56"/>
      <c r="BF2964" s="56"/>
      <c r="BG2964" s="56"/>
      <c r="BH2964" s="56"/>
      <c r="BI2964" s="56"/>
      <c r="BJ2964" s="56"/>
      <c r="BK2964" s="56"/>
      <c r="BL2964" s="56"/>
      <c r="BM2964" s="56"/>
      <c r="BN2964" s="56"/>
      <c r="BO2964" s="56"/>
      <c r="BP2964" s="56"/>
      <c r="BQ2964" s="56"/>
      <c r="BR2964" s="56"/>
      <c r="BS2964" s="56"/>
      <c r="BT2964" s="56"/>
      <c r="BU2964" s="56"/>
      <c r="BV2964" s="56"/>
      <c r="BW2964" s="56"/>
      <c r="BX2964" s="56"/>
      <c r="BY2964" s="56"/>
      <c r="BZ2964" s="56"/>
      <c r="CA2964" s="56"/>
      <c r="CB2964" s="56"/>
      <c r="CC2964" s="56"/>
      <c r="CD2964" s="56"/>
      <c r="CE2964" s="56"/>
      <c r="CF2964" s="56"/>
      <c r="CG2964" s="56"/>
      <c r="CH2964" s="56"/>
      <c r="CI2964" s="56"/>
      <c r="CJ2964" s="56"/>
      <c r="CK2964" s="56"/>
      <c r="CL2964" s="56"/>
      <c r="CM2964" s="56"/>
      <c r="CN2964" s="56"/>
      <c r="CO2964" s="56"/>
      <c r="CP2964" s="56"/>
      <c r="CQ2964" s="56"/>
      <c r="CR2964" s="56"/>
      <c r="CS2964" s="56"/>
      <c r="CT2964" s="56"/>
      <c r="CU2964" s="56"/>
      <c r="CV2964" s="56"/>
      <c r="CW2964" s="56"/>
      <c r="CX2964" s="56"/>
      <c r="CY2964" s="56"/>
      <c r="CZ2964" s="56"/>
    </row>
    <row r="2965" spans="27:104" s="5" customFormat="1" x14ac:dyDescent="0.25">
      <c r="AA2965" s="56"/>
      <c r="AB2965" s="56"/>
      <c r="AC2965" s="56"/>
      <c r="AD2965" s="56"/>
      <c r="AE2965" s="56"/>
      <c r="AF2965" s="56"/>
      <c r="AG2965" s="56"/>
      <c r="AH2965" s="56"/>
      <c r="AI2965" s="56"/>
      <c r="AJ2965" s="56"/>
      <c r="AK2965" s="56"/>
      <c r="AL2965" s="56"/>
      <c r="AM2965" s="56"/>
      <c r="AN2965" s="56"/>
      <c r="AO2965" s="56"/>
      <c r="AP2965" s="56"/>
      <c r="AQ2965" s="56"/>
      <c r="AR2965" s="56"/>
      <c r="AS2965" s="56"/>
      <c r="AT2965" s="56"/>
      <c r="AU2965" s="56"/>
      <c r="AV2965" s="56"/>
      <c r="AW2965" s="56"/>
      <c r="AX2965" s="56"/>
      <c r="AY2965" s="56"/>
      <c r="AZ2965" s="56"/>
      <c r="BA2965" s="56"/>
      <c r="BB2965" s="16"/>
      <c r="BC2965" s="56"/>
      <c r="BD2965" s="56"/>
      <c r="BE2965" s="56"/>
      <c r="BF2965" s="56"/>
      <c r="BG2965" s="56"/>
      <c r="BH2965" s="56"/>
      <c r="BI2965" s="56"/>
      <c r="BJ2965" s="56"/>
      <c r="BK2965" s="56"/>
      <c r="BL2965" s="56"/>
      <c r="BM2965" s="56"/>
      <c r="BN2965" s="56"/>
      <c r="BO2965" s="56"/>
      <c r="BP2965" s="56"/>
      <c r="BQ2965" s="56"/>
      <c r="BR2965" s="56"/>
      <c r="BS2965" s="56"/>
      <c r="BT2965" s="56"/>
      <c r="BU2965" s="56"/>
      <c r="BV2965" s="56"/>
      <c r="BW2965" s="56"/>
      <c r="BX2965" s="56"/>
      <c r="BY2965" s="56"/>
      <c r="BZ2965" s="56"/>
      <c r="CA2965" s="56"/>
      <c r="CB2965" s="56"/>
      <c r="CC2965" s="56"/>
      <c r="CD2965" s="56"/>
      <c r="CE2965" s="56"/>
      <c r="CF2965" s="56"/>
      <c r="CG2965" s="56"/>
      <c r="CH2965" s="56"/>
      <c r="CI2965" s="56"/>
      <c r="CJ2965" s="56"/>
      <c r="CK2965" s="56"/>
      <c r="CL2965" s="56"/>
      <c r="CM2965" s="56"/>
      <c r="CN2965" s="56"/>
      <c r="CO2965" s="56"/>
      <c r="CP2965" s="56"/>
      <c r="CQ2965" s="56"/>
      <c r="CR2965" s="56"/>
      <c r="CS2965" s="56"/>
      <c r="CT2965" s="56"/>
      <c r="CU2965" s="56"/>
      <c r="CV2965" s="56"/>
      <c r="CW2965" s="56"/>
      <c r="CX2965" s="56"/>
      <c r="CY2965" s="56"/>
      <c r="CZ2965" s="56"/>
    </row>
    <row r="2966" spans="27:104" s="5" customFormat="1" x14ac:dyDescent="0.25">
      <c r="AA2966" s="56"/>
      <c r="AB2966" s="56"/>
      <c r="AC2966" s="56"/>
      <c r="AD2966" s="56"/>
      <c r="AE2966" s="56"/>
      <c r="AF2966" s="56"/>
      <c r="AG2966" s="56"/>
      <c r="AH2966" s="56"/>
      <c r="AI2966" s="56"/>
      <c r="AJ2966" s="56"/>
      <c r="AK2966" s="56"/>
      <c r="AL2966" s="56"/>
      <c r="AM2966" s="56"/>
      <c r="AN2966" s="56"/>
      <c r="AO2966" s="56"/>
      <c r="AP2966" s="56"/>
      <c r="AQ2966" s="56"/>
      <c r="AR2966" s="56"/>
      <c r="AS2966" s="56"/>
      <c r="AT2966" s="56"/>
      <c r="AU2966" s="56"/>
      <c r="AV2966" s="56"/>
      <c r="AW2966" s="56"/>
      <c r="AX2966" s="56"/>
      <c r="AY2966" s="56"/>
      <c r="AZ2966" s="56"/>
      <c r="BA2966" s="56"/>
      <c r="BB2966" s="16"/>
      <c r="BC2966" s="56"/>
      <c r="BD2966" s="56"/>
      <c r="BE2966" s="56"/>
      <c r="BF2966" s="56"/>
      <c r="BG2966" s="56"/>
      <c r="BH2966" s="56"/>
      <c r="BI2966" s="56"/>
      <c r="BJ2966" s="56"/>
      <c r="BK2966" s="56"/>
      <c r="BL2966" s="56"/>
      <c r="BM2966" s="56"/>
      <c r="BN2966" s="56"/>
      <c r="BO2966" s="56"/>
      <c r="BP2966" s="56"/>
      <c r="BQ2966" s="56"/>
      <c r="BR2966" s="56"/>
      <c r="BS2966" s="56"/>
      <c r="BT2966" s="56"/>
      <c r="BU2966" s="56"/>
      <c r="BV2966" s="56"/>
      <c r="BW2966" s="56"/>
      <c r="BX2966" s="56"/>
      <c r="BY2966" s="56"/>
      <c r="BZ2966" s="56"/>
      <c r="CA2966" s="56"/>
      <c r="CB2966" s="56"/>
      <c r="CC2966" s="56"/>
      <c r="CD2966" s="56"/>
      <c r="CE2966" s="56"/>
      <c r="CF2966" s="56"/>
      <c r="CG2966" s="56"/>
      <c r="CH2966" s="56"/>
      <c r="CI2966" s="56"/>
      <c r="CJ2966" s="56"/>
      <c r="CK2966" s="56"/>
      <c r="CL2966" s="56"/>
      <c r="CM2966" s="56"/>
      <c r="CN2966" s="56"/>
      <c r="CO2966" s="56"/>
      <c r="CP2966" s="56"/>
      <c r="CQ2966" s="56"/>
      <c r="CR2966" s="56"/>
      <c r="CS2966" s="56"/>
      <c r="CT2966" s="56"/>
      <c r="CU2966" s="56"/>
      <c r="CV2966" s="56"/>
      <c r="CW2966" s="56"/>
      <c r="CX2966" s="56"/>
      <c r="CY2966" s="56"/>
      <c r="CZ2966" s="56"/>
    </row>
    <row r="2967" spans="27:104" s="5" customFormat="1" x14ac:dyDescent="0.25">
      <c r="AA2967" s="56"/>
      <c r="AB2967" s="56"/>
      <c r="AC2967" s="56"/>
      <c r="AD2967" s="56"/>
      <c r="AE2967" s="56"/>
      <c r="AF2967" s="56"/>
      <c r="AG2967" s="56"/>
      <c r="AH2967" s="56"/>
      <c r="AI2967" s="56"/>
      <c r="AJ2967" s="56"/>
      <c r="AK2967" s="56"/>
      <c r="AL2967" s="56"/>
      <c r="AM2967" s="56"/>
      <c r="AN2967" s="56"/>
      <c r="AO2967" s="56"/>
      <c r="AP2967" s="56"/>
      <c r="AQ2967" s="56"/>
      <c r="AR2967" s="56"/>
      <c r="AS2967" s="56"/>
      <c r="AT2967" s="56"/>
      <c r="AU2967" s="56"/>
      <c r="AV2967" s="56"/>
      <c r="AW2967" s="56"/>
      <c r="AX2967" s="56"/>
      <c r="AY2967" s="56"/>
      <c r="AZ2967" s="56"/>
      <c r="BA2967" s="56"/>
      <c r="BB2967" s="16"/>
      <c r="BC2967" s="56"/>
      <c r="BD2967" s="56"/>
      <c r="BE2967" s="56"/>
      <c r="BF2967" s="56"/>
      <c r="BG2967" s="56"/>
      <c r="BH2967" s="56"/>
      <c r="BI2967" s="56"/>
      <c r="BJ2967" s="56"/>
      <c r="BK2967" s="56"/>
      <c r="BL2967" s="56"/>
      <c r="BM2967" s="56"/>
      <c r="BN2967" s="56"/>
      <c r="BO2967" s="56"/>
      <c r="BP2967" s="56"/>
      <c r="BQ2967" s="56"/>
      <c r="BR2967" s="56"/>
      <c r="BS2967" s="56"/>
      <c r="BT2967" s="56"/>
      <c r="BU2967" s="56"/>
      <c r="BV2967" s="56"/>
      <c r="BW2967" s="56"/>
      <c r="BX2967" s="56"/>
      <c r="BY2967" s="56"/>
      <c r="BZ2967" s="56"/>
      <c r="CA2967" s="56"/>
      <c r="CB2967" s="56"/>
      <c r="CC2967" s="56"/>
      <c r="CD2967" s="56"/>
      <c r="CE2967" s="56"/>
      <c r="CF2967" s="56"/>
      <c r="CG2967" s="56"/>
      <c r="CH2967" s="56"/>
      <c r="CI2967" s="56"/>
      <c r="CJ2967" s="56"/>
      <c r="CK2967" s="56"/>
      <c r="CL2967" s="56"/>
      <c r="CM2967" s="56"/>
      <c r="CN2967" s="56"/>
      <c r="CO2967" s="56"/>
      <c r="CP2967" s="56"/>
      <c r="CQ2967" s="56"/>
      <c r="CR2967" s="56"/>
      <c r="CS2967" s="56"/>
      <c r="CT2967" s="56"/>
      <c r="CU2967" s="56"/>
      <c r="CV2967" s="56"/>
      <c r="CW2967" s="56"/>
      <c r="CX2967" s="56"/>
      <c r="CY2967" s="56"/>
      <c r="CZ2967" s="56"/>
    </row>
    <row r="2968" spans="27:104" s="5" customFormat="1" x14ac:dyDescent="0.25">
      <c r="AA2968" s="56"/>
      <c r="AB2968" s="56"/>
      <c r="AC2968" s="56"/>
      <c r="AD2968" s="56"/>
      <c r="AE2968" s="56"/>
      <c r="AF2968" s="56"/>
      <c r="AG2968" s="56"/>
      <c r="AH2968" s="56"/>
      <c r="AI2968" s="56"/>
      <c r="AJ2968" s="56"/>
      <c r="AK2968" s="56"/>
      <c r="AL2968" s="56"/>
      <c r="AM2968" s="56"/>
      <c r="AN2968" s="56"/>
      <c r="AO2968" s="56"/>
      <c r="AP2968" s="56"/>
      <c r="AQ2968" s="56"/>
      <c r="AR2968" s="56"/>
      <c r="AS2968" s="56"/>
      <c r="AT2968" s="56"/>
      <c r="AU2968" s="56"/>
      <c r="AV2968" s="56"/>
      <c r="AW2968" s="56"/>
      <c r="AX2968" s="56"/>
      <c r="AY2968" s="56"/>
      <c r="AZ2968" s="56"/>
      <c r="BA2968" s="56"/>
      <c r="BB2968" s="16"/>
      <c r="BC2968" s="56"/>
      <c r="BD2968" s="56"/>
      <c r="BE2968" s="56"/>
      <c r="BF2968" s="56"/>
      <c r="BG2968" s="56"/>
      <c r="BH2968" s="56"/>
      <c r="BI2968" s="56"/>
      <c r="BJ2968" s="56"/>
      <c r="BK2968" s="56"/>
      <c r="BL2968" s="56"/>
      <c r="BM2968" s="56"/>
      <c r="BN2968" s="56"/>
      <c r="BO2968" s="56"/>
      <c r="BP2968" s="56"/>
      <c r="BQ2968" s="56"/>
      <c r="BR2968" s="56"/>
      <c r="BS2968" s="56"/>
      <c r="BT2968" s="56"/>
      <c r="BU2968" s="56"/>
      <c r="BV2968" s="56"/>
      <c r="BW2968" s="56"/>
      <c r="BX2968" s="56"/>
      <c r="BY2968" s="56"/>
      <c r="BZ2968" s="56"/>
      <c r="CA2968" s="56"/>
      <c r="CB2968" s="56"/>
      <c r="CC2968" s="56"/>
      <c r="CD2968" s="56"/>
      <c r="CE2968" s="56"/>
      <c r="CF2968" s="56"/>
      <c r="CG2968" s="56"/>
      <c r="CH2968" s="56"/>
      <c r="CI2968" s="56"/>
      <c r="CJ2968" s="56"/>
      <c r="CK2968" s="56"/>
      <c r="CL2968" s="56"/>
      <c r="CM2968" s="56"/>
      <c r="CN2968" s="56"/>
      <c r="CO2968" s="56"/>
      <c r="CP2968" s="56"/>
      <c r="CQ2968" s="56"/>
      <c r="CR2968" s="56"/>
      <c r="CS2968" s="56"/>
      <c r="CT2968" s="56"/>
      <c r="CU2968" s="56"/>
      <c r="CV2968" s="56"/>
      <c r="CW2968" s="56"/>
      <c r="CX2968" s="56"/>
      <c r="CY2968" s="56"/>
      <c r="CZ2968" s="56"/>
    </row>
    <row r="2969" spans="27:104" s="5" customFormat="1" x14ac:dyDescent="0.25">
      <c r="AA2969" s="56"/>
      <c r="AB2969" s="56"/>
      <c r="AC2969" s="56"/>
      <c r="AD2969" s="56"/>
      <c r="AE2969" s="56"/>
      <c r="AF2969" s="56"/>
      <c r="AG2969" s="56"/>
      <c r="AH2969" s="56"/>
      <c r="AI2969" s="56"/>
      <c r="AJ2969" s="56"/>
      <c r="AK2969" s="56"/>
      <c r="AL2969" s="56"/>
      <c r="AM2969" s="56"/>
      <c r="AN2969" s="56"/>
      <c r="AO2969" s="56"/>
      <c r="AP2969" s="56"/>
      <c r="AQ2969" s="56"/>
      <c r="AR2969" s="56"/>
      <c r="AS2969" s="56"/>
      <c r="AT2969" s="56"/>
      <c r="AU2969" s="56"/>
      <c r="AV2969" s="56"/>
      <c r="AW2969" s="56"/>
      <c r="AX2969" s="56"/>
      <c r="AY2969" s="56"/>
      <c r="AZ2969" s="56"/>
      <c r="BA2969" s="56"/>
      <c r="BB2969" s="16"/>
      <c r="BC2969" s="56"/>
      <c r="BD2969" s="56"/>
      <c r="BE2969" s="56"/>
      <c r="BF2969" s="56"/>
      <c r="BG2969" s="56"/>
      <c r="BH2969" s="56"/>
      <c r="BI2969" s="56"/>
      <c r="BJ2969" s="56"/>
      <c r="BK2969" s="56"/>
      <c r="BL2969" s="56"/>
      <c r="BM2969" s="56"/>
      <c r="BN2969" s="56"/>
      <c r="BO2969" s="56"/>
      <c r="BP2969" s="56"/>
      <c r="BQ2969" s="56"/>
      <c r="BR2969" s="56"/>
      <c r="BS2969" s="56"/>
      <c r="BT2969" s="56"/>
      <c r="BU2969" s="56"/>
      <c r="BV2969" s="56"/>
      <c r="BW2969" s="56"/>
      <c r="BX2969" s="56"/>
      <c r="BY2969" s="56"/>
      <c r="BZ2969" s="56"/>
      <c r="CA2969" s="56"/>
      <c r="CB2969" s="56"/>
      <c r="CC2969" s="56"/>
      <c r="CD2969" s="56"/>
      <c r="CE2969" s="56"/>
      <c r="CF2969" s="56"/>
      <c r="CG2969" s="56"/>
      <c r="CH2969" s="56"/>
      <c r="CI2969" s="56"/>
      <c r="CJ2969" s="56"/>
      <c r="CK2969" s="56"/>
      <c r="CL2969" s="56"/>
      <c r="CM2969" s="56"/>
      <c r="CN2969" s="56"/>
      <c r="CO2969" s="56"/>
      <c r="CP2969" s="56"/>
      <c r="CQ2969" s="56"/>
      <c r="CR2969" s="56"/>
      <c r="CS2969" s="56"/>
      <c r="CT2969" s="56"/>
      <c r="CU2969" s="56"/>
      <c r="CV2969" s="56"/>
      <c r="CW2969" s="56"/>
      <c r="CX2969" s="56"/>
      <c r="CY2969" s="56"/>
      <c r="CZ2969" s="56"/>
    </row>
    <row r="2970" spans="27:104" s="5" customFormat="1" x14ac:dyDescent="0.25">
      <c r="AA2970" s="56"/>
      <c r="AB2970" s="56"/>
      <c r="AC2970" s="56"/>
      <c r="AD2970" s="56"/>
      <c r="AE2970" s="56"/>
      <c r="AF2970" s="56"/>
      <c r="AG2970" s="56"/>
      <c r="AH2970" s="56"/>
      <c r="AI2970" s="56"/>
      <c r="AJ2970" s="56"/>
      <c r="AK2970" s="56"/>
      <c r="AL2970" s="56"/>
      <c r="AM2970" s="56"/>
      <c r="AN2970" s="56"/>
      <c r="AO2970" s="56"/>
      <c r="AP2970" s="56"/>
      <c r="AQ2970" s="56"/>
      <c r="AR2970" s="56"/>
      <c r="AS2970" s="56"/>
      <c r="AT2970" s="56"/>
      <c r="AU2970" s="56"/>
      <c r="AV2970" s="56"/>
      <c r="AW2970" s="56"/>
      <c r="AX2970" s="56"/>
      <c r="AY2970" s="56"/>
      <c r="AZ2970" s="56"/>
      <c r="BA2970" s="56"/>
      <c r="BB2970" s="16"/>
      <c r="BC2970" s="56"/>
      <c r="BD2970" s="56"/>
      <c r="BE2970" s="56"/>
      <c r="BF2970" s="56"/>
      <c r="BG2970" s="56"/>
      <c r="BH2970" s="56"/>
      <c r="BI2970" s="56"/>
      <c r="BJ2970" s="56"/>
      <c r="BK2970" s="56"/>
      <c r="BL2970" s="56"/>
      <c r="BM2970" s="56"/>
      <c r="BN2970" s="56"/>
      <c r="BO2970" s="56"/>
      <c r="BP2970" s="56"/>
      <c r="BQ2970" s="56"/>
      <c r="BR2970" s="56"/>
      <c r="BS2970" s="56"/>
      <c r="BT2970" s="56"/>
      <c r="BU2970" s="56"/>
      <c r="BV2970" s="56"/>
      <c r="BW2970" s="56"/>
      <c r="BX2970" s="56"/>
      <c r="BY2970" s="56"/>
      <c r="BZ2970" s="56"/>
      <c r="CA2970" s="56"/>
      <c r="CB2970" s="56"/>
      <c r="CC2970" s="56"/>
      <c r="CD2970" s="56"/>
      <c r="CE2970" s="56"/>
      <c r="CF2970" s="56"/>
      <c r="CG2970" s="56"/>
      <c r="CH2970" s="56"/>
      <c r="CI2970" s="56"/>
      <c r="CJ2970" s="56"/>
      <c r="CK2970" s="56"/>
      <c r="CL2970" s="56"/>
      <c r="CM2970" s="56"/>
      <c r="CN2970" s="56"/>
      <c r="CO2970" s="56"/>
      <c r="CP2970" s="56"/>
      <c r="CQ2970" s="56"/>
      <c r="CR2970" s="56"/>
      <c r="CS2970" s="56"/>
      <c r="CT2970" s="56"/>
      <c r="CU2970" s="56"/>
      <c r="CV2970" s="56"/>
      <c r="CW2970" s="56"/>
      <c r="CX2970" s="56"/>
      <c r="CY2970" s="56"/>
      <c r="CZ2970" s="56"/>
    </row>
    <row r="2971" spans="27:104" s="5" customFormat="1" x14ac:dyDescent="0.25">
      <c r="AA2971" s="56"/>
      <c r="AB2971" s="56"/>
      <c r="AC2971" s="56"/>
      <c r="AD2971" s="56"/>
      <c r="AE2971" s="56"/>
      <c r="AF2971" s="56"/>
      <c r="AG2971" s="56"/>
      <c r="AH2971" s="56"/>
      <c r="AI2971" s="56"/>
      <c r="AJ2971" s="56"/>
      <c r="AK2971" s="56"/>
      <c r="AL2971" s="56"/>
      <c r="AM2971" s="56"/>
      <c r="AN2971" s="56"/>
      <c r="AO2971" s="56"/>
      <c r="AP2971" s="56"/>
      <c r="AQ2971" s="56"/>
      <c r="AR2971" s="56"/>
      <c r="AS2971" s="56"/>
      <c r="AT2971" s="56"/>
      <c r="AU2971" s="56"/>
      <c r="AV2971" s="56"/>
      <c r="AW2971" s="56"/>
      <c r="AX2971" s="56"/>
      <c r="AY2971" s="56"/>
      <c r="AZ2971" s="56"/>
      <c r="BA2971" s="56"/>
      <c r="BB2971" s="16"/>
      <c r="BC2971" s="56"/>
      <c r="BD2971" s="56"/>
      <c r="BE2971" s="56"/>
      <c r="BF2971" s="56"/>
      <c r="BG2971" s="56"/>
      <c r="BH2971" s="56"/>
      <c r="BI2971" s="56"/>
      <c r="BJ2971" s="56"/>
      <c r="BK2971" s="56"/>
      <c r="BL2971" s="56"/>
      <c r="BM2971" s="56"/>
      <c r="BN2971" s="56"/>
      <c r="BO2971" s="56"/>
      <c r="BP2971" s="56"/>
      <c r="BQ2971" s="56"/>
      <c r="BR2971" s="56"/>
      <c r="BS2971" s="56"/>
      <c r="BT2971" s="56"/>
      <c r="BU2971" s="56"/>
      <c r="BV2971" s="56"/>
      <c r="BW2971" s="56"/>
      <c r="BX2971" s="56"/>
      <c r="BY2971" s="56"/>
      <c r="BZ2971" s="56"/>
      <c r="CA2971" s="56"/>
      <c r="CB2971" s="56"/>
      <c r="CC2971" s="56"/>
      <c r="CD2971" s="56"/>
      <c r="CE2971" s="56"/>
      <c r="CF2971" s="56"/>
      <c r="CG2971" s="56"/>
      <c r="CH2971" s="56"/>
      <c r="CI2971" s="56"/>
      <c r="CJ2971" s="56"/>
      <c r="CK2971" s="56"/>
      <c r="CL2971" s="56"/>
      <c r="CM2971" s="56"/>
      <c r="CN2971" s="56"/>
      <c r="CO2971" s="56"/>
      <c r="CP2971" s="56"/>
      <c r="CQ2971" s="56"/>
      <c r="CR2971" s="56"/>
      <c r="CS2971" s="56"/>
      <c r="CT2971" s="56"/>
      <c r="CU2971" s="56"/>
      <c r="CV2971" s="56"/>
      <c r="CW2971" s="56"/>
      <c r="CX2971" s="56"/>
      <c r="CY2971" s="56"/>
      <c r="CZ2971" s="56"/>
    </row>
    <row r="2972" spans="27:104" s="5" customFormat="1" x14ac:dyDescent="0.25">
      <c r="AA2972" s="56"/>
      <c r="AB2972" s="56"/>
      <c r="AC2972" s="56"/>
      <c r="AD2972" s="56"/>
      <c r="AE2972" s="56"/>
      <c r="AF2972" s="56"/>
      <c r="AG2972" s="56"/>
      <c r="AH2972" s="56"/>
      <c r="AI2972" s="56"/>
      <c r="AJ2972" s="56"/>
      <c r="AK2972" s="56"/>
      <c r="AL2972" s="56"/>
      <c r="AM2972" s="56"/>
      <c r="AN2972" s="56"/>
      <c r="AO2972" s="56"/>
      <c r="AP2972" s="56"/>
      <c r="AQ2972" s="56"/>
      <c r="AR2972" s="56"/>
      <c r="AS2972" s="56"/>
      <c r="AT2972" s="56"/>
      <c r="AU2972" s="56"/>
      <c r="AV2972" s="56"/>
      <c r="AW2972" s="56"/>
      <c r="AX2972" s="56"/>
      <c r="AY2972" s="56"/>
      <c r="AZ2972" s="56"/>
      <c r="BA2972" s="56"/>
      <c r="BB2972" s="16"/>
      <c r="BC2972" s="56"/>
      <c r="BD2972" s="56"/>
      <c r="BE2972" s="56"/>
      <c r="BF2972" s="56"/>
      <c r="BG2972" s="56"/>
      <c r="BH2972" s="56"/>
      <c r="BI2972" s="56"/>
      <c r="BJ2972" s="56"/>
      <c r="BK2972" s="56"/>
      <c r="BL2972" s="56"/>
      <c r="BM2972" s="56"/>
      <c r="BN2972" s="56"/>
      <c r="BO2972" s="56"/>
      <c r="BP2972" s="56"/>
      <c r="BQ2972" s="56"/>
      <c r="BR2972" s="56"/>
      <c r="BS2972" s="56"/>
      <c r="BT2972" s="56"/>
      <c r="BU2972" s="56"/>
      <c r="BV2972" s="56"/>
      <c r="BW2972" s="56"/>
      <c r="BX2972" s="56"/>
      <c r="BY2972" s="56"/>
      <c r="BZ2972" s="56"/>
      <c r="CA2972" s="56"/>
      <c r="CB2972" s="56"/>
      <c r="CC2972" s="56"/>
      <c r="CD2972" s="56"/>
      <c r="CE2972" s="56"/>
      <c r="CF2972" s="56"/>
      <c r="CG2972" s="56"/>
      <c r="CH2972" s="56"/>
      <c r="CI2972" s="56"/>
      <c r="CJ2972" s="56"/>
      <c r="CK2972" s="56"/>
      <c r="CL2972" s="56"/>
      <c r="CM2972" s="56"/>
      <c r="CN2972" s="56"/>
      <c r="CO2972" s="56"/>
      <c r="CP2972" s="56"/>
      <c r="CQ2972" s="56"/>
      <c r="CR2972" s="56"/>
      <c r="CS2972" s="56"/>
      <c r="CT2972" s="56"/>
      <c r="CU2972" s="56"/>
      <c r="CV2972" s="56"/>
      <c r="CW2972" s="56"/>
      <c r="CX2972" s="56"/>
      <c r="CY2972" s="56"/>
      <c r="CZ2972" s="56"/>
    </row>
    <row r="2973" spans="27:104" s="5" customFormat="1" x14ac:dyDescent="0.25">
      <c r="AA2973" s="56"/>
      <c r="AB2973" s="56"/>
      <c r="AC2973" s="56"/>
      <c r="AD2973" s="56"/>
      <c r="AE2973" s="56"/>
      <c r="AF2973" s="56"/>
      <c r="AG2973" s="56"/>
      <c r="AH2973" s="56"/>
      <c r="AI2973" s="56"/>
      <c r="AJ2973" s="56"/>
      <c r="AK2973" s="56"/>
      <c r="AL2973" s="56"/>
      <c r="AM2973" s="56"/>
      <c r="AN2973" s="56"/>
      <c r="AO2973" s="56"/>
      <c r="AP2973" s="56"/>
      <c r="AQ2973" s="56"/>
      <c r="AR2973" s="56"/>
      <c r="AS2973" s="56"/>
      <c r="AT2973" s="56"/>
      <c r="AU2973" s="56"/>
      <c r="AV2973" s="56"/>
      <c r="AW2973" s="56"/>
      <c r="AX2973" s="56"/>
      <c r="AY2973" s="56"/>
      <c r="AZ2973" s="56"/>
      <c r="BA2973" s="56"/>
      <c r="BB2973" s="16"/>
      <c r="BC2973" s="56"/>
      <c r="BD2973" s="56"/>
      <c r="BE2973" s="56"/>
      <c r="BF2973" s="56"/>
      <c r="BG2973" s="56"/>
      <c r="BH2973" s="56"/>
      <c r="BI2973" s="56"/>
      <c r="BJ2973" s="56"/>
      <c r="BK2973" s="56"/>
      <c r="BL2973" s="56"/>
      <c r="BM2973" s="56"/>
      <c r="BN2973" s="56"/>
      <c r="BO2973" s="56"/>
      <c r="BP2973" s="56"/>
      <c r="BQ2973" s="56"/>
      <c r="BR2973" s="56"/>
      <c r="BS2973" s="56"/>
      <c r="BT2973" s="56"/>
      <c r="BU2973" s="56"/>
      <c r="BV2973" s="56"/>
      <c r="BW2973" s="56"/>
      <c r="BX2973" s="56"/>
      <c r="BY2973" s="56"/>
      <c r="BZ2973" s="56"/>
      <c r="CA2973" s="56"/>
      <c r="CB2973" s="56"/>
      <c r="CC2973" s="56"/>
      <c r="CD2973" s="56"/>
      <c r="CE2973" s="56"/>
      <c r="CF2973" s="56"/>
      <c r="CG2973" s="56"/>
      <c r="CH2973" s="56"/>
      <c r="CI2973" s="56"/>
      <c r="CJ2973" s="56"/>
      <c r="CK2973" s="56"/>
      <c r="CL2973" s="56"/>
      <c r="CM2973" s="56"/>
      <c r="CN2973" s="56"/>
      <c r="CO2973" s="56"/>
      <c r="CP2973" s="56"/>
      <c r="CQ2973" s="56"/>
      <c r="CR2973" s="56"/>
      <c r="CS2973" s="56"/>
      <c r="CT2973" s="56"/>
      <c r="CU2973" s="56"/>
      <c r="CV2973" s="56"/>
      <c r="CW2973" s="56"/>
      <c r="CX2973" s="56"/>
      <c r="CY2973" s="56"/>
      <c r="CZ2973" s="56"/>
    </row>
    <row r="2974" spans="27:104" s="5" customFormat="1" x14ac:dyDescent="0.25">
      <c r="AA2974" s="56"/>
      <c r="AB2974" s="56"/>
      <c r="AC2974" s="56"/>
      <c r="AD2974" s="56"/>
      <c r="AE2974" s="56"/>
      <c r="AF2974" s="56"/>
      <c r="AG2974" s="56"/>
      <c r="AH2974" s="56"/>
      <c r="AI2974" s="56"/>
      <c r="AJ2974" s="56"/>
      <c r="AK2974" s="56"/>
      <c r="AL2974" s="56"/>
      <c r="AM2974" s="56"/>
      <c r="AN2974" s="56"/>
      <c r="AO2974" s="56"/>
      <c r="AP2974" s="56"/>
      <c r="AQ2974" s="56"/>
      <c r="AR2974" s="56"/>
      <c r="AS2974" s="56"/>
      <c r="AT2974" s="56"/>
      <c r="AU2974" s="56"/>
      <c r="AV2974" s="56"/>
      <c r="AW2974" s="56"/>
      <c r="AX2974" s="56"/>
      <c r="AY2974" s="56"/>
      <c r="AZ2974" s="56"/>
      <c r="BA2974" s="56"/>
      <c r="BB2974" s="16"/>
      <c r="BC2974" s="56"/>
      <c r="BD2974" s="56"/>
      <c r="BE2974" s="56"/>
      <c r="BF2974" s="56"/>
      <c r="BG2974" s="56"/>
      <c r="BH2974" s="56"/>
      <c r="BI2974" s="56"/>
      <c r="BJ2974" s="56"/>
      <c r="BK2974" s="56"/>
      <c r="BL2974" s="56"/>
      <c r="BM2974" s="56"/>
      <c r="BN2974" s="56"/>
      <c r="BO2974" s="56"/>
      <c r="BP2974" s="56"/>
      <c r="BQ2974" s="56"/>
      <c r="BR2974" s="56"/>
      <c r="BS2974" s="56"/>
      <c r="BT2974" s="56"/>
      <c r="BU2974" s="56"/>
      <c r="BV2974" s="56"/>
      <c r="BW2974" s="56"/>
      <c r="BX2974" s="56"/>
      <c r="BY2974" s="56"/>
      <c r="BZ2974" s="56"/>
      <c r="CA2974" s="56"/>
      <c r="CB2974" s="56"/>
      <c r="CC2974" s="56"/>
      <c r="CD2974" s="56"/>
      <c r="CE2974" s="56"/>
      <c r="CF2974" s="56"/>
      <c r="CG2974" s="56"/>
      <c r="CH2974" s="56"/>
      <c r="CI2974" s="56"/>
      <c r="CJ2974" s="56"/>
      <c r="CK2974" s="56"/>
      <c r="CL2974" s="56"/>
      <c r="CM2974" s="56"/>
      <c r="CN2974" s="56"/>
      <c r="CO2974" s="56"/>
      <c r="CP2974" s="56"/>
      <c r="CQ2974" s="56"/>
      <c r="CR2974" s="56"/>
      <c r="CS2974" s="56"/>
      <c r="CT2974" s="56"/>
      <c r="CU2974" s="56"/>
      <c r="CV2974" s="56"/>
      <c r="CW2974" s="56"/>
      <c r="CX2974" s="56"/>
      <c r="CY2974" s="56"/>
      <c r="CZ2974" s="56"/>
    </row>
    <row r="2975" spans="27:104" s="5" customFormat="1" x14ac:dyDescent="0.25">
      <c r="AA2975" s="56"/>
      <c r="AB2975" s="56"/>
      <c r="AC2975" s="56"/>
      <c r="AD2975" s="56"/>
      <c r="AE2975" s="56"/>
      <c r="AF2975" s="56"/>
      <c r="AG2975" s="56"/>
      <c r="AH2975" s="56"/>
      <c r="AI2975" s="56"/>
      <c r="AJ2975" s="56"/>
      <c r="AK2975" s="56"/>
      <c r="AL2975" s="56"/>
      <c r="AM2975" s="56"/>
      <c r="AN2975" s="56"/>
      <c r="AO2975" s="56"/>
      <c r="AP2975" s="56"/>
      <c r="AQ2975" s="56"/>
      <c r="AR2975" s="56"/>
      <c r="AS2975" s="56"/>
      <c r="AT2975" s="56"/>
      <c r="AU2975" s="56"/>
      <c r="AV2975" s="56"/>
      <c r="AW2975" s="56"/>
      <c r="AX2975" s="56"/>
      <c r="AY2975" s="56"/>
      <c r="AZ2975" s="56"/>
      <c r="BA2975" s="56"/>
      <c r="BB2975" s="16"/>
      <c r="BC2975" s="56"/>
      <c r="BD2975" s="56"/>
      <c r="BE2975" s="56"/>
      <c r="BF2975" s="56"/>
      <c r="BG2975" s="56"/>
      <c r="BH2975" s="56"/>
      <c r="BI2975" s="56"/>
      <c r="BJ2975" s="56"/>
      <c r="BK2975" s="56"/>
      <c r="BL2975" s="56"/>
      <c r="BM2975" s="56"/>
      <c r="BN2975" s="56"/>
      <c r="BO2975" s="56"/>
      <c r="BP2975" s="56"/>
      <c r="BQ2975" s="56"/>
      <c r="BR2975" s="56"/>
      <c r="BS2975" s="56"/>
      <c r="BT2975" s="56"/>
      <c r="BU2975" s="56"/>
      <c r="BV2975" s="56"/>
      <c r="BW2975" s="56"/>
      <c r="BX2975" s="56"/>
      <c r="BY2975" s="56"/>
      <c r="BZ2975" s="56"/>
      <c r="CA2975" s="56"/>
      <c r="CB2975" s="56"/>
      <c r="CC2975" s="56"/>
      <c r="CD2975" s="56"/>
      <c r="CE2975" s="56"/>
      <c r="CF2975" s="56"/>
      <c r="CG2975" s="56"/>
      <c r="CH2975" s="56"/>
      <c r="CI2975" s="56"/>
      <c r="CJ2975" s="56"/>
      <c r="CK2975" s="56"/>
      <c r="CL2975" s="56"/>
      <c r="CM2975" s="56"/>
      <c r="CN2975" s="56"/>
      <c r="CO2975" s="56"/>
      <c r="CP2975" s="56"/>
      <c r="CQ2975" s="56"/>
      <c r="CR2975" s="56"/>
      <c r="CS2975" s="56"/>
      <c r="CT2975" s="56"/>
      <c r="CU2975" s="56"/>
      <c r="CV2975" s="56"/>
      <c r="CW2975" s="56"/>
      <c r="CX2975" s="56"/>
      <c r="CY2975" s="56"/>
      <c r="CZ2975" s="56"/>
    </row>
    <row r="2976" spans="27:104" s="5" customFormat="1" x14ac:dyDescent="0.25">
      <c r="AA2976" s="56"/>
      <c r="AB2976" s="56"/>
      <c r="AC2976" s="56"/>
      <c r="AD2976" s="56"/>
      <c r="AE2976" s="56"/>
      <c r="AF2976" s="56"/>
      <c r="AG2976" s="56"/>
      <c r="AH2976" s="56"/>
      <c r="AI2976" s="56"/>
      <c r="AJ2976" s="56"/>
      <c r="AK2976" s="56"/>
      <c r="AL2976" s="56"/>
      <c r="AM2976" s="56"/>
      <c r="AN2976" s="56"/>
      <c r="AO2976" s="56"/>
      <c r="AP2976" s="56"/>
      <c r="AQ2976" s="56"/>
      <c r="AR2976" s="56"/>
      <c r="AS2976" s="56"/>
      <c r="AT2976" s="56"/>
      <c r="AU2976" s="56"/>
      <c r="AV2976" s="56"/>
      <c r="AW2976" s="56"/>
      <c r="AX2976" s="56"/>
      <c r="AY2976" s="56"/>
      <c r="AZ2976" s="56"/>
      <c r="BA2976" s="56"/>
      <c r="BB2976" s="16"/>
      <c r="BC2976" s="56"/>
      <c r="BD2976" s="56"/>
      <c r="BE2976" s="56"/>
      <c r="BF2976" s="56"/>
      <c r="BG2976" s="56"/>
      <c r="BH2976" s="56"/>
      <c r="BI2976" s="56"/>
      <c r="BJ2976" s="56"/>
      <c r="BK2976" s="56"/>
      <c r="BL2976" s="56"/>
      <c r="BM2976" s="56"/>
      <c r="BN2976" s="56"/>
      <c r="BO2976" s="56"/>
      <c r="BP2976" s="56"/>
      <c r="BQ2976" s="56"/>
      <c r="BR2976" s="56"/>
      <c r="BS2976" s="56"/>
      <c r="BT2976" s="56"/>
      <c r="BU2976" s="56"/>
      <c r="BV2976" s="56"/>
      <c r="BW2976" s="56"/>
      <c r="BX2976" s="56"/>
      <c r="BY2976" s="56"/>
      <c r="BZ2976" s="56"/>
      <c r="CA2976" s="56"/>
      <c r="CB2976" s="56"/>
      <c r="CC2976" s="56"/>
      <c r="CD2976" s="56"/>
      <c r="CE2976" s="56"/>
      <c r="CF2976" s="56"/>
      <c r="CG2976" s="56"/>
      <c r="CH2976" s="56"/>
      <c r="CI2976" s="56"/>
      <c r="CJ2976" s="56"/>
      <c r="CK2976" s="56"/>
      <c r="CL2976" s="56"/>
      <c r="CM2976" s="56"/>
      <c r="CN2976" s="56"/>
      <c r="CO2976" s="56"/>
      <c r="CP2976" s="56"/>
      <c r="CQ2976" s="56"/>
      <c r="CR2976" s="56"/>
      <c r="CS2976" s="56"/>
      <c r="CT2976" s="56"/>
      <c r="CU2976" s="56"/>
      <c r="CV2976" s="56"/>
      <c r="CW2976" s="56"/>
      <c r="CX2976" s="56"/>
      <c r="CY2976" s="56"/>
      <c r="CZ2976" s="56"/>
    </row>
    <row r="2977" spans="27:104" s="5" customFormat="1" x14ac:dyDescent="0.25">
      <c r="AA2977" s="56"/>
      <c r="AB2977" s="56"/>
      <c r="AC2977" s="56"/>
      <c r="AD2977" s="56"/>
      <c r="AE2977" s="56"/>
      <c r="AF2977" s="56"/>
      <c r="AG2977" s="56"/>
      <c r="AH2977" s="56"/>
      <c r="AI2977" s="56"/>
      <c r="AJ2977" s="56"/>
      <c r="AK2977" s="56"/>
      <c r="AL2977" s="56"/>
      <c r="AM2977" s="56"/>
      <c r="AN2977" s="56"/>
      <c r="AO2977" s="56"/>
      <c r="AP2977" s="56"/>
      <c r="AQ2977" s="56"/>
      <c r="AR2977" s="56"/>
      <c r="AS2977" s="56"/>
      <c r="AT2977" s="56"/>
      <c r="AU2977" s="56"/>
      <c r="AV2977" s="56"/>
      <c r="AW2977" s="56"/>
      <c r="AX2977" s="56"/>
      <c r="AY2977" s="56"/>
      <c r="AZ2977" s="56"/>
      <c r="BA2977" s="56"/>
      <c r="BB2977" s="16"/>
      <c r="BC2977" s="56"/>
      <c r="BD2977" s="56"/>
      <c r="BE2977" s="56"/>
      <c r="BF2977" s="56"/>
      <c r="BG2977" s="56"/>
      <c r="BH2977" s="56"/>
      <c r="BI2977" s="56"/>
      <c r="BJ2977" s="56"/>
      <c r="BK2977" s="56"/>
      <c r="BL2977" s="56"/>
      <c r="BM2977" s="56"/>
      <c r="BN2977" s="56"/>
      <c r="BO2977" s="56"/>
      <c r="BP2977" s="56"/>
      <c r="BQ2977" s="56"/>
      <c r="BR2977" s="56"/>
      <c r="BS2977" s="56"/>
      <c r="BT2977" s="56"/>
      <c r="BU2977" s="56"/>
      <c r="BV2977" s="56"/>
      <c r="BW2977" s="56"/>
      <c r="BX2977" s="56"/>
      <c r="BY2977" s="56"/>
      <c r="BZ2977" s="56"/>
      <c r="CA2977" s="56"/>
      <c r="CB2977" s="56"/>
      <c r="CC2977" s="56"/>
      <c r="CD2977" s="56"/>
      <c r="CE2977" s="56"/>
      <c r="CF2977" s="56"/>
      <c r="CG2977" s="56"/>
      <c r="CH2977" s="56"/>
      <c r="CI2977" s="56"/>
      <c r="CJ2977" s="56"/>
      <c r="CK2977" s="56"/>
      <c r="CL2977" s="56"/>
      <c r="CM2977" s="56"/>
      <c r="CN2977" s="56"/>
      <c r="CO2977" s="56"/>
      <c r="CP2977" s="56"/>
      <c r="CQ2977" s="56"/>
      <c r="CR2977" s="56"/>
      <c r="CS2977" s="56"/>
      <c r="CT2977" s="56"/>
      <c r="CU2977" s="56"/>
      <c r="CV2977" s="56"/>
      <c r="CW2977" s="56"/>
      <c r="CX2977" s="56"/>
      <c r="CY2977" s="56"/>
      <c r="CZ2977" s="56"/>
    </row>
    <row r="2978" spans="27:104" s="5" customFormat="1" x14ac:dyDescent="0.25">
      <c r="AA2978" s="56"/>
      <c r="AB2978" s="56"/>
      <c r="AC2978" s="56"/>
      <c r="AD2978" s="56"/>
      <c r="AE2978" s="56"/>
      <c r="AF2978" s="56"/>
      <c r="AG2978" s="56"/>
      <c r="AH2978" s="56"/>
      <c r="AI2978" s="56"/>
      <c r="AJ2978" s="56"/>
      <c r="AK2978" s="56"/>
      <c r="AL2978" s="56"/>
      <c r="AM2978" s="56"/>
      <c r="AN2978" s="56"/>
      <c r="AO2978" s="56"/>
      <c r="AP2978" s="56"/>
      <c r="AQ2978" s="56"/>
      <c r="AR2978" s="56"/>
      <c r="AS2978" s="56"/>
      <c r="AT2978" s="56"/>
      <c r="AU2978" s="56"/>
      <c r="AV2978" s="56"/>
      <c r="AW2978" s="56"/>
      <c r="AX2978" s="56"/>
      <c r="AY2978" s="56"/>
      <c r="AZ2978" s="56"/>
      <c r="BA2978" s="56"/>
      <c r="BB2978" s="16"/>
      <c r="BC2978" s="56"/>
      <c r="BD2978" s="56"/>
      <c r="BE2978" s="56"/>
      <c r="BF2978" s="56"/>
      <c r="BG2978" s="56"/>
      <c r="BH2978" s="56"/>
      <c r="BI2978" s="56"/>
      <c r="BJ2978" s="56"/>
      <c r="BK2978" s="56"/>
      <c r="BL2978" s="56"/>
      <c r="BM2978" s="56"/>
      <c r="BN2978" s="56"/>
      <c r="BO2978" s="56"/>
      <c r="BP2978" s="56"/>
      <c r="BQ2978" s="56"/>
      <c r="BR2978" s="56"/>
      <c r="BS2978" s="56"/>
      <c r="BT2978" s="56"/>
      <c r="BU2978" s="56"/>
      <c r="BV2978" s="56"/>
      <c r="BW2978" s="56"/>
      <c r="BX2978" s="56"/>
      <c r="BY2978" s="56"/>
      <c r="BZ2978" s="56"/>
      <c r="CA2978" s="56"/>
      <c r="CB2978" s="56"/>
      <c r="CC2978" s="56"/>
      <c r="CD2978" s="56"/>
      <c r="CE2978" s="56"/>
      <c r="CF2978" s="56"/>
      <c r="CG2978" s="56"/>
      <c r="CH2978" s="56"/>
      <c r="CI2978" s="56"/>
      <c r="CJ2978" s="56"/>
      <c r="CK2978" s="56"/>
      <c r="CL2978" s="56"/>
      <c r="CM2978" s="56"/>
      <c r="CN2978" s="56"/>
      <c r="CO2978" s="56"/>
      <c r="CP2978" s="56"/>
      <c r="CQ2978" s="56"/>
      <c r="CR2978" s="56"/>
      <c r="CS2978" s="56"/>
      <c r="CT2978" s="56"/>
      <c r="CU2978" s="56"/>
      <c r="CV2978" s="56"/>
      <c r="CW2978" s="56"/>
      <c r="CX2978" s="56"/>
      <c r="CY2978" s="56"/>
      <c r="CZ2978" s="56"/>
    </row>
    <row r="2979" spans="27:104" s="5" customFormat="1" x14ac:dyDescent="0.25">
      <c r="AA2979" s="56"/>
      <c r="AB2979" s="56"/>
      <c r="AC2979" s="56"/>
      <c r="AD2979" s="56"/>
      <c r="AE2979" s="56"/>
      <c r="AF2979" s="56"/>
      <c r="AG2979" s="56"/>
      <c r="AH2979" s="56"/>
      <c r="AI2979" s="56"/>
      <c r="AJ2979" s="56"/>
      <c r="AK2979" s="56"/>
      <c r="AL2979" s="56"/>
      <c r="AM2979" s="56"/>
      <c r="AN2979" s="56"/>
      <c r="AO2979" s="56"/>
      <c r="AP2979" s="56"/>
      <c r="AQ2979" s="56"/>
      <c r="AR2979" s="56"/>
      <c r="AS2979" s="56"/>
      <c r="AT2979" s="56"/>
      <c r="AU2979" s="56"/>
      <c r="AV2979" s="56"/>
      <c r="AW2979" s="56"/>
      <c r="AX2979" s="56"/>
      <c r="AY2979" s="56"/>
      <c r="AZ2979" s="56"/>
      <c r="BA2979" s="56"/>
      <c r="BB2979" s="16"/>
      <c r="BC2979" s="56"/>
      <c r="BD2979" s="56"/>
      <c r="BE2979" s="56"/>
      <c r="BF2979" s="56"/>
      <c r="BG2979" s="56"/>
      <c r="BH2979" s="56"/>
      <c r="BI2979" s="56"/>
      <c r="BJ2979" s="56"/>
      <c r="BK2979" s="56"/>
      <c r="BL2979" s="56"/>
      <c r="BM2979" s="56"/>
      <c r="BN2979" s="56"/>
      <c r="BO2979" s="56"/>
      <c r="BP2979" s="56"/>
      <c r="BQ2979" s="56"/>
      <c r="BR2979" s="56"/>
      <c r="BS2979" s="56"/>
      <c r="BT2979" s="56"/>
      <c r="BU2979" s="56"/>
      <c r="BV2979" s="56"/>
      <c r="BW2979" s="56"/>
      <c r="BX2979" s="56"/>
      <c r="BY2979" s="56"/>
      <c r="BZ2979" s="56"/>
      <c r="CA2979" s="56"/>
      <c r="CB2979" s="56"/>
      <c r="CC2979" s="56"/>
      <c r="CD2979" s="56"/>
      <c r="CE2979" s="56"/>
      <c r="CF2979" s="56"/>
      <c r="CG2979" s="56"/>
      <c r="CH2979" s="56"/>
      <c r="CI2979" s="56"/>
      <c r="CJ2979" s="56"/>
      <c r="CK2979" s="56"/>
      <c r="CL2979" s="56"/>
      <c r="CM2979" s="56"/>
      <c r="CN2979" s="56"/>
      <c r="CO2979" s="56"/>
      <c r="CP2979" s="56"/>
      <c r="CQ2979" s="56"/>
      <c r="CR2979" s="56"/>
      <c r="CS2979" s="56"/>
      <c r="CT2979" s="56"/>
      <c r="CU2979" s="56"/>
      <c r="CV2979" s="56"/>
      <c r="CW2979" s="56"/>
      <c r="CX2979" s="56"/>
      <c r="CY2979" s="56"/>
      <c r="CZ2979" s="56"/>
    </row>
    <row r="2980" spans="27:104" s="5" customFormat="1" x14ac:dyDescent="0.25">
      <c r="AA2980" s="56"/>
      <c r="AB2980" s="56"/>
      <c r="AC2980" s="56"/>
      <c r="AD2980" s="56"/>
      <c r="AE2980" s="56"/>
      <c r="AF2980" s="56"/>
      <c r="AG2980" s="56"/>
      <c r="AH2980" s="56"/>
      <c r="AI2980" s="56"/>
      <c r="AJ2980" s="56"/>
      <c r="AK2980" s="56"/>
      <c r="AL2980" s="56"/>
      <c r="AM2980" s="56"/>
      <c r="AN2980" s="56"/>
      <c r="AO2980" s="56"/>
      <c r="AP2980" s="56"/>
      <c r="AQ2980" s="56"/>
      <c r="AR2980" s="56"/>
      <c r="AS2980" s="56"/>
      <c r="AT2980" s="56"/>
      <c r="AU2980" s="56"/>
      <c r="AV2980" s="56"/>
      <c r="AW2980" s="56"/>
      <c r="AX2980" s="56"/>
      <c r="AY2980" s="56"/>
      <c r="AZ2980" s="56"/>
      <c r="BA2980" s="56"/>
      <c r="BB2980" s="16"/>
      <c r="BC2980" s="56"/>
      <c r="BD2980" s="56"/>
      <c r="BE2980" s="56"/>
      <c r="BF2980" s="56"/>
      <c r="BG2980" s="56"/>
      <c r="BH2980" s="56"/>
      <c r="BI2980" s="56"/>
      <c r="BJ2980" s="56"/>
      <c r="BK2980" s="56"/>
      <c r="BL2980" s="56"/>
      <c r="BM2980" s="56"/>
      <c r="BN2980" s="56"/>
      <c r="BO2980" s="56"/>
      <c r="BP2980" s="56"/>
      <c r="BQ2980" s="56"/>
      <c r="BR2980" s="56"/>
      <c r="BS2980" s="56"/>
      <c r="BT2980" s="56"/>
      <c r="BU2980" s="56"/>
      <c r="BV2980" s="56"/>
      <c r="BW2980" s="56"/>
      <c r="BX2980" s="56"/>
      <c r="BY2980" s="56"/>
      <c r="BZ2980" s="56"/>
      <c r="CA2980" s="56"/>
      <c r="CB2980" s="56"/>
      <c r="CC2980" s="56"/>
      <c r="CD2980" s="56"/>
      <c r="CE2980" s="56"/>
      <c r="CF2980" s="56"/>
      <c r="CG2980" s="56"/>
      <c r="CH2980" s="56"/>
      <c r="CI2980" s="56"/>
      <c r="CJ2980" s="56"/>
      <c r="CK2980" s="56"/>
      <c r="CL2980" s="56"/>
      <c r="CM2980" s="56"/>
      <c r="CN2980" s="56"/>
      <c r="CO2980" s="56"/>
      <c r="CP2980" s="56"/>
      <c r="CQ2980" s="56"/>
      <c r="CR2980" s="56"/>
      <c r="CS2980" s="56"/>
      <c r="CT2980" s="56"/>
      <c r="CU2980" s="56"/>
      <c r="CV2980" s="56"/>
      <c r="CW2980" s="56"/>
      <c r="CX2980" s="56"/>
      <c r="CY2980" s="56"/>
      <c r="CZ2980" s="56"/>
    </row>
    <row r="2981" spans="27:104" s="5" customFormat="1" x14ac:dyDescent="0.25">
      <c r="AA2981" s="56"/>
      <c r="AB2981" s="56"/>
      <c r="AC2981" s="56"/>
      <c r="AD2981" s="56"/>
      <c r="AE2981" s="56"/>
      <c r="AF2981" s="56"/>
      <c r="AG2981" s="56"/>
      <c r="AH2981" s="56"/>
      <c r="AI2981" s="56"/>
      <c r="AJ2981" s="56"/>
      <c r="AK2981" s="56"/>
      <c r="AL2981" s="56"/>
      <c r="AM2981" s="56"/>
      <c r="AN2981" s="56"/>
      <c r="AO2981" s="56"/>
      <c r="AP2981" s="56"/>
      <c r="AQ2981" s="56"/>
      <c r="AR2981" s="56"/>
      <c r="AS2981" s="56"/>
      <c r="AT2981" s="56"/>
      <c r="AU2981" s="56"/>
      <c r="AV2981" s="56"/>
      <c r="AW2981" s="56"/>
      <c r="AX2981" s="56"/>
      <c r="AY2981" s="56"/>
      <c r="AZ2981" s="56"/>
      <c r="BA2981" s="56"/>
      <c r="BB2981" s="16"/>
      <c r="BC2981" s="56"/>
      <c r="BD2981" s="56"/>
      <c r="BE2981" s="56"/>
      <c r="BF2981" s="56"/>
      <c r="BG2981" s="56"/>
      <c r="BH2981" s="56"/>
      <c r="BI2981" s="56"/>
      <c r="BJ2981" s="56"/>
      <c r="BK2981" s="56"/>
      <c r="BL2981" s="56"/>
      <c r="BM2981" s="56"/>
      <c r="BN2981" s="56"/>
      <c r="BO2981" s="56"/>
      <c r="BP2981" s="56"/>
      <c r="BQ2981" s="56"/>
      <c r="BR2981" s="56"/>
      <c r="BS2981" s="56"/>
      <c r="BT2981" s="56"/>
      <c r="BU2981" s="56"/>
      <c r="BV2981" s="56"/>
      <c r="BW2981" s="56"/>
      <c r="BX2981" s="56"/>
      <c r="BY2981" s="56"/>
      <c r="BZ2981" s="56"/>
      <c r="CA2981" s="56"/>
      <c r="CB2981" s="56"/>
      <c r="CC2981" s="56"/>
      <c r="CD2981" s="56"/>
      <c r="CE2981" s="56"/>
      <c r="CF2981" s="56"/>
      <c r="CG2981" s="56"/>
      <c r="CH2981" s="56"/>
      <c r="CI2981" s="56"/>
      <c r="CJ2981" s="56"/>
      <c r="CK2981" s="56"/>
      <c r="CL2981" s="56"/>
      <c r="CM2981" s="56"/>
      <c r="CN2981" s="56"/>
      <c r="CO2981" s="56"/>
      <c r="CP2981" s="56"/>
      <c r="CQ2981" s="56"/>
      <c r="CR2981" s="56"/>
      <c r="CS2981" s="56"/>
      <c r="CT2981" s="56"/>
      <c r="CU2981" s="56"/>
      <c r="CV2981" s="56"/>
      <c r="CW2981" s="56"/>
      <c r="CX2981" s="56"/>
      <c r="CY2981" s="56"/>
      <c r="CZ2981" s="56"/>
    </row>
    <row r="2982" spans="27:104" s="5" customFormat="1" x14ac:dyDescent="0.25">
      <c r="AA2982" s="56"/>
      <c r="AB2982" s="56"/>
      <c r="AC2982" s="56"/>
      <c r="AD2982" s="56"/>
      <c r="AE2982" s="56"/>
      <c r="AF2982" s="56"/>
      <c r="AG2982" s="56"/>
      <c r="AH2982" s="56"/>
      <c r="AI2982" s="56"/>
      <c r="AJ2982" s="56"/>
      <c r="AK2982" s="56"/>
      <c r="AL2982" s="56"/>
      <c r="AM2982" s="56"/>
      <c r="AN2982" s="56"/>
      <c r="AO2982" s="56"/>
      <c r="AP2982" s="56"/>
      <c r="AQ2982" s="56"/>
      <c r="AR2982" s="56"/>
      <c r="AS2982" s="56"/>
      <c r="AT2982" s="56"/>
      <c r="AU2982" s="56"/>
      <c r="AV2982" s="56"/>
      <c r="AW2982" s="56"/>
      <c r="AX2982" s="56"/>
      <c r="AY2982" s="56"/>
      <c r="AZ2982" s="56"/>
      <c r="BA2982" s="56"/>
      <c r="BB2982" s="16"/>
      <c r="BC2982" s="56"/>
      <c r="BD2982" s="56"/>
      <c r="BE2982" s="56"/>
      <c r="BF2982" s="56"/>
      <c r="BG2982" s="56"/>
      <c r="BH2982" s="56"/>
      <c r="BI2982" s="56"/>
      <c r="BJ2982" s="56"/>
      <c r="BK2982" s="56"/>
      <c r="BL2982" s="56"/>
      <c r="BM2982" s="56"/>
      <c r="BN2982" s="56"/>
      <c r="BO2982" s="56"/>
      <c r="BP2982" s="56"/>
      <c r="BQ2982" s="56"/>
      <c r="BR2982" s="56"/>
      <c r="BS2982" s="56"/>
      <c r="BT2982" s="56"/>
      <c r="BU2982" s="56"/>
      <c r="BV2982" s="56"/>
      <c r="BW2982" s="56"/>
      <c r="BX2982" s="56"/>
      <c r="BY2982" s="56"/>
      <c r="BZ2982" s="56"/>
      <c r="CA2982" s="56"/>
      <c r="CB2982" s="56"/>
      <c r="CC2982" s="56"/>
      <c r="CD2982" s="56"/>
      <c r="CE2982" s="56"/>
      <c r="CF2982" s="56"/>
      <c r="CG2982" s="56"/>
      <c r="CH2982" s="56"/>
      <c r="CI2982" s="56"/>
      <c r="CJ2982" s="56"/>
      <c r="CK2982" s="56"/>
      <c r="CL2982" s="56"/>
      <c r="CM2982" s="56"/>
      <c r="CN2982" s="56"/>
      <c r="CO2982" s="56"/>
      <c r="CP2982" s="56"/>
      <c r="CQ2982" s="56"/>
      <c r="CR2982" s="56"/>
      <c r="CS2982" s="56"/>
      <c r="CT2982" s="56"/>
      <c r="CU2982" s="56"/>
      <c r="CV2982" s="56"/>
      <c r="CW2982" s="56"/>
      <c r="CX2982" s="56"/>
      <c r="CY2982" s="56"/>
      <c r="CZ2982" s="56"/>
    </row>
    <row r="2983" spans="27:104" s="5" customFormat="1" x14ac:dyDescent="0.25">
      <c r="AA2983" s="56"/>
      <c r="AB2983" s="56"/>
      <c r="AC2983" s="56"/>
      <c r="AD2983" s="56"/>
      <c r="AE2983" s="56"/>
      <c r="AF2983" s="56"/>
      <c r="AG2983" s="56"/>
      <c r="AH2983" s="56"/>
      <c r="AI2983" s="56"/>
      <c r="AJ2983" s="56"/>
      <c r="AK2983" s="56"/>
      <c r="AL2983" s="56"/>
      <c r="AM2983" s="56"/>
      <c r="AN2983" s="56"/>
      <c r="AO2983" s="56"/>
      <c r="AP2983" s="56"/>
      <c r="AQ2983" s="56"/>
      <c r="AR2983" s="56"/>
      <c r="AS2983" s="56"/>
      <c r="AT2983" s="56"/>
      <c r="AU2983" s="56"/>
      <c r="AV2983" s="56"/>
      <c r="AW2983" s="56"/>
      <c r="AX2983" s="56"/>
      <c r="AY2983" s="56"/>
      <c r="AZ2983" s="56"/>
      <c r="BA2983" s="56"/>
      <c r="BB2983" s="16"/>
      <c r="BC2983" s="56"/>
      <c r="BD2983" s="56"/>
      <c r="BE2983" s="56"/>
      <c r="BF2983" s="56"/>
      <c r="BG2983" s="56"/>
      <c r="BH2983" s="56"/>
      <c r="BI2983" s="56"/>
      <c r="BJ2983" s="56"/>
      <c r="BK2983" s="56"/>
      <c r="BL2983" s="56"/>
      <c r="BM2983" s="56"/>
      <c r="BN2983" s="56"/>
      <c r="BO2983" s="56"/>
      <c r="BP2983" s="56"/>
      <c r="BQ2983" s="56"/>
      <c r="BR2983" s="56"/>
      <c r="BS2983" s="56"/>
      <c r="BT2983" s="56"/>
      <c r="BU2983" s="56"/>
      <c r="BV2983" s="56"/>
      <c r="BW2983" s="56"/>
      <c r="BX2983" s="56"/>
      <c r="BY2983" s="56"/>
      <c r="BZ2983" s="56"/>
      <c r="CA2983" s="56"/>
      <c r="CB2983" s="56"/>
      <c r="CC2983" s="56"/>
      <c r="CD2983" s="56"/>
      <c r="CE2983" s="56"/>
      <c r="CF2983" s="56"/>
      <c r="CG2983" s="56"/>
      <c r="CH2983" s="56"/>
      <c r="CI2983" s="56"/>
      <c r="CJ2983" s="56"/>
      <c r="CK2983" s="56"/>
      <c r="CL2983" s="56"/>
      <c r="CM2983" s="56"/>
      <c r="CN2983" s="56"/>
      <c r="CO2983" s="56"/>
      <c r="CP2983" s="56"/>
      <c r="CQ2983" s="56"/>
      <c r="CR2983" s="56"/>
      <c r="CS2983" s="56"/>
      <c r="CT2983" s="56"/>
      <c r="CU2983" s="56"/>
      <c r="CV2983" s="56"/>
      <c r="CW2983" s="56"/>
      <c r="CX2983" s="56"/>
      <c r="CY2983" s="56"/>
      <c r="CZ2983" s="56"/>
    </row>
    <row r="2984" spans="27:104" s="5" customFormat="1" x14ac:dyDescent="0.25">
      <c r="AA2984" s="56"/>
      <c r="AB2984" s="56"/>
      <c r="AC2984" s="56"/>
      <c r="AD2984" s="56"/>
      <c r="AE2984" s="56"/>
      <c r="AF2984" s="56"/>
      <c r="AG2984" s="56"/>
      <c r="AH2984" s="56"/>
      <c r="AI2984" s="56"/>
      <c r="AJ2984" s="56"/>
      <c r="AK2984" s="56"/>
      <c r="AL2984" s="56"/>
      <c r="AM2984" s="56"/>
      <c r="AN2984" s="56"/>
      <c r="AO2984" s="56"/>
      <c r="AP2984" s="56"/>
      <c r="AQ2984" s="56"/>
      <c r="AR2984" s="56"/>
      <c r="AS2984" s="56"/>
      <c r="AT2984" s="56"/>
      <c r="AU2984" s="56"/>
      <c r="AV2984" s="56"/>
      <c r="AW2984" s="56"/>
      <c r="AX2984" s="56"/>
      <c r="AY2984" s="56"/>
      <c r="AZ2984" s="56"/>
      <c r="BA2984" s="56"/>
      <c r="BB2984" s="16"/>
      <c r="BC2984" s="56"/>
      <c r="BD2984" s="56"/>
      <c r="BE2984" s="56"/>
      <c r="BF2984" s="56"/>
      <c r="BG2984" s="56"/>
      <c r="BH2984" s="56"/>
      <c r="BI2984" s="56"/>
      <c r="BJ2984" s="56"/>
      <c r="BK2984" s="56"/>
      <c r="BL2984" s="56"/>
      <c r="BM2984" s="56"/>
      <c r="BN2984" s="56"/>
      <c r="BO2984" s="56"/>
      <c r="BP2984" s="56"/>
      <c r="BQ2984" s="56"/>
      <c r="BR2984" s="56"/>
      <c r="BS2984" s="56"/>
      <c r="BT2984" s="56"/>
      <c r="BU2984" s="56"/>
      <c r="BV2984" s="56"/>
      <c r="BW2984" s="56"/>
      <c r="BX2984" s="56"/>
      <c r="BY2984" s="56"/>
      <c r="BZ2984" s="56"/>
      <c r="CA2984" s="56"/>
      <c r="CB2984" s="56"/>
      <c r="CC2984" s="56"/>
      <c r="CD2984" s="56"/>
      <c r="CE2984" s="56"/>
      <c r="CF2984" s="56"/>
      <c r="CG2984" s="56"/>
      <c r="CH2984" s="56"/>
      <c r="CI2984" s="56"/>
      <c r="CJ2984" s="56"/>
      <c r="CK2984" s="56"/>
      <c r="CL2984" s="56"/>
      <c r="CM2984" s="56"/>
      <c r="CN2984" s="56"/>
      <c r="CO2984" s="56"/>
      <c r="CP2984" s="56"/>
      <c r="CQ2984" s="56"/>
      <c r="CR2984" s="56"/>
      <c r="CS2984" s="56"/>
      <c r="CT2984" s="56"/>
      <c r="CU2984" s="56"/>
      <c r="CV2984" s="56"/>
      <c r="CW2984" s="56"/>
      <c r="CX2984" s="56"/>
      <c r="CY2984" s="56"/>
      <c r="CZ2984" s="56"/>
    </row>
    <row r="2985" spans="27:104" s="5" customFormat="1" x14ac:dyDescent="0.25">
      <c r="AA2985" s="56"/>
      <c r="AB2985" s="56"/>
      <c r="AC2985" s="56"/>
      <c r="AD2985" s="56"/>
      <c r="AE2985" s="56"/>
      <c r="AF2985" s="56"/>
      <c r="AG2985" s="56"/>
      <c r="AH2985" s="56"/>
      <c r="AI2985" s="56"/>
      <c r="AJ2985" s="56"/>
      <c r="AK2985" s="56"/>
      <c r="AL2985" s="56"/>
      <c r="AM2985" s="56"/>
      <c r="AN2985" s="56"/>
      <c r="AO2985" s="56"/>
      <c r="AP2985" s="56"/>
      <c r="AQ2985" s="56"/>
      <c r="AR2985" s="56"/>
      <c r="AS2985" s="56"/>
      <c r="AT2985" s="56"/>
      <c r="AU2985" s="56"/>
      <c r="AV2985" s="56"/>
      <c r="AW2985" s="56"/>
      <c r="AX2985" s="56"/>
      <c r="AY2985" s="56"/>
      <c r="AZ2985" s="56"/>
      <c r="BA2985" s="56"/>
      <c r="BB2985" s="16"/>
      <c r="BC2985" s="56"/>
      <c r="BD2985" s="56"/>
      <c r="BE2985" s="56"/>
      <c r="BF2985" s="56"/>
      <c r="BG2985" s="56"/>
      <c r="BH2985" s="56"/>
      <c r="BI2985" s="56"/>
      <c r="BJ2985" s="56"/>
      <c r="BK2985" s="56"/>
      <c r="BL2985" s="56"/>
      <c r="BM2985" s="56"/>
      <c r="BN2985" s="56"/>
      <c r="BO2985" s="56"/>
      <c r="BP2985" s="56"/>
      <c r="BQ2985" s="56"/>
      <c r="BR2985" s="56"/>
      <c r="BS2985" s="56"/>
      <c r="BT2985" s="56"/>
      <c r="BU2985" s="56"/>
      <c r="BV2985" s="56"/>
      <c r="BW2985" s="56"/>
      <c r="BX2985" s="56"/>
      <c r="BY2985" s="56"/>
      <c r="BZ2985" s="56"/>
      <c r="CA2985" s="56"/>
      <c r="CB2985" s="56"/>
      <c r="CC2985" s="56"/>
      <c r="CD2985" s="56"/>
      <c r="CE2985" s="56"/>
      <c r="CF2985" s="56"/>
      <c r="CG2985" s="56"/>
      <c r="CH2985" s="56"/>
      <c r="CI2985" s="56"/>
      <c r="CJ2985" s="56"/>
      <c r="CK2985" s="56"/>
      <c r="CL2985" s="56"/>
      <c r="CM2985" s="56"/>
      <c r="CN2985" s="56"/>
      <c r="CO2985" s="56"/>
      <c r="CP2985" s="56"/>
      <c r="CQ2985" s="56"/>
      <c r="CR2985" s="56"/>
      <c r="CS2985" s="56"/>
      <c r="CT2985" s="56"/>
      <c r="CU2985" s="56"/>
      <c r="CV2985" s="56"/>
      <c r="CW2985" s="56"/>
      <c r="CX2985" s="56"/>
      <c r="CY2985" s="56"/>
      <c r="CZ2985" s="56"/>
    </row>
    <row r="2986" spans="27:104" s="5" customFormat="1" x14ac:dyDescent="0.25">
      <c r="AA2986" s="56"/>
      <c r="AB2986" s="56"/>
      <c r="AC2986" s="56"/>
      <c r="AD2986" s="56"/>
      <c r="AE2986" s="56"/>
      <c r="AF2986" s="56"/>
      <c r="AG2986" s="56"/>
      <c r="AH2986" s="56"/>
      <c r="AI2986" s="56"/>
      <c r="AJ2986" s="56"/>
      <c r="AK2986" s="56"/>
      <c r="AL2986" s="56"/>
      <c r="AM2986" s="56"/>
      <c r="AN2986" s="56"/>
      <c r="AO2986" s="56"/>
      <c r="AP2986" s="56"/>
      <c r="AQ2986" s="56"/>
      <c r="AR2986" s="56"/>
      <c r="AS2986" s="56"/>
      <c r="AT2986" s="56"/>
      <c r="AU2986" s="56"/>
      <c r="AV2986" s="56"/>
      <c r="AW2986" s="56"/>
      <c r="AX2986" s="56"/>
      <c r="AY2986" s="56"/>
      <c r="AZ2986" s="56"/>
      <c r="BA2986" s="56"/>
      <c r="BB2986" s="16"/>
      <c r="BC2986" s="56"/>
      <c r="BD2986" s="56"/>
      <c r="BE2986" s="56"/>
      <c r="BF2986" s="56"/>
      <c r="BG2986" s="56"/>
      <c r="BH2986" s="56"/>
      <c r="BI2986" s="56"/>
      <c r="BJ2986" s="56"/>
      <c r="BK2986" s="56"/>
      <c r="BL2986" s="56"/>
      <c r="BM2986" s="56"/>
      <c r="BN2986" s="56"/>
      <c r="BO2986" s="56"/>
      <c r="BP2986" s="56"/>
      <c r="BQ2986" s="56"/>
      <c r="BR2986" s="56"/>
      <c r="BS2986" s="56"/>
      <c r="BT2986" s="56"/>
      <c r="BU2986" s="56"/>
      <c r="BV2986" s="56"/>
      <c r="BW2986" s="56"/>
      <c r="BX2986" s="56"/>
      <c r="BY2986" s="56"/>
      <c r="BZ2986" s="56"/>
      <c r="CA2986" s="56"/>
      <c r="CB2986" s="56"/>
      <c r="CC2986" s="56"/>
      <c r="CD2986" s="56"/>
      <c r="CE2986" s="56"/>
      <c r="CF2986" s="56"/>
      <c r="CG2986" s="56"/>
      <c r="CH2986" s="56"/>
      <c r="CI2986" s="56"/>
      <c r="CJ2986" s="56"/>
      <c r="CK2986" s="56"/>
      <c r="CL2986" s="56"/>
      <c r="CM2986" s="56"/>
      <c r="CN2986" s="56"/>
      <c r="CO2986" s="56"/>
      <c r="CP2986" s="56"/>
      <c r="CQ2986" s="56"/>
      <c r="CR2986" s="56"/>
      <c r="CS2986" s="56"/>
      <c r="CT2986" s="56"/>
      <c r="CU2986" s="56"/>
      <c r="CV2986" s="56"/>
      <c r="CW2986" s="56"/>
      <c r="CX2986" s="56"/>
      <c r="CY2986" s="56"/>
      <c r="CZ2986" s="56"/>
    </row>
    <row r="2987" spans="27:104" s="5" customFormat="1" x14ac:dyDescent="0.25">
      <c r="AA2987" s="56"/>
      <c r="AB2987" s="56"/>
      <c r="AC2987" s="56"/>
      <c r="AD2987" s="56"/>
      <c r="AE2987" s="56"/>
      <c r="AF2987" s="56"/>
      <c r="AG2987" s="56"/>
      <c r="AH2987" s="56"/>
      <c r="AI2987" s="56"/>
      <c r="AJ2987" s="56"/>
      <c r="AK2987" s="56"/>
      <c r="AL2987" s="56"/>
      <c r="AM2987" s="56"/>
      <c r="AN2987" s="56"/>
      <c r="AO2987" s="56"/>
      <c r="AP2987" s="56"/>
      <c r="AQ2987" s="56"/>
      <c r="AR2987" s="56"/>
      <c r="AS2987" s="56"/>
      <c r="AT2987" s="56"/>
      <c r="AU2987" s="56"/>
      <c r="AV2987" s="56"/>
      <c r="AW2987" s="56"/>
      <c r="AX2987" s="56"/>
      <c r="AY2987" s="56"/>
      <c r="AZ2987" s="56"/>
      <c r="BA2987" s="56"/>
      <c r="BB2987" s="16"/>
      <c r="BC2987" s="56"/>
      <c r="BD2987" s="56"/>
      <c r="BE2987" s="56"/>
      <c r="BF2987" s="56"/>
      <c r="BG2987" s="56"/>
      <c r="BH2987" s="56"/>
      <c r="BI2987" s="56"/>
      <c r="BJ2987" s="56"/>
      <c r="BK2987" s="56"/>
      <c r="BL2987" s="56"/>
      <c r="BM2987" s="56"/>
      <c r="BN2987" s="56"/>
      <c r="BO2987" s="56"/>
      <c r="BP2987" s="56"/>
      <c r="BQ2987" s="56"/>
      <c r="BR2987" s="56"/>
      <c r="BS2987" s="56"/>
      <c r="BT2987" s="56"/>
      <c r="BU2987" s="56"/>
      <c r="BV2987" s="56"/>
      <c r="BW2987" s="56"/>
      <c r="BX2987" s="56"/>
      <c r="BY2987" s="56"/>
      <c r="BZ2987" s="56"/>
      <c r="CA2987" s="56"/>
      <c r="CB2987" s="56"/>
      <c r="CC2987" s="56"/>
      <c r="CD2987" s="56"/>
      <c r="CE2987" s="56"/>
      <c r="CF2987" s="56"/>
      <c r="CG2987" s="56"/>
      <c r="CH2987" s="56"/>
      <c r="CI2987" s="56"/>
      <c r="CJ2987" s="56"/>
      <c r="CK2987" s="56"/>
      <c r="CL2987" s="56"/>
      <c r="CM2987" s="56"/>
      <c r="CN2987" s="56"/>
      <c r="CO2987" s="56"/>
      <c r="CP2987" s="56"/>
      <c r="CQ2987" s="56"/>
      <c r="CR2987" s="56"/>
      <c r="CS2987" s="56"/>
      <c r="CT2987" s="56"/>
      <c r="CU2987" s="56"/>
      <c r="CV2987" s="56"/>
      <c r="CW2987" s="56"/>
      <c r="CX2987" s="56"/>
      <c r="CY2987" s="56"/>
      <c r="CZ2987" s="56"/>
    </row>
    <row r="2988" spans="27:104" s="5" customFormat="1" x14ac:dyDescent="0.25">
      <c r="AA2988" s="56"/>
      <c r="AB2988" s="56"/>
      <c r="AC2988" s="56"/>
      <c r="AD2988" s="56"/>
      <c r="AE2988" s="56"/>
      <c r="AF2988" s="56"/>
      <c r="AG2988" s="56"/>
      <c r="AH2988" s="56"/>
      <c r="AI2988" s="56"/>
      <c r="AJ2988" s="56"/>
      <c r="AK2988" s="56"/>
      <c r="AL2988" s="56"/>
      <c r="AM2988" s="56"/>
      <c r="AN2988" s="56"/>
      <c r="AO2988" s="56"/>
      <c r="AP2988" s="56"/>
      <c r="AQ2988" s="56"/>
      <c r="AR2988" s="56"/>
      <c r="AS2988" s="56"/>
      <c r="AT2988" s="56"/>
      <c r="AU2988" s="56"/>
      <c r="AV2988" s="56"/>
      <c r="AW2988" s="56"/>
      <c r="AX2988" s="56"/>
      <c r="AY2988" s="56"/>
      <c r="AZ2988" s="56"/>
      <c r="BA2988" s="56"/>
      <c r="BB2988" s="16"/>
      <c r="BC2988" s="56"/>
      <c r="BD2988" s="56"/>
      <c r="BE2988" s="56"/>
      <c r="BF2988" s="56"/>
      <c r="BG2988" s="56"/>
      <c r="BH2988" s="56"/>
      <c r="BI2988" s="56"/>
      <c r="BJ2988" s="56"/>
      <c r="BK2988" s="56"/>
      <c r="BL2988" s="56"/>
      <c r="BM2988" s="56"/>
      <c r="BN2988" s="56"/>
      <c r="BO2988" s="56"/>
      <c r="BP2988" s="56"/>
      <c r="BQ2988" s="56"/>
      <c r="BR2988" s="56"/>
      <c r="BS2988" s="56"/>
      <c r="BT2988" s="56"/>
      <c r="BU2988" s="56"/>
      <c r="BV2988" s="56"/>
      <c r="BW2988" s="56"/>
      <c r="BX2988" s="56"/>
      <c r="BY2988" s="56"/>
      <c r="BZ2988" s="56"/>
      <c r="CA2988" s="56"/>
      <c r="CB2988" s="56"/>
      <c r="CC2988" s="56"/>
      <c r="CD2988" s="56"/>
      <c r="CE2988" s="56"/>
      <c r="CF2988" s="56"/>
      <c r="CG2988" s="56"/>
      <c r="CH2988" s="56"/>
      <c r="CI2988" s="56"/>
      <c r="CJ2988" s="56"/>
      <c r="CK2988" s="56"/>
      <c r="CL2988" s="56"/>
      <c r="CM2988" s="56"/>
      <c r="CN2988" s="56"/>
      <c r="CO2988" s="56"/>
      <c r="CP2988" s="56"/>
      <c r="CQ2988" s="56"/>
      <c r="CR2988" s="56"/>
      <c r="CS2988" s="56"/>
      <c r="CT2988" s="56"/>
      <c r="CU2988" s="56"/>
      <c r="CV2988" s="56"/>
      <c r="CW2988" s="56"/>
      <c r="CX2988" s="56"/>
      <c r="CY2988" s="56"/>
      <c r="CZ2988" s="56"/>
    </row>
    <row r="2989" spans="27:104" s="5" customFormat="1" x14ac:dyDescent="0.25">
      <c r="AA2989" s="56"/>
      <c r="AB2989" s="56"/>
      <c r="AC2989" s="56"/>
      <c r="AD2989" s="56"/>
      <c r="AE2989" s="56"/>
      <c r="AF2989" s="56"/>
      <c r="AG2989" s="56"/>
      <c r="AH2989" s="56"/>
      <c r="AI2989" s="56"/>
      <c r="AJ2989" s="56"/>
      <c r="AK2989" s="56"/>
      <c r="AL2989" s="56"/>
      <c r="AM2989" s="56"/>
      <c r="AN2989" s="56"/>
      <c r="AO2989" s="56"/>
      <c r="AP2989" s="56"/>
      <c r="AQ2989" s="56"/>
      <c r="AR2989" s="56"/>
      <c r="AS2989" s="56"/>
      <c r="AT2989" s="56"/>
      <c r="AU2989" s="56"/>
      <c r="AV2989" s="56"/>
      <c r="AW2989" s="56"/>
      <c r="AX2989" s="56"/>
      <c r="AY2989" s="56"/>
      <c r="AZ2989" s="56"/>
      <c r="BA2989" s="56"/>
      <c r="BB2989" s="16"/>
      <c r="BC2989" s="56"/>
      <c r="BD2989" s="56"/>
      <c r="BE2989" s="56"/>
      <c r="BF2989" s="56"/>
      <c r="BG2989" s="56"/>
      <c r="BH2989" s="56"/>
      <c r="BI2989" s="56"/>
      <c r="BJ2989" s="56"/>
      <c r="BK2989" s="56"/>
      <c r="BL2989" s="56"/>
      <c r="BM2989" s="56"/>
      <c r="BN2989" s="56"/>
      <c r="BO2989" s="56"/>
      <c r="BP2989" s="56"/>
      <c r="BQ2989" s="56"/>
      <c r="BR2989" s="56"/>
      <c r="BS2989" s="56"/>
      <c r="BT2989" s="56"/>
      <c r="BU2989" s="56"/>
      <c r="BV2989" s="56"/>
      <c r="BW2989" s="56"/>
      <c r="BX2989" s="56"/>
      <c r="BY2989" s="56"/>
      <c r="BZ2989" s="56"/>
      <c r="CA2989" s="56"/>
      <c r="CB2989" s="56"/>
      <c r="CC2989" s="56"/>
      <c r="CD2989" s="56"/>
      <c r="CE2989" s="56"/>
      <c r="CF2989" s="56"/>
      <c r="CG2989" s="56"/>
      <c r="CH2989" s="56"/>
      <c r="CI2989" s="56"/>
      <c r="CJ2989" s="56"/>
      <c r="CK2989" s="56"/>
      <c r="CL2989" s="56"/>
      <c r="CM2989" s="56"/>
      <c r="CN2989" s="56"/>
      <c r="CO2989" s="56"/>
      <c r="CP2989" s="56"/>
      <c r="CQ2989" s="56"/>
      <c r="CR2989" s="56"/>
      <c r="CS2989" s="56"/>
      <c r="CT2989" s="56"/>
      <c r="CU2989" s="56"/>
      <c r="CV2989" s="56"/>
      <c r="CW2989" s="56"/>
      <c r="CX2989" s="56"/>
      <c r="CY2989" s="56"/>
      <c r="CZ2989" s="56"/>
    </row>
    <row r="2990" spans="27:104" s="5" customFormat="1" x14ac:dyDescent="0.25">
      <c r="AA2990" s="56"/>
      <c r="AB2990" s="56"/>
      <c r="AC2990" s="56"/>
      <c r="AD2990" s="56"/>
      <c r="AE2990" s="56"/>
      <c r="AF2990" s="56"/>
      <c r="AG2990" s="56"/>
      <c r="AH2990" s="56"/>
      <c r="AI2990" s="56"/>
      <c r="AJ2990" s="56"/>
      <c r="AK2990" s="56"/>
      <c r="AL2990" s="56"/>
      <c r="AM2990" s="56"/>
      <c r="AN2990" s="56"/>
      <c r="AO2990" s="56"/>
      <c r="AP2990" s="56"/>
      <c r="AQ2990" s="56"/>
      <c r="AR2990" s="56"/>
      <c r="AS2990" s="56"/>
      <c r="AT2990" s="56"/>
      <c r="AU2990" s="56"/>
      <c r="AV2990" s="56"/>
      <c r="AW2990" s="56"/>
      <c r="AX2990" s="56"/>
      <c r="AY2990" s="56"/>
      <c r="AZ2990" s="56"/>
      <c r="BA2990" s="56"/>
      <c r="BB2990" s="16"/>
      <c r="BC2990" s="56"/>
      <c r="BD2990" s="56"/>
      <c r="BE2990" s="56"/>
      <c r="BF2990" s="56"/>
      <c r="BG2990" s="56"/>
      <c r="BH2990" s="56"/>
      <c r="BI2990" s="56"/>
      <c r="BJ2990" s="56"/>
      <c r="BK2990" s="56"/>
      <c r="BL2990" s="56"/>
      <c r="BM2990" s="56"/>
      <c r="BN2990" s="56"/>
      <c r="BO2990" s="56"/>
      <c r="BP2990" s="56"/>
      <c r="BQ2990" s="56"/>
      <c r="BR2990" s="56"/>
      <c r="BS2990" s="56"/>
      <c r="BT2990" s="56"/>
      <c r="BU2990" s="56"/>
      <c r="BV2990" s="56"/>
      <c r="BW2990" s="56"/>
      <c r="BX2990" s="56"/>
      <c r="BY2990" s="56"/>
      <c r="BZ2990" s="56"/>
      <c r="CA2990" s="56"/>
      <c r="CB2990" s="56"/>
      <c r="CC2990" s="56"/>
      <c r="CD2990" s="56"/>
      <c r="CE2990" s="56"/>
      <c r="CF2990" s="56"/>
      <c r="CG2990" s="56"/>
      <c r="CH2990" s="56"/>
      <c r="CI2990" s="56"/>
      <c r="CJ2990" s="56"/>
      <c r="CK2990" s="56"/>
      <c r="CL2990" s="56"/>
      <c r="CM2990" s="56"/>
      <c r="CN2990" s="56"/>
      <c r="CO2990" s="56"/>
      <c r="CP2990" s="56"/>
      <c r="CQ2990" s="56"/>
      <c r="CR2990" s="56"/>
      <c r="CS2990" s="56"/>
      <c r="CT2990" s="56"/>
      <c r="CU2990" s="56"/>
      <c r="CV2990" s="56"/>
      <c r="CW2990" s="56"/>
      <c r="CX2990" s="56"/>
      <c r="CY2990" s="56"/>
      <c r="CZ2990" s="56"/>
    </row>
    <row r="2991" spans="27:104" s="5" customFormat="1" x14ac:dyDescent="0.25">
      <c r="AA2991" s="56"/>
      <c r="AB2991" s="56"/>
      <c r="AC2991" s="56"/>
      <c r="AD2991" s="56"/>
      <c r="AE2991" s="56"/>
      <c r="AF2991" s="56"/>
      <c r="AG2991" s="56"/>
      <c r="AH2991" s="56"/>
      <c r="AI2991" s="56"/>
      <c r="AJ2991" s="56"/>
      <c r="AK2991" s="56"/>
      <c r="AL2991" s="56"/>
      <c r="AM2991" s="56"/>
      <c r="AN2991" s="56"/>
      <c r="AO2991" s="56"/>
      <c r="AP2991" s="56"/>
      <c r="AQ2991" s="56"/>
      <c r="AR2991" s="56"/>
      <c r="AS2991" s="56"/>
      <c r="AT2991" s="56"/>
      <c r="AU2991" s="56"/>
      <c r="AV2991" s="56"/>
      <c r="AW2991" s="56"/>
      <c r="AX2991" s="56"/>
      <c r="AY2991" s="56"/>
      <c r="AZ2991" s="56"/>
      <c r="BA2991" s="56"/>
      <c r="BB2991" s="16"/>
      <c r="BC2991" s="56"/>
      <c r="BD2991" s="56"/>
      <c r="BE2991" s="56"/>
      <c r="BF2991" s="56"/>
      <c r="BG2991" s="56"/>
      <c r="BH2991" s="56"/>
      <c r="BI2991" s="56"/>
      <c r="BJ2991" s="56"/>
      <c r="BK2991" s="56"/>
      <c r="BL2991" s="56"/>
      <c r="BM2991" s="56"/>
      <c r="BN2991" s="56"/>
      <c r="BO2991" s="56"/>
      <c r="BP2991" s="56"/>
      <c r="BQ2991" s="56"/>
      <c r="BR2991" s="56"/>
      <c r="BS2991" s="56"/>
      <c r="BT2991" s="56"/>
      <c r="BU2991" s="56"/>
      <c r="BV2991" s="56"/>
      <c r="BW2991" s="56"/>
      <c r="BX2991" s="56"/>
      <c r="BY2991" s="56"/>
      <c r="BZ2991" s="56"/>
      <c r="CA2991" s="56"/>
      <c r="CB2991" s="56"/>
      <c r="CC2991" s="56"/>
      <c r="CD2991" s="56"/>
      <c r="CE2991" s="56"/>
      <c r="CF2991" s="56"/>
      <c r="CG2991" s="56"/>
      <c r="CH2991" s="56"/>
      <c r="CI2991" s="56"/>
      <c r="CJ2991" s="56"/>
      <c r="CK2991" s="56"/>
      <c r="CL2991" s="56"/>
      <c r="CM2991" s="56"/>
      <c r="CN2991" s="56"/>
      <c r="CO2991" s="56"/>
      <c r="CP2991" s="56"/>
      <c r="CQ2991" s="56"/>
      <c r="CR2991" s="56"/>
      <c r="CS2991" s="56"/>
      <c r="CT2991" s="56"/>
      <c r="CU2991" s="56"/>
      <c r="CV2991" s="56"/>
      <c r="CW2991" s="56"/>
      <c r="CX2991" s="56"/>
      <c r="CY2991" s="56"/>
      <c r="CZ2991" s="56"/>
    </row>
    <row r="2992" spans="27:104" s="5" customFormat="1" x14ac:dyDescent="0.25">
      <c r="AA2992" s="56"/>
      <c r="AB2992" s="56"/>
      <c r="AC2992" s="56"/>
      <c r="AD2992" s="56"/>
      <c r="AE2992" s="56"/>
      <c r="AF2992" s="56"/>
      <c r="AG2992" s="56"/>
      <c r="AH2992" s="56"/>
      <c r="AI2992" s="56"/>
      <c r="AJ2992" s="56"/>
      <c r="AK2992" s="56"/>
      <c r="AL2992" s="56"/>
      <c r="AM2992" s="56"/>
      <c r="AN2992" s="56"/>
      <c r="AO2992" s="56"/>
      <c r="AP2992" s="56"/>
      <c r="AQ2992" s="56"/>
      <c r="AR2992" s="56"/>
      <c r="AS2992" s="56"/>
      <c r="AT2992" s="56"/>
      <c r="AU2992" s="56"/>
      <c r="AV2992" s="56"/>
      <c r="AW2992" s="56"/>
      <c r="AX2992" s="56"/>
      <c r="AY2992" s="56"/>
      <c r="AZ2992" s="56"/>
      <c r="BA2992" s="56"/>
      <c r="BB2992" s="16"/>
      <c r="BC2992" s="56"/>
      <c r="BD2992" s="56"/>
      <c r="BE2992" s="56"/>
      <c r="BF2992" s="56"/>
      <c r="BG2992" s="56"/>
      <c r="BH2992" s="56"/>
      <c r="BI2992" s="56"/>
      <c r="BJ2992" s="56"/>
      <c r="BK2992" s="56"/>
      <c r="BL2992" s="56"/>
      <c r="BM2992" s="56"/>
      <c r="BN2992" s="56"/>
      <c r="BO2992" s="56"/>
      <c r="BP2992" s="56"/>
      <c r="BQ2992" s="56"/>
      <c r="BR2992" s="56"/>
      <c r="BS2992" s="56"/>
      <c r="BT2992" s="56"/>
      <c r="BU2992" s="56"/>
      <c r="BV2992" s="56"/>
      <c r="BW2992" s="56"/>
      <c r="BX2992" s="56"/>
      <c r="BY2992" s="56"/>
      <c r="BZ2992" s="56"/>
      <c r="CA2992" s="56"/>
      <c r="CB2992" s="56"/>
      <c r="CC2992" s="56"/>
      <c r="CD2992" s="56"/>
      <c r="CE2992" s="56"/>
      <c r="CF2992" s="56"/>
      <c r="CG2992" s="56"/>
      <c r="CH2992" s="56"/>
      <c r="CI2992" s="56"/>
      <c r="CJ2992" s="56"/>
      <c r="CK2992" s="56"/>
      <c r="CL2992" s="56"/>
      <c r="CM2992" s="56"/>
      <c r="CN2992" s="56"/>
      <c r="CO2992" s="56"/>
      <c r="CP2992" s="56"/>
      <c r="CQ2992" s="56"/>
      <c r="CR2992" s="56"/>
      <c r="CS2992" s="56"/>
      <c r="CT2992" s="56"/>
      <c r="CU2992" s="56"/>
      <c r="CV2992" s="56"/>
      <c r="CW2992" s="56"/>
      <c r="CX2992" s="56"/>
      <c r="CY2992" s="56"/>
      <c r="CZ2992" s="56"/>
    </row>
    <row r="2993" spans="27:104" s="5" customFormat="1" x14ac:dyDescent="0.25">
      <c r="AA2993" s="56"/>
      <c r="AB2993" s="56"/>
      <c r="AC2993" s="56"/>
      <c r="AD2993" s="56"/>
      <c r="AE2993" s="56"/>
      <c r="AF2993" s="56"/>
      <c r="AG2993" s="56"/>
      <c r="AH2993" s="56"/>
      <c r="AI2993" s="56"/>
      <c r="AJ2993" s="56"/>
      <c r="AK2993" s="56"/>
      <c r="AL2993" s="56"/>
      <c r="AM2993" s="56"/>
      <c r="AN2993" s="56"/>
      <c r="AO2993" s="56"/>
      <c r="AP2993" s="56"/>
      <c r="AQ2993" s="56"/>
      <c r="AR2993" s="56"/>
      <c r="AS2993" s="56"/>
      <c r="AT2993" s="56"/>
      <c r="AU2993" s="56"/>
      <c r="AV2993" s="56"/>
      <c r="AW2993" s="56"/>
      <c r="AX2993" s="56"/>
      <c r="AY2993" s="56"/>
      <c r="AZ2993" s="56"/>
      <c r="BA2993" s="56"/>
      <c r="BB2993" s="16"/>
      <c r="BC2993" s="56"/>
      <c r="BD2993" s="56"/>
      <c r="BE2993" s="56"/>
      <c r="BF2993" s="56"/>
      <c r="BG2993" s="56"/>
      <c r="BH2993" s="56"/>
      <c r="BI2993" s="56"/>
      <c r="BJ2993" s="56"/>
      <c r="BK2993" s="56"/>
      <c r="BL2993" s="56"/>
      <c r="BM2993" s="56"/>
      <c r="BN2993" s="56"/>
      <c r="BO2993" s="56"/>
      <c r="BP2993" s="56"/>
      <c r="BQ2993" s="56"/>
      <c r="BR2993" s="56"/>
      <c r="BS2993" s="56"/>
      <c r="BT2993" s="56"/>
      <c r="BU2993" s="56"/>
      <c r="BV2993" s="56"/>
      <c r="BW2993" s="56"/>
      <c r="BX2993" s="56"/>
      <c r="BY2993" s="56"/>
      <c r="BZ2993" s="56"/>
      <c r="CA2993" s="56"/>
      <c r="CB2993" s="56"/>
      <c r="CC2993" s="56"/>
      <c r="CD2993" s="56"/>
      <c r="CE2993" s="56"/>
      <c r="CF2993" s="56"/>
      <c r="CG2993" s="56"/>
      <c r="CH2993" s="56"/>
      <c r="CI2993" s="56"/>
      <c r="CJ2993" s="56"/>
      <c r="CK2993" s="56"/>
      <c r="CL2993" s="56"/>
      <c r="CM2993" s="56"/>
      <c r="CN2993" s="56"/>
      <c r="CO2993" s="56"/>
      <c r="CP2993" s="56"/>
      <c r="CQ2993" s="56"/>
      <c r="CR2993" s="56"/>
      <c r="CS2993" s="56"/>
      <c r="CT2993" s="56"/>
      <c r="CU2993" s="56"/>
      <c r="CV2993" s="56"/>
      <c r="CW2993" s="56"/>
      <c r="CX2993" s="56"/>
      <c r="CY2993" s="56"/>
      <c r="CZ2993" s="56"/>
    </row>
    <row r="2994" spans="27:104" s="5" customFormat="1" x14ac:dyDescent="0.25">
      <c r="AA2994" s="56"/>
      <c r="AB2994" s="56"/>
      <c r="AC2994" s="56"/>
      <c r="AD2994" s="56"/>
      <c r="AE2994" s="56"/>
      <c r="AF2994" s="56"/>
      <c r="AG2994" s="56"/>
      <c r="AH2994" s="56"/>
      <c r="AI2994" s="56"/>
      <c r="AJ2994" s="56"/>
      <c r="AK2994" s="56"/>
      <c r="AL2994" s="56"/>
      <c r="AM2994" s="56"/>
      <c r="AN2994" s="56"/>
      <c r="AO2994" s="56"/>
      <c r="AP2994" s="56"/>
      <c r="AQ2994" s="56"/>
      <c r="AR2994" s="56"/>
      <c r="AS2994" s="56"/>
      <c r="AT2994" s="56"/>
      <c r="AU2994" s="56"/>
      <c r="AV2994" s="56"/>
      <c r="AW2994" s="56"/>
      <c r="AX2994" s="56"/>
      <c r="AY2994" s="56"/>
      <c r="AZ2994" s="56"/>
      <c r="BA2994" s="56"/>
      <c r="BB2994" s="16"/>
      <c r="BC2994" s="56"/>
      <c r="BD2994" s="56"/>
      <c r="BE2994" s="56"/>
      <c r="BF2994" s="56"/>
      <c r="BG2994" s="56"/>
      <c r="BH2994" s="56"/>
      <c r="BI2994" s="56"/>
      <c r="BJ2994" s="56"/>
      <c r="BK2994" s="56"/>
      <c r="BL2994" s="56"/>
      <c r="BM2994" s="56"/>
      <c r="BN2994" s="56"/>
      <c r="BO2994" s="56"/>
      <c r="BP2994" s="56"/>
      <c r="BQ2994" s="56"/>
      <c r="BR2994" s="56"/>
      <c r="BS2994" s="56"/>
      <c r="BT2994" s="56"/>
      <c r="BU2994" s="56"/>
      <c r="BV2994" s="56"/>
      <c r="BW2994" s="56"/>
      <c r="BX2994" s="56"/>
      <c r="BY2994" s="56"/>
      <c r="BZ2994" s="56"/>
      <c r="CA2994" s="56"/>
      <c r="CB2994" s="56"/>
      <c r="CC2994" s="56"/>
      <c r="CD2994" s="56"/>
      <c r="CE2994" s="56"/>
      <c r="CF2994" s="56"/>
      <c r="CG2994" s="56"/>
      <c r="CH2994" s="56"/>
      <c r="CI2994" s="56"/>
      <c r="CJ2994" s="56"/>
      <c r="CK2994" s="56"/>
      <c r="CL2994" s="56"/>
      <c r="CM2994" s="56"/>
      <c r="CN2994" s="56"/>
      <c r="CO2994" s="56"/>
      <c r="CP2994" s="56"/>
      <c r="CQ2994" s="56"/>
      <c r="CR2994" s="56"/>
      <c r="CS2994" s="56"/>
      <c r="CT2994" s="56"/>
      <c r="CU2994" s="56"/>
      <c r="CV2994" s="56"/>
      <c r="CW2994" s="56"/>
      <c r="CX2994" s="56"/>
      <c r="CY2994" s="56"/>
      <c r="CZ2994" s="56"/>
    </row>
    <row r="2995" spans="27:104" s="5" customFormat="1" x14ac:dyDescent="0.25">
      <c r="AA2995" s="56"/>
      <c r="AB2995" s="56"/>
      <c r="AC2995" s="56"/>
      <c r="AD2995" s="56"/>
      <c r="AE2995" s="56"/>
      <c r="AF2995" s="56"/>
      <c r="AG2995" s="56"/>
      <c r="AH2995" s="56"/>
      <c r="AI2995" s="56"/>
      <c r="AJ2995" s="56"/>
      <c r="AK2995" s="56"/>
      <c r="AL2995" s="56"/>
      <c r="AM2995" s="56"/>
      <c r="AN2995" s="56"/>
      <c r="AO2995" s="56"/>
      <c r="AP2995" s="56"/>
      <c r="AQ2995" s="56"/>
      <c r="AR2995" s="56"/>
      <c r="AS2995" s="56"/>
      <c r="AT2995" s="56"/>
      <c r="AU2995" s="56"/>
      <c r="AV2995" s="56"/>
      <c r="AW2995" s="56"/>
      <c r="AX2995" s="56"/>
      <c r="AY2995" s="56"/>
      <c r="AZ2995" s="56"/>
      <c r="BA2995" s="56"/>
      <c r="BB2995" s="16"/>
      <c r="BC2995" s="56"/>
      <c r="BD2995" s="56"/>
      <c r="BE2995" s="56"/>
      <c r="BF2995" s="56"/>
      <c r="BG2995" s="56"/>
      <c r="BH2995" s="56"/>
      <c r="BI2995" s="56"/>
      <c r="BJ2995" s="56"/>
      <c r="BK2995" s="56"/>
      <c r="BL2995" s="56"/>
      <c r="BM2995" s="56"/>
      <c r="BN2995" s="56"/>
      <c r="BO2995" s="56"/>
      <c r="BP2995" s="56"/>
      <c r="BQ2995" s="56"/>
      <c r="BR2995" s="56"/>
      <c r="BS2995" s="56"/>
      <c r="BT2995" s="56"/>
      <c r="BU2995" s="56"/>
      <c r="BV2995" s="56"/>
      <c r="BW2995" s="56"/>
      <c r="BX2995" s="56"/>
      <c r="BY2995" s="56"/>
      <c r="BZ2995" s="56"/>
      <c r="CA2995" s="56"/>
      <c r="CB2995" s="56"/>
      <c r="CC2995" s="56"/>
      <c r="CD2995" s="56"/>
      <c r="CE2995" s="56"/>
      <c r="CF2995" s="56"/>
      <c r="CG2995" s="56"/>
      <c r="CH2995" s="56"/>
      <c r="CI2995" s="56"/>
      <c r="CJ2995" s="56"/>
      <c r="CK2995" s="56"/>
      <c r="CL2995" s="56"/>
      <c r="CM2995" s="56"/>
      <c r="CN2995" s="56"/>
      <c r="CO2995" s="56"/>
      <c r="CP2995" s="56"/>
      <c r="CQ2995" s="56"/>
      <c r="CR2995" s="56"/>
      <c r="CS2995" s="56"/>
      <c r="CT2995" s="56"/>
      <c r="CU2995" s="56"/>
      <c r="CV2995" s="56"/>
      <c r="CW2995" s="56"/>
      <c r="CX2995" s="56"/>
      <c r="CY2995" s="56"/>
      <c r="CZ2995" s="56"/>
    </row>
    <row r="2996" spans="27:104" s="5" customFormat="1" x14ac:dyDescent="0.25">
      <c r="AA2996" s="56"/>
      <c r="AB2996" s="56"/>
      <c r="AC2996" s="56"/>
      <c r="AD2996" s="56"/>
      <c r="AE2996" s="56"/>
      <c r="AF2996" s="56"/>
      <c r="AG2996" s="56"/>
      <c r="AH2996" s="56"/>
      <c r="AI2996" s="56"/>
      <c r="AJ2996" s="56"/>
      <c r="AK2996" s="56"/>
      <c r="AL2996" s="56"/>
      <c r="AM2996" s="56"/>
      <c r="AN2996" s="56"/>
      <c r="AO2996" s="56"/>
      <c r="AP2996" s="56"/>
      <c r="AQ2996" s="56"/>
      <c r="AR2996" s="56"/>
      <c r="AS2996" s="56"/>
      <c r="AT2996" s="56"/>
      <c r="AU2996" s="56"/>
      <c r="AV2996" s="56"/>
      <c r="AW2996" s="56"/>
      <c r="AX2996" s="56"/>
      <c r="AY2996" s="56"/>
      <c r="AZ2996" s="56"/>
      <c r="BA2996" s="56"/>
      <c r="BB2996" s="16"/>
      <c r="BC2996" s="56"/>
      <c r="BD2996" s="56"/>
      <c r="BE2996" s="56"/>
      <c r="BF2996" s="56"/>
      <c r="BG2996" s="56"/>
      <c r="BH2996" s="56"/>
      <c r="BI2996" s="56"/>
      <c r="BJ2996" s="56"/>
      <c r="BK2996" s="56"/>
      <c r="BL2996" s="56"/>
      <c r="BM2996" s="56"/>
      <c r="BN2996" s="56"/>
      <c r="BO2996" s="56"/>
      <c r="BP2996" s="56"/>
      <c r="BQ2996" s="56"/>
      <c r="BR2996" s="56"/>
      <c r="BS2996" s="56"/>
      <c r="BT2996" s="56"/>
      <c r="BU2996" s="56"/>
      <c r="BV2996" s="56"/>
      <c r="BW2996" s="56"/>
      <c r="BX2996" s="56"/>
      <c r="BY2996" s="56"/>
      <c r="BZ2996" s="56"/>
      <c r="CA2996" s="56"/>
      <c r="CB2996" s="56"/>
      <c r="CC2996" s="56"/>
      <c r="CD2996" s="56"/>
      <c r="CE2996" s="56"/>
      <c r="CF2996" s="56"/>
      <c r="CG2996" s="56"/>
      <c r="CH2996" s="56"/>
      <c r="CI2996" s="56"/>
      <c r="CJ2996" s="56"/>
      <c r="CK2996" s="56"/>
      <c r="CL2996" s="56"/>
      <c r="CM2996" s="56"/>
      <c r="CN2996" s="56"/>
      <c r="CO2996" s="56"/>
      <c r="CP2996" s="56"/>
      <c r="CQ2996" s="56"/>
      <c r="CR2996" s="56"/>
      <c r="CS2996" s="56"/>
      <c r="CT2996" s="56"/>
      <c r="CU2996" s="56"/>
      <c r="CV2996" s="56"/>
      <c r="CW2996" s="56"/>
      <c r="CX2996" s="56"/>
      <c r="CY2996" s="56"/>
      <c r="CZ2996" s="56"/>
    </row>
    <row r="2997" spans="27:104" s="5" customFormat="1" x14ac:dyDescent="0.25">
      <c r="AA2997" s="56"/>
      <c r="AB2997" s="56"/>
      <c r="AC2997" s="56"/>
      <c r="AD2997" s="56"/>
      <c r="AE2997" s="56"/>
      <c r="AF2997" s="56"/>
      <c r="AG2997" s="56"/>
      <c r="AH2997" s="56"/>
      <c r="AI2997" s="56"/>
      <c r="AJ2997" s="56"/>
      <c r="AK2997" s="56"/>
      <c r="AL2997" s="56"/>
      <c r="AM2997" s="56"/>
      <c r="AN2997" s="56"/>
      <c r="AO2997" s="56"/>
      <c r="AP2997" s="56"/>
      <c r="AQ2997" s="56"/>
      <c r="AR2997" s="56"/>
      <c r="AS2997" s="56"/>
      <c r="AT2997" s="56"/>
      <c r="AU2997" s="56"/>
      <c r="AV2997" s="56"/>
      <c r="AW2997" s="56"/>
      <c r="AX2997" s="56"/>
      <c r="AY2997" s="56"/>
      <c r="AZ2997" s="56"/>
      <c r="BA2997" s="56"/>
      <c r="BB2997" s="16"/>
      <c r="BC2997" s="56"/>
      <c r="BD2997" s="56"/>
      <c r="BE2997" s="56"/>
      <c r="BF2997" s="56"/>
      <c r="BG2997" s="56"/>
      <c r="BH2997" s="56"/>
      <c r="BI2997" s="56"/>
      <c r="BJ2997" s="56"/>
      <c r="BK2997" s="56"/>
      <c r="BL2997" s="56"/>
      <c r="BM2997" s="56"/>
      <c r="BN2997" s="56"/>
      <c r="BO2997" s="56"/>
      <c r="BP2997" s="56"/>
      <c r="BQ2997" s="56"/>
      <c r="BR2997" s="56"/>
      <c r="BS2997" s="56"/>
      <c r="BT2997" s="56"/>
      <c r="BU2997" s="56"/>
      <c r="BV2997" s="56"/>
      <c r="BW2997" s="56"/>
      <c r="BX2997" s="56"/>
      <c r="BY2997" s="56"/>
      <c r="BZ2997" s="56"/>
      <c r="CA2997" s="56"/>
      <c r="CB2997" s="56"/>
      <c r="CC2997" s="56"/>
      <c r="CD2997" s="56"/>
      <c r="CE2997" s="56"/>
      <c r="CF2997" s="56"/>
      <c r="CG2997" s="56"/>
      <c r="CH2997" s="56"/>
      <c r="CI2997" s="56"/>
      <c r="CJ2997" s="56"/>
      <c r="CK2997" s="56"/>
      <c r="CL2997" s="56"/>
      <c r="CM2997" s="56"/>
      <c r="CN2997" s="56"/>
      <c r="CO2997" s="56"/>
      <c r="CP2997" s="56"/>
      <c r="CQ2997" s="56"/>
      <c r="CR2997" s="56"/>
      <c r="CS2997" s="56"/>
      <c r="CT2997" s="56"/>
      <c r="CU2997" s="56"/>
      <c r="CV2997" s="56"/>
      <c r="CW2997" s="56"/>
      <c r="CX2997" s="56"/>
      <c r="CY2997" s="56"/>
      <c r="CZ2997" s="56"/>
    </row>
    <row r="2998" spans="27:104" s="5" customFormat="1" x14ac:dyDescent="0.25">
      <c r="AA2998" s="56"/>
      <c r="AB2998" s="56"/>
      <c r="AC2998" s="56"/>
      <c r="AD2998" s="56"/>
      <c r="AE2998" s="56"/>
      <c r="AF2998" s="56"/>
      <c r="AG2998" s="56"/>
      <c r="AH2998" s="56"/>
      <c r="AI2998" s="56"/>
      <c r="AJ2998" s="56"/>
      <c r="AK2998" s="56"/>
      <c r="AL2998" s="56"/>
      <c r="AM2998" s="56"/>
      <c r="AN2998" s="56"/>
      <c r="AO2998" s="56"/>
      <c r="AP2998" s="56"/>
      <c r="AQ2998" s="56"/>
      <c r="AR2998" s="56"/>
      <c r="AS2998" s="56"/>
      <c r="AT2998" s="56"/>
      <c r="AU2998" s="56"/>
      <c r="AV2998" s="56"/>
      <c r="AW2998" s="56"/>
      <c r="AX2998" s="56"/>
      <c r="AY2998" s="56"/>
      <c r="AZ2998" s="56"/>
      <c r="BA2998" s="56"/>
      <c r="BB2998" s="16"/>
      <c r="BC2998" s="56"/>
      <c r="BD2998" s="56"/>
      <c r="BE2998" s="56"/>
      <c r="BF2998" s="56"/>
      <c r="BG2998" s="56"/>
      <c r="BH2998" s="56"/>
      <c r="BI2998" s="56"/>
      <c r="BJ2998" s="56"/>
      <c r="BK2998" s="56"/>
      <c r="BL2998" s="56"/>
      <c r="BM2998" s="56"/>
      <c r="BN2998" s="56"/>
      <c r="BO2998" s="56"/>
      <c r="BP2998" s="56"/>
      <c r="BQ2998" s="56"/>
      <c r="BR2998" s="56"/>
      <c r="BS2998" s="56"/>
      <c r="BT2998" s="56"/>
      <c r="BU2998" s="56"/>
      <c r="BV2998" s="56"/>
      <c r="BW2998" s="56"/>
      <c r="BX2998" s="56"/>
      <c r="BY2998" s="56"/>
      <c r="BZ2998" s="56"/>
      <c r="CA2998" s="56"/>
      <c r="CB2998" s="56"/>
      <c r="CC2998" s="56"/>
      <c r="CD2998" s="56"/>
      <c r="CE2998" s="56"/>
      <c r="CF2998" s="56"/>
      <c r="CG2998" s="56"/>
      <c r="CH2998" s="56"/>
      <c r="CI2998" s="56"/>
      <c r="CJ2998" s="56"/>
      <c r="CK2998" s="56"/>
      <c r="CL2998" s="56"/>
      <c r="CM2998" s="56"/>
      <c r="CN2998" s="56"/>
      <c r="CO2998" s="56"/>
      <c r="CP2998" s="56"/>
      <c r="CQ2998" s="56"/>
      <c r="CR2998" s="56"/>
      <c r="CS2998" s="56"/>
      <c r="CT2998" s="56"/>
      <c r="CU2998" s="56"/>
      <c r="CV2998" s="56"/>
      <c r="CW2998" s="56"/>
      <c r="CX2998" s="56"/>
      <c r="CY2998" s="56"/>
      <c r="CZ2998" s="56"/>
    </row>
    <row r="2999" spans="27:104" s="5" customFormat="1" x14ac:dyDescent="0.25">
      <c r="AA2999" s="56"/>
      <c r="AB2999" s="56"/>
      <c r="AC2999" s="56"/>
      <c r="AD2999" s="56"/>
      <c r="AE2999" s="56"/>
      <c r="AF2999" s="56"/>
      <c r="AG2999" s="56"/>
      <c r="AH2999" s="56"/>
      <c r="AI2999" s="56"/>
      <c r="AJ2999" s="56"/>
      <c r="AK2999" s="56"/>
      <c r="AL2999" s="56"/>
      <c r="AM2999" s="56"/>
      <c r="AN2999" s="56"/>
      <c r="AO2999" s="56"/>
      <c r="AP2999" s="56"/>
      <c r="AQ2999" s="56"/>
      <c r="AR2999" s="56"/>
      <c r="AS2999" s="56"/>
      <c r="AT2999" s="56"/>
      <c r="AU2999" s="56"/>
      <c r="AV2999" s="56"/>
      <c r="AW2999" s="56"/>
      <c r="AX2999" s="56"/>
      <c r="AY2999" s="56"/>
      <c r="AZ2999" s="56"/>
      <c r="BA2999" s="56"/>
      <c r="BB2999" s="16"/>
      <c r="BC2999" s="56"/>
      <c r="BD2999" s="56"/>
      <c r="BE2999" s="56"/>
      <c r="BF2999" s="56"/>
      <c r="BG2999" s="56"/>
      <c r="BH2999" s="56"/>
      <c r="BI2999" s="56"/>
      <c r="BJ2999" s="56"/>
      <c r="BK2999" s="56"/>
      <c r="BL2999" s="56"/>
      <c r="BM2999" s="56"/>
      <c r="BN2999" s="56"/>
      <c r="BO2999" s="56"/>
      <c r="BP2999" s="56"/>
      <c r="BQ2999" s="56"/>
      <c r="BR2999" s="56"/>
      <c r="BS2999" s="56"/>
      <c r="BT2999" s="56"/>
      <c r="BU2999" s="56"/>
      <c r="BV2999" s="56"/>
      <c r="BW2999" s="56"/>
      <c r="BX2999" s="56"/>
      <c r="BY2999" s="56"/>
      <c r="BZ2999" s="56"/>
      <c r="CA2999" s="56"/>
      <c r="CB2999" s="56"/>
      <c r="CC2999" s="56"/>
      <c r="CD2999" s="56"/>
      <c r="CE2999" s="56"/>
      <c r="CF2999" s="56"/>
      <c r="CG2999" s="56"/>
      <c r="CH2999" s="56"/>
      <c r="CI2999" s="56"/>
      <c r="CJ2999" s="56"/>
      <c r="CK2999" s="56"/>
      <c r="CL2999" s="56"/>
      <c r="CM2999" s="56"/>
      <c r="CN2999" s="56"/>
      <c r="CO2999" s="56"/>
      <c r="CP2999" s="56"/>
      <c r="CQ2999" s="56"/>
      <c r="CR2999" s="56"/>
      <c r="CS2999" s="56"/>
      <c r="CT2999" s="56"/>
      <c r="CU2999" s="56"/>
      <c r="CV2999" s="56"/>
      <c r="CW2999" s="56"/>
      <c r="CX2999" s="56"/>
      <c r="CY2999" s="56"/>
      <c r="CZ2999" s="56"/>
    </row>
    <row r="3000" spans="27:104" s="5" customFormat="1" x14ac:dyDescent="0.25">
      <c r="AA3000" s="56"/>
      <c r="AB3000" s="56"/>
      <c r="AC3000" s="56"/>
      <c r="AD3000" s="56"/>
      <c r="AE3000" s="56"/>
      <c r="AF3000" s="56"/>
      <c r="AG3000" s="56"/>
      <c r="AH3000" s="56"/>
      <c r="AI3000" s="56"/>
      <c r="AJ3000" s="56"/>
      <c r="AK3000" s="56"/>
      <c r="AL3000" s="56"/>
      <c r="AM3000" s="56"/>
      <c r="AN3000" s="56"/>
      <c r="AO3000" s="56"/>
      <c r="AP3000" s="56"/>
      <c r="AQ3000" s="56"/>
      <c r="AR3000" s="56"/>
      <c r="AS3000" s="56"/>
      <c r="AT3000" s="56"/>
      <c r="AU3000" s="56"/>
      <c r="AV3000" s="56"/>
      <c r="AW3000" s="56"/>
      <c r="AX3000" s="56"/>
      <c r="AY3000" s="56"/>
      <c r="AZ3000" s="56"/>
      <c r="BA3000" s="56"/>
      <c r="BB3000" s="16"/>
      <c r="BC3000" s="56"/>
      <c r="BD3000" s="56"/>
      <c r="BE3000" s="56"/>
      <c r="BF3000" s="56"/>
      <c r="BG3000" s="56"/>
      <c r="BH3000" s="56"/>
      <c r="BI3000" s="56"/>
      <c r="BJ3000" s="56"/>
      <c r="BK3000" s="56"/>
      <c r="BL3000" s="56"/>
      <c r="BM3000" s="56"/>
      <c r="BN3000" s="56"/>
      <c r="BO3000" s="56"/>
      <c r="BP3000" s="56"/>
      <c r="BQ3000" s="56"/>
      <c r="BR3000" s="56"/>
      <c r="BS3000" s="56"/>
      <c r="BT3000" s="56"/>
      <c r="BU3000" s="56"/>
      <c r="BV3000" s="56"/>
      <c r="BW3000" s="56"/>
      <c r="BX3000" s="56"/>
      <c r="BY3000" s="56"/>
      <c r="BZ3000" s="56"/>
      <c r="CA3000" s="56"/>
      <c r="CB3000" s="56"/>
      <c r="CC3000" s="56"/>
      <c r="CD3000" s="56"/>
      <c r="CE3000" s="56"/>
      <c r="CF3000" s="56"/>
      <c r="CG3000" s="56"/>
      <c r="CH3000" s="56"/>
      <c r="CI3000" s="56"/>
      <c r="CJ3000" s="56"/>
      <c r="CK3000" s="56"/>
      <c r="CL3000" s="56"/>
      <c r="CM3000" s="56"/>
      <c r="CN3000" s="56"/>
      <c r="CO3000" s="56"/>
      <c r="CP3000" s="56"/>
      <c r="CQ3000" s="56"/>
      <c r="CR3000" s="56"/>
      <c r="CS3000" s="56"/>
      <c r="CT3000" s="56"/>
      <c r="CU3000" s="56"/>
      <c r="CV3000" s="56"/>
      <c r="CW3000" s="56"/>
      <c r="CX3000" s="56"/>
      <c r="CY3000" s="56"/>
      <c r="CZ3000" s="56"/>
    </row>
    <row r="3001" spans="27:104" s="5" customFormat="1" x14ac:dyDescent="0.25">
      <c r="AA3001" s="56"/>
      <c r="AB3001" s="56"/>
      <c r="AC3001" s="56"/>
      <c r="AD3001" s="56"/>
      <c r="AE3001" s="56"/>
      <c r="AF3001" s="56"/>
      <c r="AG3001" s="56"/>
      <c r="AH3001" s="56"/>
      <c r="AI3001" s="56"/>
      <c r="AJ3001" s="56"/>
      <c r="AK3001" s="56"/>
      <c r="AL3001" s="56"/>
      <c r="AM3001" s="56"/>
      <c r="AN3001" s="56"/>
      <c r="AO3001" s="56"/>
      <c r="AP3001" s="56"/>
      <c r="AQ3001" s="56"/>
      <c r="AR3001" s="56"/>
      <c r="AS3001" s="56"/>
      <c r="AT3001" s="56"/>
      <c r="AU3001" s="56"/>
      <c r="AV3001" s="56"/>
      <c r="AW3001" s="56"/>
      <c r="AX3001" s="56"/>
      <c r="AY3001" s="56"/>
      <c r="AZ3001" s="56"/>
      <c r="BA3001" s="56"/>
      <c r="BB3001" s="16"/>
      <c r="BC3001" s="56"/>
      <c r="BD3001" s="56"/>
      <c r="BE3001" s="56"/>
      <c r="BF3001" s="56"/>
      <c r="BG3001" s="56"/>
      <c r="BH3001" s="56"/>
      <c r="BI3001" s="56"/>
      <c r="BJ3001" s="56"/>
      <c r="BK3001" s="56"/>
      <c r="BL3001" s="56"/>
      <c r="BM3001" s="56"/>
      <c r="BN3001" s="56"/>
      <c r="BO3001" s="56"/>
      <c r="BP3001" s="56"/>
      <c r="BQ3001" s="56"/>
      <c r="BR3001" s="56"/>
      <c r="BS3001" s="56"/>
      <c r="BT3001" s="56"/>
      <c r="BU3001" s="56"/>
      <c r="BV3001" s="56"/>
      <c r="BW3001" s="56"/>
      <c r="BX3001" s="56"/>
      <c r="BY3001" s="56"/>
      <c r="BZ3001" s="56"/>
      <c r="CA3001" s="56"/>
      <c r="CB3001" s="56"/>
      <c r="CC3001" s="56"/>
      <c r="CD3001" s="56"/>
      <c r="CE3001" s="56"/>
      <c r="CF3001" s="56"/>
      <c r="CG3001" s="56"/>
      <c r="CH3001" s="56"/>
      <c r="CI3001" s="56"/>
      <c r="CJ3001" s="56"/>
      <c r="CK3001" s="56"/>
      <c r="CL3001" s="56"/>
      <c r="CM3001" s="56"/>
      <c r="CN3001" s="56"/>
      <c r="CO3001" s="56"/>
      <c r="CP3001" s="56"/>
      <c r="CQ3001" s="56"/>
      <c r="CR3001" s="56"/>
      <c r="CS3001" s="56"/>
      <c r="CT3001" s="56"/>
      <c r="CU3001" s="56"/>
      <c r="CV3001" s="56"/>
      <c r="CW3001" s="56"/>
      <c r="CX3001" s="56"/>
      <c r="CY3001" s="56"/>
      <c r="CZ3001" s="56"/>
    </row>
    <row r="3002" spans="27:104" s="5" customFormat="1" x14ac:dyDescent="0.25">
      <c r="AA3002" s="56"/>
      <c r="AB3002" s="56"/>
      <c r="AC3002" s="56"/>
      <c r="AD3002" s="56"/>
      <c r="AE3002" s="56"/>
      <c r="AF3002" s="56"/>
      <c r="AG3002" s="56"/>
      <c r="AH3002" s="56"/>
      <c r="AI3002" s="56"/>
      <c r="AJ3002" s="56"/>
      <c r="AK3002" s="56"/>
      <c r="AL3002" s="56"/>
      <c r="AM3002" s="56"/>
      <c r="AN3002" s="56"/>
      <c r="AO3002" s="56"/>
      <c r="AP3002" s="56"/>
      <c r="AQ3002" s="56"/>
      <c r="AR3002" s="56"/>
      <c r="AS3002" s="56"/>
      <c r="AT3002" s="56"/>
      <c r="AU3002" s="56"/>
      <c r="AV3002" s="56"/>
      <c r="AW3002" s="56"/>
      <c r="AX3002" s="56"/>
      <c r="AY3002" s="56"/>
      <c r="AZ3002" s="56"/>
      <c r="BA3002" s="56"/>
      <c r="BB3002" s="16"/>
      <c r="BC3002" s="56"/>
      <c r="BD3002" s="56"/>
      <c r="BE3002" s="56"/>
      <c r="BF3002" s="56"/>
      <c r="BG3002" s="56"/>
      <c r="BH3002" s="56"/>
      <c r="BI3002" s="56"/>
      <c r="BJ3002" s="56"/>
      <c r="BK3002" s="56"/>
      <c r="BL3002" s="56"/>
      <c r="BM3002" s="56"/>
      <c r="BN3002" s="56"/>
      <c r="BO3002" s="56"/>
      <c r="BP3002" s="56"/>
      <c r="BQ3002" s="56"/>
      <c r="BR3002" s="56"/>
      <c r="BS3002" s="56"/>
      <c r="BT3002" s="56"/>
      <c r="BU3002" s="56"/>
      <c r="BV3002" s="56"/>
      <c r="BW3002" s="56"/>
      <c r="BX3002" s="56"/>
      <c r="BY3002" s="56"/>
      <c r="BZ3002" s="56"/>
      <c r="CA3002" s="56"/>
      <c r="CB3002" s="56"/>
      <c r="CC3002" s="56"/>
      <c r="CD3002" s="56"/>
      <c r="CE3002" s="56"/>
      <c r="CF3002" s="56"/>
      <c r="CG3002" s="56"/>
      <c r="CH3002" s="56"/>
      <c r="CI3002" s="56"/>
      <c r="CJ3002" s="56"/>
      <c r="CK3002" s="56"/>
      <c r="CL3002" s="56"/>
      <c r="CM3002" s="56"/>
      <c r="CN3002" s="56"/>
      <c r="CO3002" s="56"/>
      <c r="CP3002" s="56"/>
      <c r="CQ3002" s="56"/>
      <c r="CR3002" s="56"/>
      <c r="CS3002" s="56"/>
      <c r="CT3002" s="56"/>
      <c r="CU3002" s="56"/>
      <c r="CV3002" s="56"/>
      <c r="CW3002" s="56"/>
      <c r="CX3002" s="56"/>
      <c r="CY3002" s="56"/>
      <c r="CZ3002" s="56"/>
    </row>
    <row r="3003" spans="27:104" s="5" customFormat="1" x14ac:dyDescent="0.25">
      <c r="AA3003" s="56"/>
      <c r="AB3003" s="56"/>
      <c r="AC3003" s="56"/>
      <c r="AD3003" s="56"/>
      <c r="AE3003" s="56"/>
      <c r="AF3003" s="56"/>
      <c r="AG3003" s="56"/>
      <c r="AH3003" s="56"/>
      <c r="AI3003" s="56"/>
      <c r="AJ3003" s="56"/>
      <c r="AK3003" s="56"/>
      <c r="AL3003" s="56"/>
      <c r="AM3003" s="56"/>
      <c r="AN3003" s="56"/>
      <c r="AO3003" s="56"/>
      <c r="AP3003" s="56"/>
      <c r="AQ3003" s="56"/>
      <c r="AR3003" s="56"/>
      <c r="AS3003" s="56"/>
      <c r="AT3003" s="56"/>
      <c r="AU3003" s="56"/>
      <c r="AV3003" s="56"/>
      <c r="AW3003" s="56"/>
      <c r="AX3003" s="56"/>
      <c r="AY3003" s="56"/>
      <c r="AZ3003" s="56"/>
      <c r="BA3003" s="56"/>
      <c r="BB3003" s="16"/>
      <c r="BC3003" s="56"/>
      <c r="BD3003" s="56"/>
      <c r="BE3003" s="56"/>
      <c r="BF3003" s="56"/>
      <c r="BG3003" s="56"/>
      <c r="BH3003" s="56"/>
      <c r="BI3003" s="56"/>
      <c r="BJ3003" s="56"/>
      <c r="BK3003" s="56"/>
      <c r="BL3003" s="56"/>
      <c r="BM3003" s="56"/>
      <c r="BN3003" s="56"/>
      <c r="BO3003" s="56"/>
      <c r="BP3003" s="56"/>
      <c r="BQ3003" s="56"/>
      <c r="BR3003" s="56"/>
      <c r="BS3003" s="56"/>
      <c r="BT3003" s="56"/>
      <c r="BU3003" s="56"/>
      <c r="BV3003" s="56"/>
      <c r="BW3003" s="56"/>
      <c r="BX3003" s="56"/>
      <c r="BY3003" s="56"/>
      <c r="BZ3003" s="56"/>
      <c r="CA3003" s="56"/>
      <c r="CB3003" s="56"/>
      <c r="CC3003" s="56"/>
      <c r="CD3003" s="56"/>
      <c r="CE3003" s="56"/>
      <c r="CF3003" s="56"/>
      <c r="CG3003" s="56"/>
      <c r="CH3003" s="56"/>
      <c r="CI3003" s="56"/>
      <c r="CJ3003" s="56"/>
      <c r="CK3003" s="56"/>
      <c r="CL3003" s="56"/>
      <c r="CM3003" s="56"/>
      <c r="CN3003" s="56"/>
      <c r="CO3003" s="56"/>
      <c r="CP3003" s="56"/>
      <c r="CQ3003" s="56"/>
      <c r="CR3003" s="56"/>
      <c r="CS3003" s="56"/>
      <c r="CT3003" s="56"/>
      <c r="CU3003" s="56"/>
      <c r="CV3003" s="56"/>
      <c r="CW3003" s="56"/>
      <c r="CX3003" s="56"/>
      <c r="CY3003" s="56"/>
      <c r="CZ3003" s="56"/>
    </row>
    <row r="3004" spans="27:104" s="5" customFormat="1" x14ac:dyDescent="0.25">
      <c r="AA3004" s="56"/>
      <c r="AB3004" s="56"/>
      <c r="AC3004" s="56"/>
      <c r="AD3004" s="56"/>
      <c r="AE3004" s="56"/>
      <c r="AF3004" s="56"/>
      <c r="AG3004" s="56"/>
      <c r="AH3004" s="56"/>
      <c r="AI3004" s="56"/>
      <c r="AJ3004" s="56"/>
      <c r="AK3004" s="56"/>
      <c r="AL3004" s="56"/>
      <c r="AM3004" s="56"/>
      <c r="AN3004" s="56"/>
      <c r="AO3004" s="56"/>
      <c r="AP3004" s="56"/>
      <c r="AQ3004" s="56"/>
      <c r="AR3004" s="56"/>
      <c r="AS3004" s="56"/>
      <c r="AT3004" s="56"/>
      <c r="AU3004" s="56"/>
      <c r="AV3004" s="56"/>
      <c r="AW3004" s="56"/>
      <c r="AX3004" s="56"/>
      <c r="AY3004" s="56"/>
      <c r="AZ3004" s="56"/>
      <c r="BA3004" s="56"/>
      <c r="BB3004" s="16"/>
      <c r="BC3004" s="56"/>
      <c r="BD3004" s="56"/>
      <c r="BE3004" s="56"/>
      <c r="BF3004" s="56"/>
      <c r="BG3004" s="56"/>
      <c r="BH3004" s="56"/>
      <c r="BI3004" s="56"/>
      <c r="BJ3004" s="56"/>
      <c r="BK3004" s="56"/>
      <c r="BL3004" s="56"/>
      <c r="BM3004" s="56"/>
      <c r="BN3004" s="56"/>
      <c r="BO3004" s="56"/>
      <c r="BP3004" s="56"/>
      <c r="BQ3004" s="56"/>
      <c r="BR3004" s="56"/>
      <c r="BS3004" s="56"/>
      <c r="BT3004" s="56"/>
      <c r="BU3004" s="56"/>
      <c r="BV3004" s="56"/>
      <c r="BW3004" s="56"/>
      <c r="BX3004" s="56"/>
      <c r="BY3004" s="56"/>
      <c r="BZ3004" s="56"/>
      <c r="CA3004" s="56"/>
      <c r="CB3004" s="56"/>
      <c r="CC3004" s="56"/>
      <c r="CD3004" s="56"/>
      <c r="CE3004" s="56"/>
      <c r="CF3004" s="56"/>
      <c r="CG3004" s="56"/>
      <c r="CH3004" s="56"/>
      <c r="CI3004" s="56"/>
      <c r="CJ3004" s="56"/>
      <c r="CK3004" s="56"/>
      <c r="CL3004" s="56"/>
      <c r="CM3004" s="56"/>
      <c r="CN3004" s="56"/>
      <c r="CO3004" s="56"/>
      <c r="CP3004" s="56"/>
      <c r="CQ3004" s="56"/>
      <c r="CR3004" s="56"/>
      <c r="CS3004" s="56"/>
      <c r="CT3004" s="56"/>
      <c r="CU3004" s="56"/>
      <c r="CV3004" s="56"/>
      <c r="CW3004" s="56"/>
      <c r="CX3004" s="56"/>
      <c r="CY3004" s="56"/>
      <c r="CZ3004" s="56"/>
    </row>
    <row r="3005" spans="27:104" s="5" customFormat="1" x14ac:dyDescent="0.25">
      <c r="AA3005" s="56"/>
      <c r="AB3005" s="56"/>
      <c r="AC3005" s="56"/>
      <c r="AD3005" s="56"/>
      <c r="AE3005" s="56"/>
      <c r="AF3005" s="56"/>
      <c r="AG3005" s="56"/>
      <c r="AH3005" s="56"/>
      <c r="AI3005" s="56"/>
      <c r="AJ3005" s="56"/>
      <c r="AK3005" s="56"/>
      <c r="AL3005" s="56"/>
      <c r="AM3005" s="56"/>
      <c r="AN3005" s="56"/>
      <c r="AO3005" s="56"/>
      <c r="AP3005" s="56"/>
      <c r="AQ3005" s="56"/>
      <c r="AR3005" s="56"/>
      <c r="AS3005" s="56"/>
      <c r="AT3005" s="56"/>
      <c r="AU3005" s="56"/>
      <c r="AV3005" s="56"/>
      <c r="AW3005" s="56"/>
      <c r="AX3005" s="56"/>
      <c r="AY3005" s="56"/>
      <c r="AZ3005" s="56"/>
      <c r="BA3005" s="56"/>
      <c r="BB3005" s="16"/>
      <c r="BC3005" s="56"/>
      <c r="BD3005" s="56"/>
      <c r="BE3005" s="56"/>
      <c r="BF3005" s="56"/>
      <c r="BG3005" s="56"/>
      <c r="BH3005" s="56"/>
      <c r="BI3005" s="56"/>
      <c r="BJ3005" s="56"/>
      <c r="BK3005" s="56"/>
      <c r="BL3005" s="56"/>
      <c r="BM3005" s="56"/>
      <c r="BN3005" s="56"/>
      <c r="BO3005" s="56"/>
      <c r="BP3005" s="56"/>
      <c r="BQ3005" s="56"/>
      <c r="BR3005" s="56"/>
      <c r="BS3005" s="56"/>
      <c r="BT3005" s="56"/>
      <c r="BU3005" s="56"/>
      <c r="BV3005" s="56"/>
      <c r="BW3005" s="56"/>
      <c r="BX3005" s="56"/>
      <c r="BY3005" s="56"/>
      <c r="BZ3005" s="56"/>
      <c r="CA3005" s="56"/>
      <c r="CB3005" s="56"/>
      <c r="CC3005" s="56"/>
      <c r="CD3005" s="56"/>
      <c r="CE3005" s="56"/>
      <c r="CF3005" s="56"/>
      <c r="CG3005" s="56"/>
      <c r="CH3005" s="56"/>
      <c r="CI3005" s="56"/>
      <c r="CJ3005" s="56"/>
      <c r="CK3005" s="56"/>
      <c r="CL3005" s="56"/>
      <c r="CM3005" s="56"/>
      <c r="CN3005" s="56"/>
      <c r="CO3005" s="56"/>
      <c r="CP3005" s="56"/>
      <c r="CQ3005" s="56"/>
      <c r="CR3005" s="56"/>
      <c r="CS3005" s="56"/>
      <c r="CT3005" s="56"/>
      <c r="CU3005" s="56"/>
      <c r="CV3005" s="56"/>
      <c r="CW3005" s="56"/>
      <c r="CX3005" s="56"/>
      <c r="CY3005" s="56"/>
      <c r="CZ3005" s="56"/>
    </row>
    <row r="3006" spans="27:104" s="5" customFormat="1" x14ac:dyDescent="0.25">
      <c r="AA3006" s="56"/>
      <c r="AB3006" s="56"/>
      <c r="AC3006" s="56"/>
      <c r="AD3006" s="56"/>
      <c r="AE3006" s="56"/>
      <c r="AF3006" s="56"/>
      <c r="AG3006" s="56"/>
      <c r="AH3006" s="56"/>
      <c r="AI3006" s="56"/>
      <c r="AJ3006" s="56"/>
      <c r="AK3006" s="56"/>
      <c r="AL3006" s="56"/>
      <c r="AM3006" s="56"/>
      <c r="AN3006" s="56"/>
      <c r="AO3006" s="56"/>
      <c r="AP3006" s="56"/>
      <c r="AQ3006" s="56"/>
      <c r="AR3006" s="56"/>
      <c r="AS3006" s="56"/>
      <c r="AT3006" s="56"/>
      <c r="AU3006" s="56"/>
      <c r="AV3006" s="56"/>
      <c r="AW3006" s="56"/>
      <c r="AX3006" s="56"/>
      <c r="AY3006" s="56"/>
      <c r="AZ3006" s="56"/>
      <c r="BA3006" s="56"/>
      <c r="BB3006" s="16"/>
      <c r="BC3006" s="56"/>
      <c r="BD3006" s="56"/>
      <c r="BE3006" s="56"/>
      <c r="BF3006" s="56"/>
      <c r="BG3006" s="56"/>
      <c r="BH3006" s="56"/>
      <c r="BI3006" s="56"/>
      <c r="BJ3006" s="56"/>
      <c r="BK3006" s="56"/>
      <c r="BL3006" s="56"/>
      <c r="BM3006" s="56"/>
      <c r="BN3006" s="56"/>
      <c r="BO3006" s="56"/>
      <c r="BP3006" s="56"/>
      <c r="BQ3006" s="56"/>
      <c r="BR3006" s="56"/>
      <c r="BS3006" s="56"/>
      <c r="BT3006" s="56"/>
      <c r="BU3006" s="56"/>
      <c r="BV3006" s="56"/>
      <c r="BW3006" s="56"/>
      <c r="BX3006" s="56"/>
      <c r="BY3006" s="56"/>
      <c r="BZ3006" s="56"/>
      <c r="CA3006" s="56"/>
      <c r="CB3006" s="56"/>
      <c r="CC3006" s="56"/>
      <c r="CD3006" s="56"/>
      <c r="CE3006" s="56"/>
      <c r="CF3006" s="56"/>
      <c r="CG3006" s="56"/>
      <c r="CH3006" s="56"/>
      <c r="CI3006" s="56"/>
      <c r="CJ3006" s="56"/>
      <c r="CK3006" s="56"/>
      <c r="CL3006" s="56"/>
      <c r="CM3006" s="56"/>
      <c r="CN3006" s="56"/>
      <c r="CO3006" s="56"/>
      <c r="CP3006" s="56"/>
      <c r="CQ3006" s="56"/>
      <c r="CR3006" s="56"/>
      <c r="CS3006" s="56"/>
      <c r="CT3006" s="56"/>
      <c r="CU3006" s="56"/>
      <c r="CV3006" s="56"/>
      <c r="CW3006" s="56"/>
      <c r="CX3006" s="56"/>
      <c r="CY3006" s="56"/>
      <c r="CZ3006" s="56"/>
    </row>
    <row r="3007" spans="27:104" s="5" customFormat="1" x14ac:dyDescent="0.25">
      <c r="AA3007" s="56"/>
      <c r="AB3007" s="56"/>
      <c r="AC3007" s="56"/>
      <c r="AD3007" s="56"/>
      <c r="AE3007" s="56"/>
      <c r="AF3007" s="56"/>
      <c r="AG3007" s="56"/>
      <c r="AH3007" s="56"/>
      <c r="AI3007" s="56"/>
      <c r="AJ3007" s="56"/>
      <c r="AK3007" s="56"/>
      <c r="AL3007" s="56"/>
      <c r="AM3007" s="56"/>
      <c r="AN3007" s="56"/>
      <c r="AO3007" s="56"/>
      <c r="AP3007" s="56"/>
      <c r="AQ3007" s="56"/>
      <c r="AR3007" s="56"/>
      <c r="AS3007" s="56"/>
      <c r="AT3007" s="56"/>
      <c r="AU3007" s="56"/>
      <c r="AV3007" s="56"/>
      <c r="AW3007" s="56"/>
      <c r="AX3007" s="56"/>
      <c r="AY3007" s="56"/>
      <c r="AZ3007" s="56"/>
      <c r="BA3007" s="56"/>
      <c r="BB3007" s="16"/>
      <c r="BC3007" s="56"/>
      <c r="BD3007" s="56"/>
      <c r="BE3007" s="56"/>
      <c r="BF3007" s="56"/>
      <c r="BG3007" s="56"/>
      <c r="BH3007" s="56"/>
      <c r="BI3007" s="56"/>
      <c r="BJ3007" s="56"/>
      <c r="BK3007" s="56"/>
      <c r="BL3007" s="56"/>
      <c r="BM3007" s="56"/>
      <c r="BN3007" s="56"/>
      <c r="BO3007" s="56"/>
      <c r="BP3007" s="56"/>
      <c r="BQ3007" s="56"/>
      <c r="BR3007" s="56"/>
      <c r="BS3007" s="56"/>
      <c r="BT3007" s="56"/>
      <c r="BU3007" s="56"/>
      <c r="BV3007" s="56"/>
      <c r="BW3007" s="56"/>
      <c r="BX3007" s="56"/>
      <c r="BY3007" s="56"/>
      <c r="BZ3007" s="56"/>
      <c r="CA3007" s="56"/>
      <c r="CB3007" s="56"/>
      <c r="CC3007" s="56"/>
      <c r="CD3007" s="56"/>
      <c r="CE3007" s="56"/>
      <c r="CF3007" s="56"/>
      <c r="CG3007" s="56"/>
      <c r="CH3007" s="56"/>
      <c r="CI3007" s="56"/>
      <c r="CJ3007" s="56"/>
      <c r="CK3007" s="56"/>
      <c r="CL3007" s="56"/>
      <c r="CM3007" s="56"/>
      <c r="CN3007" s="56"/>
      <c r="CO3007" s="56"/>
      <c r="CP3007" s="56"/>
      <c r="CQ3007" s="56"/>
      <c r="CR3007" s="56"/>
      <c r="CS3007" s="56"/>
      <c r="CT3007" s="56"/>
      <c r="CU3007" s="56"/>
      <c r="CV3007" s="56"/>
      <c r="CW3007" s="56"/>
      <c r="CX3007" s="56"/>
      <c r="CY3007" s="56"/>
      <c r="CZ3007" s="56"/>
    </row>
    <row r="3008" spans="27:104" s="5" customFormat="1" x14ac:dyDescent="0.25">
      <c r="AA3008" s="56"/>
      <c r="AB3008" s="56"/>
      <c r="AC3008" s="56"/>
      <c r="AD3008" s="56"/>
      <c r="AE3008" s="56"/>
      <c r="AF3008" s="56"/>
      <c r="AG3008" s="56"/>
      <c r="AH3008" s="56"/>
      <c r="AI3008" s="56"/>
      <c r="AJ3008" s="56"/>
      <c r="AK3008" s="56"/>
      <c r="AL3008" s="56"/>
      <c r="AM3008" s="56"/>
      <c r="AN3008" s="56"/>
      <c r="AO3008" s="56"/>
      <c r="AP3008" s="56"/>
      <c r="AQ3008" s="56"/>
      <c r="AR3008" s="56"/>
      <c r="AS3008" s="56"/>
      <c r="AT3008" s="56"/>
      <c r="AU3008" s="56"/>
      <c r="AV3008" s="56"/>
      <c r="AW3008" s="56"/>
      <c r="AX3008" s="56"/>
      <c r="AY3008" s="56"/>
      <c r="AZ3008" s="56"/>
      <c r="BA3008" s="56"/>
      <c r="BB3008" s="16"/>
      <c r="BC3008" s="56"/>
      <c r="BD3008" s="56"/>
      <c r="BE3008" s="56"/>
      <c r="BF3008" s="56"/>
      <c r="BG3008" s="56"/>
      <c r="BH3008" s="56"/>
      <c r="BI3008" s="56"/>
      <c r="BJ3008" s="56"/>
      <c r="BK3008" s="56"/>
      <c r="BL3008" s="56"/>
      <c r="BM3008" s="56"/>
      <c r="BN3008" s="56"/>
      <c r="BO3008" s="56"/>
      <c r="BP3008" s="56"/>
      <c r="BQ3008" s="56"/>
      <c r="BR3008" s="56"/>
      <c r="BS3008" s="56"/>
      <c r="BT3008" s="56"/>
      <c r="BU3008" s="56"/>
      <c r="BV3008" s="56"/>
      <c r="BW3008" s="56"/>
      <c r="BX3008" s="56"/>
      <c r="BY3008" s="56"/>
      <c r="BZ3008" s="56"/>
      <c r="CA3008" s="56"/>
      <c r="CB3008" s="56"/>
      <c r="CC3008" s="56"/>
      <c r="CD3008" s="56"/>
      <c r="CE3008" s="56"/>
      <c r="CF3008" s="56"/>
      <c r="CG3008" s="56"/>
      <c r="CH3008" s="56"/>
      <c r="CI3008" s="56"/>
      <c r="CJ3008" s="56"/>
      <c r="CK3008" s="56"/>
      <c r="CL3008" s="56"/>
      <c r="CM3008" s="56"/>
      <c r="CN3008" s="56"/>
      <c r="CO3008" s="56"/>
      <c r="CP3008" s="56"/>
      <c r="CQ3008" s="56"/>
      <c r="CR3008" s="56"/>
      <c r="CS3008" s="56"/>
      <c r="CT3008" s="56"/>
      <c r="CU3008" s="56"/>
      <c r="CV3008" s="56"/>
      <c r="CW3008" s="56"/>
      <c r="CX3008" s="56"/>
      <c r="CY3008" s="56"/>
      <c r="CZ3008" s="56"/>
    </row>
    <row r="3009" spans="27:104" s="5" customFormat="1" x14ac:dyDescent="0.25">
      <c r="AA3009" s="56"/>
      <c r="AB3009" s="56"/>
      <c r="AC3009" s="56"/>
      <c r="AD3009" s="56"/>
      <c r="AE3009" s="56"/>
      <c r="AF3009" s="56"/>
      <c r="AG3009" s="56"/>
      <c r="AH3009" s="56"/>
      <c r="AI3009" s="56"/>
      <c r="AJ3009" s="56"/>
      <c r="AK3009" s="56"/>
      <c r="AL3009" s="56"/>
      <c r="AM3009" s="56"/>
      <c r="AN3009" s="56"/>
      <c r="AO3009" s="56"/>
      <c r="AP3009" s="56"/>
      <c r="AQ3009" s="56"/>
      <c r="AR3009" s="56"/>
      <c r="AS3009" s="56"/>
      <c r="AT3009" s="56"/>
      <c r="AU3009" s="56"/>
      <c r="AV3009" s="56"/>
      <c r="AW3009" s="56"/>
      <c r="AX3009" s="56"/>
      <c r="AY3009" s="56"/>
      <c r="AZ3009" s="56"/>
      <c r="BA3009" s="56"/>
      <c r="BB3009" s="16"/>
      <c r="BC3009" s="56"/>
      <c r="BD3009" s="56"/>
      <c r="BE3009" s="56"/>
      <c r="BF3009" s="56"/>
      <c r="BG3009" s="56"/>
      <c r="BH3009" s="56"/>
      <c r="BI3009" s="56"/>
      <c r="BJ3009" s="56"/>
      <c r="BK3009" s="56"/>
      <c r="BL3009" s="56"/>
      <c r="BM3009" s="56"/>
      <c r="BN3009" s="56"/>
      <c r="BO3009" s="56"/>
      <c r="BP3009" s="56"/>
      <c r="BQ3009" s="56"/>
      <c r="BR3009" s="56"/>
      <c r="BS3009" s="56"/>
      <c r="BT3009" s="56"/>
      <c r="BU3009" s="56"/>
      <c r="BV3009" s="56"/>
      <c r="BW3009" s="56"/>
      <c r="BX3009" s="56"/>
      <c r="BY3009" s="56"/>
      <c r="BZ3009" s="56"/>
      <c r="CA3009" s="56"/>
      <c r="CB3009" s="56"/>
      <c r="CC3009" s="56"/>
      <c r="CD3009" s="56"/>
      <c r="CE3009" s="56"/>
      <c r="CF3009" s="56"/>
      <c r="CG3009" s="56"/>
      <c r="CH3009" s="56"/>
      <c r="CI3009" s="56"/>
      <c r="CJ3009" s="56"/>
      <c r="CK3009" s="56"/>
      <c r="CL3009" s="56"/>
      <c r="CM3009" s="56"/>
      <c r="CN3009" s="56"/>
      <c r="CO3009" s="56"/>
      <c r="CP3009" s="56"/>
      <c r="CQ3009" s="56"/>
      <c r="CR3009" s="56"/>
      <c r="CS3009" s="56"/>
      <c r="CT3009" s="56"/>
      <c r="CU3009" s="56"/>
      <c r="CV3009" s="56"/>
      <c r="CW3009" s="56"/>
      <c r="CX3009" s="56"/>
      <c r="CY3009" s="56"/>
      <c r="CZ3009" s="56"/>
    </row>
    <row r="3010" spans="27:104" s="5" customFormat="1" x14ac:dyDescent="0.25">
      <c r="AA3010" s="56"/>
      <c r="AB3010" s="56"/>
      <c r="AC3010" s="56"/>
      <c r="AD3010" s="56"/>
      <c r="AE3010" s="56"/>
      <c r="AF3010" s="56"/>
      <c r="AG3010" s="56"/>
      <c r="AH3010" s="56"/>
      <c r="AI3010" s="56"/>
      <c r="AJ3010" s="56"/>
      <c r="AK3010" s="56"/>
      <c r="AL3010" s="56"/>
      <c r="AM3010" s="56"/>
      <c r="AN3010" s="56"/>
      <c r="AO3010" s="56"/>
      <c r="AP3010" s="56"/>
      <c r="AQ3010" s="56"/>
      <c r="AR3010" s="56"/>
      <c r="AS3010" s="56"/>
      <c r="AT3010" s="56"/>
      <c r="AU3010" s="56"/>
      <c r="AV3010" s="56"/>
      <c r="AW3010" s="56"/>
      <c r="AX3010" s="56"/>
      <c r="AY3010" s="56"/>
      <c r="AZ3010" s="56"/>
      <c r="BA3010" s="56"/>
      <c r="BB3010" s="16"/>
      <c r="BC3010" s="56"/>
      <c r="BD3010" s="56"/>
      <c r="BE3010" s="56"/>
      <c r="BF3010" s="56"/>
      <c r="BG3010" s="56"/>
      <c r="BH3010" s="56"/>
      <c r="BI3010" s="56"/>
      <c r="BJ3010" s="56"/>
      <c r="BK3010" s="56"/>
      <c r="BL3010" s="56"/>
      <c r="BM3010" s="56"/>
      <c r="BN3010" s="56"/>
      <c r="BO3010" s="56"/>
      <c r="BP3010" s="56"/>
      <c r="BQ3010" s="56"/>
      <c r="BR3010" s="56"/>
      <c r="BS3010" s="56"/>
      <c r="BT3010" s="56"/>
      <c r="BU3010" s="56"/>
      <c r="BV3010" s="56"/>
      <c r="BW3010" s="56"/>
      <c r="BX3010" s="56"/>
      <c r="BY3010" s="56"/>
      <c r="BZ3010" s="56"/>
      <c r="CA3010" s="56"/>
      <c r="CB3010" s="56"/>
      <c r="CC3010" s="56"/>
      <c r="CD3010" s="56"/>
      <c r="CE3010" s="56"/>
      <c r="CF3010" s="56"/>
      <c r="CG3010" s="56"/>
      <c r="CH3010" s="56"/>
      <c r="CI3010" s="56"/>
      <c r="CJ3010" s="56"/>
      <c r="CK3010" s="56"/>
      <c r="CL3010" s="56"/>
      <c r="CM3010" s="56"/>
      <c r="CN3010" s="56"/>
      <c r="CO3010" s="56"/>
      <c r="CP3010" s="56"/>
      <c r="CQ3010" s="56"/>
      <c r="CR3010" s="56"/>
      <c r="CS3010" s="56"/>
      <c r="CT3010" s="56"/>
      <c r="CU3010" s="56"/>
      <c r="CV3010" s="56"/>
      <c r="CW3010" s="56"/>
      <c r="CX3010" s="56"/>
      <c r="CY3010" s="56"/>
      <c r="CZ3010" s="56"/>
    </row>
    <row r="3011" spans="27:104" s="5" customFormat="1" x14ac:dyDescent="0.25">
      <c r="AA3011" s="56"/>
      <c r="AB3011" s="56"/>
      <c r="AC3011" s="56"/>
      <c r="AD3011" s="56"/>
      <c r="AE3011" s="56"/>
      <c r="AF3011" s="56"/>
      <c r="AG3011" s="56"/>
      <c r="AH3011" s="56"/>
      <c r="AI3011" s="56"/>
      <c r="AJ3011" s="56"/>
      <c r="AK3011" s="56"/>
      <c r="AL3011" s="56"/>
      <c r="AM3011" s="56"/>
      <c r="AN3011" s="56"/>
      <c r="AO3011" s="56"/>
      <c r="AP3011" s="56"/>
      <c r="AQ3011" s="56"/>
      <c r="AR3011" s="56"/>
      <c r="AS3011" s="56"/>
      <c r="AT3011" s="56"/>
      <c r="AU3011" s="56"/>
      <c r="AV3011" s="56"/>
      <c r="AW3011" s="56"/>
      <c r="AX3011" s="56"/>
      <c r="AY3011" s="56"/>
      <c r="AZ3011" s="56"/>
      <c r="BA3011" s="56"/>
      <c r="BB3011" s="16"/>
      <c r="BC3011" s="56"/>
      <c r="BD3011" s="56"/>
      <c r="BE3011" s="56"/>
      <c r="BF3011" s="56"/>
      <c r="BG3011" s="56"/>
      <c r="BH3011" s="56"/>
      <c r="BI3011" s="56"/>
      <c r="BJ3011" s="56"/>
      <c r="BK3011" s="56"/>
      <c r="BL3011" s="56"/>
      <c r="BM3011" s="56"/>
      <c r="BN3011" s="56"/>
      <c r="BO3011" s="56"/>
      <c r="BP3011" s="56"/>
      <c r="BQ3011" s="56"/>
      <c r="BR3011" s="56"/>
      <c r="BS3011" s="56"/>
      <c r="BT3011" s="56"/>
      <c r="BU3011" s="56"/>
      <c r="BV3011" s="56"/>
      <c r="BW3011" s="56"/>
      <c r="BX3011" s="56"/>
      <c r="BY3011" s="56"/>
      <c r="BZ3011" s="56"/>
      <c r="CA3011" s="56"/>
      <c r="CB3011" s="56"/>
      <c r="CC3011" s="56"/>
      <c r="CD3011" s="56"/>
      <c r="CE3011" s="56"/>
      <c r="CF3011" s="56"/>
      <c r="CG3011" s="56"/>
      <c r="CH3011" s="56"/>
      <c r="CI3011" s="56"/>
      <c r="CJ3011" s="56"/>
      <c r="CK3011" s="56"/>
      <c r="CL3011" s="56"/>
      <c r="CM3011" s="56"/>
      <c r="CN3011" s="56"/>
      <c r="CO3011" s="56"/>
      <c r="CP3011" s="56"/>
      <c r="CQ3011" s="56"/>
      <c r="CR3011" s="56"/>
      <c r="CS3011" s="56"/>
      <c r="CT3011" s="56"/>
      <c r="CU3011" s="56"/>
      <c r="CV3011" s="56"/>
      <c r="CW3011" s="56"/>
      <c r="CX3011" s="56"/>
      <c r="CY3011" s="56"/>
      <c r="CZ3011" s="56"/>
    </row>
    <row r="3012" spans="27:104" s="5" customFormat="1" x14ac:dyDescent="0.25">
      <c r="AA3012" s="56"/>
      <c r="AB3012" s="56"/>
      <c r="AC3012" s="56"/>
      <c r="AD3012" s="56"/>
      <c r="AE3012" s="56"/>
      <c r="AF3012" s="56"/>
      <c r="AG3012" s="56"/>
      <c r="AH3012" s="56"/>
      <c r="AI3012" s="56"/>
      <c r="AJ3012" s="56"/>
      <c r="AK3012" s="56"/>
      <c r="AL3012" s="56"/>
      <c r="AM3012" s="56"/>
      <c r="AN3012" s="56"/>
      <c r="AO3012" s="56"/>
      <c r="AP3012" s="56"/>
      <c r="AQ3012" s="56"/>
      <c r="AR3012" s="56"/>
      <c r="AS3012" s="56"/>
      <c r="AT3012" s="56"/>
      <c r="AU3012" s="56"/>
      <c r="AV3012" s="56"/>
      <c r="AW3012" s="56"/>
      <c r="AX3012" s="56"/>
      <c r="AY3012" s="56"/>
      <c r="AZ3012" s="56"/>
      <c r="BA3012" s="56"/>
      <c r="BB3012" s="16"/>
      <c r="BC3012" s="56"/>
      <c r="BD3012" s="56"/>
      <c r="BE3012" s="56"/>
      <c r="BF3012" s="56"/>
      <c r="BG3012" s="56"/>
      <c r="BH3012" s="56"/>
      <c r="BI3012" s="56"/>
      <c r="BJ3012" s="56"/>
      <c r="BK3012" s="56"/>
      <c r="BL3012" s="56"/>
      <c r="BM3012" s="56"/>
      <c r="BN3012" s="56"/>
      <c r="BO3012" s="56"/>
      <c r="BP3012" s="56"/>
      <c r="BQ3012" s="56"/>
      <c r="BR3012" s="56"/>
      <c r="BS3012" s="56"/>
      <c r="BT3012" s="56"/>
      <c r="BU3012" s="56"/>
      <c r="BV3012" s="56"/>
      <c r="BW3012" s="56"/>
      <c r="BX3012" s="56"/>
      <c r="BY3012" s="56"/>
      <c r="BZ3012" s="56"/>
      <c r="CA3012" s="56"/>
      <c r="CB3012" s="56"/>
      <c r="CC3012" s="56"/>
      <c r="CD3012" s="56"/>
      <c r="CE3012" s="56"/>
      <c r="CF3012" s="56"/>
      <c r="CG3012" s="56"/>
      <c r="CH3012" s="56"/>
      <c r="CI3012" s="56"/>
      <c r="CJ3012" s="56"/>
      <c r="CK3012" s="56"/>
      <c r="CL3012" s="56"/>
      <c r="CM3012" s="56"/>
      <c r="CN3012" s="56"/>
      <c r="CO3012" s="56"/>
      <c r="CP3012" s="56"/>
      <c r="CQ3012" s="56"/>
      <c r="CR3012" s="56"/>
      <c r="CS3012" s="56"/>
      <c r="CT3012" s="56"/>
      <c r="CU3012" s="56"/>
      <c r="CV3012" s="56"/>
      <c r="CW3012" s="56"/>
      <c r="CX3012" s="56"/>
      <c r="CY3012" s="56"/>
      <c r="CZ3012" s="56"/>
    </row>
    <row r="3013" spans="27:104" s="5" customFormat="1" x14ac:dyDescent="0.25">
      <c r="AA3013" s="56"/>
      <c r="AB3013" s="56"/>
      <c r="AC3013" s="56"/>
      <c r="AD3013" s="56"/>
      <c r="AE3013" s="56"/>
      <c r="AF3013" s="56"/>
      <c r="AG3013" s="56"/>
      <c r="AH3013" s="56"/>
      <c r="AI3013" s="56"/>
      <c r="AJ3013" s="56"/>
      <c r="AK3013" s="56"/>
      <c r="AL3013" s="56"/>
      <c r="AM3013" s="56"/>
      <c r="AN3013" s="56"/>
      <c r="AO3013" s="56"/>
      <c r="AP3013" s="56"/>
      <c r="AQ3013" s="56"/>
      <c r="AR3013" s="56"/>
      <c r="AS3013" s="56"/>
      <c r="AT3013" s="56"/>
      <c r="AU3013" s="56"/>
      <c r="AV3013" s="56"/>
      <c r="AW3013" s="56"/>
      <c r="AX3013" s="56"/>
      <c r="AY3013" s="56"/>
      <c r="AZ3013" s="56"/>
      <c r="BA3013" s="56"/>
      <c r="BB3013" s="16"/>
      <c r="BC3013" s="56"/>
      <c r="BD3013" s="56"/>
      <c r="BE3013" s="56"/>
      <c r="BF3013" s="56"/>
      <c r="BG3013" s="56"/>
      <c r="BH3013" s="56"/>
      <c r="BI3013" s="56"/>
      <c r="BJ3013" s="56"/>
      <c r="BK3013" s="56"/>
      <c r="BL3013" s="56"/>
      <c r="BM3013" s="56"/>
      <c r="BN3013" s="56"/>
      <c r="BO3013" s="56"/>
      <c r="BP3013" s="56"/>
      <c r="BQ3013" s="56"/>
      <c r="BR3013" s="56"/>
      <c r="BS3013" s="56"/>
      <c r="BT3013" s="56"/>
      <c r="BU3013" s="56"/>
      <c r="BV3013" s="56"/>
      <c r="BW3013" s="56"/>
      <c r="BX3013" s="56"/>
      <c r="BY3013" s="56"/>
      <c r="BZ3013" s="56"/>
      <c r="CA3013" s="56"/>
      <c r="CB3013" s="56"/>
      <c r="CC3013" s="56"/>
      <c r="CD3013" s="56"/>
      <c r="CE3013" s="56"/>
      <c r="CF3013" s="56"/>
      <c r="CG3013" s="56"/>
      <c r="CH3013" s="56"/>
      <c r="CI3013" s="56"/>
      <c r="CJ3013" s="56"/>
      <c r="CK3013" s="56"/>
      <c r="CL3013" s="56"/>
      <c r="CM3013" s="56"/>
      <c r="CN3013" s="56"/>
      <c r="CO3013" s="56"/>
      <c r="CP3013" s="56"/>
      <c r="CQ3013" s="56"/>
      <c r="CR3013" s="56"/>
      <c r="CS3013" s="56"/>
      <c r="CT3013" s="56"/>
      <c r="CU3013" s="56"/>
      <c r="CV3013" s="56"/>
      <c r="CW3013" s="56"/>
      <c r="CX3013" s="56"/>
      <c r="CY3013" s="56"/>
      <c r="CZ3013" s="56"/>
    </row>
  </sheetData>
  <mergeCells count="637">
    <mergeCell ref="BN2291:BQ2291"/>
    <mergeCell ref="BN2277:BQ2277"/>
    <mergeCell ref="BN2278:BQ2278"/>
    <mergeCell ref="BN2284:BQ2284"/>
    <mergeCell ref="BN2285:BQ2285"/>
    <mergeCell ref="BN2286:BQ2286"/>
    <mergeCell ref="BN2287:BQ2287"/>
    <mergeCell ref="BN2288:BQ2288"/>
    <mergeCell ref="BN2289:BQ2289"/>
    <mergeCell ref="BN2290:BQ2290"/>
    <mergeCell ref="BN2265:BQ2265"/>
    <mergeCell ref="BN2266:BQ2266"/>
    <mergeCell ref="BN2267:BQ2267"/>
    <mergeCell ref="BN2268:BQ2268"/>
    <mergeCell ref="BN2269:BQ2269"/>
    <mergeCell ref="BN2271:BQ2271"/>
    <mergeCell ref="BN2272:BQ2272"/>
    <mergeCell ref="BN2274:BQ2274"/>
    <mergeCell ref="BN2275:BQ2275"/>
    <mergeCell ref="BN2242:BQ2242"/>
    <mergeCell ref="BN2255:BQ2255"/>
    <mergeCell ref="BN2257:BQ2257"/>
    <mergeCell ref="BN2258:BQ2258"/>
    <mergeCell ref="BN2260:BQ2260"/>
    <mergeCell ref="BN2261:BQ2261"/>
    <mergeCell ref="BN2262:BQ2262"/>
    <mergeCell ref="BN2263:BQ2263"/>
    <mergeCell ref="BN2264:BQ2264"/>
    <mergeCell ref="BN2254:BQ2254"/>
    <mergeCell ref="BN2243:BQ2243"/>
    <mergeCell ref="BN2244:BQ2244"/>
    <mergeCell ref="BN2245:BQ2245"/>
    <mergeCell ref="BN2246:BQ2246"/>
    <mergeCell ref="BN2247:BQ2247"/>
    <mergeCell ref="BN2248:BQ2248"/>
    <mergeCell ref="BN2249:BQ2249"/>
    <mergeCell ref="BN2250:BQ2250"/>
    <mergeCell ref="BN2251:BQ2251"/>
    <mergeCell ref="BN2252:BQ2252"/>
    <mergeCell ref="BN2253:BQ2253"/>
    <mergeCell ref="A1643:E1645"/>
    <mergeCell ref="AM2160:AN2160"/>
    <mergeCell ref="C1634:D1635"/>
    <mergeCell ref="AH1634:AI1634"/>
    <mergeCell ref="C1637:D1638"/>
    <mergeCell ref="AH1637:AI1637"/>
    <mergeCell ref="C1640:D1641"/>
    <mergeCell ref="AH1640:AI1640"/>
    <mergeCell ref="C1628:D1629"/>
    <mergeCell ref="AH1628:AI1628"/>
    <mergeCell ref="C1631:D1632"/>
    <mergeCell ref="AH1631:AI1631"/>
    <mergeCell ref="AJ1631:AK1631"/>
    <mergeCell ref="BD1631:BF1631"/>
    <mergeCell ref="BD1632:BF1632"/>
    <mergeCell ref="C1622:D1623"/>
    <mergeCell ref="AH1622:AI1622"/>
    <mergeCell ref="C1625:D1626"/>
    <mergeCell ref="AH1625:AI1625"/>
    <mergeCell ref="AJ1625:AK1625"/>
    <mergeCell ref="BD1625:BF1625"/>
    <mergeCell ref="BD1626:BF1626"/>
    <mergeCell ref="C1616:D1617"/>
    <mergeCell ref="AH1616:AI1616"/>
    <mergeCell ref="AJ1616:AK1616"/>
    <mergeCell ref="BD1616:BF1616"/>
    <mergeCell ref="BD1617:BF1617"/>
    <mergeCell ref="C1619:D1620"/>
    <mergeCell ref="AH1619:AI1619"/>
    <mergeCell ref="AJ1619:AK1619"/>
    <mergeCell ref="BD1619:BF1619"/>
    <mergeCell ref="BD1620:BF1620"/>
    <mergeCell ref="BD1611:BF1611"/>
    <mergeCell ref="C1613:D1614"/>
    <mergeCell ref="AC1613:AD1613"/>
    <mergeCell ref="AH1613:AI1613"/>
    <mergeCell ref="BD1613:BF1613"/>
    <mergeCell ref="BD1614:BF1614"/>
    <mergeCell ref="AH1607:AI1607"/>
    <mergeCell ref="AJ1607:AK1607"/>
    <mergeCell ref="BD1607:BF1607"/>
    <mergeCell ref="BD1608:BF1608"/>
    <mergeCell ref="C1610:D1611"/>
    <mergeCell ref="AC1610:AD1610"/>
    <mergeCell ref="AE1610:AF1610"/>
    <mergeCell ref="AH1610:AI1610"/>
    <mergeCell ref="AJ1610:AK1610"/>
    <mergeCell ref="BD1610:BF1610"/>
    <mergeCell ref="AC1603:AE1603"/>
    <mergeCell ref="AC1604:AE1604"/>
    <mergeCell ref="AC1605:AE1605"/>
    <mergeCell ref="C1607:D1608"/>
    <mergeCell ref="AC1607:AD1607"/>
    <mergeCell ref="AE1607:AF1607"/>
    <mergeCell ref="AC1581:AD1581"/>
    <mergeCell ref="AI1581:AK1581"/>
    <mergeCell ref="AO1581:AP1581"/>
    <mergeCell ref="B1598:E1598"/>
    <mergeCell ref="AC1601:AE1601"/>
    <mergeCell ref="AC1602:AE1602"/>
    <mergeCell ref="AC1575:AD1575"/>
    <mergeCell ref="AI1575:AK1575"/>
    <mergeCell ref="AO1575:AP1575"/>
    <mergeCell ref="AC1580:AD1580"/>
    <mergeCell ref="AI1580:AK1580"/>
    <mergeCell ref="AO1580:AP1580"/>
    <mergeCell ref="AC1569:AD1569"/>
    <mergeCell ref="AI1569:AK1569"/>
    <mergeCell ref="AO1569:AP1569"/>
    <mergeCell ref="AC1574:AD1574"/>
    <mergeCell ref="AI1574:AK1574"/>
    <mergeCell ref="AO1574:AP1574"/>
    <mergeCell ref="AC1563:AD1563"/>
    <mergeCell ref="AI1563:AK1563"/>
    <mergeCell ref="AO1563:AP1563"/>
    <mergeCell ref="AC1568:AD1568"/>
    <mergeCell ref="AI1568:AK1568"/>
    <mergeCell ref="AO1568:AP1568"/>
    <mergeCell ref="AC1557:AD1557"/>
    <mergeCell ref="AI1557:AK1557"/>
    <mergeCell ref="AO1557:AP1557"/>
    <mergeCell ref="AC1562:AD1562"/>
    <mergeCell ref="AI1562:AK1562"/>
    <mergeCell ref="AO1562:AP1562"/>
    <mergeCell ref="C1533:D1533"/>
    <mergeCell ref="C1537:D1537"/>
    <mergeCell ref="B1551:D1551"/>
    <mergeCell ref="AC1556:AD1556"/>
    <mergeCell ref="AI1556:AK1556"/>
    <mergeCell ref="AO1556:AP1556"/>
    <mergeCell ref="C1513:D1513"/>
    <mergeCell ref="C1517:D1517"/>
    <mergeCell ref="C1522:D1522"/>
    <mergeCell ref="C1523:D1523"/>
    <mergeCell ref="C1527:D1527"/>
    <mergeCell ref="C1532:D1532"/>
    <mergeCell ref="C1493:D1493"/>
    <mergeCell ref="C1497:D1497"/>
    <mergeCell ref="C1502:D1502"/>
    <mergeCell ref="C1503:D1503"/>
    <mergeCell ref="C1507:D1507"/>
    <mergeCell ref="C1512:D1512"/>
    <mergeCell ref="B1477:D1477"/>
    <mergeCell ref="B1478:D1478"/>
    <mergeCell ref="B1479:D1479"/>
    <mergeCell ref="C1482:D1482"/>
    <mergeCell ref="C1483:D1483"/>
    <mergeCell ref="C1492:D1492"/>
    <mergeCell ref="AI1416:AJ1416"/>
    <mergeCell ref="AH1425:AI1425"/>
    <mergeCell ref="AI1426:AJ1426"/>
    <mergeCell ref="AH1435:AI1435"/>
    <mergeCell ref="AI1436:AJ1436"/>
    <mergeCell ref="C1442:D1442"/>
    <mergeCell ref="AI1386:AJ1386"/>
    <mergeCell ref="AH1395:AI1395"/>
    <mergeCell ref="AI1396:AJ1396"/>
    <mergeCell ref="AH1405:AI1405"/>
    <mergeCell ref="AI1406:AJ1406"/>
    <mergeCell ref="AH1415:AI1415"/>
    <mergeCell ref="AI1356:AJ1356"/>
    <mergeCell ref="AH1365:AI1365"/>
    <mergeCell ref="AI1366:AJ1366"/>
    <mergeCell ref="AH1375:AI1375"/>
    <mergeCell ref="AI1376:AJ1376"/>
    <mergeCell ref="AH1385:AI1385"/>
    <mergeCell ref="AI1326:AJ1326"/>
    <mergeCell ref="AH1335:AI1335"/>
    <mergeCell ref="AI1336:AJ1336"/>
    <mergeCell ref="AH1345:AI1345"/>
    <mergeCell ref="AI1346:AJ1346"/>
    <mergeCell ref="AH1355:AI1355"/>
    <mergeCell ref="AI1296:AJ1296"/>
    <mergeCell ref="AH1305:AI1305"/>
    <mergeCell ref="AI1306:AJ1306"/>
    <mergeCell ref="AH1315:AI1315"/>
    <mergeCell ref="AI1316:AJ1316"/>
    <mergeCell ref="AH1325:AI1325"/>
    <mergeCell ref="AI1266:AJ1266"/>
    <mergeCell ref="AH1275:AI1275"/>
    <mergeCell ref="AI1276:AJ1276"/>
    <mergeCell ref="AH1285:AI1285"/>
    <mergeCell ref="AI1286:AJ1286"/>
    <mergeCell ref="AH1295:AI1295"/>
    <mergeCell ref="AI1236:AJ1236"/>
    <mergeCell ref="AH1245:AI1245"/>
    <mergeCell ref="AI1246:AJ1246"/>
    <mergeCell ref="AH1255:AI1255"/>
    <mergeCell ref="AI1256:AJ1256"/>
    <mergeCell ref="AH1265:AI1265"/>
    <mergeCell ref="AI1206:AJ1206"/>
    <mergeCell ref="AH1215:AI1215"/>
    <mergeCell ref="AI1216:AJ1216"/>
    <mergeCell ref="AH1225:AI1225"/>
    <mergeCell ref="AI1226:AJ1226"/>
    <mergeCell ref="AH1235:AI1235"/>
    <mergeCell ref="B1197:D1197"/>
    <mergeCell ref="C1199:D1199"/>
    <mergeCell ref="AC1199:AE1199"/>
    <mergeCell ref="AF1199:AH1199"/>
    <mergeCell ref="AI1199:AK1199"/>
    <mergeCell ref="AH1205:AI1205"/>
    <mergeCell ref="C1067:D1067"/>
    <mergeCell ref="C1069:D1075"/>
    <mergeCell ref="C1077:D1079"/>
    <mergeCell ref="C1081:D1082"/>
    <mergeCell ref="B1102:D1102"/>
    <mergeCell ref="B1105:D1105"/>
    <mergeCell ref="AN1039:AO1039"/>
    <mergeCell ref="AT1039:BB1039"/>
    <mergeCell ref="B1040:D1040"/>
    <mergeCell ref="B1042:D1042"/>
    <mergeCell ref="B1045:D1045"/>
    <mergeCell ref="B1063:D1063"/>
    <mergeCell ref="C1001:D1001"/>
    <mergeCell ref="C1006:D1006"/>
    <mergeCell ref="C1011:D1011"/>
    <mergeCell ref="C1016:D1016"/>
    <mergeCell ref="C1021:D1021"/>
    <mergeCell ref="C1026:D1026"/>
    <mergeCell ref="C971:D971"/>
    <mergeCell ref="C976:D976"/>
    <mergeCell ref="C981:D981"/>
    <mergeCell ref="C986:D986"/>
    <mergeCell ref="C991:D991"/>
    <mergeCell ref="C996:D996"/>
    <mergeCell ref="C941:D941"/>
    <mergeCell ref="C946:D946"/>
    <mergeCell ref="C951:D951"/>
    <mergeCell ref="C956:D956"/>
    <mergeCell ref="C961:D961"/>
    <mergeCell ref="C966:D966"/>
    <mergeCell ref="B917:D917"/>
    <mergeCell ref="B919:D919"/>
    <mergeCell ref="B923:D923"/>
    <mergeCell ref="C926:D926"/>
    <mergeCell ref="C931:D931"/>
    <mergeCell ref="C936:D936"/>
    <mergeCell ref="B869:D869"/>
    <mergeCell ref="B870:D870"/>
    <mergeCell ref="B871:D879"/>
    <mergeCell ref="B883:D883"/>
    <mergeCell ref="AO883:AQ883"/>
    <mergeCell ref="B886:D886"/>
    <mergeCell ref="C858:D858"/>
    <mergeCell ref="B861:D861"/>
    <mergeCell ref="B862:D862"/>
    <mergeCell ref="B865:D865"/>
    <mergeCell ref="B867:D867"/>
    <mergeCell ref="B868:D868"/>
    <mergeCell ref="C852:D852"/>
    <mergeCell ref="C853:D853"/>
    <mergeCell ref="C854:D854"/>
    <mergeCell ref="C855:D855"/>
    <mergeCell ref="C856:D856"/>
    <mergeCell ref="C857:D857"/>
    <mergeCell ref="B844:D844"/>
    <mergeCell ref="B845:D845"/>
    <mergeCell ref="B848:D848"/>
    <mergeCell ref="C849:D849"/>
    <mergeCell ref="C850:D850"/>
    <mergeCell ref="C851:D851"/>
    <mergeCell ref="B817:D817"/>
    <mergeCell ref="B827:D827"/>
    <mergeCell ref="B836:D836"/>
    <mergeCell ref="AC836:BH836"/>
    <mergeCell ref="B840:D840"/>
    <mergeCell ref="B841:D841"/>
    <mergeCell ref="B736:D736"/>
    <mergeCell ref="B737:D737"/>
    <mergeCell ref="B757:D760"/>
    <mergeCell ref="B792:D792"/>
    <mergeCell ref="AC792:BD792"/>
    <mergeCell ref="B811:D811"/>
    <mergeCell ref="AC811:BD811"/>
    <mergeCell ref="B724:D724"/>
    <mergeCell ref="B727:D727"/>
    <mergeCell ref="B728:D728"/>
    <mergeCell ref="B731:D731"/>
    <mergeCell ref="B732:D732"/>
    <mergeCell ref="B735:D735"/>
    <mergeCell ref="E712:F712"/>
    <mergeCell ref="B714:D714"/>
    <mergeCell ref="B715:D715"/>
    <mergeCell ref="E716:F716"/>
    <mergeCell ref="E717:F717"/>
    <mergeCell ref="B723:D723"/>
    <mergeCell ref="B705:D705"/>
    <mergeCell ref="E706:F706"/>
    <mergeCell ref="E707:F707"/>
    <mergeCell ref="B709:D709"/>
    <mergeCell ref="B710:D710"/>
    <mergeCell ref="E711:F711"/>
    <mergeCell ref="E697:F697"/>
    <mergeCell ref="B699:D699"/>
    <mergeCell ref="B700:D700"/>
    <mergeCell ref="E701:F701"/>
    <mergeCell ref="E702:F702"/>
    <mergeCell ref="B704:D704"/>
    <mergeCell ref="E686:F686"/>
    <mergeCell ref="E687:F687"/>
    <mergeCell ref="B689:D689"/>
    <mergeCell ref="B694:D694"/>
    <mergeCell ref="B695:D695"/>
    <mergeCell ref="E696:F696"/>
    <mergeCell ref="B676:D676"/>
    <mergeCell ref="B677:D677"/>
    <mergeCell ref="E678:F678"/>
    <mergeCell ref="E679:F679"/>
    <mergeCell ref="B684:D684"/>
    <mergeCell ref="B685:D685"/>
    <mergeCell ref="E668:F668"/>
    <mergeCell ref="E669:F669"/>
    <mergeCell ref="B671:D671"/>
    <mergeCell ref="B672:D672"/>
    <mergeCell ref="E673:F673"/>
    <mergeCell ref="E674:F674"/>
    <mergeCell ref="B661:D661"/>
    <mergeCell ref="B662:D662"/>
    <mergeCell ref="E663:F663"/>
    <mergeCell ref="E664:F664"/>
    <mergeCell ref="B666:D666"/>
    <mergeCell ref="B667:D667"/>
    <mergeCell ref="E652:F652"/>
    <mergeCell ref="E653:F653"/>
    <mergeCell ref="B655:D655"/>
    <mergeCell ref="B656:D656"/>
    <mergeCell ref="E657:F657"/>
    <mergeCell ref="E658:F658"/>
    <mergeCell ref="B645:D645"/>
    <mergeCell ref="B646:D646"/>
    <mergeCell ref="E647:F647"/>
    <mergeCell ref="E648:F648"/>
    <mergeCell ref="B650:D650"/>
    <mergeCell ref="B651:D651"/>
    <mergeCell ref="E631:F631"/>
    <mergeCell ref="B634:D634"/>
    <mergeCell ref="B635:D635"/>
    <mergeCell ref="E636:F636"/>
    <mergeCell ref="E637:F637"/>
    <mergeCell ref="B640:D640"/>
    <mergeCell ref="B624:D624"/>
    <mergeCell ref="E625:F625"/>
    <mergeCell ref="E626:F626"/>
    <mergeCell ref="B628:D628"/>
    <mergeCell ref="B629:D629"/>
    <mergeCell ref="E630:F630"/>
    <mergeCell ref="E615:F615"/>
    <mergeCell ref="B618:D618"/>
    <mergeCell ref="B619:D619"/>
    <mergeCell ref="E620:F620"/>
    <mergeCell ref="E621:F621"/>
    <mergeCell ref="B623:D623"/>
    <mergeCell ref="B608:D608"/>
    <mergeCell ref="E609:F609"/>
    <mergeCell ref="E610:F610"/>
    <mergeCell ref="B612:D612"/>
    <mergeCell ref="B613:D613"/>
    <mergeCell ref="E614:F614"/>
    <mergeCell ref="E597:F597"/>
    <mergeCell ref="B602:D602"/>
    <mergeCell ref="B603:D603"/>
    <mergeCell ref="E604:F604"/>
    <mergeCell ref="E605:F605"/>
    <mergeCell ref="B607:D607"/>
    <mergeCell ref="B590:D590"/>
    <mergeCell ref="E591:F591"/>
    <mergeCell ref="E592:F592"/>
    <mergeCell ref="B594:D594"/>
    <mergeCell ref="B595:D595"/>
    <mergeCell ref="E596:F596"/>
    <mergeCell ref="E581:F581"/>
    <mergeCell ref="B584:D584"/>
    <mergeCell ref="B585:D585"/>
    <mergeCell ref="E586:F586"/>
    <mergeCell ref="E587:F587"/>
    <mergeCell ref="B589:D589"/>
    <mergeCell ref="B574:D574"/>
    <mergeCell ref="E575:F575"/>
    <mergeCell ref="E576:F576"/>
    <mergeCell ref="B578:D578"/>
    <mergeCell ref="B579:D579"/>
    <mergeCell ref="E580:F580"/>
    <mergeCell ref="E563:F563"/>
    <mergeCell ref="B568:D568"/>
    <mergeCell ref="B569:D569"/>
    <mergeCell ref="E570:F570"/>
    <mergeCell ref="E571:F571"/>
    <mergeCell ref="B573:D573"/>
    <mergeCell ref="B556:D556"/>
    <mergeCell ref="E557:F557"/>
    <mergeCell ref="E558:F558"/>
    <mergeCell ref="B560:D560"/>
    <mergeCell ref="B561:D561"/>
    <mergeCell ref="E562:F562"/>
    <mergeCell ref="E547:F547"/>
    <mergeCell ref="B550:D550"/>
    <mergeCell ref="B551:D551"/>
    <mergeCell ref="E552:F552"/>
    <mergeCell ref="E553:F553"/>
    <mergeCell ref="B555:D555"/>
    <mergeCell ref="B540:D540"/>
    <mergeCell ref="E541:F541"/>
    <mergeCell ref="E542:F542"/>
    <mergeCell ref="B544:D544"/>
    <mergeCell ref="B545:D545"/>
    <mergeCell ref="E546:F546"/>
    <mergeCell ref="E529:F529"/>
    <mergeCell ref="B534:D534"/>
    <mergeCell ref="B535:D535"/>
    <mergeCell ref="E536:F536"/>
    <mergeCell ref="E537:F537"/>
    <mergeCell ref="B539:D539"/>
    <mergeCell ref="B522:D522"/>
    <mergeCell ref="E523:F523"/>
    <mergeCell ref="E524:F524"/>
    <mergeCell ref="B526:D526"/>
    <mergeCell ref="B527:D527"/>
    <mergeCell ref="E528:F528"/>
    <mergeCell ref="E513:F513"/>
    <mergeCell ref="B516:D516"/>
    <mergeCell ref="B517:D517"/>
    <mergeCell ref="E518:F518"/>
    <mergeCell ref="E519:F519"/>
    <mergeCell ref="B521:D521"/>
    <mergeCell ref="B506:D506"/>
    <mergeCell ref="E507:F507"/>
    <mergeCell ref="E508:F508"/>
    <mergeCell ref="B510:D510"/>
    <mergeCell ref="B511:D511"/>
    <mergeCell ref="E512:F512"/>
    <mergeCell ref="E495:F495"/>
    <mergeCell ref="B500:D500"/>
    <mergeCell ref="B501:D501"/>
    <mergeCell ref="E502:F502"/>
    <mergeCell ref="E503:F503"/>
    <mergeCell ref="B505:D505"/>
    <mergeCell ref="B488:D488"/>
    <mergeCell ref="E489:F489"/>
    <mergeCell ref="E490:F490"/>
    <mergeCell ref="B492:D492"/>
    <mergeCell ref="B493:D493"/>
    <mergeCell ref="E494:F494"/>
    <mergeCell ref="E479:F479"/>
    <mergeCell ref="B481:D481"/>
    <mergeCell ref="B482:D482"/>
    <mergeCell ref="E483:F483"/>
    <mergeCell ref="E484:F484"/>
    <mergeCell ref="B487:D487"/>
    <mergeCell ref="B471:D471"/>
    <mergeCell ref="E472:F472"/>
    <mergeCell ref="E473:F473"/>
    <mergeCell ref="B476:D476"/>
    <mergeCell ref="B477:D477"/>
    <mergeCell ref="E478:F478"/>
    <mergeCell ref="BD440:BE440"/>
    <mergeCell ref="B465:D465"/>
    <mergeCell ref="B466:D466"/>
    <mergeCell ref="E467:F467"/>
    <mergeCell ref="E468:F468"/>
    <mergeCell ref="B470:D470"/>
    <mergeCell ref="B430:D430"/>
    <mergeCell ref="AK430:AL430"/>
    <mergeCell ref="AN430:AO430"/>
    <mergeCell ref="B431:D431"/>
    <mergeCell ref="B433:D433"/>
    <mergeCell ref="BB440:BC440"/>
    <mergeCell ref="B420:D420"/>
    <mergeCell ref="AK420:AL420"/>
    <mergeCell ref="AN420:AO420"/>
    <mergeCell ref="B421:D421"/>
    <mergeCell ref="B423:D423"/>
    <mergeCell ref="B429:D429"/>
    <mergeCell ref="B410:D410"/>
    <mergeCell ref="AK410:AL410"/>
    <mergeCell ref="AN410:AO410"/>
    <mergeCell ref="B411:D411"/>
    <mergeCell ref="B413:D413"/>
    <mergeCell ref="B419:D419"/>
    <mergeCell ref="B400:D400"/>
    <mergeCell ref="AK400:AL400"/>
    <mergeCell ref="AN400:AO400"/>
    <mergeCell ref="B401:D401"/>
    <mergeCell ref="B403:D403"/>
    <mergeCell ref="B409:D409"/>
    <mergeCell ref="B390:D390"/>
    <mergeCell ref="AK390:AL390"/>
    <mergeCell ref="AN390:AO390"/>
    <mergeCell ref="B391:D391"/>
    <mergeCell ref="B393:D393"/>
    <mergeCell ref="B399:D399"/>
    <mergeCell ref="B380:D380"/>
    <mergeCell ref="AK380:AL380"/>
    <mergeCell ref="AN380:AO380"/>
    <mergeCell ref="B381:D381"/>
    <mergeCell ref="B383:D383"/>
    <mergeCell ref="B389:D389"/>
    <mergeCell ref="B370:D370"/>
    <mergeCell ref="AK370:AL370"/>
    <mergeCell ref="AN370:AO370"/>
    <mergeCell ref="B371:D371"/>
    <mergeCell ref="B373:D373"/>
    <mergeCell ref="B379:D379"/>
    <mergeCell ref="B360:D360"/>
    <mergeCell ref="AK360:AL360"/>
    <mergeCell ref="AN360:AO360"/>
    <mergeCell ref="B361:D361"/>
    <mergeCell ref="B363:D363"/>
    <mergeCell ref="B369:D369"/>
    <mergeCell ref="B350:D350"/>
    <mergeCell ref="AK350:AL350"/>
    <mergeCell ref="AN350:AO350"/>
    <mergeCell ref="B351:D351"/>
    <mergeCell ref="B353:D353"/>
    <mergeCell ref="B359:D359"/>
    <mergeCell ref="B340:D340"/>
    <mergeCell ref="AK340:AL340"/>
    <mergeCell ref="AN340:AO340"/>
    <mergeCell ref="B341:D341"/>
    <mergeCell ref="B343:D343"/>
    <mergeCell ref="B349:D349"/>
    <mergeCell ref="B329:D329"/>
    <mergeCell ref="B330:D330"/>
    <mergeCell ref="AK330:AL330"/>
    <mergeCell ref="AN330:AO330"/>
    <mergeCell ref="B331:D331"/>
    <mergeCell ref="B333:D333"/>
    <mergeCell ref="B319:D319"/>
    <mergeCell ref="B320:D320"/>
    <mergeCell ref="AK320:AL320"/>
    <mergeCell ref="AN320:AO320"/>
    <mergeCell ref="B321:D321"/>
    <mergeCell ref="B323:D323"/>
    <mergeCell ref="B309:D309"/>
    <mergeCell ref="B310:D310"/>
    <mergeCell ref="AK310:AL310"/>
    <mergeCell ref="AN310:AO310"/>
    <mergeCell ref="B311:D311"/>
    <mergeCell ref="B313:D313"/>
    <mergeCell ref="B299:D299"/>
    <mergeCell ref="B300:D300"/>
    <mergeCell ref="AK300:AL300"/>
    <mergeCell ref="AN300:AO300"/>
    <mergeCell ref="B301:D301"/>
    <mergeCell ref="B303:D303"/>
    <mergeCell ref="B284:C284"/>
    <mergeCell ref="B286:D286"/>
    <mergeCell ref="B289:D289"/>
    <mergeCell ref="B291:D291"/>
    <mergeCell ref="B292:D292"/>
    <mergeCell ref="B294:D294"/>
    <mergeCell ref="AF271:AG271"/>
    <mergeCell ref="B272:C272"/>
    <mergeCell ref="B278:C278"/>
    <mergeCell ref="AT278:AU278"/>
    <mergeCell ref="B280:D280"/>
    <mergeCell ref="B281:D281"/>
    <mergeCell ref="AB265:AC265"/>
    <mergeCell ref="B267:C267"/>
    <mergeCell ref="B269:C269"/>
    <mergeCell ref="B270:C270"/>
    <mergeCell ref="B271:C271"/>
    <mergeCell ref="AB271:AC271"/>
    <mergeCell ref="AD208:AH208"/>
    <mergeCell ref="C217:D217"/>
    <mergeCell ref="B221:D221"/>
    <mergeCell ref="B247:D247"/>
    <mergeCell ref="B255:D255"/>
    <mergeCell ref="AB264:AC264"/>
    <mergeCell ref="B188:D188"/>
    <mergeCell ref="B190:D190"/>
    <mergeCell ref="B192:D192"/>
    <mergeCell ref="AI196:AK196"/>
    <mergeCell ref="B200:D200"/>
    <mergeCell ref="B204:D204"/>
    <mergeCell ref="B150:D150"/>
    <mergeCell ref="AJ155:AL155"/>
    <mergeCell ref="AQ155:AR155"/>
    <mergeCell ref="C160:D160"/>
    <mergeCell ref="B182:D182"/>
    <mergeCell ref="B184:D184"/>
    <mergeCell ref="B98:B99"/>
    <mergeCell ref="C98:C99"/>
    <mergeCell ref="D98:E99"/>
    <mergeCell ref="B100:B101"/>
    <mergeCell ref="C100:C101"/>
    <mergeCell ref="D100:E101"/>
    <mergeCell ref="B94:B95"/>
    <mergeCell ref="C94:C95"/>
    <mergeCell ref="D94:E95"/>
    <mergeCell ref="B96:B97"/>
    <mergeCell ref="C96:C97"/>
    <mergeCell ref="D96:E97"/>
    <mergeCell ref="B90:B91"/>
    <mergeCell ref="C90:C91"/>
    <mergeCell ref="D90:E91"/>
    <mergeCell ref="B92:B93"/>
    <mergeCell ref="C92:C93"/>
    <mergeCell ref="D92:E93"/>
    <mergeCell ref="C84:C85"/>
    <mergeCell ref="D84:E85"/>
    <mergeCell ref="B86:B87"/>
    <mergeCell ref="C86:C87"/>
    <mergeCell ref="D86:E87"/>
    <mergeCell ref="B88:B89"/>
    <mergeCell ref="C88:C89"/>
    <mergeCell ref="D88:E89"/>
    <mergeCell ref="B56:D56"/>
    <mergeCell ref="B58:D58"/>
    <mergeCell ref="B59:D59"/>
    <mergeCell ref="B60:D60"/>
    <mergeCell ref="B62:D62"/>
    <mergeCell ref="B63:D63"/>
    <mergeCell ref="B46:D46"/>
    <mergeCell ref="B48:D48"/>
    <mergeCell ref="B49:D49"/>
    <mergeCell ref="B51:D51"/>
    <mergeCell ref="B52:D52"/>
    <mergeCell ref="B55:D55"/>
    <mergeCell ref="B33:D33"/>
    <mergeCell ref="B43:D43"/>
    <mergeCell ref="B45:D45"/>
    <mergeCell ref="C18:D18"/>
    <mergeCell ref="C19:D19"/>
    <mergeCell ref="C20:D20"/>
    <mergeCell ref="C21:D21"/>
    <mergeCell ref="C22:D22"/>
    <mergeCell ref="C23:D23"/>
    <mergeCell ref="B2:B3"/>
    <mergeCell ref="C2:C3"/>
    <mergeCell ref="D3:D11"/>
    <mergeCell ref="B14:D14"/>
    <mergeCell ref="C16:D16"/>
    <mergeCell ref="C17:D17"/>
    <mergeCell ref="C24:D24"/>
    <mergeCell ref="C25:D25"/>
    <mergeCell ref="B28:D28"/>
  </mergeCells>
  <conditionalFormatting sqref="E480">
    <cfRule type="cellIs" dxfId="2612" priority="877" operator="equal">
      <formula>E475</formula>
    </cfRule>
  </conditionalFormatting>
  <conditionalFormatting sqref="E486">
    <cfRule type="cellIs" dxfId="2611" priority="876" operator="equal">
      <formula>E480</formula>
    </cfRule>
  </conditionalFormatting>
  <conditionalFormatting sqref="E491">
    <cfRule type="cellIs" dxfId="2610" priority="875" operator="equal">
      <formula>E486</formula>
    </cfRule>
  </conditionalFormatting>
  <conditionalFormatting sqref="C17:C23">
    <cfRule type="containsText" dxfId="2609" priority="874" operator="containsText" text="Highlight">
      <formula>NOT(ISERROR(SEARCH("Highlight",C17)))</formula>
    </cfRule>
  </conditionalFormatting>
  <conditionalFormatting sqref="C17:C23">
    <cfRule type="containsText" dxfId="2608" priority="873" operator="containsText" text="Hightlight">
      <formula>NOT(ISERROR(SEARCH("Hightlight",C17)))</formula>
    </cfRule>
  </conditionalFormatting>
  <conditionalFormatting sqref="AN468">
    <cfRule type="cellIs" dxfId="2607" priority="871" operator="lessThan">
      <formula>0</formula>
    </cfRule>
    <cfRule type="cellIs" dxfId="2606" priority="872" operator="greaterThan">
      <formula>0</formula>
    </cfRule>
  </conditionalFormatting>
  <conditionalFormatting sqref="AO468:AU468">
    <cfRule type="cellIs" dxfId="2605" priority="869" operator="lessThan">
      <formula>0</formula>
    </cfRule>
    <cfRule type="cellIs" dxfId="2604" priority="870" operator="greaterThan">
      <formula>0</formula>
    </cfRule>
  </conditionalFormatting>
  <conditionalFormatting sqref="AG468:AL468">
    <cfRule type="cellIs" dxfId="2603" priority="867" operator="lessThan">
      <formula>0</formula>
    </cfRule>
    <cfRule type="cellIs" dxfId="2602" priority="868" operator="greaterThan">
      <formula>0</formula>
    </cfRule>
  </conditionalFormatting>
  <conditionalFormatting sqref="AZ469">
    <cfRule type="cellIs" dxfId="2601" priority="865" operator="lessThan">
      <formula>0</formula>
    </cfRule>
    <cfRule type="cellIs" dxfId="2600" priority="866" operator="greaterThan">
      <formula>0</formula>
    </cfRule>
  </conditionalFormatting>
  <conditionalFormatting sqref="AN473">
    <cfRule type="cellIs" dxfId="2599" priority="863" operator="lessThan">
      <formula>0</formula>
    </cfRule>
    <cfRule type="cellIs" dxfId="2598" priority="864" operator="greaterThan">
      <formula>0</formula>
    </cfRule>
  </conditionalFormatting>
  <conditionalFormatting sqref="AO473:AU473">
    <cfRule type="cellIs" dxfId="2597" priority="861" operator="lessThan">
      <formula>0</formula>
    </cfRule>
    <cfRule type="cellIs" dxfId="2596" priority="862" operator="greaterThan">
      <formula>0</formula>
    </cfRule>
  </conditionalFormatting>
  <conditionalFormatting sqref="AG473:AL473">
    <cfRule type="cellIs" dxfId="2595" priority="859" operator="lessThan">
      <formula>0</formula>
    </cfRule>
    <cfRule type="cellIs" dxfId="2594" priority="860" operator="greaterThan">
      <formula>0</formula>
    </cfRule>
  </conditionalFormatting>
  <conditionalFormatting sqref="AN479">
    <cfRule type="cellIs" dxfId="2593" priority="857" operator="lessThan">
      <formula>0</formula>
    </cfRule>
    <cfRule type="cellIs" dxfId="2592" priority="858" operator="greaterThan">
      <formula>0</formula>
    </cfRule>
  </conditionalFormatting>
  <conditionalFormatting sqref="AO479:AU479">
    <cfRule type="cellIs" dxfId="2591" priority="855" operator="lessThan">
      <formula>0</formula>
    </cfRule>
    <cfRule type="cellIs" dxfId="2590" priority="856" operator="greaterThan">
      <formula>0</formula>
    </cfRule>
  </conditionalFormatting>
  <conditionalFormatting sqref="AG479:AL479">
    <cfRule type="cellIs" dxfId="2589" priority="853" operator="lessThan">
      <formula>0</formula>
    </cfRule>
    <cfRule type="cellIs" dxfId="2588" priority="854" operator="greaterThan">
      <formula>0</formula>
    </cfRule>
  </conditionalFormatting>
  <conditionalFormatting sqref="AN484">
    <cfRule type="cellIs" dxfId="2587" priority="851" operator="lessThan">
      <formula>0</formula>
    </cfRule>
    <cfRule type="cellIs" dxfId="2586" priority="852" operator="greaterThan">
      <formula>0</formula>
    </cfRule>
  </conditionalFormatting>
  <conditionalFormatting sqref="AO484:AU484">
    <cfRule type="cellIs" dxfId="2585" priority="849" operator="lessThan">
      <formula>0</formula>
    </cfRule>
    <cfRule type="cellIs" dxfId="2584" priority="850" operator="greaterThan">
      <formula>0</formula>
    </cfRule>
  </conditionalFormatting>
  <conditionalFormatting sqref="AG484:AL484">
    <cfRule type="cellIs" dxfId="2583" priority="847" operator="lessThan">
      <formula>0</formula>
    </cfRule>
    <cfRule type="cellIs" dxfId="2582" priority="848" operator="greaterThan">
      <formula>0</formula>
    </cfRule>
  </conditionalFormatting>
  <conditionalFormatting sqref="AN490">
    <cfRule type="cellIs" dxfId="2581" priority="845" operator="lessThan">
      <formula>0</formula>
    </cfRule>
    <cfRule type="cellIs" dxfId="2580" priority="846" operator="greaterThan">
      <formula>0</formula>
    </cfRule>
  </conditionalFormatting>
  <conditionalFormatting sqref="AO490:AU490">
    <cfRule type="cellIs" dxfId="2579" priority="843" operator="lessThan">
      <formula>0</formula>
    </cfRule>
    <cfRule type="cellIs" dxfId="2578" priority="844" operator="greaterThan">
      <formula>0</formula>
    </cfRule>
  </conditionalFormatting>
  <conditionalFormatting sqref="AG490:AL490">
    <cfRule type="cellIs" dxfId="2577" priority="841" operator="lessThan">
      <formula>0</formula>
    </cfRule>
    <cfRule type="cellIs" dxfId="2576" priority="842" operator="greaterThan">
      <formula>0</formula>
    </cfRule>
  </conditionalFormatting>
  <conditionalFormatting sqref="AN495">
    <cfRule type="cellIs" dxfId="2575" priority="839" operator="lessThan">
      <formula>0</formula>
    </cfRule>
    <cfRule type="cellIs" dxfId="2574" priority="840" operator="greaterThan">
      <formula>0</formula>
    </cfRule>
  </conditionalFormatting>
  <conditionalFormatting sqref="AO495:AU495">
    <cfRule type="cellIs" dxfId="2573" priority="837" operator="lessThan">
      <formula>0</formula>
    </cfRule>
    <cfRule type="cellIs" dxfId="2572" priority="838" operator="greaterThan">
      <formula>0</formula>
    </cfRule>
  </conditionalFormatting>
  <conditionalFormatting sqref="AG495:AL495">
    <cfRule type="cellIs" dxfId="2571" priority="835" operator="lessThan">
      <formula>0</formula>
    </cfRule>
    <cfRule type="cellIs" dxfId="2570" priority="836" operator="greaterThan">
      <formula>0</formula>
    </cfRule>
  </conditionalFormatting>
  <conditionalFormatting sqref="AN503">
    <cfRule type="cellIs" dxfId="2569" priority="833" operator="lessThan">
      <formula>0</formula>
    </cfRule>
    <cfRule type="cellIs" dxfId="2568" priority="834" operator="greaterThan">
      <formula>0</formula>
    </cfRule>
  </conditionalFormatting>
  <conditionalFormatting sqref="AO503:AU503">
    <cfRule type="cellIs" dxfId="2567" priority="831" operator="lessThan">
      <formula>0</formula>
    </cfRule>
    <cfRule type="cellIs" dxfId="2566" priority="832" operator="greaterThan">
      <formula>0</formula>
    </cfRule>
  </conditionalFormatting>
  <conditionalFormatting sqref="AG503:AL503">
    <cfRule type="cellIs" dxfId="2565" priority="829" operator="lessThan">
      <formula>0</formula>
    </cfRule>
    <cfRule type="cellIs" dxfId="2564" priority="830" operator="greaterThan">
      <formula>0</formula>
    </cfRule>
  </conditionalFormatting>
  <conditionalFormatting sqref="AN508">
    <cfRule type="cellIs" dxfId="2563" priority="827" operator="lessThan">
      <formula>0</formula>
    </cfRule>
    <cfRule type="cellIs" dxfId="2562" priority="828" operator="greaterThan">
      <formula>0</formula>
    </cfRule>
  </conditionalFormatting>
  <conditionalFormatting sqref="AO508:AU508">
    <cfRule type="cellIs" dxfId="2561" priority="825" operator="lessThan">
      <formula>0</formula>
    </cfRule>
    <cfRule type="cellIs" dxfId="2560" priority="826" operator="greaterThan">
      <formula>0</formula>
    </cfRule>
  </conditionalFormatting>
  <conditionalFormatting sqref="AG508:AL508">
    <cfRule type="cellIs" dxfId="2559" priority="823" operator="lessThan">
      <formula>0</formula>
    </cfRule>
    <cfRule type="cellIs" dxfId="2558" priority="824" operator="greaterThan">
      <formula>0</formula>
    </cfRule>
  </conditionalFormatting>
  <conditionalFormatting sqref="AN513">
    <cfRule type="cellIs" dxfId="2557" priority="821" operator="lessThan">
      <formula>0</formula>
    </cfRule>
    <cfRule type="cellIs" dxfId="2556" priority="822" operator="greaterThan">
      <formula>0</formula>
    </cfRule>
  </conditionalFormatting>
  <conditionalFormatting sqref="AO513:AU513">
    <cfRule type="cellIs" dxfId="2555" priority="819" operator="lessThan">
      <formula>0</formula>
    </cfRule>
    <cfRule type="cellIs" dxfId="2554" priority="820" operator="greaterThan">
      <formula>0</formula>
    </cfRule>
  </conditionalFormatting>
  <conditionalFormatting sqref="AG513:AL513">
    <cfRule type="cellIs" dxfId="2553" priority="817" operator="lessThan">
      <formula>0</formula>
    </cfRule>
    <cfRule type="cellIs" dxfId="2552" priority="818" operator="greaterThan">
      <formula>0</formula>
    </cfRule>
  </conditionalFormatting>
  <conditionalFormatting sqref="AN519">
    <cfRule type="cellIs" dxfId="2551" priority="815" operator="lessThan">
      <formula>0</formula>
    </cfRule>
    <cfRule type="cellIs" dxfId="2550" priority="816" operator="greaterThan">
      <formula>0</formula>
    </cfRule>
  </conditionalFormatting>
  <conditionalFormatting sqref="AO519:AU519">
    <cfRule type="cellIs" dxfId="2549" priority="813" operator="lessThan">
      <formula>0</formula>
    </cfRule>
    <cfRule type="cellIs" dxfId="2548" priority="814" operator="greaterThan">
      <formula>0</formula>
    </cfRule>
  </conditionalFormatting>
  <conditionalFormatting sqref="AG519:AL519">
    <cfRule type="cellIs" dxfId="2547" priority="811" operator="lessThan">
      <formula>0</formula>
    </cfRule>
    <cfRule type="cellIs" dxfId="2546" priority="812" operator="greaterThan">
      <formula>0</formula>
    </cfRule>
  </conditionalFormatting>
  <conditionalFormatting sqref="AN524">
    <cfRule type="cellIs" dxfId="2545" priority="809" operator="lessThan">
      <formula>0</formula>
    </cfRule>
    <cfRule type="cellIs" dxfId="2544" priority="810" operator="greaterThan">
      <formula>0</formula>
    </cfRule>
  </conditionalFormatting>
  <conditionalFormatting sqref="AO524:AU524">
    <cfRule type="cellIs" dxfId="2543" priority="807" operator="lessThan">
      <formula>0</formula>
    </cfRule>
    <cfRule type="cellIs" dxfId="2542" priority="808" operator="greaterThan">
      <formula>0</formula>
    </cfRule>
  </conditionalFormatting>
  <conditionalFormatting sqref="AG524:AL524">
    <cfRule type="cellIs" dxfId="2541" priority="805" operator="lessThan">
      <formula>0</formula>
    </cfRule>
    <cfRule type="cellIs" dxfId="2540" priority="806" operator="greaterThan">
      <formula>0</formula>
    </cfRule>
  </conditionalFormatting>
  <conditionalFormatting sqref="AN529">
    <cfRule type="cellIs" dxfId="2539" priority="803" operator="lessThan">
      <formula>0</formula>
    </cfRule>
    <cfRule type="cellIs" dxfId="2538" priority="804" operator="greaterThan">
      <formula>0</formula>
    </cfRule>
  </conditionalFormatting>
  <conditionalFormatting sqref="AO529:AU529">
    <cfRule type="cellIs" dxfId="2537" priority="801" operator="lessThan">
      <formula>0</formula>
    </cfRule>
    <cfRule type="cellIs" dxfId="2536" priority="802" operator="greaterThan">
      <formula>0</formula>
    </cfRule>
  </conditionalFormatting>
  <conditionalFormatting sqref="AG529:AL529">
    <cfRule type="cellIs" dxfId="2535" priority="799" operator="lessThan">
      <formula>0</formula>
    </cfRule>
    <cfRule type="cellIs" dxfId="2534" priority="800" operator="greaterThan">
      <formula>0</formula>
    </cfRule>
  </conditionalFormatting>
  <conditionalFormatting sqref="AN537">
    <cfRule type="cellIs" dxfId="2533" priority="797" operator="lessThan">
      <formula>0</formula>
    </cfRule>
    <cfRule type="cellIs" dxfId="2532" priority="798" operator="greaterThan">
      <formula>0</formula>
    </cfRule>
  </conditionalFormatting>
  <conditionalFormatting sqref="AO537:AU537">
    <cfRule type="cellIs" dxfId="2531" priority="795" operator="lessThan">
      <formula>0</formula>
    </cfRule>
    <cfRule type="cellIs" dxfId="2530" priority="796" operator="greaterThan">
      <formula>0</formula>
    </cfRule>
  </conditionalFormatting>
  <conditionalFormatting sqref="AG537:AL537">
    <cfRule type="cellIs" dxfId="2529" priority="793" operator="lessThan">
      <formula>0</formula>
    </cfRule>
    <cfRule type="cellIs" dxfId="2528" priority="794" operator="greaterThan">
      <formula>0</formula>
    </cfRule>
  </conditionalFormatting>
  <conditionalFormatting sqref="AN542">
    <cfRule type="cellIs" dxfId="2527" priority="791" operator="lessThan">
      <formula>0</formula>
    </cfRule>
    <cfRule type="cellIs" dxfId="2526" priority="792" operator="greaterThan">
      <formula>0</formula>
    </cfRule>
  </conditionalFormatting>
  <conditionalFormatting sqref="AO542:AU542">
    <cfRule type="cellIs" dxfId="2525" priority="789" operator="lessThan">
      <formula>0</formula>
    </cfRule>
    <cfRule type="cellIs" dxfId="2524" priority="790" operator="greaterThan">
      <formula>0</formula>
    </cfRule>
  </conditionalFormatting>
  <conditionalFormatting sqref="AG542:AL542">
    <cfRule type="cellIs" dxfId="2523" priority="787" operator="lessThan">
      <formula>0</formula>
    </cfRule>
    <cfRule type="cellIs" dxfId="2522" priority="788" operator="greaterThan">
      <formula>0</formula>
    </cfRule>
  </conditionalFormatting>
  <conditionalFormatting sqref="AN547">
    <cfRule type="cellIs" dxfId="2521" priority="785" operator="lessThan">
      <formula>0</formula>
    </cfRule>
    <cfRule type="cellIs" dxfId="2520" priority="786" operator="greaterThan">
      <formula>0</formula>
    </cfRule>
  </conditionalFormatting>
  <conditionalFormatting sqref="AO547:AU547">
    <cfRule type="cellIs" dxfId="2519" priority="783" operator="lessThan">
      <formula>0</formula>
    </cfRule>
    <cfRule type="cellIs" dxfId="2518" priority="784" operator="greaterThan">
      <formula>0</formula>
    </cfRule>
  </conditionalFormatting>
  <conditionalFormatting sqref="AG547:AL547">
    <cfRule type="cellIs" dxfId="2517" priority="781" operator="lessThan">
      <formula>0</formula>
    </cfRule>
    <cfRule type="cellIs" dxfId="2516" priority="782" operator="greaterThan">
      <formula>0</formula>
    </cfRule>
  </conditionalFormatting>
  <conditionalFormatting sqref="AN553">
    <cfRule type="cellIs" dxfId="2515" priority="779" operator="lessThan">
      <formula>0</formula>
    </cfRule>
    <cfRule type="cellIs" dxfId="2514" priority="780" operator="greaterThan">
      <formula>0</formula>
    </cfRule>
  </conditionalFormatting>
  <conditionalFormatting sqref="AO553:AU553">
    <cfRule type="cellIs" dxfId="2513" priority="777" operator="lessThan">
      <formula>0</formula>
    </cfRule>
    <cfRule type="cellIs" dxfId="2512" priority="778" operator="greaterThan">
      <formula>0</formula>
    </cfRule>
  </conditionalFormatting>
  <conditionalFormatting sqref="AG553:AL553">
    <cfRule type="cellIs" dxfId="2511" priority="775" operator="lessThan">
      <formula>0</formula>
    </cfRule>
    <cfRule type="cellIs" dxfId="2510" priority="776" operator="greaterThan">
      <formula>0</formula>
    </cfRule>
  </conditionalFormatting>
  <conditionalFormatting sqref="AN558">
    <cfRule type="cellIs" dxfId="2509" priority="773" operator="lessThan">
      <formula>0</formula>
    </cfRule>
    <cfRule type="cellIs" dxfId="2508" priority="774" operator="greaterThan">
      <formula>0</formula>
    </cfRule>
  </conditionalFormatting>
  <conditionalFormatting sqref="AO558:AU558">
    <cfRule type="cellIs" dxfId="2507" priority="771" operator="lessThan">
      <formula>0</formula>
    </cfRule>
    <cfRule type="cellIs" dxfId="2506" priority="772" operator="greaterThan">
      <formula>0</formula>
    </cfRule>
  </conditionalFormatting>
  <conditionalFormatting sqref="AG558:AL558">
    <cfRule type="cellIs" dxfId="2505" priority="769" operator="lessThan">
      <formula>0</formula>
    </cfRule>
    <cfRule type="cellIs" dxfId="2504" priority="770" operator="greaterThan">
      <formula>0</formula>
    </cfRule>
  </conditionalFormatting>
  <conditionalFormatting sqref="AN563">
    <cfRule type="cellIs" dxfId="2503" priority="767" operator="lessThan">
      <formula>0</formula>
    </cfRule>
    <cfRule type="cellIs" dxfId="2502" priority="768" operator="greaterThan">
      <formula>0</formula>
    </cfRule>
  </conditionalFormatting>
  <conditionalFormatting sqref="AO563:AU563">
    <cfRule type="cellIs" dxfId="2501" priority="765" operator="lessThan">
      <formula>0</formula>
    </cfRule>
    <cfRule type="cellIs" dxfId="2500" priority="766" operator="greaterThan">
      <formula>0</formula>
    </cfRule>
  </conditionalFormatting>
  <conditionalFormatting sqref="AG563:AL563">
    <cfRule type="cellIs" dxfId="2499" priority="763" operator="lessThan">
      <formula>0</formula>
    </cfRule>
    <cfRule type="cellIs" dxfId="2498" priority="764" operator="greaterThan">
      <formula>0</formula>
    </cfRule>
  </conditionalFormatting>
  <conditionalFormatting sqref="AN571">
    <cfRule type="cellIs" dxfId="2497" priority="761" operator="lessThan">
      <formula>0</formula>
    </cfRule>
    <cfRule type="cellIs" dxfId="2496" priority="762" operator="greaterThan">
      <formula>0</formula>
    </cfRule>
  </conditionalFormatting>
  <conditionalFormatting sqref="AO571:AU571">
    <cfRule type="cellIs" dxfId="2495" priority="759" operator="lessThan">
      <formula>0</formula>
    </cfRule>
    <cfRule type="cellIs" dxfId="2494" priority="760" operator="greaterThan">
      <formula>0</formula>
    </cfRule>
  </conditionalFormatting>
  <conditionalFormatting sqref="AG571:AL571">
    <cfRule type="cellIs" dxfId="2493" priority="757" operator="lessThan">
      <formula>0</formula>
    </cfRule>
    <cfRule type="cellIs" dxfId="2492" priority="758" operator="greaterThan">
      <formula>0</formula>
    </cfRule>
  </conditionalFormatting>
  <conditionalFormatting sqref="AN576">
    <cfRule type="cellIs" dxfId="2491" priority="755" operator="lessThan">
      <formula>0</formula>
    </cfRule>
    <cfRule type="cellIs" dxfId="2490" priority="756" operator="greaterThan">
      <formula>0</formula>
    </cfRule>
  </conditionalFormatting>
  <conditionalFormatting sqref="AO576:AU576">
    <cfRule type="cellIs" dxfId="2489" priority="753" operator="lessThan">
      <formula>0</formula>
    </cfRule>
    <cfRule type="cellIs" dxfId="2488" priority="754" operator="greaterThan">
      <formula>0</formula>
    </cfRule>
  </conditionalFormatting>
  <conditionalFormatting sqref="AG576:AL576">
    <cfRule type="cellIs" dxfId="2487" priority="751" operator="lessThan">
      <formula>0</formula>
    </cfRule>
    <cfRule type="cellIs" dxfId="2486" priority="752" operator="greaterThan">
      <formula>0</formula>
    </cfRule>
  </conditionalFormatting>
  <conditionalFormatting sqref="AN581">
    <cfRule type="cellIs" dxfId="2485" priority="749" operator="lessThan">
      <formula>0</formula>
    </cfRule>
    <cfRule type="cellIs" dxfId="2484" priority="750" operator="greaterThan">
      <formula>0</formula>
    </cfRule>
  </conditionalFormatting>
  <conditionalFormatting sqref="AO581:AU581">
    <cfRule type="cellIs" dxfId="2483" priority="747" operator="lessThan">
      <formula>0</formula>
    </cfRule>
    <cfRule type="cellIs" dxfId="2482" priority="748" operator="greaterThan">
      <formula>0</formula>
    </cfRule>
  </conditionalFormatting>
  <conditionalFormatting sqref="AG581:AL581">
    <cfRule type="cellIs" dxfId="2481" priority="745" operator="lessThan">
      <formula>0</formula>
    </cfRule>
    <cfRule type="cellIs" dxfId="2480" priority="746" operator="greaterThan">
      <formula>0</formula>
    </cfRule>
  </conditionalFormatting>
  <conditionalFormatting sqref="AN587">
    <cfRule type="cellIs" dxfId="2479" priority="743" operator="lessThan">
      <formula>0</formula>
    </cfRule>
    <cfRule type="cellIs" dxfId="2478" priority="744" operator="greaterThan">
      <formula>0</formula>
    </cfRule>
  </conditionalFormatting>
  <conditionalFormatting sqref="AO587:AU587">
    <cfRule type="cellIs" dxfId="2477" priority="741" operator="lessThan">
      <formula>0</formula>
    </cfRule>
    <cfRule type="cellIs" dxfId="2476" priority="742" operator="greaterThan">
      <formula>0</formula>
    </cfRule>
  </conditionalFormatting>
  <conditionalFormatting sqref="AG587:AL587">
    <cfRule type="cellIs" dxfId="2475" priority="739" operator="lessThan">
      <formula>0</formula>
    </cfRule>
    <cfRule type="cellIs" dxfId="2474" priority="740" operator="greaterThan">
      <formula>0</formula>
    </cfRule>
  </conditionalFormatting>
  <conditionalFormatting sqref="AN592">
    <cfRule type="cellIs" dxfId="2473" priority="737" operator="lessThan">
      <formula>0</formula>
    </cfRule>
    <cfRule type="cellIs" dxfId="2472" priority="738" operator="greaterThan">
      <formula>0</formula>
    </cfRule>
  </conditionalFormatting>
  <conditionalFormatting sqref="AO592:AU592">
    <cfRule type="cellIs" dxfId="2471" priority="735" operator="lessThan">
      <formula>0</formula>
    </cfRule>
    <cfRule type="cellIs" dxfId="2470" priority="736" operator="greaterThan">
      <formula>0</formula>
    </cfRule>
  </conditionalFormatting>
  <conditionalFormatting sqref="AG592:AL592">
    <cfRule type="cellIs" dxfId="2469" priority="733" operator="lessThan">
      <formula>0</formula>
    </cfRule>
    <cfRule type="cellIs" dxfId="2468" priority="734" operator="greaterThan">
      <formula>0</formula>
    </cfRule>
  </conditionalFormatting>
  <conditionalFormatting sqref="AN597">
    <cfRule type="cellIs" dxfId="2467" priority="731" operator="lessThan">
      <formula>0</formula>
    </cfRule>
    <cfRule type="cellIs" dxfId="2466" priority="732" operator="greaterThan">
      <formula>0</formula>
    </cfRule>
  </conditionalFormatting>
  <conditionalFormatting sqref="AO597:AU597">
    <cfRule type="cellIs" dxfId="2465" priority="729" operator="lessThan">
      <formula>0</formula>
    </cfRule>
    <cfRule type="cellIs" dxfId="2464" priority="730" operator="greaterThan">
      <formula>0</formula>
    </cfRule>
  </conditionalFormatting>
  <conditionalFormatting sqref="AG597:AL597">
    <cfRule type="cellIs" dxfId="2463" priority="727" operator="lessThan">
      <formula>0</formula>
    </cfRule>
    <cfRule type="cellIs" dxfId="2462" priority="728" operator="greaterThan">
      <formula>0</formula>
    </cfRule>
  </conditionalFormatting>
  <conditionalFormatting sqref="AN605">
    <cfRule type="cellIs" dxfId="2461" priority="725" operator="lessThan">
      <formula>0</formula>
    </cfRule>
    <cfRule type="cellIs" dxfId="2460" priority="726" operator="greaterThan">
      <formula>0</formula>
    </cfRule>
  </conditionalFormatting>
  <conditionalFormatting sqref="AO605:AU605">
    <cfRule type="cellIs" dxfId="2459" priority="723" operator="lessThan">
      <formula>0</formula>
    </cfRule>
    <cfRule type="cellIs" dxfId="2458" priority="724" operator="greaterThan">
      <formula>0</formula>
    </cfRule>
  </conditionalFormatting>
  <conditionalFormatting sqref="AG605:AL605">
    <cfRule type="cellIs" dxfId="2457" priority="721" operator="lessThan">
      <formula>0</formula>
    </cfRule>
    <cfRule type="cellIs" dxfId="2456" priority="722" operator="greaterThan">
      <formula>0</formula>
    </cfRule>
  </conditionalFormatting>
  <conditionalFormatting sqref="AN610">
    <cfRule type="cellIs" dxfId="2455" priority="719" operator="lessThan">
      <formula>0</formula>
    </cfRule>
    <cfRule type="cellIs" dxfId="2454" priority="720" operator="greaterThan">
      <formula>0</formula>
    </cfRule>
  </conditionalFormatting>
  <conditionalFormatting sqref="AO610:AU610">
    <cfRule type="cellIs" dxfId="2453" priority="717" operator="lessThan">
      <formula>0</formula>
    </cfRule>
    <cfRule type="cellIs" dxfId="2452" priority="718" operator="greaterThan">
      <formula>0</formula>
    </cfRule>
  </conditionalFormatting>
  <conditionalFormatting sqref="AG610:AL610">
    <cfRule type="cellIs" dxfId="2451" priority="715" operator="lessThan">
      <formula>0</formula>
    </cfRule>
    <cfRule type="cellIs" dxfId="2450" priority="716" operator="greaterThan">
      <formula>0</formula>
    </cfRule>
  </conditionalFormatting>
  <conditionalFormatting sqref="AN615">
    <cfRule type="cellIs" dxfId="2449" priority="713" operator="lessThan">
      <formula>0</formula>
    </cfRule>
    <cfRule type="cellIs" dxfId="2448" priority="714" operator="greaterThan">
      <formula>0</formula>
    </cfRule>
  </conditionalFormatting>
  <conditionalFormatting sqref="AO615:AU615">
    <cfRule type="cellIs" dxfId="2447" priority="711" operator="lessThan">
      <formula>0</formula>
    </cfRule>
    <cfRule type="cellIs" dxfId="2446" priority="712" operator="greaterThan">
      <formula>0</formula>
    </cfRule>
  </conditionalFormatting>
  <conditionalFormatting sqref="AG615:AL615">
    <cfRule type="cellIs" dxfId="2445" priority="709" operator="lessThan">
      <formula>0</formula>
    </cfRule>
    <cfRule type="cellIs" dxfId="2444" priority="710" operator="greaterThan">
      <formula>0</formula>
    </cfRule>
  </conditionalFormatting>
  <conditionalFormatting sqref="AN621">
    <cfRule type="cellIs" dxfId="2443" priority="707" operator="lessThan">
      <formula>0</formula>
    </cfRule>
    <cfRule type="cellIs" dxfId="2442" priority="708" operator="greaterThan">
      <formula>0</formula>
    </cfRule>
  </conditionalFormatting>
  <conditionalFormatting sqref="AO621:AU621">
    <cfRule type="cellIs" dxfId="2441" priority="705" operator="lessThan">
      <formula>0</formula>
    </cfRule>
    <cfRule type="cellIs" dxfId="2440" priority="706" operator="greaterThan">
      <formula>0</formula>
    </cfRule>
  </conditionalFormatting>
  <conditionalFormatting sqref="AG621:AL621">
    <cfRule type="cellIs" dxfId="2439" priority="703" operator="lessThan">
      <formula>0</formula>
    </cfRule>
    <cfRule type="cellIs" dxfId="2438" priority="704" operator="greaterThan">
      <formula>0</formula>
    </cfRule>
  </conditionalFormatting>
  <conditionalFormatting sqref="AN626">
    <cfRule type="cellIs" dxfId="2437" priority="701" operator="lessThan">
      <formula>0</formula>
    </cfRule>
    <cfRule type="cellIs" dxfId="2436" priority="702" operator="greaterThan">
      <formula>0</formula>
    </cfRule>
  </conditionalFormatting>
  <conditionalFormatting sqref="AO626:AU626">
    <cfRule type="cellIs" dxfId="2435" priority="699" operator="lessThan">
      <formula>0</formula>
    </cfRule>
    <cfRule type="cellIs" dxfId="2434" priority="700" operator="greaterThan">
      <formula>0</formula>
    </cfRule>
  </conditionalFormatting>
  <conditionalFormatting sqref="AG626:AL626">
    <cfRule type="cellIs" dxfId="2433" priority="697" operator="lessThan">
      <formula>0</formula>
    </cfRule>
    <cfRule type="cellIs" dxfId="2432" priority="698" operator="greaterThan">
      <formula>0</formula>
    </cfRule>
  </conditionalFormatting>
  <conditionalFormatting sqref="AN631:AN632">
    <cfRule type="cellIs" dxfId="2431" priority="695" operator="lessThan">
      <formula>0</formula>
    </cfRule>
    <cfRule type="cellIs" dxfId="2430" priority="696" operator="greaterThan">
      <formula>0</formula>
    </cfRule>
  </conditionalFormatting>
  <conditionalFormatting sqref="AO631:AU632">
    <cfRule type="cellIs" dxfId="2429" priority="693" operator="lessThan">
      <formula>0</formula>
    </cfRule>
    <cfRule type="cellIs" dxfId="2428" priority="694" operator="greaterThan">
      <formula>0</formula>
    </cfRule>
  </conditionalFormatting>
  <conditionalFormatting sqref="AG631:AL632">
    <cfRule type="cellIs" dxfId="2427" priority="691" operator="lessThan">
      <formula>0</formula>
    </cfRule>
    <cfRule type="cellIs" dxfId="2426" priority="692" operator="greaterThan">
      <formula>0</formula>
    </cfRule>
  </conditionalFormatting>
  <conditionalFormatting sqref="AN637">
    <cfRule type="cellIs" dxfId="2425" priority="689" operator="lessThan">
      <formula>0</formula>
    </cfRule>
    <cfRule type="cellIs" dxfId="2424" priority="690" operator="greaterThan">
      <formula>0</formula>
    </cfRule>
  </conditionalFormatting>
  <conditionalFormatting sqref="AO637:AU637">
    <cfRule type="cellIs" dxfId="2423" priority="687" operator="lessThan">
      <formula>0</formula>
    </cfRule>
    <cfRule type="cellIs" dxfId="2422" priority="688" operator="greaterThan">
      <formula>0</formula>
    </cfRule>
  </conditionalFormatting>
  <conditionalFormatting sqref="AG637:AL637">
    <cfRule type="cellIs" dxfId="2421" priority="685" operator="lessThan">
      <formula>0</formula>
    </cfRule>
    <cfRule type="cellIs" dxfId="2420" priority="686" operator="greaterThan">
      <formula>0</formula>
    </cfRule>
  </conditionalFormatting>
  <conditionalFormatting sqref="AN648">
    <cfRule type="cellIs" dxfId="2419" priority="683" operator="lessThan">
      <formula>0</formula>
    </cfRule>
    <cfRule type="cellIs" dxfId="2418" priority="684" operator="greaterThan">
      <formula>0</formula>
    </cfRule>
  </conditionalFormatting>
  <conditionalFormatting sqref="AO648:AU648">
    <cfRule type="cellIs" dxfId="2417" priority="681" operator="lessThan">
      <formula>0</formula>
    </cfRule>
    <cfRule type="cellIs" dxfId="2416" priority="682" operator="greaterThan">
      <formula>0</formula>
    </cfRule>
  </conditionalFormatting>
  <conditionalFormatting sqref="AG648:AL648">
    <cfRule type="cellIs" dxfId="2415" priority="679" operator="lessThan">
      <formula>0</formula>
    </cfRule>
    <cfRule type="cellIs" dxfId="2414" priority="680" operator="greaterThan">
      <formula>0</formula>
    </cfRule>
  </conditionalFormatting>
  <conditionalFormatting sqref="AN653">
    <cfRule type="cellIs" dxfId="2413" priority="677" operator="lessThan">
      <formula>0</formula>
    </cfRule>
    <cfRule type="cellIs" dxfId="2412" priority="678" operator="greaterThan">
      <formula>0</formula>
    </cfRule>
  </conditionalFormatting>
  <conditionalFormatting sqref="AO653:AU653">
    <cfRule type="cellIs" dxfId="2411" priority="675" operator="lessThan">
      <formula>0</formula>
    </cfRule>
    <cfRule type="cellIs" dxfId="2410" priority="676" operator="greaterThan">
      <formula>0</formula>
    </cfRule>
  </conditionalFormatting>
  <conditionalFormatting sqref="AG653:AL653">
    <cfRule type="cellIs" dxfId="2409" priority="673" operator="lessThan">
      <formula>0</formula>
    </cfRule>
    <cfRule type="cellIs" dxfId="2408" priority="674" operator="greaterThan">
      <formula>0</formula>
    </cfRule>
  </conditionalFormatting>
  <conditionalFormatting sqref="AN658:AN659">
    <cfRule type="cellIs" dxfId="2407" priority="671" operator="lessThan">
      <formula>0</formula>
    </cfRule>
    <cfRule type="cellIs" dxfId="2406" priority="672" operator="greaterThan">
      <formula>0</formula>
    </cfRule>
  </conditionalFormatting>
  <conditionalFormatting sqref="AO658:AU659">
    <cfRule type="cellIs" dxfId="2405" priority="669" operator="lessThan">
      <formula>0</formula>
    </cfRule>
    <cfRule type="cellIs" dxfId="2404" priority="670" operator="greaterThan">
      <formula>0</formula>
    </cfRule>
  </conditionalFormatting>
  <conditionalFormatting sqref="AG658:AL659">
    <cfRule type="cellIs" dxfId="2403" priority="667" operator="lessThan">
      <formula>0</formula>
    </cfRule>
    <cfRule type="cellIs" dxfId="2402" priority="668" operator="greaterThan">
      <formula>0</formula>
    </cfRule>
  </conditionalFormatting>
  <conditionalFormatting sqref="AN664">
    <cfRule type="cellIs" dxfId="2401" priority="665" operator="lessThan">
      <formula>0</formula>
    </cfRule>
    <cfRule type="cellIs" dxfId="2400" priority="666" operator="greaterThan">
      <formula>0</formula>
    </cfRule>
  </conditionalFormatting>
  <conditionalFormatting sqref="AO664:AU664">
    <cfRule type="cellIs" dxfId="2399" priority="663" operator="lessThan">
      <formula>0</formula>
    </cfRule>
    <cfRule type="cellIs" dxfId="2398" priority="664" operator="greaterThan">
      <formula>0</formula>
    </cfRule>
  </conditionalFormatting>
  <conditionalFormatting sqref="AG664:AL664">
    <cfRule type="cellIs" dxfId="2397" priority="661" operator="lessThan">
      <formula>0</formula>
    </cfRule>
    <cfRule type="cellIs" dxfId="2396" priority="662" operator="greaterThan">
      <formula>0</formula>
    </cfRule>
  </conditionalFormatting>
  <conditionalFormatting sqref="AN669">
    <cfRule type="cellIs" dxfId="2395" priority="659" operator="lessThan">
      <formula>0</formula>
    </cfRule>
    <cfRule type="cellIs" dxfId="2394" priority="660" operator="greaterThan">
      <formula>0</formula>
    </cfRule>
  </conditionalFormatting>
  <conditionalFormatting sqref="AO669:AU669">
    <cfRule type="cellIs" dxfId="2393" priority="657" operator="lessThan">
      <formula>0</formula>
    </cfRule>
    <cfRule type="cellIs" dxfId="2392" priority="658" operator="greaterThan">
      <formula>0</formula>
    </cfRule>
  </conditionalFormatting>
  <conditionalFormatting sqref="AG669:AL669">
    <cfRule type="cellIs" dxfId="2391" priority="655" operator="lessThan">
      <formula>0</formula>
    </cfRule>
    <cfRule type="cellIs" dxfId="2390" priority="656" operator="greaterThan">
      <formula>0</formula>
    </cfRule>
  </conditionalFormatting>
  <conditionalFormatting sqref="AN674">
    <cfRule type="cellIs" dxfId="2389" priority="653" operator="lessThan">
      <formula>0</formula>
    </cfRule>
    <cfRule type="cellIs" dxfId="2388" priority="654" operator="greaterThan">
      <formula>0</formula>
    </cfRule>
  </conditionalFormatting>
  <conditionalFormatting sqref="AO674:AU674">
    <cfRule type="cellIs" dxfId="2387" priority="651" operator="lessThan">
      <formula>0</formula>
    </cfRule>
    <cfRule type="cellIs" dxfId="2386" priority="652" operator="greaterThan">
      <formula>0</formula>
    </cfRule>
  </conditionalFormatting>
  <conditionalFormatting sqref="AG674:AL674">
    <cfRule type="cellIs" dxfId="2385" priority="649" operator="lessThan">
      <formula>0</formula>
    </cfRule>
    <cfRule type="cellIs" dxfId="2384" priority="650" operator="greaterThan">
      <formula>0</formula>
    </cfRule>
  </conditionalFormatting>
  <conditionalFormatting sqref="AN679">
    <cfRule type="cellIs" dxfId="2383" priority="647" operator="lessThan">
      <formula>0</formula>
    </cfRule>
    <cfRule type="cellIs" dxfId="2382" priority="648" operator="greaterThan">
      <formula>0</formula>
    </cfRule>
  </conditionalFormatting>
  <conditionalFormatting sqref="AO679:AU679">
    <cfRule type="cellIs" dxfId="2381" priority="645" operator="lessThan">
      <formula>0</formula>
    </cfRule>
    <cfRule type="cellIs" dxfId="2380" priority="646" operator="greaterThan">
      <formula>0</formula>
    </cfRule>
  </conditionalFormatting>
  <conditionalFormatting sqref="AG679:AL679">
    <cfRule type="cellIs" dxfId="2379" priority="643" operator="lessThan">
      <formula>0</formula>
    </cfRule>
    <cfRule type="cellIs" dxfId="2378" priority="644" operator="greaterThan">
      <formula>0</formula>
    </cfRule>
  </conditionalFormatting>
  <conditionalFormatting sqref="AN687">
    <cfRule type="cellIs" dxfId="2377" priority="641" operator="lessThan">
      <formula>0</formula>
    </cfRule>
    <cfRule type="cellIs" dxfId="2376" priority="642" operator="greaterThan">
      <formula>0</formula>
    </cfRule>
  </conditionalFormatting>
  <conditionalFormatting sqref="AO687:AU687">
    <cfRule type="cellIs" dxfId="2375" priority="639" operator="lessThan">
      <formula>0</formula>
    </cfRule>
    <cfRule type="cellIs" dxfId="2374" priority="640" operator="greaterThan">
      <formula>0</formula>
    </cfRule>
  </conditionalFormatting>
  <conditionalFormatting sqref="AG687:AL687">
    <cfRule type="cellIs" dxfId="2373" priority="637" operator="lessThan">
      <formula>0</formula>
    </cfRule>
    <cfRule type="cellIs" dxfId="2372" priority="638" operator="greaterThan">
      <formula>0</formula>
    </cfRule>
  </conditionalFormatting>
  <conditionalFormatting sqref="AN697">
    <cfRule type="cellIs" dxfId="2371" priority="635" operator="lessThan">
      <formula>0</formula>
    </cfRule>
    <cfRule type="cellIs" dxfId="2370" priority="636" operator="greaterThan">
      <formula>0</formula>
    </cfRule>
  </conditionalFormatting>
  <conditionalFormatting sqref="AO697:AU697">
    <cfRule type="cellIs" dxfId="2369" priority="633" operator="lessThan">
      <formula>0</formula>
    </cfRule>
    <cfRule type="cellIs" dxfId="2368" priority="634" operator="greaterThan">
      <formula>0</formula>
    </cfRule>
  </conditionalFormatting>
  <conditionalFormatting sqref="AG697:AL697">
    <cfRule type="cellIs" dxfId="2367" priority="631" operator="lessThan">
      <formula>0</formula>
    </cfRule>
    <cfRule type="cellIs" dxfId="2366" priority="632" operator="greaterThan">
      <formula>0</formula>
    </cfRule>
  </conditionalFormatting>
  <conditionalFormatting sqref="AN702">
    <cfRule type="cellIs" dxfId="2365" priority="629" operator="lessThan">
      <formula>0</formula>
    </cfRule>
    <cfRule type="cellIs" dxfId="2364" priority="630" operator="greaterThan">
      <formula>0</formula>
    </cfRule>
  </conditionalFormatting>
  <conditionalFormatting sqref="AO702:AU702">
    <cfRule type="cellIs" dxfId="2363" priority="627" operator="lessThan">
      <formula>0</formula>
    </cfRule>
    <cfRule type="cellIs" dxfId="2362" priority="628" operator="greaterThan">
      <formula>0</formula>
    </cfRule>
  </conditionalFormatting>
  <conditionalFormatting sqref="AG702:AL702">
    <cfRule type="cellIs" dxfId="2361" priority="625" operator="lessThan">
      <formula>0</formula>
    </cfRule>
    <cfRule type="cellIs" dxfId="2360" priority="626" operator="greaterThan">
      <formula>0</formula>
    </cfRule>
  </conditionalFormatting>
  <conditionalFormatting sqref="AN707">
    <cfRule type="cellIs" dxfId="2359" priority="623" operator="lessThan">
      <formula>0</formula>
    </cfRule>
    <cfRule type="cellIs" dxfId="2358" priority="624" operator="greaterThan">
      <formula>0</formula>
    </cfRule>
  </conditionalFormatting>
  <conditionalFormatting sqref="AO707:AU707">
    <cfRule type="cellIs" dxfId="2357" priority="621" operator="lessThan">
      <formula>0</formula>
    </cfRule>
    <cfRule type="cellIs" dxfId="2356" priority="622" operator="greaterThan">
      <formula>0</formula>
    </cfRule>
  </conditionalFormatting>
  <conditionalFormatting sqref="AG707:AL707">
    <cfRule type="cellIs" dxfId="2355" priority="619" operator="lessThan">
      <formula>0</formula>
    </cfRule>
    <cfRule type="cellIs" dxfId="2354" priority="620" operator="greaterThan">
      <formula>0</formula>
    </cfRule>
  </conditionalFormatting>
  <conditionalFormatting sqref="AN712">
    <cfRule type="cellIs" dxfId="2353" priority="617" operator="lessThan">
      <formula>0</formula>
    </cfRule>
    <cfRule type="cellIs" dxfId="2352" priority="618" operator="greaterThan">
      <formula>0</formula>
    </cfRule>
  </conditionalFormatting>
  <conditionalFormatting sqref="AO712:AU712">
    <cfRule type="cellIs" dxfId="2351" priority="615" operator="lessThan">
      <formula>0</formula>
    </cfRule>
    <cfRule type="cellIs" dxfId="2350" priority="616" operator="greaterThan">
      <formula>0</formula>
    </cfRule>
  </conditionalFormatting>
  <conditionalFormatting sqref="AG712:AL712">
    <cfRule type="cellIs" dxfId="2349" priority="613" operator="lessThan">
      <formula>0</formula>
    </cfRule>
    <cfRule type="cellIs" dxfId="2348" priority="614" operator="greaterThan">
      <formula>0</formula>
    </cfRule>
  </conditionalFormatting>
  <conditionalFormatting sqref="AN717">
    <cfRule type="cellIs" dxfId="2347" priority="611" operator="lessThan">
      <formula>0</formula>
    </cfRule>
    <cfRule type="cellIs" dxfId="2346" priority="612" operator="greaterThan">
      <formula>0</formula>
    </cfRule>
  </conditionalFormatting>
  <conditionalFormatting sqref="AO717:AU717">
    <cfRule type="cellIs" dxfId="2345" priority="609" operator="lessThan">
      <formula>0</formula>
    </cfRule>
    <cfRule type="cellIs" dxfId="2344" priority="610" operator="greaterThan">
      <formula>0</formula>
    </cfRule>
  </conditionalFormatting>
  <conditionalFormatting sqref="AG717:AL717">
    <cfRule type="cellIs" dxfId="2343" priority="607" operator="lessThan">
      <formula>0</formula>
    </cfRule>
    <cfRule type="cellIs" dxfId="2342" priority="608" operator="greaterThan">
      <formula>0</formula>
    </cfRule>
  </conditionalFormatting>
  <conditionalFormatting sqref="E484">
    <cfRule type="cellIs" dxfId="2341" priority="606" operator="equal">
      <formula>$E$479</formula>
    </cfRule>
  </conditionalFormatting>
  <conditionalFormatting sqref="E483">
    <cfRule type="cellIs" dxfId="2340" priority="605" operator="equal">
      <formula>$E478</formula>
    </cfRule>
  </conditionalFormatting>
  <conditionalFormatting sqref="E490">
    <cfRule type="cellIs" dxfId="2339" priority="604" operator="equal">
      <formula>$E484</formula>
    </cfRule>
  </conditionalFormatting>
  <conditionalFormatting sqref="E489">
    <cfRule type="cellIs" dxfId="2338" priority="603" operator="equal">
      <formula>$E$483</formula>
    </cfRule>
  </conditionalFormatting>
  <conditionalFormatting sqref="E495">
    <cfRule type="cellIs" dxfId="2337" priority="602" operator="equal">
      <formula>$E490</formula>
    </cfRule>
  </conditionalFormatting>
  <conditionalFormatting sqref="E503">
    <cfRule type="cellIs" dxfId="2336" priority="601" operator="equal">
      <formula>$E495</formula>
    </cfRule>
  </conditionalFormatting>
  <conditionalFormatting sqref="E508">
    <cfRule type="cellIs" dxfId="2335" priority="600" operator="equal">
      <formula>$E503</formula>
    </cfRule>
  </conditionalFormatting>
  <conditionalFormatting sqref="E523">
    <cfRule type="cellIs" dxfId="2334" priority="599" operator="equal">
      <formula>$E518</formula>
    </cfRule>
  </conditionalFormatting>
  <conditionalFormatting sqref="E494">
    <cfRule type="cellIs" dxfId="2333" priority="598" operator="equal">
      <formula>$E$489</formula>
    </cfRule>
  </conditionalFormatting>
  <conditionalFormatting sqref="E502">
    <cfRule type="cellIs" dxfId="2332" priority="597" operator="equal">
      <formula>$E$494</formula>
    </cfRule>
  </conditionalFormatting>
  <conditionalFormatting sqref="E528">
    <cfRule type="cellIs" dxfId="2331" priority="596" operator="equal">
      <formula>$E523</formula>
    </cfRule>
  </conditionalFormatting>
  <conditionalFormatting sqref="E507">
    <cfRule type="cellIs" dxfId="2330" priority="595" operator="equal">
      <formula>$E502</formula>
    </cfRule>
  </conditionalFormatting>
  <conditionalFormatting sqref="E524">
    <cfRule type="cellIs" dxfId="2329" priority="594" operator="equal">
      <formula>$E519</formula>
    </cfRule>
  </conditionalFormatting>
  <conditionalFormatting sqref="E529">
    <cfRule type="cellIs" dxfId="2328" priority="593" operator="equal">
      <formula>$E524</formula>
    </cfRule>
  </conditionalFormatting>
  <conditionalFormatting sqref="E541">
    <cfRule type="cellIs" dxfId="2327" priority="592" operator="equal">
      <formula>$E536</formula>
    </cfRule>
  </conditionalFormatting>
  <conditionalFormatting sqref="E542">
    <cfRule type="cellIs" dxfId="2326" priority="591" operator="equal">
      <formula>$E537</formula>
    </cfRule>
  </conditionalFormatting>
  <conditionalFormatting sqref="E546">
    <cfRule type="cellIs" dxfId="2325" priority="590" operator="equal">
      <formula>$E541</formula>
    </cfRule>
  </conditionalFormatting>
  <conditionalFormatting sqref="E536">
    <cfRule type="cellIs" dxfId="2324" priority="589" operator="equal">
      <formula>$E528</formula>
    </cfRule>
  </conditionalFormatting>
  <conditionalFormatting sqref="E537">
    <cfRule type="cellIs" dxfId="2323" priority="588" operator="equal">
      <formula>$E529</formula>
    </cfRule>
  </conditionalFormatting>
  <conditionalFormatting sqref="E570">
    <cfRule type="cellIs" dxfId="2322" priority="587" operator="equal">
      <formula>$E562</formula>
    </cfRule>
  </conditionalFormatting>
  <conditionalFormatting sqref="E571">
    <cfRule type="cellIs" dxfId="2321" priority="586" operator="equal">
      <formula>$E563</formula>
    </cfRule>
  </conditionalFormatting>
  <conditionalFormatting sqref="E604">
    <cfRule type="cellIs" dxfId="2320" priority="585" operator="equal">
      <formula>$E596</formula>
    </cfRule>
  </conditionalFormatting>
  <conditionalFormatting sqref="E647">
    <cfRule type="cellIs" dxfId="2319" priority="584" operator="equal">
      <formula>$E636</formula>
    </cfRule>
  </conditionalFormatting>
  <conditionalFormatting sqref="E686">
    <cfRule type="cellIs" dxfId="2318" priority="583" operator="equal">
      <formula>$E678</formula>
    </cfRule>
  </conditionalFormatting>
  <conditionalFormatting sqref="E696">
    <cfRule type="cellIs" dxfId="2317" priority="582" operator="equal">
      <formula>$E686</formula>
    </cfRule>
  </conditionalFormatting>
  <conditionalFormatting sqref="E513">
    <cfRule type="cellIs" dxfId="2316" priority="581" operator="equal">
      <formula>$E508</formula>
    </cfRule>
  </conditionalFormatting>
  <conditionalFormatting sqref="E512">
    <cfRule type="cellIs" dxfId="2315" priority="580" operator="equal">
      <formula>$E507</formula>
    </cfRule>
  </conditionalFormatting>
  <conditionalFormatting sqref="E518">
    <cfRule type="cellIs" dxfId="2314" priority="579" operator="equal">
      <formula>$E512</formula>
    </cfRule>
  </conditionalFormatting>
  <conditionalFormatting sqref="E519">
    <cfRule type="cellIs" dxfId="2313" priority="578" operator="equal">
      <formula>$E513</formula>
    </cfRule>
  </conditionalFormatting>
  <conditionalFormatting sqref="E472">
    <cfRule type="cellIs" dxfId="2312" priority="577" operator="equal">
      <formula>$E467</formula>
    </cfRule>
  </conditionalFormatting>
  <conditionalFormatting sqref="E473">
    <cfRule type="cellIs" dxfId="2311" priority="576" operator="equal">
      <formula>$E468</formula>
    </cfRule>
  </conditionalFormatting>
  <conditionalFormatting sqref="E478">
    <cfRule type="cellIs" dxfId="2310" priority="575" operator="equal">
      <formula>$E$472</formula>
    </cfRule>
  </conditionalFormatting>
  <conditionalFormatting sqref="E479">
    <cfRule type="cellIs" dxfId="2309" priority="574" operator="equal">
      <formula>$E473</formula>
    </cfRule>
  </conditionalFormatting>
  <conditionalFormatting sqref="E547">
    <cfRule type="cellIs" dxfId="2308" priority="573" operator="equal">
      <formula>$E542</formula>
    </cfRule>
  </conditionalFormatting>
  <conditionalFormatting sqref="E552">
    <cfRule type="cellIs" dxfId="2307" priority="572" operator="equal">
      <formula>$E546</formula>
    </cfRule>
  </conditionalFormatting>
  <conditionalFormatting sqref="E553">
    <cfRule type="cellIs" dxfId="2306" priority="571" operator="equal">
      <formula>$E547</formula>
    </cfRule>
  </conditionalFormatting>
  <conditionalFormatting sqref="E557">
    <cfRule type="cellIs" dxfId="2305" priority="570" operator="equal">
      <formula>$E552</formula>
    </cfRule>
  </conditionalFormatting>
  <conditionalFormatting sqref="E558">
    <cfRule type="cellIs" dxfId="2304" priority="569" operator="equal">
      <formula>$E553</formula>
    </cfRule>
  </conditionalFormatting>
  <conditionalFormatting sqref="E562">
    <cfRule type="cellIs" dxfId="2303" priority="568" operator="equal">
      <formula>$E557</formula>
    </cfRule>
  </conditionalFormatting>
  <conditionalFormatting sqref="E563">
    <cfRule type="cellIs" dxfId="2302" priority="567" operator="equal">
      <formula>$E558</formula>
    </cfRule>
  </conditionalFormatting>
  <conditionalFormatting sqref="E575">
    <cfRule type="cellIs" dxfId="2301" priority="566" operator="equal">
      <formula>$E570</formula>
    </cfRule>
  </conditionalFormatting>
  <conditionalFormatting sqref="E576">
    <cfRule type="cellIs" dxfId="2300" priority="565" operator="equal">
      <formula>$E571</formula>
    </cfRule>
  </conditionalFormatting>
  <conditionalFormatting sqref="E580">
    <cfRule type="cellIs" dxfId="2299" priority="564" operator="equal">
      <formula>$E575</formula>
    </cfRule>
  </conditionalFormatting>
  <conditionalFormatting sqref="E581">
    <cfRule type="cellIs" dxfId="2298" priority="563" operator="equal">
      <formula>$E576</formula>
    </cfRule>
  </conditionalFormatting>
  <conditionalFormatting sqref="E591">
    <cfRule type="cellIs" dxfId="2297" priority="562" operator="equal">
      <formula>$E586</formula>
    </cfRule>
  </conditionalFormatting>
  <conditionalFormatting sqref="E592">
    <cfRule type="cellIs" dxfId="2296" priority="561" operator="equal">
      <formula>$E587</formula>
    </cfRule>
  </conditionalFormatting>
  <conditionalFormatting sqref="E596">
    <cfRule type="cellIs" dxfId="2295" priority="560" operator="equal">
      <formula>$E591</formula>
    </cfRule>
  </conditionalFormatting>
  <conditionalFormatting sqref="E597">
    <cfRule type="cellIs" dxfId="2294" priority="559" operator="equal">
      <formula>$E592</formula>
    </cfRule>
  </conditionalFormatting>
  <conditionalFormatting sqref="E586">
    <cfRule type="cellIs" dxfId="2293" priority="558" operator="equal">
      <formula>$E580</formula>
    </cfRule>
  </conditionalFormatting>
  <conditionalFormatting sqref="E587">
    <cfRule type="cellIs" dxfId="2292" priority="557" operator="equal">
      <formula>$E581</formula>
    </cfRule>
  </conditionalFormatting>
  <conditionalFormatting sqref="E609">
    <cfRule type="cellIs" dxfId="2291" priority="556" operator="equal">
      <formula>$E604</formula>
    </cfRule>
  </conditionalFormatting>
  <conditionalFormatting sqref="E610">
    <cfRule type="cellIs" dxfId="2290" priority="555" operator="equal">
      <formula>$E605</formula>
    </cfRule>
  </conditionalFormatting>
  <conditionalFormatting sqref="E614">
    <cfRule type="cellIs" dxfId="2289" priority="554" operator="equal">
      <formula>$E609</formula>
    </cfRule>
  </conditionalFormatting>
  <conditionalFormatting sqref="E615">
    <cfRule type="cellIs" dxfId="2288" priority="553" operator="equal">
      <formula>$E610</formula>
    </cfRule>
  </conditionalFormatting>
  <conditionalFormatting sqref="E630">
    <cfRule type="cellIs" dxfId="2287" priority="552" operator="equal">
      <formula>$E625</formula>
    </cfRule>
  </conditionalFormatting>
  <conditionalFormatting sqref="E631">
    <cfRule type="cellIs" dxfId="2286" priority="551" operator="equal">
      <formula>$E626</formula>
    </cfRule>
  </conditionalFormatting>
  <conditionalFormatting sqref="E636">
    <cfRule type="cellIs" dxfId="2285" priority="550" operator="equal">
      <formula>$E630</formula>
    </cfRule>
  </conditionalFormatting>
  <conditionalFormatting sqref="E637">
    <cfRule type="cellIs" dxfId="2284" priority="549" operator="equal">
      <formula>$E631</formula>
    </cfRule>
  </conditionalFormatting>
  <conditionalFormatting sqref="E652">
    <cfRule type="cellIs" dxfId="2283" priority="548" operator="equal">
      <formula>$E647</formula>
    </cfRule>
  </conditionalFormatting>
  <conditionalFormatting sqref="E653">
    <cfRule type="cellIs" dxfId="2282" priority="547" operator="equal">
      <formula>$E648</formula>
    </cfRule>
  </conditionalFormatting>
  <conditionalFormatting sqref="E657">
    <cfRule type="cellIs" dxfId="2281" priority="546" operator="equal">
      <formula>$E652</formula>
    </cfRule>
  </conditionalFormatting>
  <conditionalFormatting sqref="E658">
    <cfRule type="cellIs" dxfId="2280" priority="545" operator="equal">
      <formula>$E653</formula>
    </cfRule>
  </conditionalFormatting>
  <conditionalFormatting sqref="E663">
    <cfRule type="cellIs" dxfId="2279" priority="544" operator="equal">
      <formula>$E657</formula>
    </cfRule>
  </conditionalFormatting>
  <conditionalFormatting sqref="E664">
    <cfRule type="cellIs" dxfId="2278" priority="543" operator="equal">
      <formula>$E658</formula>
    </cfRule>
  </conditionalFormatting>
  <conditionalFormatting sqref="E668">
    <cfRule type="cellIs" dxfId="2277" priority="542" operator="equal">
      <formula>$E663</formula>
    </cfRule>
  </conditionalFormatting>
  <conditionalFormatting sqref="E669">
    <cfRule type="cellIs" dxfId="2276" priority="541" operator="equal">
      <formula>$E664</formula>
    </cfRule>
  </conditionalFormatting>
  <conditionalFormatting sqref="E673">
    <cfRule type="cellIs" dxfId="2275" priority="540" operator="equal">
      <formula>$E668</formula>
    </cfRule>
  </conditionalFormatting>
  <conditionalFormatting sqref="E674">
    <cfRule type="cellIs" dxfId="2274" priority="539" operator="equal">
      <formula>$E669</formula>
    </cfRule>
  </conditionalFormatting>
  <conditionalFormatting sqref="E678">
    <cfRule type="cellIs" dxfId="2273" priority="538" operator="equal">
      <formula>$E673</formula>
    </cfRule>
  </conditionalFormatting>
  <conditionalFormatting sqref="E679">
    <cfRule type="cellIs" dxfId="2272" priority="537" operator="equal">
      <formula>$E674</formula>
    </cfRule>
  </conditionalFormatting>
  <conditionalFormatting sqref="E687">
    <cfRule type="cellIs" dxfId="2271" priority="536" operator="equal">
      <formula>$E679</formula>
    </cfRule>
  </conditionalFormatting>
  <conditionalFormatting sqref="E648">
    <cfRule type="cellIs" dxfId="2270" priority="535" operator="equal">
      <formula>$E637</formula>
    </cfRule>
  </conditionalFormatting>
  <conditionalFormatting sqref="E625">
    <cfRule type="cellIs" dxfId="2269" priority="534" operator="equal">
      <formula>$E620</formula>
    </cfRule>
  </conditionalFormatting>
  <conditionalFormatting sqref="E626">
    <cfRule type="cellIs" dxfId="2268" priority="533" operator="equal">
      <formula>$E621</formula>
    </cfRule>
  </conditionalFormatting>
  <conditionalFormatting sqref="E605">
    <cfRule type="cellIs" dxfId="2267" priority="532" operator="equal">
      <formula>$E597</formula>
    </cfRule>
  </conditionalFormatting>
  <conditionalFormatting sqref="E620">
    <cfRule type="cellIs" dxfId="2266" priority="531" operator="equal">
      <formula>$E614</formula>
    </cfRule>
  </conditionalFormatting>
  <conditionalFormatting sqref="E621">
    <cfRule type="cellIs" dxfId="2265" priority="530" operator="equal">
      <formula>$E615</formula>
    </cfRule>
  </conditionalFormatting>
  <conditionalFormatting sqref="E701">
    <cfRule type="cellIs" dxfId="2264" priority="529" operator="equal">
      <formula>$E696</formula>
    </cfRule>
  </conditionalFormatting>
  <conditionalFormatting sqref="E702">
    <cfRule type="cellIs" dxfId="2263" priority="528" operator="equal">
      <formula>$E697</formula>
    </cfRule>
  </conditionalFormatting>
  <conditionalFormatting sqref="E706">
    <cfRule type="cellIs" dxfId="2262" priority="527" operator="equal">
      <formula>$E701</formula>
    </cfRule>
  </conditionalFormatting>
  <conditionalFormatting sqref="E707">
    <cfRule type="cellIs" dxfId="2261" priority="526" operator="equal">
      <formula>$E702</formula>
    </cfRule>
  </conditionalFormatting>
  <conditionalFormatting sqref="E711">
    <cfRule type="cellIs" dxfId="2260" priority="525" operator="equal">
      <formula>$E706</formula>
    </cfRule>
  </conditionalFormatting>
  <conditionalFormatting sqref="E712">
    <cfRule type="cellIs" dxfId="2259" priority="524" operator="equal">
      <formula>$E707</formula>
    </cfRule>
  </conditionalFormatting>
  <conditionalFormatting sqref="E716">
    <cfRule type="cellIs" dxfId="2258" priority="523" operator="equal">
      <formula>$E711</formula>
    </cfRule>
  </conditionalFormatting>
  <conditionalFormatting sqref="E717">
    <cfRule type="cellIs" dxfId="2257" priority="522" operator="equal">
      <formula>$E712</formula>
    </cfRule>
  </conditionalFormatting>
  <conditionalFormatting sqref="E697">
    <cfRule type="cellIs" dxfId="2256" priority="521" operator="equal">
      <formula>$E687</formula>
    </cfRule>
  </conditionalFormatting>
  <conditionalFormatting sqref="B1">
    <cfRule type="cellIs" dxfId="2255" priority="516" operator="between">
      <formula>0.8</formula>
      <formula>1</formula>
    </cfRule>
    <cfRule type="cellIs" dxfId="2254" priority="517" operator="between">
      <formula>0.6</formula>
      <formula>0.799999</formula>
    </cfRule>
    <cfRule type="cellIs" dxfId="2253" priority="518" operator="between">
      <formula>0.4</formula>
      <formula>0.599999</formula>
    </cfRule>
    <cfRule type="cellIs" dxfId="2252" priority="519" operator="between">
      <formula>0.2</formula>
      <formula>0.399999</formula>
    </cfRule>
    <cfRule type="cellIs" dxfId="2251" priority="520" operator="between">
      <formula>0</formula>
      <formula>0.199999</formula>
    </cfRule>
  </conditionalFormatting>
  <conditionalFormatting sqref="B2">
    <cfRule type="cellIs" dxfId="2250" priority="511" operator="between">
      <formula>0.8</formula>
      <formula>1</formula>
    </cfRule>
    <cfRule type="cellIs" dxfId="2249" priority="512" operator="between">
      <formula>0.6</formula>
      <formula>0.799999</formula>
    </cfRule>
    <cfRule type="cellIs" dxfId="2248" priority="513" operator="between">
      <formula>0.4</formula>
      <formula>0.599999</formula>
    </cfRule>
    <cfRule type="cellIs" dxfId="2247" priority="514" operator="between">
      <formula>0.2</formula>
      <formula>0.399999</formula>
    </cfRule>
    <cfRule type="cellIs" dxfId="2246" priority="515" operator="between">
      <formula>0</formula>
      <formula>0.199999</formula>
    </cfRule>
  </conditionalFormatting>
  <conditionalFormatting sqref="AO770:AO789">
    <cfRule type="cellIs" dxfId="2245" priority="500" operator="equal">
      <formula>0</formula>
    </cfRule>
  </conditionalFormatting>
  <conditionalFormatting sqref="C332">
    <cfRule type="containsText" dxfId="2244" priority="499" operator="containsText" text="URL">
      <formula>NOT(ISERROR(SEARCH("URL",C332)))</formula>
    </cfRule>
  </conditionalFormatting>
  <conditionalFormatting sqref="D339">
    <cfRule type="containsText" dxfId="2243" priority="498" operator="containsText" text="URL">
      <formula>NOT(ISERROR(SEARCH("URL",D339)))</formula>
    </cfRule>
  </conditionalFormatting>
  <conditionalFormatting sqref="C332">
    <cfRule type="containsText" dxfId="2242" priority="497" operator="containsText" text="URL">
      <formula>NOT(ISERROR(SEARCH("URL",C332)))</formula>
    </cfRule>
  </conditionalFormatting>
  <conditionalFormatting sqref="D332">
    <cfRule type="containsText" dxfId="2241" priority="496" operator="containsText" text="URL">
      <formula>NOT(ISERROR(SEARCH("URL",D332)))</formula>
    </cfRule>
  </conditionalFormatting>
  <conditionalFormatting sqref="B305">
    <cfRule type="containsText" dxfId="2240" priority="495" operator="containsText" text="URL">
      <formula>NOT(ISERROR(SEARCH("URL",B305)))</formula>
    </cfRule>
  </conditionalFormatting>
  <conditionalFormatting sqref="D305">
    <cfRule type="containsText" dxfId="2239" priority="494" operator="containsText" text="URL">
      <formula>NOT(ISERROR(SEARCH("URL",D305)))</formula>
    </cfRule>
  </conditionalFormatting>
  <conditionalFormatting sqref="D306">
    <cfRule type="containsText" dxfId="2238" priority="493" operator="containsText" text="URL">
      <formula>NOT(ISERROR(SEARCH("URL",D306)))</formula>
    </cfRule>
  </conditionalFormatting>
  <conditionalFormatting sqref="B325">
    <cfRule type="containsText" dxfId="2237" priority="492" operator="containsText" text="URL">
      <formula>NOT(ISERROR(SEARCH("URL",B325)))</formula>
    </cfRule>
  </conditionalFormatting>
  <conditionalFormatting sqref="D325">
    <cfRule type="containsText" dxfId="2236" priority="491" operator="containsText" text="URL">
      <formula>NOT(ISERROR(SEARCH("URL",D325)))</formula>
    </cfRule>
  </conditionalFormatting>
  <conditionalFormatting sqref="D326">
    <cfRule type="containsText" dxfId="2235" priority="490" operator="containsText" text="URL">
      <formula>NOT(ISERROR(SEARCH("URL",D326)))</formula>
    </cfRule>
  </conditionalFormatting>
  <conditionalFormatting sqref="B315">
    <cfRule type="containsText" dxfId="2234" priority="489" operator="containsText" text="URL">
      <formula>NOT(ISERROR(SEARCH("URL",B315)))</formula>
    </cfRule>
  </conditionalFormatting>
  <conditionalFormatting sqref="D315">
    <cfRule type="containsText" dxfId="2233" priority="488" operator="containsText" text="URL">
      <formula>NOT(ISERROR(SEARCH("URL",D315)))</formula>
    </cfRule>
  </conditionalFormatting>
  <conditionalFormatting sqref="D316">
    <cfRule type="containsText" dxfId="2232" priority="487" operator="containsText" text="URL">
      <formula>NOT(ISERROR(SEARCH("URL",D316)))</formula>
    </cfRule>
  </conditionalFormatting>
  <conditionalFormatting sqref="B335">
    <cfRule type="containsText" dxfId="2231" priority="486" operator="containsText" text="URL">
      <formula>NOT(ISERROR(SEARCH("URL",B335)))</formula>
    </cfRule>
  </conditionalFormatting>
  <conditionalFormatting sqref="D335">
    <cfRule type="containsText" dxfId="2230" priority="485" operator="containsText" text="URL">
      <formula>NOT(ISERROR(SEARCH("URL",D335)))</formula>
    </cfRule>
  </conditionalFormatting>
  <conditionalFormatting sqref="D336">
    <cfRule type="containsText" dxfId="2229" priority="484" operator="containsText" text="URL">
      <formula>NOT(ISERROR(SEARCH("URL",D336)))</formula>
    </cfRule>
  </conditionalFormatting>
  <conditionalFormatting sqref="D436">
    <cfRule type="containsText" dxfId="2228" priority="425" operator="containsText" text="URL">
      <formula>NOT(ISERROR(SEARCH("URL",D436)))</formula>
    </cfRule>
  </conditionalFormatting>
  <conditionalFormatting sqref="C342">
    <cfRule type="containsText" dxfId="2227" priority="483" operator="containsText" text="URL">
      <formula>NOT(ISERROR(SEARCH("URL",C342)))</formula>
    </cfRule>
  </conditionalFormatting>
  <conditionalFormatting sqref="B342:C342">
    <cfRule type="containsText" dxfId="2226" priority="482" operator="containsText" text="URL">
      <formula>NOT(ISERROR(SEARCH("URL",B342)))</formula>
    </cfRule>
  </conditionalFormatting>
  <conditionalFormatting sqref="D342">
    <cfRule type="containsText" dxfId="2225" priority="481" operator="containsText" text="URL">
      <formula>NOT(ISERROR(SEARCH("URL",D342)))</formula>
    </cfRule>
  </conditionalFormatting>
  <conditionalFormatting sqref="B345">
    <cfRule type="containsText" dxfId="2224" priority="480" operator="containsText" text="URL">
      <formula>NOT(ISERROR(SEARCH("URL",B345)))</formula>
    </cfRule>
  </conditionalFormatting>
  <conditionalFormatting sqref="D345">
    <cfRule type="containsText" dxfId="2223" priority="479" operator="containsText" text="URL">
      <formula>NOT(ISERROR(SEARCH("URL",D345)))</formula>
    </cfRule>
  </conditionalFormatting>
  <conditionalFormatting sqref="D346">
    <cfRule type="containsText" dxfId="2222" priority="478" operator="containsText" text="URL">
      <formula>NOT(ISERROR(SEARCH("URL",D346)))</formula>
    </cfRule>
  </conditionalFormatting>
  <conditionalFormatting sqref="C352">
    <cfRule type="containsText" dxfId="2221" priority="477" operator="containsText" text="URL">
      <formula>NOT(ISERROR(SEARCH("URL",C352)))</formula>
    </cfRule>
  </conditionalFormatting>
  <conditionalFormatting sqref="B352:C352">
    <cfRule type="containsText" dxfId="2220" priority="476" operator="containsText" text="URL">
      <formula>NOT(ISERROR(SEARCH("URL",B352)))</formula>
    </cfRule>
  </conditionalFormatting>
  <conditionalFormatting sqref="D352">
    <cfRule type="containsText" dxfId="2219" priority="475" operator="containsText" text="URL">
      <formula>NOT(ISERROR(SEARCH("URL",D352)))</formula>
    </cfRule>
  </conditionalFormatting>
  <conditionalFormatting sqref="B355">
    <cfRule type="containsText" dxfId="2218" priority="474" operator="containsText" text="URL">
      <formula>NOT(ISERROR(SEARCH("URL",B355)))</formula>
    </cfRule>
  </conditionalFormatting>
  <conditionalFormatting sqref="D355">
    <cfRule type="containsText" dxfId="2217" priority="473" operator="containsText" text="URL">
      <formula>NOT(ISERROR(SEARCH("URL",D355)))</formula>
    </cfRule>
  </conditionalFormatting>
  <conditionalFormatting sqref="D356">
    <cfRule type="containsText" dxfId="2216" priority="472" operator="containsText" text="URL">
      <formula>NOT(ISERROR(SEARCH("URL",D356)))</formula>
    </cfRule>
  </conditionalFormatting>
  <conditionalFormatting sqref="C362">
    <cfRule type="containsText" dxfId="2215" priority="471" operator="containsText" text="URL">
      <formula>NOT(ISERROR(SEARCH("URL",C362)))</formula>
    </cfRule>
  </conditionalFormatting>
  <conditionalFormatting sqref="B362:C362">
    <cfRule type="containsText" dxfId="2214" priority="470" operator="containsText" text="URL">
      <formula>NOT(ISERROR(SEARCH("URL",B362)))</formula>
    </cfRule>
  </conditionalFormatting>
  <conditionalFormatting sqref="D362">
    <cfRule type="containsText" dxfId="2213" priority="469" operator="containsText" text="URL">
      <formula>NOT(ISERROR(SEARCH("URL",D362)))</formula>
    </cfRule>
  </conditionalFormatting>
  <conditionalFormatting sqref="B365">
    <cfRule type="containsText" dxfId="2212" priority="468" operator="containsText" text="URL">
      <formula>NOT(ISERROR(SEARCH("URL",B365)))</formula>
    </cfRule>
  </conditionalFormatting>
  <conditionalFormatting sqref="D365">
    <cfRule type="containsText" dxfId="2211" priority="467" operator="containsText" text="URL">
      <formula>NOT(ISERROR(SEARCH("URL",D365)))</formula>
    </cfRule>
  </conditionalFormatting>
  <conditionalFormatting sqref="D366">
    <cfRule type="containsText" dxfId="2210" priority="466" operator="containsText" text="URL">
      <formula>NOT(ISERROR(SEARCH("URL",D366)))</formula>
    </cfRule>
  </conditionalFormatting>
  <conditionalFormatting sqref="C372">
    <cfRule type="containsText" dxfId="2209" priority="465" operator="containsText" text="URL">
      <formula>NOT(ISERROR(SEARCH("URL",C372)))</formula>
    </cfRule>
  </conditionalFormatting>
  <conditionalFormatting sqref="B372:C372">
    <cfRule type="containsText" dxfId="2208" priority="464" operator="containsText" text="URL">
      <formula>NOT(ISERROR(SEARCH("URL",B372)))</formula>
    </cfRule>
  </conditionalFormatting>
  <conditionalFormatting sqref="D372">
    <cfRule type="containsText" dxfId="2207" priority="463" operator="containsText" text="URL">
      <formula>NOT(ISERROR(SEARCH("URL",D372)))</formula>
    </cfRule>
  </conditionalFormatting>
  <conditionalFormatting sqref="B375">
    <cfRule type="containsText" dxfId="2206" priority="462" operator="containsText" text="URL">
      <formula>NOT(ISERROR(SEARCH("URL",B375)))</formula>
    </cfRule>
  </conditionalFormatting>
  <conditionalFormatting sqref="D375">
    <cfRule type="containsText" dxfId="2205" priority="461" operator="containsText" text="URL">
      <formula>NOT(ISERROR(SEARCH("URL",D375)))</formula>
    </cfRule>
  </conditionalFormatting>
  <conditionalFormatting sqref="D376">
    <cfRule type="containsText" dxfId="2204" priority="460" operator="containsText" text="URL">
      <formula>NOT(ISERROR(SEARCH("URL",D376)))</formula>
    </cfRule>
  </conditionalFormatting>
  <conditionalFormatting sqref="C382">
    <cfRule type="containsText" dxfId="2203" priority="459" operator="containsText" text="URL">
      <formula>NOT(ISERROR(SEARCH("URL",C382)))</formula>
    </cfRule>
  </conditionalFormatting>
  <conditionalFormatting sqref="B382:C382">
    <cfRule type="containsText" dxfId="2202" priority="458" operator="containsText" text="URL">
      <formula>NOT(ISERROR(SEARCH("URL",B382)))</formula>
    </cfRule>
  </conditionalFormatting>
  <conditionalFormatting sqref="D382">
    <cfRule type="containsText" dxfId="2201" priority="457" operator="containsText" text="URL">
      <formula>NOT(ISERROR(SEARCH("URL",D382)))</formula>
    </cfRule>
  </conditionalFormatting>
  <conditionalFormatting sqref="B385">
    <cfRule type="containsText" dxfId="2200" priority="456" operator="containsText" text="URL">
      <formula>NOT(ISERROR(SEARCH("URL",B385)))</formula>
    </cfRule>
  </conditionalFormatting>
  <conditionalFormatting sqref="C392">
    <cfRule type="containsText" dxfId="2199" priority="454" operator="containsText" text="URL">
      <formula>NOT(ISERROR(SEARCH("URL",C392)))</formula>
    </cfRule>
  </conditionalFormatting>
  <conditionalFormatting sqref="D386">
    <cfRule type="containsText" dxfId="2198" priority="455" operator="containsText" text="URL">
      <formula>NOT(ISERROR(SEARCH("URL",D386)))</formula>
    </cfRule>
  </conditionalFormatting>
  <conditionalFormatting sqref="B392:C392">
    <cfRule type="containsText" dxfId="2197" priority="453" operator="containsText" text="URL">
      <formula>NOT(ISERROR(SEARCH("URL",B392)))</formula>
    </cfRule>
  </conditionalFormatting>
  <conditionalFormatting sqref="D392">
    <cfRule type="containsText" dxfId="2196" priority="452" operator="containsText" text="URL">
      <formula>NOT(ISERROR(SEARCH("URL",D392)))</formula>
    </cfRule>
  </conditionalFormatting>
  <conditionalFormatting sqref="B395">
    <cfRule type="containsText" dxfId="2195" priority="451" operator="containsText" text="URL">
      <formula>NOT(ISERROR(SEARCH("URL",B395)))</formula>
    </cfRule>
  </conditionalFormatting>
  <conditionalFormatting sqref="D395">
    <cfRule type="containsText" dxfId="2194" priority="450" operator="containsText" text="URL">
      <formula>NOT(ISERROR(SEARCH("URL",D395)))</formula>
    </cfRule>
  </conditionalFormatting>
  <conditionalFormatting sqref="D396">
    <cfRule type="containsText" dxfId="2193" priority="449" operator="containsText" text="URL">
      <formula>NOT(ISERROR(SEARCH("URL",D396)))</formula>
    </cfRule>
  </conditionalFormatting>
  <conditionalFormatting sqref="C402">
    <cfRule type="containsText" dxfId="2192" priority="448" operator="containsText" text="URL">
      <formula>NOT(ISERROR(SEARCH("URL",C402)))</formula>
    </cfRule>
  </conditionalFormatting>
  <conditionalFormatting sqref="B402:C402">
    <cfRule type="containsText" dxfId="2191" priority="447" operator="containsText" text="URL">
      <formula>NOT(ISERROR(SEARCH("URL",B402)))</formula>
    </cfRule>
  </conditionalFormatting>
  <conditionalFormatting sqref="D402">
    <cfRule type="containsText" dxfId="2190" priority="446" operator="containsText" text="URL">
      <formula>NOT(ISERROR(SEARCH("URL",D402)))</formula>
    </cfRule>
  </conditionalFormatting>
  <conditionalFormatting sqref="B405">
    <cfRule type="containsText" dxfId="2189" priority="445" operator="containsText" text="URL">
      <formula>NOT(ISERROR(SEARCH("URL",B405)))</formula>
    </cfRule>
  </conditionalFormatting>
  <conditionalFormatting sqref="D405">
    <cfRule type="containsText" dxfId="2188" priority="444" operator="containsText" text="URL">
      <formula>NOT(ISERROR(SEARCH("URL",D405)))</formula>
    </cfRule>
  </conditionalFormatting>
  <conditionalFormatting sqref="D406">
    <cfRule type="containsText" dxfId="2187" priority="443" operator="containsText" text="URL">
      <formula>NOT(ISERROR(SEARCH("URL",D406)))</formula>
    </cfRule>
  </conditionalFormatting>
  <conditionalFormatting sqref="C412">
    <cfRule type="containsText" dxfId="2186" priority="442" operator="containsText" text="URL">
      <formula>NOT(ISERROR(SEARCH("URL",C412)))</formula>
    </cfRule>
  </conditionalFormatting>
  <conditionalFormatting sqref="B412:C412">
    <cfRule type="containsText" dxfId="2185" priority="441" operator="containsText" text="URL">
      <formula>NOT(ISERROR(SEARCH("URL",B412)))</formula>
    </cfRule>
  </conditionalFormatting>
  <conditionalFormatting sqref="D412">
    <cfRule type="containsText" dxfId="2184" priority="440" operator="containsText" text="URL">
      <formula>NOT(ISERROR(SEARCH("URL",D412)))</formula>
    </cfRule>
  </conditionalFormatting>
  <conditionalFormatting sqref="B415">
    <cfRule type="containsText" dxfId="2183" priority="439" operator="containsText" text="URL">
      <formula>NOT(ISERROR(SEARCH("URL",B415)))</formula>
    </cfRule>
  </conditionalFormatting>
  <conditionalFormatting sqref="D415">
    <cfRule type="containsText" dxfId="2182" priority="438" operator="containsText" text="URL">
      <formula>NOT(ISERROR(SEARCH("URL",D415)))</formula>
    </cfRule>
  </conditionalFormatting>
  <conditionalFormatting sqref="D416">
    <cfRule type="containsText" dxfId="2181" priority="437" operator="containsText" text="URL">
      <formula>NOT(ISERROR(SEARCH("URL",D416)))</formula>
    </cfRule>
  </conditionalFormatting>
  <conditionalFormatting sqref="C422">
    <cfRule type="containsText" dxfId="2180" priority="436" operator="containsText" text="URL">
      <formula>NOT(ISERROR(SEARCH("URL",C422)))</formula>
    </cfRule>
  </conditionalFormatting>
  <conditionalFormatting sqref="B422:C422">
    <cfRule type="containsText" dxfId="2179" priority="435" operator="containsText" text="URL">
      <formula>NOT(ISERROR(SEARCH("URL",B422)))</formula>
    </cfRule>
  </conditionalFormatting>
  <conditionalFormatting sqref="D422">
    <cfRule type="containsText" dxfId="2178" priority="434" operator="containsText" text="URL">
      <formula>NOT(ISERROR(SEARCH("URL",D422)))</formula>
    </cfRule>
  </conditionalFormatting>
  <conditionalFormatting sqref="B425">
    <cfRule type="containsText" dxfId="2177" priority="433" operator="containsText" text="URL">
      <formula>NOT(ISERROR(SEARCH("URL",B425)))</formula>
    </cfRule>
  </conditionalFormatting>
  <conditionalFormatting sqref="D425">
    <cfRule type="containsText" dxfId="2176" priority="432" operator="containsText" text="URL">
      <formula>NOT(ISERROR(SEARCH("URL",D425)))</formula>
    </cfRule>
  </conditionalFormatting>
  <conditionalFormatting sqref="D426">
    <cfRule type="containsText" dxfId="2175" priority="431" operator="containsText" text="URL">
      <formula>NOT(ISERROR(SEARCH("URL",D426)))</formula>
    </cfRule>
  </conditionalFormatting>
  <conditionalFormatting sqref="C432">
    <cfRule type="containsText" dxfId="2174" priority="430" operator="containsText" text="URL">
      <formula>NOT(ISERROR(SEARCH("URL",C432)))</formula>
    </cfRule>
  </conditionalFormatting>
  <conditionalFormatting sqref="B432:C432">
    <cfRule type="containsText" dxfId="2173" priority="429" operator="containsText" text="URL">
      <formula>NOT(ISERROR(SEARCH("URL",B432)))</formula>
    </cfRule>
  </conditionalFormatting>
  <conditionalFormatting sqref="D432">
    <cfRule type="containsText" dxfId="2172" priority="428" operator="containsText" text="URL">
      <formula>NOT(ISERROR(SEARCH("URL",D432)))</formula>
    </cfRule>
  </conditionalFormatting>
  <conditionalFormatting sqref="B435">
    <cfRule type="containsText" dxfId="2171" priority="427" operator="containsText" text="URL">
      <formula>NOT(ISERROR(SEARCH("URL",B435)))</formula>
    </cfRule>
  </conditionalFormatting>
  <conditionalFormatting sqref="D435">
    <cfRule type="containsText" dxfId="2170" priority="426" operator="containsText" text="URL">
      <formula>NOT(ISERROR(SEARCH("URL",D435)))</formula>
    </cfRule>
  </conditionalFormatting>
  <conditionalFormatting sqref="D298">
    <cfRule type="cellIs" dxfId="2169" priority="423" operator="equal">
      <formula>0</formula>
    </cfRule>
    <cfRule type="cellIs" dxfId="2168" priority="424" operator="greaterThan">
      <formula>0</formula>
    </cfRule>
  </conditionalFormatting>
  <conditionalFormatting sqref="D308">
    <cfRule type="cellIs" dxfId="2167" priority="421" operator="equal">
      <formula>0</formula>
    </cfRule>
    <cfRule type="cellIs" dxfId="2166" priority="422" operator="greaterThan">
      <formula>0</formula>
    </cfRule>
  </conditionalFormatting>
  <conditionalFormatting sqref="D328">
    <cfRule type="cellIs" dxfId="2165" priority="417" operator="equal">
      <formula>0</formula>
    </cfRule>
    <cfRule type="cellIs" dxfId="2164" priority="418" operator="greaterThan">
      <formula>0</formula>
    </cfRule>
  </conditionalFormatting>
  <conditionalFormatting sqref="D348">
    <cfRule type="cellIs" dxfId="2163" priority="413" operator="equal">
      <formula>0</formula>
    </cfRule>
    <cfRule type="cellIs" dxfId="2162" priority="414" operator="greaterThan">
      <formula>0</formula>
    </cfRule>
  </conditionalFormatting>
  <conditionalFormatting sqref="D378">
    <cfRule type="cellIs" dxfId="2161" priority="407" operator="equal">
      <formula>0</formula>
    </cfRule>
    <cfRule type="cellIs" dxfId="2160" priority="408" operator="greaterThan">
      <formula>0</formula>
    </cfRule>
  </conditionalFormatting>
  <conditionalFormatting sqref="D398">
    <cfRule type="cellIs" dxfId="2159" priority="403" operator="equal">
      <formula>0</formula>
    </cfRule>
    <cfRule type="cellIs" dxfId="2158" priority="404" operator="greaterThan">
      <formula>0</formula>
    </cfRule>
  </conditionalFormatting>
  <conditionalFormatting sqref="D428">
    <cfRule type="cellIs" dxfId="2157" priority="397" operator="equal">
      <formula>0</formula>
    </cfRule>
    <cfRule type="cellIs" dxfId="2156" priority="398" operator="greaterThan">
      <formula>0</formula>
    </cfRule>
  </conditionalFormatting>
  <conditionalFormatting sqref="B439">
    <cfRule type="cellIs" dxfId="2155" priority="395" operator="equal">
      <formula>0</formula>
    </cfRule>
    <cfRule type="cellIs" dxfId="2154" priority="396" operator="greaterThan">
      <formula>0</formula>
    </cfRule>
  </conditionalFormatting>
  <conditionalFormatting sqref="D318">
    <cfRule type="cellIs" dxfId="2153" priority="419" operator="equal">
      <formula>0</formula>
    </cfRule>
    <cfRule type="cellIs" dxfId="2152" priority="420" operator="greaterThan">
      <formula>0</formula>
    </cfRule>
  </conditionalFormatting>
  <conditionalFormatting sqref="D338">
    <cfRule type="cellIs" dxfId="2151" priority="415" operator="equal">
      <formula>0</formula>
    </cfRule>
    <cfRule type="cellIs" dxfId="2150" priority="416" operator="greaterThan">
      <formula>0</formula>
    </cfRule>
  </conditionalFormatting>
  <conditionalFormatting sqref="D358">
    <cfRule type="cellIs" dxfId="2149" priority="411" operator="equal">
      <formula>0</formula>
    </cfRule>
    <cfRule type="cellIs" dxfId="2148" priority="412" operator="greaterThan">
      <formula>0</formula>
    </cfRule>
  </conditionalFormatting>
  <conditionalFormatting sqref="D368">
    <cfRule type="cellIs" dxfId="2147" priority="409" operator="equal">
      <formula>0</formula>
    </cfRule>
    <cfRule type="cellIs" dxfId="2146" priority="410" operator="greaterThan">
      <formula>0</formula>
    </cfRule>
  </conditionalFormatting>
  <conditionalFormatting sqref="D388">
    <cfRule type="cellIs" dxfId="2145" priority="405" operator="equal">
      <formula>0</formula>
    </cfRule>
    <cfRule type="cellIs" dxfId="2144" priority="406" operator="greaterThan">
      <formula>0</formula>
    </cfRule>
  </conditionalFormatting>
  <conditionalFormatting sqref="D408">
    <cfRule type="cellIs" dxfId="2143" priority="401" operator="equal">
      <formula>0</formula>
    </cfRule>
    <cfRule type="cellIs" dxfId="2142" priority="402" operator="greaterThan">
      <formula>0</formula>
    </cfRule>
  </conditionalFormatting>
  <conditionalFormatting sqref="D418">
    <cfRule type="cellIs" dxfId="2141" priority="399" operator="equal">
      <formula>0</formula>
    </cfRule>
    <cfRule type="cellIs" dxfId="2140" priority="400" operator="greaterThan">
      <formula>0</formula>
    </cfRule>
  </conditionalFormatting>
  <conditionalFormatting sqref="C439">
    <cfRule type="cellIs" dxfId="2139" priority="394" operator="equal">
      <formula>0</formula>
    </cfRule>
  </conditionalFormatting>
  <conditionalFormatting sqref="A1440">
    <cfRule type="cellIs" dxfId="2138" priority="393" operator="equal">
      <formula>0</formula>
    </cfRule>
  </conditionalFormatting>
  <conditionalFormatting sqref="A1202:A1208">
    <cfRule type="cellIs" dxfId="2137" priority="392" operator="equal">
      <formula>0</formula>
    </cfRule>
  </conditionalFormatting>
  <conditionalFormatting sqref="C156">
    <cfRule type="cellIs" dxfId="2136" priority="391" operator="equal">
      <formula>"YYYY-MM-DD"</formula>
    </cfRule>
  </conditionalFormatting>
  <conditionalFormatting sqref="D156">
    <cfRule type="cellIs" dxfId="2135" priority="390" operator="equal">
      <formula>"YYYY-MM-DD"</formula>
    </cfRule>
  </conditionalFormatting>
  <conditionalFormatting sqref="D158">
    <cfRule type="cellIs" dxfId="2134" priority="389" operator="equal">
      <formula>"YYYY-MM-DD"</formula>
    </cfRule>
  </conditionalFormatting>
  <conditionalFormatting sqref="C158">
    <cfRule type="cellIs" dxfId="2133" priority="388" operator="equal">
      <formula>"YYYY-MM-DD"</formula>
    </cfRule>
  </conditionalFormatting>
  <conditionalFormatting sqref="B259:D261">
    <cfRule type="cellIs" dxfId="2132" priority="387" operator="greaterThan">
      <formula>0</formula>
    </cfRule>
  </conditionalFormatting>
  <conditionalFormatting sqref="B226:D228">
    <cfRule type="containsText" dxfId="2131" priority="386" operator="containsText" text="NAME ">
      <formula>NOT(ISERROR(SEARCH("NAME ",B226)))</formula>
    </cfRule>
  </conditionalFormatting>
  <conditionalFormatting sqref="C226:D228 B227:B228">
    <cfRule type="containsText" dxfId="2130" priority="383" operator="containsText" text="claims to know real culprit?">
      <formula>NOT(ISERROR(SEARCH("claims to know real culprit?",B226)))</formula>
    </cfRule>
    <cfRule type="containsText" dxfId="2129" priority="384" operator="containsText" text="charged as?">
      <formula>NOT(ISERROR(SEARCH("charged as?",B226)))</formula>
    </cfRule>
    <cfRule type="containsText" dxfId="2128" priority="385" operator="containsText" text="convicted as?">
      <formula>NOT(ISERROR(SEARCH("convicted as?",B226)))</formula>
    </cfRule>
  </conditionalFormatting>
  <conditionalFormatting sqref="B227:B228">
    <cfRule type="containsText" dxfId="2127" priority="382" operator="containsText" text="relation?">
      <formula>NOT(ISERROR(SEARCH("relation?",B227)))</formula>
    </cfRule>
  </conditionalFormatting>
  <conditionalFormatting sqref="D226">
    <cfRule type="containsText" dxfId="2126" priority="381" operator="containsText" text="how adjudicated?">
      <formula>NOT(ISERROR(SEARCH("how adjudicated?",D226)))</formula>
    </cfRule>
  </conditionalFormatting>
  <conditionalFormatting sqref="D227">
    <cfRule type="containsText" dxfId="2125" priority="380" operator="containsText" text="verdict?">
      <formula>NOT(ISERROR(SEARCH("verdict?",D227)))</formula>
    </cfRule>
  </conditionalFormatting>
  <conditionalFormatting sqref="D228">
    <cfRule type="containsText" dxfId="2124" priority="379" operator="containsText" text="also claims innocence?">
      <formula>NOT(ISERROR(SEARCH("also claims innocence?",D228)))</formula>
    </cfRule>
  </conditionalFormatting>
  <conditionalFormatting sqref="B228">
    <cfRule type="containsText" dxfId="2123" priority="378" operator="containsText" text="know location?">
      <formula>NOT(ISERROR(SEARCH("know location?",B228)))</formula>
    </cfRule>
  </conditionalFormatting>
  <conditionalFormatting sqref="B230:D232">
    <cfRule type="containsText" dxfId="2122" priority="377" operator="containsText" text="NAME ">
      <formula>NOT(ISERROR(SEARCH("NAME ",B230)))</formula>
    </cfRule>
  </conditionalFormatting>
  <conditionalFormatting sqref="C230:D232 B231:B232">
    <cfRule type="containsText" dxfId="2121" priority="374" operator="containsText" text="claims to know real culprit?">
      <formula>NOT(ISERROR(SEARCH("claims to know real culprit?",B230)))</formula>
    </cfRule>
    <cfRule type="containsText" dxfId="2120" priority="375" operator="containsText" text="charged as?">
      <formula>NOT(ISERROR(SEARCH("charged as?",B230)))</formula>
    </cfRule>
    <cfRule type="containsText" dxfId="2119" priority="376" operator="containsText" text="convicted as?">
      <formula>NOT(ISERROR(SEARCH("convicted as?",B230)))</formula>
    </cfRule>
  </conditionalFormatting>
  <conditionalFormatting sqref="B231:B232">
    <cfRule type="containsText" dxfId="2118" priority="373" operator="containsText" text="relation?">
      <formula>NOT(ISERROR(SEARCH("relation?",B231)))</formula>
    </cfRule>
  </conditionalFormatting>
  <conditionalFormatting sqref="D230">
    <cfRule type="containsText" dxfId="2117" priority="372" operator="containsText" text="how adjudicated?">
      <formula>NOT(ISERROR(SEARCH("how adjudicated?",D230)))</formula>
    </cfRule>
  </conditionalFormatting>
  <conditionalFormatting sqref="D231">
    <cfRule type="containsText" dxfId="2116" priority="371" operator="containsText" text="verdict?">
      <formula>NOT(ISERROR(SEARCH("verdict?",D231)))</formula>
    </cfRule>
  </conditionalFormatting>
  <conditionalFormatting sqref="D232">
    <cfRule type="containsText" dxfId="2115" priority="370" operator="containsText" text="also claims innocence?">
      <formula>NOT(ISERROR(SEARCH("also claims innocence?",D232)))</formula>
    </cfRule>
  </conditionalFormatting>
  <conditionalFormatting sqref="B232">
    <cfRule type="containsText" dxfId="2114" priority="369" operator="containsText" text="know location?">
      <formula>NOT(ISERROR(SEARCH("know location?",B232)))</formula>
    </cfRule>
  </conditionalFormatting>
  <conditionalFormatting sqref="B234:D236">
    <cfRule type="containsText" dxfId="2113" priority="368" operator="containsText" text="NAME ">
      <formula>NOT(ISERROR(SEARCH("NAME ",B234)))</formula>
    </cfRule>
  </conditionalFormatting>
  <conditionalFormatting sqref="C234:D236 B235:B236">
    <cfRule type="containsText" dxfId="2112" priority="365" operator="containsText" text="claims to know real culprit?">
      <formula>NOT(ISERROR(SEARCH("claims to know real culprit?",B234)))</formula>
    </cfRule>
    <cfRule type="containsText" dxfId="2111" priority="366" operator="containsText" text="charged as?">
      <formula>NOT(ISERROR(SEARCH("charged as?",B234)))</formula>
    </cfRule>
    <cfRule type="containsText" dxfId="2110" priority="367" operator="containsText" text="convicted as?">
      <formula>NOT(ISERROR(SEARCH("convicted as?",B234)))</formula>
    </cfRule>
  </conditionalFormatting>
  <conditionalFormatting sqref="B235:B236">
    <cfRule type="containsText" dxfId="2109" priority="364" operator="containsText" text="relation?">
      <formula>NOT(ISERROR(SEARCH("relation?",B235)))</formula>
    </cfRule>
  </conditionalFormatting>
  <conditionalFormatting sqref="D234">
    <cfRule type="containsText" dxfId="2108" priority="363" operator="containsText" text="how adjudicated?">
      <formula>NOT(ISERROR(SEARCH("how adjudicated?",D234)))</formula>
    </cfRule>
  </conditionalFormatting>
  <conditionalFormatting sqref="D235">
    <cfRule type="containsText" dxfId="2107" priority="362" operator="containsText" text="verdict?">
      <formula>NOT(ISERROR(SEARCH("verdict?",D235)))</formula>
    </cfRule>
  </conditionalFormatting>
  <conditionalFormatting sqref="D236">
    <cfRule type="containsText" dxfId="2106" priority="361" operator="containsText" text="also claims innocence?">
      <formula>NOT(ISERROR(SEARCH("also claims innocence?",D236)))</formula>
    </cfRule>
  </conditionalFormatting>
  <conditionalFormatting sqref="B236">
    <cfRule type="containsText" dxfId="2105" priority="360" operator="containsText" text="know location?">
      <formula>NOT(ISERROR(SEARCH("know location?",B236)))</formula>
    </cfRule>
  </conditionalFormatting>
  <conditionalFormatting sqref="B238:D240">
    <cfRule type="containsText" dxfId="2104" priority="359" operator="containsText" text="NAME ">
      <formula>NOT(ISERROR(SEARCH("NAME ",B238)))</formula>
    </cfRule>
  </conditionalFormatting>
  <conditionalFormatting sqref="C238:D240 B239:B240">
    <cfRule type="containsText" dxfId="2103" priority="356" operator="containsText" text="claims to know real culprit?">
      <formula>NOT(ISERROR(SEARCH("claims to know real culprit?",B238)))</formula>
    </cfRule>
    <cfRule type="containsText" dxfId="2102" priority="357" operator="containsText" text="charged as?">
      <formula>NOT(ISERROR(SEARCH("charged as?",B238)))</formula>
    </cfRule>
    <cfRule type="containsText" dxfId="2101" priority="358" operator="containsText" text="convicted as?">
      <formula>NOT(ISERROR(SEARCH("convicted as?",B238)))</formula>
    </cfRule>
  </conditionalFormatting>
  <conditionalFormatting sqref="B239:B240">
    <cfRule type="containsText" dxfId="2100" priority="355" operator="containsText" text="relation?">
      <formula>NOT(ISERROR(SEARCH("relation?",B239)))</formula>
    </cfRule>
  </conditionalFormatting>
  <conditionalFormatting sqref="D238">
    <cfRule type="containsText" dxfId="2099" priority="354" operator="containsText" text="how adjudicated?">
      <formula>NOT(ISERROR(SEARCH("how adjudicated?",D238)))</formula>
    </cfRule>
  </conditionalFormatting>
  <conditionalFormatting sqref="D239">
    <cfRule type="containsText" dxfId="2098" priority="353" operator="containsText" text="verdict?">
      <formula>NOT(ISERROR(SEARCH("verdict?",D239)))</formula>
    </cfRule>
  </conditionalFormatting>
  <conditionalFormatting sqref="D240">
    <cfRule type="containsText" dxfId="2097" priority="352" operator="containsText" text="also claims innocence?">
      <formula>NOT(ISERROR(SEARCH("also claims innocence?",D240)))</formula>
    </cfRule>
  </conditionalFormatting>
  <conditionalFormatting sqref="B240">
    <cfRule type="containsText" dxfId="2096" priority="351" operator="containsText" text="know location?">
      <formula>NOT(ISERROR(SEARCH("know location?",B240)))</formula>
    </cfRule>
  </conditionalFormatting>
  <conditionalFormatting sqref="B242:D244">
    <cfRule type="containsText" dxfId="2095" priority="350" operator="containsText" text="NAME ">
      <formula>NOT(ISERROR(SEARCH("NAME ",B242)))</formula>
    </cfRule>
  </conditionalFormatting>
  <conditionalFormatting sqref="C242:D244 B243:B244">
    <cfRule type="containsText" dxfId="2094" priority="347" operator="containsText" text="claims to know real culprit?">
      <formula>NOT(ISERROR(SEARCH("claims to know real culprit?",B242)))</formula>
    </cfRule>
    <cfRule type="containsText" dxfId="2093" priority="348" operator="containsText" text="charged as?">
      <formula>NOT(ISERROR(SEARCH("charged as?",B242)))</formula>
    </cfRule>
    <cfRule type="containsText" dxfId="2092" priority="349" operator="containsText" text="convicted as?">
      <formula>NOT(ISERROR(SEARCH("convicted as?",B242)))</formula>
    </cfRule>
  </conditionalFormatting>
  <conditionalFormatting sqref="B243:B244">
    <cfRule type="containsText" dxfId="2091" priority="346" operator="containsText" text="relation?">
      <formula>NOT(ISERROR(SEARCH("relation?",B243)))</formula>
    </cfRule>
  </conditionalFormatting>
  <conditionalFormatting sqref="D242">
    <cfRule type="containsText" dxfId="2090" priority="345" operator="containsText" text="how adjudicated?">
      <formula>NOT(ISERROR(SEARCH("how adjudicated?",D242)))</formula>
    </cfRule>
  </conditionalFormatting>
  <conditionalFormatting sqref="D243">
    <cfRule type="containsText" dxfId="2089" priority="344" operator="containsText" text="verdict?">
      <formula>NOT(ISERROR(SEARCH("verdict?",D243)))</formula>
    </cfRule>
  </conditionalFormatting>
  <conditionalFormatting sqref="D244">
    <cfRule type="containsText" dxfId="2088" priority="343" operator="containsText" text="also claims innocence?">
      <formula>NOT(ISERROR(SEARCH("also claims innocence?",D244)))</formula>
    </cfRule>
  </conditionalFormatting>
  <conditionalFormatting sqref="B244">
    <cfRule type="containsText" dxfId="2087" priority="342" operator="containsText" text="know location?">
      <formula>NOT(ISERROR(SEARCH("know location?",B244)))</formula>
    </cfRule>
  </conditionalFormatting>
  <conditionalFormatting sqref="B222">
    <cfRule type="containsText" dxfId="2086" priority="341" operator="containsText" text="NAME ">
      <formula>NOT(ISERROR(SEARCH("NAME ",B222)))</formula>
    </cfRule>
  </conditionalFormatting>
  <conditionalFormatting sqref="C222:D223 C224">
    <cfRule type="containsText" dxfId="2085" priority="340" operator="containsText" text="NAME ">
      <formula>NOT(ISERROR(SEARCH("NAME ",C222)))</formula>
    </cfRule>
  </conditionalFormatting>
  <conditionalFormatting sqref="C222:D223 C224">
    <cfRule type="containsText" dxfId="2084" priority="337" operator="containsText" text="claims to know real culprit?">
      <formula>NOT(ISERROR(SEARCH("claims to know real culprit?",C222)))</formula>
    </cfRule>
    <cfRule type="containsText" dxfId="2083" priority="338" operator="containsText" text="charged as?">
      <formula>NOT(ISERROR(SEARCH("charged as?",C222)))</formula>
    </cfRule>
    <cfRule type="containsText" dxfId="2082" priority="339" operator="containsText" text="convicted as?">
      <formula>NOT(ISERROR(SEARCH("convicted as?",C222)))</formula>
    </cfRule>
  </conditionalFormatting>
  <conditionalFormatting sqref="D222">
    <cfRule type="containsText" dxfId="2081" priority="336" operator="containsText" text="how adjudicated?">
      <formula>NOT(ISERROR(SEARCH("how adjudicated?",D222)))</formula>
    </cfRule>
  </conditionalFormatting>
  <conditionalFormatting sqref="D223">
    <cfRule type="containsText" dxfId="2080" priority="335" operator="containsText" text="verdict?">
      <formula>NOT(ISERROR(SEARCH("verdict?",D223)))</formula>
    </cfRule>
  </conditionalFormatting>
  <conditionalFormatting sqref="B223:B224">
    <cfRule type="containsText" dxfId="2079" priority="334" operator="containsText" text="NAME ">
      <formula>NOT(ISERROR(SEARCH("NAME ",B223)))</formula>
    </cfRule>
  </conditionalFormatting>
  <conditionalFormatting sqref="B223:B224">
    <cfRule type="containsText" dxfId="2078" priority="331" operator="containsText" text="claims to know real culprit?">
      <formula>NOT(ISERROR(SEARCH("claims to know real culprit?",B223)))</formula>
    </cfRule>
    <cfRule type="containsText" dxfId="2077" priority="332" operator="containsText" text="charged as?">
      <formula>NOT(ISERROR(SEARCH("charged as?",B223)))</formula>
    </cfRule>
    <cfRule type="containsText" dxfId="2076" priority="333" operator="containsText" text="convicted as?">
      <formula>NOT(ISERROR(SEARCH("convicted as?",B223)))</formula>
    </cfRule>
  </conditionalFormatting>
  <conditionalFormatting sqref="B223:B224">
    <cfRule type="containsText" dxfId="2075" priority="330" operator="containsText" text="relation?">
      <formula>NOT(ISERROR(SEARCH("relation?",B223)))</formula>
    </cfRule>
  </conditionalFormatting>
  <conditionalFormatting sqref="B224">
    <cfRule type="containsText" dxfId="2074" priority="329" operator="containsText" text="know location?">
      <formula>NOT(ISERROR(SEARCH("know location?",B224)))</formula>
    </cfRule>
  </conditionalFormatting>
  <conditionalFormatting sqref="D196">
    <cfRule type="cellIs" dxfId="2073" priority="328" operator="greaterThan">
      <formula>$AI$196</formula>
    </cfRule>
  </conditionalFormatting>
  <conditionalFormatting sqref="BG5:BH5">
    <cfRule type="cellIs" dxfId="2072" priority="878" operator="equal">
      <formula>$B$1906</formula>
    </cfRule>
    <cfRule type="cellIs" dxfId="2071" priority="879" operator="equal">
      <formula>$B$1905</formula>
    </cfRule>
    <cfRule type="cellIs" dxfId="2070" priority="880" operator="equal">
      <formula>$B$1904</formula>
    </cfRule>
  </conditionalFormatting>
  <conditionalFormatting sqref="C926">
    <cfRule type="cellIs" dxfId="2069" priority="327" operator="equal">
      <formula>AD926</formula>
    </cfRule>
  </conditionalFormatting>
  <conditionalFormatting sqref="C931">
    <cfRule type="cellIs" dxfId="2068" priority="326" operator="equal">
      <formula>AD931</formula>
    </cfRule>
  </conditionalFormatting>
  <conditionalFormatting sqref="C936">
    <cfRule type="cellIs" dxfId="2067" priority="325" operator="equal">
      <formula>AD936</formula>
    </cfRule>
  </conditionalFormatting>
  <conditionalFormatting sqref="C941">
    <cfRule type="cellIs" dxfId="2066" priority="324" operator="equal">
      <formula>AD941</formula>
    </cfRule>
  </conditionalFormatting>
  <conditionalFormatting sqref="C946">
    <cfRule type="cellIs" dxfId="2065" priority="323" operator="equal">
      <formula>AD946</formula>
    </cfRule>
  </conditionalFormatting>
  <conditionalFormatting sqref="C951">
    <cfRule type="cellIs" dxfId="2064" priority="322" operator="equal">
      <formula>AD951</formula>
    </cfRule>
  </conditionalFormatting>
  <conditionalFormatting sqref="C956">
    <cfRule type="cellIs" dxfId="2063" priority="321" operator="equal">
      <formula>AD956</formula>
    </cfRule>
  </conditionalFormatting>
  <conditionalFormatting sqref="C961">
    <cfRule type="cellIs" dxfId="2062" priority="320" operator="equal">
      <formula>AD961</formula>
    </cfRule>
  </conditionalFormatting>
  <conditionalFormatting sqref="C966">
    <cfRule type="cellIs" dxfId="2061" priority="319" operator="equal">
      <formula>AD966</formula>
    </cfRule>
  </conditionalFormatting>
  <conditionalFormatting sqref="C971">
    <cfRule type="cellIs" dxfId="2060" priority="318" operator="equal">
      <formula>AD971</formula>
    </cfRule>
  </conditionalFormatting>
  <conditionalFormatting sqref="C976">
    <cfRule type="cellIs" dxfId="2059" priority="317" operator="equal">
      <formula>AD976</formula>
    </cfRule>
  </conditionalFormatting>
  <conditionalFormatting sqref="C981">
    <cfRule type="cellIs" dxfId="2058" priority="316" operator="equal">
      <formula>AD981</formula>
    </cfRule>
  </conditionalFormatting>
  <conditionalFormatting sqref="C986">
    <cfRule type="cellIs" dxfId="2057" priority="315" operator="equal">
      <formula>AD986</formula>
    </cfRule>
  </conditionalFormatting>
  <conditionalFormatting sqref="C991">
    <cfRule type="cellIs" dxfId="2056" priority="314" operator="equal">
      <formula>AD991</formula>
    </cfRule>
  </conditionalFormatting>
  <conditionalFormatting sqref="C996">
    <cfRule type="cellIs" dxfId="2055" priority="313" operator="equal">
      <formula>AD996</formula>
    </cfRule>
  </conditionalFormatting>
  <conditionalFormatting sqref="C1001">
    <cfRule type="cellIs" dxfId="2054" priority="312" operator="equal">
      <formula>AD1001</formula>
    </cfRule>
  </conditionalFormatting>
  <conditionalFormatting sqref="C1006">
    <cfRule type="cellIs" dxfId="2053" priority="311" operator="equal">
      <formula>AD1006</formula>
    </cfRule>
  </conditionalFormatting>
  <conditionalFormatting sqref="C1011">
    <cfRule type="cellIs" dxfId="2052" priority="310" operator="equal">
      <formula>AD1011</formula>
    </cfRule>
  </conditionalFormatting>
  <conditionalFormatting sqref="C1016">
    <cfRule type="cellIs" dxfId="2051" priority="309" operator="equal">
      <formula>AD1016</formula>
    </cfRule>
  </conditionalFormatting>
  <conditionalFormatting sqref="C1021">
    <cfRule type="cellIs" dxfId="2050" priority="308" operator="equal">
      <formula>AD1021</formula>
    </cfRule>
  </conditionalFormatting>
  <conditionalFormatting sqref="C1026">
    <cfRule type="cellIs" dxfId="2049" priority="307" operator="equal">
      <formula>AD1026</formula>
    </cfRule>
  </conditionalFormatting>
  <conditionalFormatting sqref="C16">
    <cfRule type="containsText" dxfId="2048" priority="306" operator="containsText" text="Highlight">
      <formula>NOT(ISERROR(SEARCH("Highlight",C16)))</formula>
    </cfRule>
  </conditionalFormatting>
  <conditionalFormatting sqref="C16">
    <cfRule type="containsText" dxfId="2047" priority="305" operator="containsText" text="Hightlight">
      <formula>NOT(ISERROR(SEARCH("Hightlight",C16)))</formula>
    </cfRule>
  </conditionalFormatting>
  <conditionalFormatting sqref="B33:D33">
    <cfRule type="cellIs" dxfId="2046" priority="304" operator="equal">
      <formula>$AG$33</formula>
    </cfRule>
  </conditionalFormatting>
  <conditionalFormatting sqref="B46:D46">
    <cfRule type="containsText" dxfId="2045" priority="302" operator="containsText" text="being">
      <formula>NOT(ISERROR(SEARCH("being",B46)))</formula>
    </cfRule>
  </conditionalFormatting>
  <conditionalFormatting sqref="B49:D49">
    <cfRule type="containsText" dxfId="2044" priority="301" operator="containsText" text="from">
      <formula>NOT(ISERROR(SEARCH("from",B49)))</formula>
    </cfRule>
  </conditionalFormatting>
  <conditionalFormatting sqref="B52:D52">
    <cfRule type="containsText" dxfId="2043" priority="300" operator="containsText" text="and other">
      <formula>NOT(ISERROR(SEARCH("and other",B52)))</formula>
    </cfRule>
  </conditionalFormatting>
  <conditionalFormatting sqref="D191 D193">
    <cfRule type="cellIs" dxfId="2042" priority="881" operator="equal">
      <formula>$D$1845</formula>
    </cfRule>
  </conditionalFormatting>
  <conditionalFormatting sqref="B56:D56">
    <cfRule type="containsText" dxfId="2041" priority="298" operator="containsText" text="background check">
      <formula>NOT(ISERROR(SEARCH("background check",B56)))</formula>
    </cfRule>
    <cfRule type="containsText" dxfId="2040" priority="299" operator="containsText" text="and other">
      <formula>NOT(ISERROR(SEARCH("and other",B56)))</formula>
    </cfRule>
  </conditionalFormatting>
  <conditionalFormatting sqref="E467">
    <cfRule type="cellIs" dxfId="2039" priority="297" operator="equal">
      <formula>$B$439</formula>
    </cfRule>
  </conditionalFormatting>
  <conditionalFormatting sqref="E468">
    <cfRule type="cellIs" dxfId="2038" priority="296" operator="equal">
      <formula>$B439</formula>
    </cfRule>
  </conditionalFormatting>
  <conditionalFormatting sqref="C152">
    <cfRule type="containsText" dxfId="2037" priority="293" operator="containsText" text="FIRST NAME">
      <formula>NOT(ISERROR(SEARCH("FIRST NAME",C152)))</formula>
    </cfRule>
  </conditionalFormatting>
  <conditionalFormatting sqref="D152">
    <cfRule type="containsText" dxfId="2036" priority="292" operator="containsText" text="LAST NAME">
      <formula>NOT(ISERROR(SEARCH("LAST NAME",D152)))</formula>
    </cfRule>
  </conditionalFormatting>
  <conditionalFormatting sqref="C7">
    <cfRule type="containsText" dxfId="2035" priority="291" operator="containsText" text="FIRST NAME">
      <formula>NOT(ISERROR(SEARCH("FIRST NAME",C7)))</formula>
    </cfRule>
  </conditionalFormatting>
  <conditionalFormatting sqref="C162">
    <cfRule type="containsText" dxfId="2034" priority="290" operator="containsText" text="FIRST NAME">
      <formula>NOT(ISERROR(SEARCH("FIRST NAME",C162)))</formula>
    </cfRule>
  </conditionalFormatting>
  <conditionalFormatting sqref="D162">
    <cfRule type="containsText" dxfId="2033" priority="289" operator="containsText" text="LAST NAME">
      <formula>NOT(ISERROR(SEARCH("LAST NAME",D162)))</formula>
    </cfRule>
  </conditionalFormatting>
  <conditionalFormatting sqref="C10">
    <cfRule type="containsText" dxfId="2032" priority="288" operator="containsText" text="FIRST NAME">
      <formula>NOT(ISERROR(SEARCH("FIRST NAME",C10)))</formula>
    </cfRule>
  </conditionalFormatting>
  <conditionalFormatting sqref="C8">
    <cfRule type="notContainsText" dxfId="2031" priority="287" operator="notContains" text="@">
      <formula>ISERROR(SEARCH("@",C8))</formula>
    </cfRule>
  </conditionalFormatting>
  <conditionalFormatting sqref="C11">
    <cfRule type="notContainsText" dxfId="2030" priority="286" operator="notContains" text="@">
      <formula>ISERROR(SEARCH("@",C11))</formula>
    </cfRule>
  </conditionalFormatting>
  <conditionalFormatting sqref="C1482:D1482">
    <cfRule type="cellIs" dxfId="2029" priority="275" operator="equal">
      <formula>$BN$1482</formula>
    </cfRule>
  </conditionalFormatting>
  <conditionalFormatting sqref="C1492:D1492">
    <cfRule type="cellIs" dxfId="2028" priority="273" operator="equal">
      <formula>$BN$1482</formula>
    </cfRule>
  </conditionalFormatting>
  <conditionalFormatting sqref="D1481">
    <cfRule type="cellIs" dxfId="2027" priority="274" operator="equal">
      <formula>$AJ$1480</formula>
    </cfRule>
  </conditionalFormatting>
  <conditionalFormatting sqref="C1502:D1502">
    <cfRule type="cellIs" dxfId="2026" priority="271" operator="equal">
      <formula>$BN$1482</formula>
    </cfRule>
  </conditionalFormatting>
  <conditionalFormatting sqref="D1491">
    <cfRule type="cellIs" dxfId="2025" priority="272" operator="equal">
      <formula>$AJ$1480</formula>
    </cfRule>
  </conditionalFormatting>
  <conditionalFormatting sqref="D1501">
    <cfRule type="cellIs" dxfId="2024" priority="270" operator="equal">
      <formula>$AJ$1480</formula>
    </cfRule>
  </conditionalFormatting>
  <conditionalFormatting sqref="C1512:D1512">
    <cfRule type="cellIs" dxfId="2023" priority="269" operator="equal">
      <formula>$BN$1482</formula>
    </cfRule>
  </conditionalFormatting>
  <conditionalFormatting sqref="D1511">
    <cfRule type="cellIs" dxfId="2022" priority="268" operator="equal">
      <formula>$AJ$1480</formula>
    </cfRule>
  </conditionalFormatting>
  <conditionalFormatting sqref="C1522:D1522">
    <cfRule type="cellIs" dxfId="2021" priority="267" operator="equal">
      <formula>$BN$1482</formula>
    </cfRule>
  </conditionalFormatting>
  <conditionalFormatting sqref="D1521">
    <cfRule type="cellIs" dxfId="2020" priority="266" operator="equal">
      <formula>$AJ$1480</formula>
    </cfRule>
  </conditionalFormatting>
  <conditionalFormatting sqref="C1532:D1532">
    <cfRule type="cellIs" dxfId="2019" priority="265" operator="equal">
      <formula>$BN$1482</formula>
    </cfRule>
  </conditionalFormatting>
  <conditionalFormatting sqref="D1531">
    <cfRule type="cellIs" dxfId="2018" priority="264" operator="equal">
      <formula>$AJ$1480</formula>
    </cfRule>
  </conditionalFormatting>
  <conditionalFormatting sqref="A1201">
    <cfRule type="cellIs" dxfId="2017" priority="263" operator="equal">
      <formula>0</formula>
    </cfRule>
  </conditionalFormatting>
  <conditionalFormatting sqref="B445 B447 B457">
    <cfRule type="cellIs" dxfId="2016" priority="883" operator="equal">
      <formula>$AK$457</formula>
    </cfRule>
    <cfRule type="cellIs" dxfId="2015" priority="884" operator="equal">
      <formula>$AK$459</formula>
    </cfRule>
    <cfRule type="cellIs" dxfId="2014" priority="885" operator="equal">
      <formula>$AK$458</formula>
    </cfRule>
  </conditionalFormatting>
  <conditionalFormatting sqref="B444">
    <cfRule type="containsText" dxfId="2013" priority="262" operator="containsText" text="Great!">
      <formula>NOT(ISERROR(SEARCH("Great!",B444)))</formula>
    </cfRule>
  </conditionalFormatting>
  <conditionalFormatting sqref="C1201">
    <cfRule type="cellIs" dxfId="2012" priority="886" operator="equal">
      <formula>$AM$1201</formula>
    </cfRule>
  </conditionalFormatting>
  <conditionalFormatting sqref="D1201">
    <cfRule type="cellIs" dxfId="2011" priority="887" operator="equal">
      <formula>$AQ$1201</formula>
    </cfRule>
  </conditionalFormatting>
  <conditionalFormatting sqref="C1205">
    <cfRule type="timePeriod" dxfId="2010" priority="257" timePeriod="lastWeek">
      <formula>AND(TODAY()-ROUNDDOWN(C1205,0)&gt;=(WEEKDAY(TODAY())),TODAY()-ROUNDDOWN(C1205,0)&lt;(WEEKDAY(TODAY())+7))</formula>
    </cfRule>
    <cfRule type="timePeriod" dxfId="2009" priority="259" timePeriod="lastMonth">
      <formula>AND(MONTH(C1205)=MONTH(EDATE(TODAY(),0-1)),YEAR(C1205)=YEAR(EDATE(TODAY(),0-1)))</formula>
    </cfRule>
    <cfRule type="cellIs" dxfId="2008" priority="261" operator="equal">
      <formula>$AM$1205</formula>
    </cfRule>
  </conditionalFormatting>
  <conditionalFormatting sqref="D1205">
    <cfRule type="timePeriod" dxfId="2007" priority="256" timePeriod="lastWeek">
      <formula>AND(TODAY()-ROUNDDOWN(D1205,0)&gt;=(WEEKDAY(TODAY())),TODAY()-ROUNDDOWN(D1205,0)&lt;(WEEKDAY(TODAY())+7))</formula>
    </cfRule>
    <cfRule type="timePeriod" dxfId="2006" priority="258" timePeriod="lastMonth">
      <formula>AND(MONTH(D1205)=MONTH(EDATE(TODAY(),0-1)),YEAR(D1205)=YEAR(EDATE(TODAY(),0-1)))</formula>
    </cfRule>
    <cfRule type="cellIs" dxfId="2005" priority="260" operator="equal">
      <formula>$AM$1205</formula>
    </cfRule>
  </conditionalFormatting>
  <conditionalFormatting sqref="A1212:A1219 A1222:A1229 A1232:A1239 A1242:A1249 A1252:A1259 A1262:A1269 A1272:A1279 A1282:A1289 A1292:A1299 A1302:A1309 A1312:A1319 A1322:A1329 A1332:A1339 A1342:A1349 A1352:A1359 A1362:A1369 A1372:A1379 A1382:A1389 A1392:A1399 A1402:A1409 A1412:A1419 A1422:A1429">
    <cfRule type="cellIs" dxfId="2004" priority="254" operator="equal">
      <formula>0</formula>
    </cfRule>
  </conditionalFormatting>
  <conditionalFormatting sqref="D1211">
    <cfRule type="cellIs" dxfId="2003" priority="255" operator="equal">
      <formula>$AQ$1201</formula>
    </cfRule>
  </conditionalFormatting>
  <conditionalFormatting sqref="C1215">
    <cfRule type="timePeriod" dxfId="2002" priority="249" timePeriod="lastWeek">
      <formula>AND(TODAY()-ROUNDDOWN(C1215,0)&gt;=(WEEKDAY(TODAY())),TODAY()-ROUNDDOWN(C1215,0)&lt;(WEEKDAY(TODAY())+7))</formula>
    </cfRule>
    <cfRule type="timePeriod" dxfId="2001" priority="251" timePeriod="lastMonth">
      <formula>AND(MONTH(C1215)=MONTH(EDATE(TODAY(),0-1)),YEAR(C1215)=YEAR(EDATE(TODAY(),0-1)))</formula>
    </cfRule>
    <cfRule type="cellIs" dxfId="2000" priority="253" operator="equal">
      <formula>$AM$1205</formula>
    </cfRule>
  </conditionalFormatting>
  <conditionalFormatting sqref="D1215">
    <cfRule type="timePeriod" dxfId="1999" priority="248" timePeriod="lastWeek">
      <formula>AND(TODAY()-ROUNDDOWN(D1215,0)&gt;=(WEEKDAY(TODAY())),TODAY()-ROUNDDOWN(D1215,0)&lt;(WEEKDAY(TODAY())+7))</formula>
    </cfRule>
    <cfRule type="timePeriod" dxfId="1998" priority="250" timePeriod="lastMonth">
      <formula>AND(MONTH(D1215)=MONTH(EDATE(TODAY(),0-1)),YEAR(D1215)=YEAR(EDATE(TODAY(),0-1)))</formula>
    </cfRule>
    <cfRule type="cellIs" dxfId="1997" priority="252" operator="equal">
      <formula>$AM$1205</formula>
    </cfRule>
  </conditionalFormatting>
  <conditionalFormatting sqref="C1221">
    <cfRule type="cellIs" dxfId="1996" priority="246" operator="equal">
      <formula>$AM$1201</formula>
    </cfRule>
  </conditionalFormatting>
  <conditionalFormatting sqref="D1221">
    <cfRule type="cellIs" dxfId="1995" priority="247" operator="equal">
      <formula>$AQ$1201</formula>
    </cfRule>
  </conditionalFormatting>
  <conditionalFormatting sqref="C1225">
    <cfRule type="timePeriod" dxfId="1994" priority="241" timePeriod="lastWeek">
      <formula>AND(TODAY()-ROUNDDOWN(C1225,0)&gt;=(WEEKDAY(TODAY())),TODAY()-ROUNDDOWN(C1225,0)&lt;(WEEKDAY(TODAY())+7))</formula>
    </cfRule>
    <cfRule type="timePeriod" dxfId="1993" priority="243" timePeriod="lastMonth">
      <formula>AND(MONTH(C1225)=MONTH(EDATE(TODAY(),0-1)),YEAR(C1225)=YEAR(EDATE(TODAY(),0-1)))</formula>
    </cfRule>
    <cfRule type="cellIs" dxfId="1992" priority="245" operator="equal">
      <formula>$AM$1205</formula>
    </cfRule>
  </conditionalFormatting>
  <conditionalFormatting sqref="D1225">
    <cfRule type="timePeriod" dxfId="1991" priority="240" timePeriod="lastWeek">
      <formula>AND(TODAY()-ROUNDDOWN(D1225,0)&gt;=(WEEKDAY(TODAY())),TODAY()-ROUNDDOWN(D1225,0)&lt;(WEEKDAY(TODAY())+7))</formula>
    </cfRule>
    <cfRule type="timePeriod" dxfId="1990" priority="242" timePeriod="lastMonth">
      <formula>AND(MONTH(D1225)=MONTH(EDATE(TODAY(),0-1)),YEAR(D1225)=YEAR(EDATE(TODAY(),0-1)))</formula>
    </cfRule>
    <cfRule type="cellIs" dxfId="1989" priority="244" operator="equal">
      <formula>$AM$1205</formula>
    </cfRule>
  </conditionalFormatting>
  <conditionalFormatting sqref="C1231">
    <cfRule type="cellIs" dxfId="1988" priority="238" operator="equal">
      <formula>$AM$1201</formula>
    </cfRule>
  </conditionalFormatting>
  <conditionalFormatting sqref="D1231">
    <cfRule type="cellIs" dxfId="1987" priority="239" operator="equal">
      <formula>$AQ$1201</formula>
    </cfRule>
  </conditionalFormatting>
  <conditionalFormatting sqref="C1235">
    <cfRule type="timePeriod" dxfId="1986" priority="233" timePeriod="lastWeek">
      <formula>AND(TODAY()-ROUNDDOWN(C1235,0)&gt;=(WEEKDAY(TODAY())),TODAY()-ROUNDDOWN(C1235,0)&lt;(WEEKDAY(TODAY())+7))</formula>
    </cfRule>
    <cfRule type="timePeriod" dxfId="1985" priority="235" timePeriod="lastMonth">
      <formula>AND(MONTH(C1235)=MONTH(EDATE(TODAY(),0-1)),YEAR(C1235)=YEAR(EDATE(TODAY(),0-1)))</formula>
    </cfRule>
    <cfRule type="cellIs" dxfId="1984" priority="237" operator="equal">
      <formula>$AM$1205</formula>
    </cfRule>
  </conditionalFormatting>
  <conditionalFormatting sqref="D1235">
    <cfRule type="timePeriod" dxfId="1983" priority="232" timePeriod="lastWeek">
      <formula>AND(TODAY()-ROUNDDOWN(D1235,0)&gt;=(WEEKDAY(TODAY())),TODAY()-ROUNDDOWN(D1235,0)&lt;(WEEKDAY(TODAY())+7))</formula>
    </cfRule>
    <cfRule type="timePeriod" dxfId="1982" priority="234" timePeriod="lastMonth">
      <formula>AND(MONTH(D1235)=MONTH(EDATE(TODAY(),0-1)),YEAR(D1235)=YEAR(EDATE(TODAY(),0-1)))</formula>
    </cfRule>
    <cfRule type="cellIs" dxfId="1981" priority="236" operator="equal">
      <formula>$AM$1205</formula>
    </cfRule>
  </conditionalFormatting>
  <conditionalFormatting sqref="C1241">
    <cfRule type="cellIs" dxfId="1980" priority="230" operator="equal">
      <formula>$AM$1201</formula>
    </cfRule>
  </conditionalFormatting>
  <conditionalFormatting sqref="D1241">
    <cfRule type="cellIs" dxfId="1979" priority="231" operator="equal">
      <formula>$AQ$1201</formula>
    </cfRule>
  </conditionalFormatting>
  <conditionalFormatting sqref="C1245">
    <cfRule type="timePeriod" dxfId="1978" priority="225" timePeriod="lastWeek">
      <formula>AND(TODAY()-ROUNDDOWN(C1245,0)&gt;=(WEEKDAY(TODAY())),TODAY()-ROUNDDOWN(C1245,0)&lt;(WEEKDAY(TODAY())+7))</formula>
    </cfRule>
    <cfRule type="timePeriod" dxfId="1977" priority="227" timePeriod="lastMonth">
      <formula>AND(MONTH(C1245)=MONTH(EDATE(TODAY(),0-1)),YEAR(C1245)=YEAR(EDATE(TODAY(),0-1)))</formula>
    </cfRule>
    <cfRule type="cellIs" dxfId="1976" priority="229" operator="equal">
      <formula>$AM$1205</formula>
    </cfRule>
  </conditionalFormatting>
  <conditionalFormatting sqref="D1245">
    <cfRule type="timePeriod" dxfId="1975" priority="224" timePeriod="lastWeek">
      <formula>AND(TODAY()-ROUNDDOWN(D1245,0)&gt;=(WEEKDAY(TODAY())),TODAY()-ROUNDDOWN(D1245,0)&lt;(WEEKDAY(TODAY())+7))</formula>
    </cfRule>
    <cfRule type="timePeriod" dxfId="1974" priority="226" timePeriod="lastMonth">
      <formula>AND(MONTH(D1245)=MONTH(EDATE(TODAY(),0-1)),YEAR(D1245)=YEAR(EDATE(TODAY(),0-1)))</formula>
    </cfRule>
    <cfRule type="cellIs" dxfId="1973" priority="228" operator="equal">
      <formula>$AM$1205</formula>
    </cfRule>
  </conditionalFormatting>
  <conditionalFormatting sqref="A1209">
    <cfRule type="cellIs" dxfId="1972" priority="223" operator="equal">
      <formula>0</formula>
    </cfRule>
  </conditionalFormatting>
  <conditionalFormatting sqref="C1251">
    <cfRule type="cellIs" dxfId="1971" priority="221" operator="equal">
      <formula>$AM$1201</formula>
    </cfRule>
  </conditionalFormatting>
  <conditionalFormatting sqref="D1251">
    <cfRule type="cellIs" dxfId="1970" priority="222" operator="equal">
      <formula>$AQ$1201</formula>
    </cfRule>
  </conditionalFormatting>
  <conditionalFormatting sqref="C1255">
    <cfRule type="timePeriod" dxfId="1969" priority="216" timePeriod="lastWeek">
      <formula>AND(TODAY()-ROUNDDOWN(C1255,0)&gt;=(WEEKDAY(TODAY())),TODAY()-ROUNDDOWN(C1255,0)&lt;(WEEKDAY(TODAY())+7))</formula>
    </cfRule>
    <cfRule type="timePeriod" dxfId="1968" priority="218" timePeriod="lastMonth">
      <formula>AND(MONTH(C1255)=MONTH(EDATE(TODAY(),0-1)),YEAR(C1255)=YEAR(EDATE(TODAY(),0-1)))</formula>
    </cfRule>
    <cfRule type="cellIs" dxfId="1967" priority="220" operator="equal">
      <formula>$AM$1205</formula>
    </cfRule>
  </conditionalFormatting>
  <conditionalFormatting sqref="D1255">
    <cfRule type="timePeriod" dxfId="1966" priority="215" timePeriod="lastWeek">
      <formula>AND(TODAY()-ROUNDDOWN(D1255,0)&gt;=(WEEKDAY(TODAY())),TODAY()-ROUNDDOWN(D1255,0)&lt;(WEEKDAY(TODAY())+7))</formula>
    </cfRule>
    <cfRule type="timePeriod" dxfId="1965" priority="217" timePeriod="lastMonth">
      <formula>AND(MONTH(D1255)=MONTH(EDATE(TODAY(),0-1)),YEAR(D1255)=YEAR(EDATE(TODAY(),0-1)))</formula>
    </cfRule>
    <cfRule type="cellIs" dxfId="1964" priority="219" operator="equal">
      <formula>$AM$1205</formula>
    </cfRule>
  </conditionalFormatting>
  <conditionalFormatting sqref="C1261">
    <cfRule type="cellIs" dxfId="1963" priority="213" operator="equal">
      <formula>$AM$1201</formula>
    </cfRule>
  </conditionalFormatting>
  <conditionalFormatting sqref="D1261">
    <cfRule type="cellIs" dxfId="1962" priority="214" operator="equal">
      <formula>$AQ$1201</formula>
    </cfRule>
  </conditionalFormatting>
  <conditionalFormatting sqref="C1265">
    <cfRule type="timePeriod" dxfId="1961" priority="208" timePeriod="lastWeek">
      <formula>AND(TODAY()-ROUNDDOWN(C1265,0)&gt;=(WEEKDAY(TODAY())),TODAY()-ROUNDDOWN(C1265,0)&lt;(WEEKDAY(TODAY())+7))</formula>
    </cfRule>
    <cfRule type="timePeriod" dxfId="1960" priority="210" timePeriod="lastMonth">
      <formula>AND(MONTH(C1265)=MONTH(EDATE(TODAY(),0-1)),YEAR(C1265)=YEAR(EDATE(TODAY(),0-1)))</formula>
    </cfRule>
    <cfRule type="cellIs" dxfId="1959" priority="212" operator="equal">
      <formula>$AM$1205</formula>
    </cfRule>
  </conditionalFormatting>
  <conditionalFormatting sqref="D1265">
    <cfRule type="timePeriod" dxfId="1958" priority="207" timePeriod="lastWeek">
      <formula>AND(TODAY()-ROUNDDOWN(D1265,0)&gt;=(WEEKDAY(TODAY())),TODAY()-ROUNDDOWN(D1265,0)&lt;(WEEKDAY(TODAY())+7))</formula>
    </cfRule>
    <cfRule type="timePeriod" dxfId="1957" priority="209" timePeriod="lastMonth">
      <formula>AND(MONTH(D1265)=MONTH(EDATE(TODAY(),0-1)),YEAR(D1265)=YEAR(EDATE(TODAY(),0-1)))</formula>
    </cfRule>
    <cfRule type="cellIs" dxfId="1956" priority="211" operator="equal">
      <formula>$AM$1205</formula>
    </cfRule>
  </conditionalFormatting>
  <conditionalFormatting sqref="C1271">
    <cfRule type="cellIs" dxfId="1955" priority="205" operator="equal">
      <formula>$AM$1201</formula>
    </cfRule>
  </conditionalFormatting>
  <conditionalFormatting sqref="D1271">
    <cfRule type="cellIs" dxfId="1954" priority="206" operator="equal">
      <formula>$AQ$1201</formula>
    </cfRule>
  </conditionalFormatting>
  <conditionalFormatting sqref="C1275">
    <cfRule type="timePeriod" dxfId="1953" priority="200" timePeriod="lastWeek">
      <formula>AND(TODAY()-ROUNDDOWN(C1275,0)&gt;=(WEEKDAY(TODAY())),TODAY()-ROUNDDOWN(C1275,0)&lt;(WEEKDAY(TODAY())+7))</formula>
    </cfRule>
    <cfRule type="timePeriod" dxfId="1952" priority="202" timePeriod="lastMonth">
      <formula>AND(MONTH(C1275)=MONTH(EDATE(TODAY(),0-1)),YEAR(C1275)=YEAR(EDATE(TODAY(),0-1)))</formula>
    </cfRule>
    <cfRule type="cellIs" dxfId="1951" priority="204" operator="equal">
      <formula>$AM$1205</formula>
    </cfRule>
  </conditionalFormatting>
  <conditionalFormatting sqref="D1275">
    <cfRule type="timePeriod" dxfId="1950" priority="199" timePeriod="lastWeek">
      <formula>AND(TODAY()-ROUNDDOWN(D1275,0)&gt;=(WEEKDAY(TODAY())),TODAY()-ROUNDDOWN(D1275,0)&lt;(WEEKDAY(TODAY())+7))</formula>
    </cfRule>
    <cfRule type="timePeriod" dxfId="1949" priority="201" timePeriod="lastMonth">
      <formula>AND(MONTH(D1275)=MONTH(EDATE(TODAY(),0-1)),YEAR(D1275)=YEAR(EDATE(TODAY(),0-1)))</formula>
    </cfRule>
    <cfRule type="cellIs" dxfId="1948" priority="203" operator="equal">
      <formula>$AM$1205</formula>
    </cfRule>
  </conditionalFormatting>
  <conditionalFormatting sqref="C1281">
    <cfRule type="cellIs" dxfId="1947" priority="197" operator="equal">
      <formula>$AM$1201</formula>
    </cfRule>
  </conditionalFormatting>
  <conditionalFormatting sqref="D1281">
    <cfRule type="cellIs" dxfId="1946" priority="198" operator="equal">
      <formula>$AQ$1201</formula>
    </cfRule>
  </conditionalFormatting>
  <conditionalFormatting sqref="C1285">
    <cfRule type="timePeriod" dxfId="1945" priority="192" timePeriod="lastWeek">
      <formula>AND(TODAY()-ROUNDDOWN(C1285,0)&gt;=(WEEKDAY(TODAY())),TODAY()-ROUNDDOWN(C1285,0)&lt;(WEEKDAY(TODAY())+7))</formula>
    </cfRule>
    <cfRule type="timePeriod" dxfId="1944" priority="194" timePeriod="lastMonth">
      <formula>AND(MONTH(C1285)=MONTH(EDATE(TODAY(),0-1)),YEAR(C1285)=YEAR(EDATE(TODAY(),0-1)))</formula>
    </cfRule>
    <cfRule type="cellIs" dxfId="1943" priority="196" operator="equal">
      <formula>$AM$1205</formula>
    </cfRule>
  </conditionalFormatting>
  <conditionalFormatting sqref="D1285">
    <cfRule type="timePeriod" dxfId="1942" priority="191" timePeriod="lastWeek">
      <formula>AND(TODAY()-ROUNDDOWN(D1285,0)&gt;=(WEEKDAY(TODAY())),TODAY()-ROUNDDOWN(D1285,0)&lt;(WEEKDAY(TODAY())+7))</formula>
    </cfRule>
    <cfRule type="timePeriod" dxfId="1941" priority="193" timePeriod="lastMonth">
      <formula>AND(MONTH(D1285)=MONTH(EDATE(TODAY(),0-1)),YEAR(D1285)=YEAR(EDATE(TODAY(),0-1)))</formula>
    </cfRule>
    <cfRule type="cellIs" dxfId="1940" priority="195" operator="equal">
      <formula>$AM$1205</formula>
    </cfRule>
  </conditionalFormatting>
  <conditionalFormatting sqref="C1291">
    <cfRule type="cellIs" dxfId="1939" priority="189" operator="equal">
      <formula>$AM$1201</formula>
    </cfRule>
  </conditionalFormatting>
  <conditionalFormatting sqref="D1291">
    <cfRule type="cellIs" dxfId="1938" priority="190" operator="equal">
      <formula>$AQ$1201</formula>
    </cfRule>
  </conditionalFormatting>
  <conditionalFormatting sqref="C1295">
    <cfRule type="timePeriod" dxfId="1937" priority="184" timePeriod="lastWeek">
      <formula>AND(TODAY()-ROUNDDOWN(C1295,0)&gt;=(WEEKDAY(TODAY())),TODAY()-ROUNDDOWN(C1295,0)&lt;(WEEKDAY(TODAY())+7))</formula>
    </cfRule>
    <cfRule type="timePeriod" dxfId="1936" priority="186" timePeriod="lastMonth">
      <formula>AND(MONTH(C1295)=MONTH(EDATE(TODAY(),0-1)),YEAR(C1295)=YEAR(EDATE(TODAY(),0-1)))</formula>
    </cfRule>
    <cfRule type="cellIs" dxfId="1935" priority="188" operator="equal">
      <formula>$AM$1205</formula>
    </cfRule>
  </conditionalFormatting>
  <conditionalFormatting sqref="D1295">
    <cfRule type="timePeriod" dxfId="1934" priority="183" timePeriod="lastWeek">
      <formula>AND(TODAY()-ROUNDDOWN(D1295,0)&gt;=(WEEKDAY(TODAY())),TODAY()-ROUNDDOWN(D1295,0)&lt;(WEEKDAY(TODAY())+7))</formula>
    </cfRule>
    <cfRule type="timePeriod" dxfId="1933" priority="185" timePeriod="lastMonth">
      <formula>AND(MONTH(D1295)=MONTH(EDATE(TODAY(),0-1)),YEAR(D1295)=YEAR(EDATE(TODAY(),0-1)))</formula>
    </cfRule>
    <cfRule type="cellIs" dxfId="1932" priority="187" operator="equal">
      <formula>$AM$1205</formula>
    </cfRule>
  </conditionalFormatting>
  <conditionalFormatting sqref="C1301">
    <cfRule type="cellIs" dxfId="1931" priority="181" operator="equal">
      <formula>$AM$1201</formula>
    </cfRule>
  </conditionalFormatting>
  <conditionalFormatting sqref="D1301">
    <cfRule type="cellIs" dxfId="1930" priority="182" operator="equal">
      <formula>$AQ$1201</formula>
    </cfRule>
  </conditionalFormatting>
  <conditionalFormatting sqref="C1305">
    <cfRule type="timePeriod" dxfId="1929" priority="176" timePeriod="lastWeek">
      <formula>AND(TODAY()-ROUNDDOWN(C1305,0)&gt;=(WEEKDAY(TODAY())),TODAY()-ROUNDDOWN(C1305,0)&lt;(WEEKDAY(TODAY())+7))</formula>
    </cfRule>
    <cfRule type="timePeriod" dxfId="1928" priority="178" timePeriod="lastMonth">
      <formula>AND(MONTH(C1305)=MONTH(EDATE(TODAY(),0-1)),YEAR(C1305)=YEAR(EDATE(TODAY(),0-1)))</formula>
    </cfRule>
    <cfRule type="cellIs" dxfId="1927" priority="180" operator="equal">
      <formula>$AM$1205</formula>
    </cfRule>
  </conditionalFormatting>
  <conditionalFormatting sqref="D1305">
    <cfRule type="timePeriod" dxfId="1926" priority="175" timePeriod="lastWeek">
      <formula>AND(TODAY()-ROUNDDOWN(D1305,0)&gt;=(WEEKDAY(TODAY())),TODAY()-ROUNDDOWN(D1305,0)&lt;(WEEKDAY(TODAY())+7))</formula>
    </cfRule>
    <cfRule type="timePeriod" dxfId="1925" priority="177" timePeriod="lastMonth">
      <formula>AND(MONTH(D1305)=MONTH(EDATE(TODAY(),0-1)),YEAR(D1305)=YEAR(EDATE(TODAY(),0-1)))</formula>
    </cfRule>
    <cfRule type="cellIs" dxfId="1924" priority="179" operator="equal">
      <formula>$AM$1205</formula>
    </cfRule>
  </conditionalFormatting>
  <conditionalFormatting sqref="C1311">
    <cfRule type="cellIs" dxfId="1923" priority="173" operator="equal">
      <formula>$AM$1201</formula>
    </cfRule>
  </conditionalFormatting>
  <conditionalFormatting sqref="D1311">
    <cfRule type="cellIs" dxfId="1922" priority="174" operator="equal">
      <formula>$AQ$1201</formula>
    </cfRule>
  </conditionalFormatting>
  <conditionalFormatting sqref="C1315">
    <cfRule type="timePeriod" dxfId="1921" priority="168" timePeriod="lastWeek">
      <formula>AND(TODAY()-ROUNDDOWN(C1315,0)&gt;=(WEEKDAY(TODAY())),TODAY()-ROUNDDOWN(C1315,0)&lt;(WEEKDAY(TODAY())+7))</formula>
    </cfRule>
    <cfRule type="timePeriod" dxfId="1920" priority="170" timePeriod="lastMonth">
      <formula>AND(MONTH(C1315)=MONTH(EDATE(TODAY(),0-1)),YEAR(C1315)=YEAR(EDATE(TODAY(),0-1)))</formula>
    </cfRule>
    <cfRule type="cellIs" dxfId="1919" priority="172" operator="equal">
      <formula>$AM$1205</formula>
    </cfRule>
  </conditionalFormatting>
  <conditionalFormatting sqref="D1315">
    <cfRule type="timePeriod" dxfId="1918" priority="167" timePeriod="lastWeek">
      <formula>AND(TODAY()-ROUNDDOWN(D1315,0)&gt;=(WEEKDAY(TODAY())),TODAY()-ROUNDDOWN(D1315,0)&lt;(WEEKDAY(TODAY())+7))</formula>
    </cfRule>
    <cfRule type="timePeriod" dxfId="1917" priority="169" timePeriod="lastMonth">
      <formula>AND(MONTH(D1315)=MONTH(EDATE(TODAY(),0-1)),YEAR(D1315)=YEAR(EDATE(TODAY(),0-1)))</formula>
    </cfRule>
    <cfRule type="cellIs" dxfId="1916" priority="171" operator="equal">
      <formula>$AM$1205</formula>
    </cfRule>
  </conditionalFormatting>
  <conditionalFormatting sqref="C1321">
    <cfRule type="cellIs" dxfId="1915" priority="165" operator="equal">
      <formula>$AM$1201</formula>
    </cfRule>
  </conditionalFormatting>
  <conditionalFormatting sqref="D1321">
    <cfRule type="cellIs" dxfId="1914" priority="166" operator="equal">
      <formula>$AQ$1201</formula>
    </cfRule>
  </conditionalFormatting>
  <conditionalFormatting sqref="C1325">
    <cfRule type="timePeriod" dxfId="1913" priority="160" timePeriod="lastWeek">
      <formula>AND(TODAY()-ROUNDDOWN(C1325,0)&gt;=(WEEKDAY(TODAY())),TODAY()-ROUNDDOWN(C1325,0)&lt;(WEEKDAY(TODAY())+7))</formula>
    </cfRule>
    <cfRule type="timePeriod" dxfId="1912" priority="162" timePeriod="lastMonth">
      <formula>AND(MONTH(C1325)=MONTH(EDATE(TODAY(),0-1)),YEAR(C1325)=YEAR(EDATE(TODAY(),0-1)))</formula>
    </cfRule>
    <cfRule type="cellIs" dxfId="1911" priority="164" operator="equal">
      <formula>$AM$1205</formula>
    </cfRule>
  </conditionalFormatting>
  <conditionalFormatting sqref="D1325">
    <cfRule type="timePeriod" dxfId="1910" priority="159" timePeriod="lastWeek">
      <formula>AND(TODAY()-ROUNDDOWN(D1325,0)&gt;=(WEEKDAY(TODAY())),TODAY()-ROUNDDOWN(D1325,0)&lt;(WEEKDAY(TODAY())+7))</formula>
    </cfRule>
    <cfRule type="timePeriod" dxfId="1909" priority="161" timePeriod="lastMonth">
      <formula>AND(MONTH(D1325)=MONTH(EDATE(TODAY(),0-1)),YEAR(D1325)=YEAR(EDATE(TODAY(),0-1)))</formula>
    </cfRule>
    <cfRule type="cellIs" dxfId="1908" priority="163" operator="equal">
      <formula>$AM$1205</formula>
    </cfRule>
  </conditionalFormatting>
  <conditionalFormatting sqref="C1331">
    <cfRule type="cellIs" dxfId="1907" priority="157" operator="equal">
      <formula>$AM$1201</formula>
    </cfRule>
  </conditionalFormatting>
  <conditionalFormatting sqref="D1331">
    <cfRule type="cellIs" dxfId="1906" priority="158" operator="equal">
      <formula>$AQ$1201</formula>
    </cfRule>
  </conditionalFormatting>
  <conditionalFormatting sqref="C1335">
    <cfRule type="timePeriod" dxfId="1905" priority="152" timePeriod="lastWeek">
      <formula>AND(TODAY()-ROUNDDOWN(C1335,0)&gt;=(WEEKDAY(TODAY())),TODAY()-ROUNDDOWN(C1335,0)&lt;(WEEKDAY(TODAY())+7))</formula>
    </cfRule>
    <cfRule type="timePeriod" dxfId="1904" priority="154" timePeriod="lastMonth">
      <formula>AND(MONTH(C1335)=MONTH(EDATE(TODAY(),0-1)),YEAR(C1335)=YEAR(EDATE(TODAY(),0-1)))</formula>
    </cfRule>
    <cfRule type="cellIs" dxfId="1903" priority="156" operator="equal">
      <formula>$AM$1205</formula>
    </cfRule>
  </conditionalFormatting>
  <conditionalFormatting sqref="D1335">
    <cfRule type="timePeriod" dxfId="1902" priority="151" timePeriod="lastWeek">
      <formula>AND(TODAY()-ROUNDDOWN(D1335,0)&gt;=(WEEKDAY(TODAY())),TODAY()-ROUNDDOWN(D1335,0)&lt;(WEEKDAY(TODAY())+7))</formula>
    </cfRule>
    <cfRule type="timePeriod" dxfId="1901" priority="153" timePeriod="lastMonth">
      <formula>AND(MONTH(D1335)=MONTH(EDATE(TODAY(),0-1)),YEAR(D1335)=YEAR(EDATE(TODAY(),0-1)))</formula>
    </cfRule>
    <cfRule type="cellIs" dxfId="1900" priority="155" operator="equal">
      <formula>$AM$1205</formula>
    </cfRule>
  </conditionalFormatting>
  <conditionalFormatting sqref="C1341">
    <cfRule type="cellIs" dxfId="1899" priority="149" operator="equal">
      <formula>$AM$1201</formula>
    </cfRule>
  </conditionalFormatting>
  <conditionalFormatting sqref="D1341">
    <cfRule type="cellIs" dxfId="1898" priority="150" operator="equal">
      <formula>$AQ$1201</formula>
    </cfRule>
  </conditionalFormatting>
  <conditionalFormatting sqref="C1345">
    <cfRule type="timePeriod" dxfId="1897" priority="144" timePeriod="lastWeek">
      <formula>AND(TODAY()-ROUNDDOWN(C1345,0)&gt;=(WEEKDAY(TODAY())),TODAY()-ROUNDDOWN(C1345,0)&lt;(WEEKDAY(TODAY())+7))</formula>
    </cfRule>
    <cfRule type="timePeriod" dxfId="1896" priority="146" timePeriod="lastMonth">
      <formula>AND(MONTH(C1345)=MONTH(EDATE(TODAY(),0-1)),YEAR(C1345)=YEAR(EDATE(TODAY(),0-1)))</formula>
    </cfRule>
    <cfRule type="cellIs" dxfId="1895" priority="148" operator="equal">
      <formula>$AM$1205</formula>
    </cfRule>
  </conditionalFormatting>
  <conditionalFormatting sqref="D1345">
    <cfRule type="timePeriod" dxfId="1894" priority="143" timePeriod="lastWeek">
      <formula>AND(TODAY()-ROUNDDOWN(D1345,0)&gt;=(WEEKDAY(TODAY())),TODAY()-ROUNDDOWN(D1345,0)&lt;(WEEKDAY(TODAY())+7))</formula>
    </cfRule>
    <cfRule type="timePeriod" dxfId="1893" priority="145" timePeriod="lastMonth">
      <formula>AND(MONTH(D1345)=MONTH(EDATE(TODAY(),0-1)),YEAR(D1345)=YEAR(EDATE(TODAY(),0-1)))</formula>
    </cfRule>
    <cfRule type="cellIs" dxfId="1892" priority="147" operator="equal">
      <formula>$AM$1205</formula>
    </cfRule>
  </conditionalFormatting>
  <conditionalFormatting sqref="C1351">
    <cfRule type="cellIs" dxfId="1891" priority="141" operator="equal">
      <formula>$AM$1201</formula>
    </cfRule>
  </conditionalFormatting>
  <conditionalFormatting sqref="D1351">
    <cfRule type="cellIs" dxfId="1890" priority="142" operator="equal">
      <formula>$AQ$1201</formula>
    </cfRule>
  </conditionalFormatting>
  <conditionalFormatting sqref="C1355">
    <cfRule type="timePeriod" dxfId="1889" priority="136" timePeriod="lastWeek">
      <formula>AND(TODAY()-ROUNDDOWN(C1355,0)&gt;=(WEEKDAY(TODAY())),TODAY()-ROUNDDOWN(C1355,0)&lt;(WEEKDAY(TODAY())+7))</formula>
    </cfRule>
    <cfRule type="timePeriod" dxfId="1888" priority="138" timePeriod="lastMonth">
      <formula>AND(MONTH(C1355)=MONTH(EDATE(TODAY(),0-1)),YEAR(C1355)=YEAR(EDATE(TODAY(),0-1)))</formula>
    </cfRule>
    <cfRule type="cellIs" dxfId="1887" priority="140" operator="equal">
      <formula>$AM$1205</formula>
    </cfRule>
  </conditionalFormatting>
  <conditionalFormatting sqref="D1355">
    <cfRule type="timePeriod" dxfId="1886" priority="135" timePeriod="lastWeek">
      <formula>AND(TODAY()-ROUNDDOWN(D1355,0)&gt;=(WEEKDAY(TODAY())),TODAY()-ROUNDDOWN(D1355,0)&lt;(WEEKDAY(TODAY())+7))</formula>
    </cfRule>
    <cfRule type="timePeriod" dxfId="1885" priority="137" timePeriod="lastMonth">
      <formula>AND(MONTH(D1355)=MONTH(EDATE(TODAY(),0-1)),YEAR(D1355)=YEAR(EDATE(TODAY(),0-1)))</formula>
    </cfRule>
    <cfRule type="cellIs" dxfId="1884" priority="139" operator="equal">
      <formula>$AM$1205</formula>
    </cfRule>
  </conditionalFormatting>
  <conditionalFormatting sqref="C1361">
    <cfRule type="cellIs" dxfId="1883" priority="133" operator="equal">
      <formula>$AM$1201</formula>
    </cfRule>
  </conditionalFormatting>
  <conditionalFormatting sqref="D1361">
    <cfRule type="cellIs" dxfId="1882" priority="134" operator="equal">
      <formula>$AQ$1201</formula>
    </cfRule>
  </conditionalFormatting>
  <conditionalFormatting sqref="C1365">
    <cfRule type="timePeriod" dxfId="1881" priority="128" timePeriod="lastWeek">
      <formula>AND(TODAY()-ROUNDDOWN(C1365,0)&gt;=(WEEKDAY(TODAY())),TODAY()-ROUNDDOWN(C1365,0)&lt;(WEEKDAY(TODAY())+7))</formula>
    </cfRule>
    <cfRule type="timePeriod" dxfId="1880" priority="130" timePeriod="lastMonth">
      <formula>AND(MONTH(C1365)=MONTH(EDATE(TODAY(),0-1)),YEAR(C1365)=YEAR(EDATE(TODAY(),0-1)))</formula>
    </cfRule>
    <cfRule type="cellIs" dxfId="1879" priority="132" operator="equal">
      <formula>$AM$1205</formula>
    </cfRule>
  </conditionalFormatting>
  <conditionalFormatting sqref="D1365">
    <cfRule type="timePeriod" dxfId="1878" priority="127" timePeriod="lastWeek">
      <formula>AND(TODAY()-ROUNDDOWN(D1365,0)&gt;=(WEEKDAY(TODAY())),TODAY()-ROUNDDOWN(D1365,0)&lt;(WEEKDAY(TODAY())+7))</formula>
    </cfRule>
    <cfRule type="timePeriod" dxfId="1877" priority="129" timePeriod="lastMonth">
      <formula>AND(MONTH(D1365)=MONTH(EDATE(TODAY(),0-1)),YEAR(D1365)=YEAR(EDATE(TODAY(),0-1)))</formula>
    </cfRule>
    <cfRule type="cellIs" dxfId="1876" priority="131" operator="equal">
      <formula>$AM$1205</formula>
    </cfRule>
  </conditionalFormatting>
  <conditionalFormatting sqref="C1371">
    <cfRule type="cellIs" dxfId="1875" priority="125" operator="equal">
      <formula>$AM$1201</formula>
    </cfRule>
  </conditionalFormatting>
  <conditionalFormatting sqref="D1371">
    <cfRule type="cellIs" dxfId="1874" priority="126" operator="equal">
      <formula>$AQ$1201</formula>
    </cfRule>
  </conditionalFormatting>
  <conditionalFormatting sqref="C1375">
    <cfRule type="timePeriod" dxfId="1873" priority="120" timePeriod="lastWeek">
      <formula>AND(TODAY()-ROUNDDOWN(C1375,0)&gt;=(WEEKDAY(TODAY())),TODAY()-ROUNDDOWN(C1375,0)&lt;(WEEKDAY(TODAY())+7))</formula>
    </cfRule>
    <cfRule type="timePeriod" dxfId="1872" priority="122" timePeriod="lastMonth">
      <formula>AND(MONTH(C1375)=MONTH(EDATE(TODAY(),0-1)),YEAR(C1375)=YEAR(EDATE(TODAY(),0-1)))</formula>
    </cfRule>
    <cfRule type="cellIs" dxfId="1871" priority="124" operator="equal">
      <formula>$AM$1205</formula>
    </cfRule>
  </conditionalFormatting>
  <conditionalFormatting sqref="D1375">
    <cfRule type="timePeriod" dxfId="1870" priority="119" timePeriod="lastWeek">
      <formula>AND(TODAY()-ROUNDDOWN(D1375,0)&gt;=(WEEKDAY(TODAY())),TODAY()-ROUNDDOWN(D1375,0)&lt;(WEEKDAY(TODAY())+7))</formula>
    </cfRule>
    <cfRule type="timePeriod" dxfId="1869" priority="121" timePeriod="lastMonth">
      <formula>AND(MONTH(D1375)=MONTH(EDATE(TODAY(),0-1)),YEAR(D1375)=YEAR(EDATE(TODAY(),0-1)))</formula>
    </cfRule>
    <cfRule type="cellIs" dxfId="1868" priority="123" operator="equal">
      <formula>$AM$1205</formula>
    </cfRule>
  </conditionalFormatting>
  <conditionalFormatting sqref="C1381">
    <cfRule type="cellIs" dxfId="1867" priority="117" operator="equal">
      <formula>$AM$1201</formula>
    </cfRule>
  </conditionalFormatting>
  <conditionalFormatting sqref="D1381">
    <cfRule type="cellIs" dxfId="1866" priority="118" operator="equal">
      <formula>$AQ$1201</formula>
    </cfRule>
  </conditionalFormatting>
  <conditionalFormatting sqref="C1385">
    <cfRule type="timePeriod" dxfId="1865" priority="112" timePeriod="lastWeek">
      <formula>AND(TODAY()-ROUNDDOWN(C1385,0)&gt;=(WEEKDAY(TODAY())),TODAY()-ROUNDDOWN(C1385,0)&lt;(WEEKDAY(TODAY())+7))</formula>
    </cfRule>
    <cfRule type="timePeriod" dxfId="1864" priority="114" timePeriod="lastMonth">
      <formula>AND(MONTH(C1385)=MONTH(EDATE(TODAY(),0-1)),YEAR(C1385)=YEAR(EDATE(TODAY(),0-1)))</formula>
    </cfRule>
    <cfRule type="cellIs" dxfId="1863" priority="116" operator="equal">
      <formula>$AM$1205</formula>
    </cfRule>
  </conditionalFormatting>
  <conditionalFormatting sqref="D1385">
    <cfRule type="timePeriod" dxfId="1862" priority="111" timePeriod="lastWeek">
      <formula>AND(TODAY()-ROUNDDOWN(D1385,0)&gt;=(WEEKDAY(TODAY())),TODAY()-ROUNDDOWN(D1385,0)&lt;(WEEKDAY(TODAY())+7))</formula>
    </cfRule>
    <cfRule type="timePeriod" dxfId="1861" priority="113" timePeriod="lastMonth">
      <formula>AND(MONTH(D1385)=MONTH(EDATE(TODAY(),0-1)),YEAR(D1385)=YEAR(EDATE(TODAY(),0-1)))</formula>
    </cfRule>
    <cfRule type="cellIs" dxfId="1860" priority="115" operator="equal">
      <formula>$AM$1205</formula>
    </cfRule>
  </conditionalFormatting>
  <conditionalFormatting sqref="C1391">
    <cfRule type="cellIs" dxfId="1859" priority="109" operator="equal">
      <formula>$AM$1201</formula>
    </cfRule>
  </conditionalFormatting>
  <conditionalFormatting sqref="D1391">
    <cfRule type="cellIs" dxfId="1858" priority="110" operator="equal">
      <formula>$AQ$1201</formula>
    </cfRule>
  </conditionalFormatting>
  <conditionalFormatting sqref="C1395">
    <cfRule type="timePeriod" dxfId="1857" priority="104" timePeriod="lastWeek">
      <formula>AND(TODAY()-ROUNDDOWN(C1395,0)&gt;=(WEEKDAY(TODAY())),TODAY()-ROUNDDOWN(C1395,0)&lt;(WEEKDAY(TODAY())+7))</formula>
    </cfRule>
    <cfRule type="timePeriod" dxfId="1856" priority="106" timePeriod="lastMonth">
      <formula>AND(MONTH(C1395)=MONTH(EDATE(TODAY(),0-1)),YEAR(C1395)=YEAR(EDATE(TODAY(),0-1)))</formula>
    </cfRule>
    <cfRule type="cellIs" dxfId="1855" priority="108" operator="equal">
      <formula>$AM$1205</formula>
    </cfRule>
  </conditionalFormatting>
  <conditionalFormatting sqref="D1395">
    <cfRule type="timePeriod" dxfId="1854" priority="103" timePeriod="lastWeek">
      <formula>AND(TODAY()-ROUNDDOWN(D1395,0)&gt;=(WEEKDAY(TODAY())),TODAY()-ROUNDDOWN(D1395,0)&lt;(WEEKDAY(TODAY())+7))</formula>
    </cfRule>
    <cfRule type="timePeriod" dxfId="1853" priority="105" timePeriod="lastMonth">
      <formula>AND(MONTH(D1395)=MONTH(EDATE(TODAY(),0-1)),YEAR(D1395)=YEAR(EDATE(TODAY(),0-1)))</formula>
    </cfRule>
    <cfRule type="cellIs" dxfId="1852" priority="107" operator="equal">
      <formula>$AM$1205</formula>
    </cfRule>
  </conditionalFormatting>
  <conditionalFormatting sqref="C1401">
    <cfRule type="cellIs" dxfId="1851" priority="101" operator="equal">
      <formula>$AM$1201</formula>
    </cfRule>
  </conditionalFormatting>
  <conditionalFormatting sqref="D1401">
    <cfRule type="cellIs" dxfId="1850" priority="102" operator="equal">
      <formula>$AQ$1201</formula>
    </cfRule>
  </conditionalFormatting>
  <conditionalFormatting sqref="C1405">
    <cfRule type="timePeriod" dxfId="1849" priority="96" timePeriod="lastWeek">
      <formula>AND(TODAY()-ROUNDDOWN(C1405,0)&gt;=(WEEKDAY(TODAY())),TODAY()-ROUNDDOWN(C1405,0)&lt;(WEEKDAY(TODAY())+7))</formula>
    </cfRule>
    <cfRule type="timePeriod" dxfId="1848" priority="98" timePeriod="lastMonth">
      <formula>AND(MONTH(C1405)=MONTH(EDATE(TODAY(),0-1)),YEAR(C1405)=YEAR(EDATE(TODAY(),0-1)))</formula>
    </cfRule>
    <cfRule type="cellIs" dxfId="1847" priority="100" operator="equal">
      <formula>$AM$1205</formula>
    </cfRule>
  </conditionalFormatting>
  <conditionalFormatting sqref="D1405">
    <cfRule type="timePeriod" dxfId="1846" priority="95" timePeriod="lastWeek">
      <formula>AND(TODAY()-ROUNDDOWN(D1405,0)&gt;=(WEEKDAY(TODAY())),TODAY()-ROUNDDOWN(D1405,0)&lt;(WEEKDAY(TODAY())+7))</formula>
    </cfRule>
    <cfRule type="timePeriod" dxfId="1845" priority="97" timePeriod="lastMonth">
      <formula>AND(MONTH(D1405)=MONTH(EDATE(TODAY(),0-1)),YEAR(D1405)=YEAR(EDATE(TODAY(),0-1)))</formula>
    </cfRule>
    <cfRule type="cellIs" dxfId="1844" priority="99" operator="equal">
      <formula>$AM$1205</formula>
    </cfRule>
  </conditionalFormatting>
  <conditionalFormatting sqref="C1411">
    <cfRule type="cellIs" dxfId="1843" priority="93" operator="equal">
      <formula>$AM$1201</formula>
    </cfRule>
  </conditionalFormatting>
  <conditionalFormatting sqref="D1411">
    <cfRule type="cellIs" dxfId="1842" priority="94" operator="equal">
      <formula>$AQ$1201</formula>
    </cfRule>
  </conditionalFormatting>
  <conditionalFormatting sqref="C1415">
    <cfRule type="timePeriod" dxfId="1841" priority="88" timePeriod="lastWeek">
      <formula>AND(TODAY()-ROUNDDOWN(C1415,0)&gt;=(WEEKDAY(TODAY())),TODAY()-ROUNDDOWN(C1415,0)&lt;(WEEKDAY(TODAY())+7))</formula>
    </cfRule>
    <cfRule type="timePeriod" dxfId="1840" priority="90" timePeriod="lastMonth">
      <formula>AND(MONTH(C1415)=MONTH(EDATE(TODAY(),0-1)),YEAR(C1415)=YEAR(EDATE(TODAY(),0-1)))</formula>
    </cfRule>
    <cfRule type="cellIs" dxfId="1839" priority="92" operator="equal">
      <formula>$AM$1205</formula>
    </cfRule>
  </conditionalFormatting>
  <conditionalFormatting sqref="D1415">
    <cfRule type="timePeriod" dxfId="1838" priority="87" timePeriod="lastWeek">
      <formula>AND(TODAY()-ROUNDDOWN(D1415,0)&gt;=(WEEKDAY(TODAY())),TODAY()-ROUNDDOWN(D1415,0)&lt;(WEEKDAY(TODAY())+7))</formula>
    </cfRule>
    <cfRule type="timePeriod" dxfId="1837" priority="89" timePeriod="lastMonth">
      <formula>AND(MONTH(D1415)=MONTH(EDATE(TODAY(),0-1)),YEAR(D1415)=YEAR(EDATE(TODAY(),0-1)))</formula>
    </cfRule>
    <cfRule type="cellIs" dxfId="1836" priority="91" operator="equal">
      <formula>$AM$1205</formula>
    </cfRule>
  </conditionalFormatting>
  <conditionalFormatting sqref="C1421">
    <cfRule type="cellIs" dxfId="1835" priority="85" operator="equal">
      <formula>$AM$1201</formula>
    </cfRule>
  </conditionalFormatting>
  <conditionalFormatting sqref="D1421">
    <cfRule type="cellIs" dxfId="1834" priority="86" operator="equal">
      <formula>$AQ$1201</formula>
    </cfRule>
  </conditionalFormatting>
  <conditionalFormatting sqref="C1425">
    <cfRule type="timePeriod" dxfId="1833" priority="80" timePeriod="lastWeek">
      <formula>AND(TODAY()-ROUNDDOWN(C1425,0)&gt;=(WEEKDAY(TODAY())),TODAY()-ROUNDDOWN(C1425,0)&lt;(WEEKDAY(TODAY())+7))</formula>
    </cfRule>
    <cfRule type="timePeriod" dxfId="1832" priority="82" timePeriod="lastMonth">
      <formula>AND(MONTH(C1425)=MONTH(EDATE(TODAY(),0-1)),YEAR(C1425)=YEAR(EDATE(TODAY(),0-1)))</formula>
    </cfRule>
    <cfRule type="cellIs" dxfId="1831" priority="84" operator="equal">
      <formula>$AM$1205</formula>
    </cfRule>
  </conditionalFormatting>
  <conditionalFormatting sqref="D1425">
    <cfRule type="timePeriod" dxfId="1830" priority="79" timePeriod="lastWeek">
      <formula>AND(TODAY()-ROUNDDOWN(D1425,0)&gt;=(WEEKDAY(TODAY())),TODAY()-ROUNDDOWN(D1425,0)&lt;(WEEKDAY(TODAY())+7))</formula>
    </cfRule>
    <cfRule type="timePeriod" dxfId="1829" priority="81" timePeriod="lastMonth">
      <formula>AND(MONTH(D1425)=MONTH(EDATE(TODAY(),0-1)),YEAR(D1425)=YEAR(EDATE(TODAY(),0-1)))</formula>
    </cfRule>
    <cfRule type="cellIs" dxfId="1828" priority="83" operator="equal">
      <formula>$AM$1205</formula>
    </cfRule>
  </conditionalFormatting>
  <conditionalFormatting sqref="A1432:A1439">
    <cfRule type="cellIs" dxfId="1827" priority="78" operator="equal">
      <formula>0</formula>
    </cfRule>
  </conditionalFormatting>
  <conditionalFormatting sqref="C1431">
    <cfRule type="cellIs" dxfId="1826" priority="76" operator="equal">
      <formula>$AM$1201</formula>
    </cfRule>
  </conditionalFormatting>
  <conditionalFormatting sqref="D1431">
    <cfRule type="cellIs" dxfId="1825" priority="77" operator="equal">
      <formula>$AQ$1201</formula>
    </cfRule>
  </conditionalFormatting>
  <conditionalFormatting sqref="C1435">
    <cfRule type="timePeriod" dxfId="1824" priority="71" timePeriod="lastWeek">
      <formula>AND(TODAY()-ROUNDDOWN(C1435,0)&gt;=(WEEKDAY(TODAY())),TODAY()-ROUNDDOWN(C1435,0)&lt;(WEEKDAY(TODAY())+7))</formula>
    </cfRule>
    <cfRule type="timePeriod" dxfId="1823" priority="73" timePeriod="lastMonth">
      <formula>AND(MONTH(C1435)=MONTH(EDATE(TODAY(),0-1)),YEAR(C1435)=YEAR(EDATE(TODAY(),0-1)))</formula>
    </cfRule>
    <cfRule type="cellIs" dxfId="1822" priority="75" operator="equal">
      <formula>$AM$1205</formula>
    </cfRule>
  </conditionalFormatting>
  <conditionalFormatting sqref="D1435">
    <cfRule type="timePeriod" dxfId="1821" priority="70" timePeriod="lastWeek">
      <formula>AND(TODAY()-ROUNDDOWN(D1435,0)&gt;=(WEEKDAY(TODAY())),TODAY()-ROUNDDOWN(D1435,0)&lt;(WEEKDAY(TODAY())+7))</formula>
    </cfRule>
    <cfRule type="timePeriod" dxfId="1820" priority="72" timePeriod="lastMonth">
      <formula>AND(MONTH(D1435)=MONTH(EDATE(TODAY(),0-1)),YEAR(D1435)=YEAR(EDATE(TODAY(),0-1)))</formula>
    </cfRule>
    <cfRule type="cellIs" dxfId="1819" priority="74" operator="equal">
      <formula>$AM$1205</formula>
    </cfRule>
  </conditionalFormatting>
  <conditionalFormatting sqref="A1211 A1221 A1231 A1241 A1251 A1261 A1271 A1281 A1291 A1301 A1311 A1321 A1331 A1341 A1351 A1361 A1371 A1381 A1391 A1401 A1411 A1421 A1431">
    <cfRule type="cellIs" dxfId="1818" priority="69" operator="equal">
      <formula>0</formula>
    </cfRule>
  </conditionalFormatting>
  <conditionalFormatting sqref="D1203">
    <cfRule type="cellIs" dxfId="1817" priority="68" operator="equal">
      <formula>$AS$1203</formula>
    </cfRule>
  </conditionalFormatting>
  <conditionalFormatting sqref="D1233">
    <cfRule type="cellIs" dxfId="1816" priority="66" operator="equal">
      <formula>$AS$1203</formula>
    </cfRule>
  </conditionalFormatting>
  <conditionalFormatting sqref="D1223">
    <cfRule type="cellIs" dxfId="1815" priority="67" operator="equal">
      <formula>$AS$1203</formula>
    </cfRule>
  </conditionalFormatting>
  <conditionalFormatting sqref="D1243">
    <cfRule type="cellIs" dxfId="1814" priority="65" operator="equal">
      <formula>$AS$1203</formula>
    </cfRule>
  </conditionalFormatting>
  <conditionalFormatting sqref="D1253">
    <cfRule type="cellIs" dxfId="1813" priority="64" operator="equal">
      <formula>$AS$1203</formula>
    </cfRule>
  </conditionalFormatting>
  <conditionalFormatting sqref="D1263">
    <cfRule type="cellIs" dxfId="1812" priority="63" operator="equal">
      <formula>$AS$1203</formula>
    </cfRule>
  </conditionalFormatting>
  <conditionalFormatting sqref="D1273">
    <cfRule type="cellIs" dxfId="1811" priority="62" operator="equal">
      <formula>$AS$1203</formula>
    </cfRule>
  </conditionalFormatting>
  <conditionalFormatting sqref="D1283">
    <cfRule type="cellIs" dxfId="1810" priority="61" operator="equal">
      <formula>$AS$1203</formula>
    </cfRule>
  </conditionalFormatting>
  <conditionalFormatting sqref="D1293">
    <cfRule type="cellIs" dxfId="1809" priority="60" operator="equal">
      <formula>$AS$1203</formula>
    </cfRule>
  </conditionalFormatting>
  <conditionalFormatting sqref="D1303">
    <cfRule type="cellIs" dxfId="1808" priority="59" operator="equal">
      <formula>$AS$1203</formula>
    </cfRule>
  </conditionalFormatting>
  <conditionalFormatting sqref="D1313">
    <cfRule type="cellIs" dxfId="1807" priority="58" operator="equal">
      <formula>$AS$1203</formula>
    </cfRule>
  </conditionalFormatting>
  <conditionalFormatting sqref="D1323">
    <cfRule type="cellIs" dxfId="1806" priority="57" operator="equal">
      <formula>$AS$1203</formula>
    </cfRule>
  </conditionalFormatting>
  <conditionalFormatting sqref="D1333">
    <cfRule type="cellIs" dxfId="1805" priority="56" operator="equal">
      <formula>$AS$1203</formula>
    </cfRule>
  </conditionalFormatting>
  <conditionalFormatting sqref="D1433">
    <cfRule type="cellIs" dxfId="1804" priority="46" operator="equal">
      <formula>$AS$1203</formula>
    </cfRule>
  </conditionalFormatting>
  <conditionalFormatting sqref="D1343">
    <cfRule type="cellIs" dxfId="1803" priority="55" operator="equal">
      <formula>$AS$1203</formula>
    </cfRule>
  </conditionalFormatting>
  <conditionalFormatting sqref="D1353">
    <cfRule type="cellIs" dxfId="1802" priority="54" operator="equal">
      <formula>$AS$1203</formula>
    </cfRule>
  </conditionalFormatting>
  <conditionalFormatting sqref="D1363">
    <cfRule type="cellIs" dxfId="1801" priority="53" operator="equal">
      <formula>$AS$1203</formula>
    </cfRule>
  </conditionalFormatting>
  <conditionalFormatting sqref="D1373">
    <cfRule type="cellIs" dxfId="1800" priority="52" operator="equal">
      <formula>$AS$1203</formula>
    </cfRule>
  </conditionalFormatting>
  <conditionalFormatting sqref="D1383">
    <cfRule type="cellIs" dxfId="1799" priority="51" operator="equal">
      <formula>$AS$1203</formula>
    </cfRule>
  </conditionalFormatting>
  <conditionalFormatting sqref="D1393">
    <cfRule type="cellIs" dxfId="1798" priority="50" operator="equal">
      <formula>$AS$1203</formula>
    </cfRule>
  </conditionalFormatting>
  <conditionalFormatting sqref="D1403">
    <cfRule type="cellIs" dxfId="1797" priority="49" operator="equal">
      <formula>$AS$1203</formula>
    </cfRule>
  </conditionalFormatting>
  <conditionalFormatting sqref="D1413">
    <cfRule type="cellIs" dxfId="1796" priority="48" operator="equal">
      <formula>$AS$1203</formula>
    </cfRule>
  </conditionalFormatting>
  <conditionalFormatting sqref="D1423">
    <cfRule type="cellIs" dxfId="1795" priority="47" operator="equal">
      <formula>$AS$1203</formula>
    </cfRule>
  </conditionalFormatting>
  <conditionalFormatting sqref="D1213">
    <cfRule type="cellIs" dxfId="1794" priority="45" operator="equal">
      <formula>$AS$1203</formula>
    </cfRule>
  </conditionalFormatting>
  <conditionalFormatting sqref="B28:D28">
    <cfRule type="containsText" dxfId="1793" priority="44" operator="containsText" text="FLIPSIDE">
      <formula>NOT(ISERROR(SEARCH("FLIPSIDE",B28)))</formula>
    </cfRule>
  </conditionalFormatting>
  <conditionalFormatting sqref="B63:D63">
    <cfRule type="notContainsText" dxfId="1792" priority="43" operator="notContains" text="claimant">
      <formula>ISERROR(SEARCH("claimant",B63))</formula>
    </cfRule>
  </conditionalFormatting>
  <conditionalFormatting sqref="A1198">
    <cfRule type="cellIs" dxfId="1791" priority="42" operator="equal">
      <formula>0</formula>
    </cfRule>
  </conditionalFormatting>
  <conditionalFormatting sqref="C1513:D1513">
    <cfRule type="beginsWith" dxfId="1790" priority="38" operator="beginsWith" text="click">
      <formula>LEFT(C1513,LEN("click"))="click"</formula>
    </cfRule>
  </conditionalFormatting>
  <conditionalFormatting sqref="C1483:D1483">
    <cfRule type="beginsWith" dxfId="1789" priority="41" operator="beginsWith" text="click">
      <formula>LEFT(C1483,LEN("click"))="click"</formula>
    </cfRule>
  </conditionalFormatting>
  <conditionalFormatting sqref="C1533:D1533">
    <cfRule type="beginsWith" dxfId="1788" priority="36" operator="beginsWith" text="click">
      <formula>LEFT(C1533,LEN("click"))="click"</formula>
    </cfRule>
  </conditionalFormatting>
  <conditionalFormatting sqref="C1493:D1493">
    <cfRule type="beginsWith" dxfId="1787" priority="40" operator="beginsWith" text="click">
      <formula>LEFT(C1493,LEN("click"))="click"</formula>
    </cfRule>
  </conditionalFormatting>
  <conditionalFormatting sqref="C1503:D1503">
    <cfRule type="beginsWith" dxfId="1786" priority="39" operator="beginsWith" text="click">
      <formula>LEFT(C1503,LEN("click"))="click"</formula>
    </cfRule>
  </conditionalFormatting>
  <conditionalFormatting sqref="C1523:D1523">
    <cfRule type="beginsWith" dxfId="1785" priority="37" operator="beginsWith" text="click">
      <formula>LEFT(C1523,LEN("click"))="click"</formula>
    </cfRule>
  </conditionalFormatting>
  <conditionalFormatting sqref="C24:C25">
    <cfRule type="containsText" dxfId="1784" priority="35" operator="containsText" text="Highlight">
      <formula>NOT(ISERROR(SEARCH("Highlight",C24)))</formula>
    </cfRule>
  </conditionalFormatting>
  <conditionalFormatting sqref="C24:C25">
    <cfRule type="containsText" dxfId="1783" priority="34" operator="containsText" text="Hightlight">
      <formula>NOT(ISERROR(SEARCH("Hightlight",C24)))</formula>
    </cfRule>
  </conditionalFormatting>
  <conditionalFormatting sqref="D224">
    <cfRule type="containsText" dxfId="1782" priority="33" operator="containsText" text="NAME ">
      <formula>NOT(ISERROR(SEARCH("NAME ",D224)))</formula>
    </cfRule>
  </conditionalFormatting>
  <conditionalFormatting sqref="D224">
    <cfRule type="containsText" dxfId="1781" priority="30" operator="containsText" text="claims to know real culprit?">
      <formula>NOT(ISERROR(SEARCH("claims to know real culprit?",D224)))</formula>
    </cfRule>
    <cfRule type="containsText" dxfId="1780" priority="31" operator="containsText" text="charged as?">
      <formula>NOT(ISERROR(SEARCH("charged as?",D224)))</formula>
    </cfRule>
    <cfRule type="containsText" dxfId="1779" priority="32" operator="containsText" text="convicted as?">
      <formula>NOT(ISERROR(SEARCH("convicted as?",D224)))</formula>
    </cfRule>
  </conditionalFormatting>
  <conditionalFormatting sqref="D224">
    <cfRule type="containsText" dxfId="1778" priority="29" operator="containsText" text="also claims innocence?">
      <formula>NOT(ISERROR(SEARCH("also claims innocence?",D224)))</formula>
    </cfRule>
  </conditionalFormatting>
  <conditionalFormatting sqref="D385">
    <cfRule type="containsText" dxfId="1777" priority="28" operator="containsText" text="URL">
      <formula>NOT(ISERROR(SEARCH("URL",D385)))</formula>
    </cfRule>
  </conditionalFormatting>
  <conditionalFormatting sqref="C1211">
    <cfRule type="cellIs" dxfId="1776" priority="27" operator="equal">
      <formula>$AM$1201</formula>
    </cfRule>
  </conditionalFormatting>
  <conditionalFormatting sqref="C154">
    <cfRule type="cellIs" dxfId="1775" priority="26" operator="equal">
      <formula>"YYYY-MM-DD"</formula>
    </cfRule>
  </conditionalFormatting>
  <conditionalFormatting sqref="C164">
    <cfRule type="cellIs" dxfId="1774" priority="25" operator="equal">
      <formula>"YYYY-MM-DD"</formula>
    </cfRule>
  </conditionalFormatting>
  <conditionalFormatting sqref="C1095">
    <cfRule type="cellIs" dxfId="1773" priority="24" operator="between">
      <formula>0</formula>
      <formula>1</formula>
    </cfRule>
  </conditionalFormatting>
  <conditionalFormatting sqref="AC1092:AG1092">
    <cfRule type="cellIs" dxfId="1772" priority="23" operator="between">
      <formula>0</formula>
      <formula>1</formula>
    </cfRule>
  </conditionalFormatting>
  <conditionalFormatting sqref="AP1092">
    <cfRule type="cellIs" dxfId="1771" priority="22" operator="between">
      <formula>0</formula>
      <formula>1</formula>
    </cfRule>
  </conditionalFormatting>
  <conditionalFormatting sqref="BN2254">
    <cfRule type="cellIs" dxfId="1770" priority="21" operator="between">
      <formula>0</formula>
      <formula>1</formula>
    </cfRule>
  </conditionalFormatting>
  <conditionalFormatting sqref="BN2242:BN2253">
    <cfRule type="cellIs" dxfId="1769" priority="20" operator="between">
      <formula>0</formula>
      <formula>1</formula>
    </cfRule>
  </conditionalFormatting>
  <conditionalFormatting sqref="BN2242:BN2253">
    <cfRule type="cellIs" dxfId="1768" priority="19" operator="between">
      <formula>0</formula>
      <formula>1</formula>
    </cfRule>
  </conditionalFormatting>
  <conditionalFormatting sqref="BN2255">
    <cfRule type="cellIs" dxfId="1767" priority="18" operator="between">
      <formula>0</formula>
      <formula>1</formula>
    </cfRule>
  </conditionalFormatting>
  <conditionalFormatting sqref="BN2255">
    <cfRule type="cellIs" dxfId="1766" priority="17" operator="between">
      <formula>0</formula>
      <formula>1</formula>
    </cfRule>
  </conditionalFormatting>
  <conditionalFormatting sqref="BN2257">
    <cfRule type="cellIs" dxfId="1765" priority="16" operator="between">
      <formula>0</formula>
      <formula>1</formula>
    </cfRule>
  </conditionalFormatting>
  <conditionalFormatting sqref="BN2257">
    <cfRule type="cellIs" dxfId="1764" priority="15" operator="between">
      <formula>0</formula>
      <formula>1</formula>
    </cfRule>
  </conditionalFormatting>
  <conditionalFormatting sqref="BN2258">
    <cfRule type="cellIs" dxfId="1763" priority="14" operator="between">
      <formula>0</formula>
      <formula>1</formula>
    </cfRule>
  </conditionalFormatting>
  <conditionalFormatting sqref="BN2258">
    <cfRule type="cellIs" dxfId="1762" priority="13" operator="between">
      <formula>0</formula>
      <formula>1</formula>
    </cfRule>
  </conditionalFormatting>
  <conditionalFormatting sqref="BN2260:BN2269">
    <cfRule type="cellIs" dxfId="1761" priority="12" operator="between">
      <formula>0</formula>
      <formula>1</formula>
    </cfRule>
  </conditionalFormatting>
  <conditionalFormatting sqref="BN2260:BN2269">
    <cfRule type="cellIs" dxfId="1760" priority="11" operator="between">
      <formula>0</formula>
      <formula>1</formula>
    </cfRule>
  </conditionalFormatting>
  <conditionalFormatting sqref="BN2271:BN2272">
    <cfRule type="cellIs" dxfId="1759" priority="10" operator="between">
      <formula>0</formula>
      <formula>1</formula>
    </cfRule>
  </conditionalFormatting>
  <conditionalFormatting sqref="BN2271:BN2272">
    <cfRule type="cellIs" dxfId="1758" priority="9" operator="between">
      <formula>0</formula>
      <formula>1</formula>
    </cfRule>
  </conditionalFormatting>
  <conditionalFormatting sqref="BN2274:BN2275">
    <cfRule type="cellIs" dxfId="1757" priority="8" operator="between">
      <formula>0</formula>
      <formula>1</formula>
    </cfRule>
  </conditionalFormatting>
  <conditionalFormatting sqref="BN2274:BN2275">
    <cfRule type="cellIs" dxfId="1756" priority="7" operator="between">
      <formula>0</formula>
      <formula>1</formula>
    </cfRule>
  </conditionalFormatting>
  <conditionalFormatting sqref="BN2277:BN2278">
    <cfRule type="cellIs" dxfId="1755" priority="6" operator="between">
      <formula>0</formula>
      <formula>1</formula>
    </cfRule>
  </conditionalFormatting>
  <conditionalFormatting sqref="BN2277:BN2278">
    <cfRule type="cellIs" dxfId="1754" priority="5" operator="between">
      <formula>0</formula>
      <formula>1</formula>
    </cfRule>
  </conditionalFormatting>
  <conditionalFormatting sqref="BN2284:BN2291">
    <cfRule type="cellIs" dxfId="1753" priority="4" operator="between">
      <formula>0</formula>
      <formula>1</formula>
    </cfRule>
  </conditionalFormatting>
  <conditionalFormatting sqref="BN2284:BN2291">
    <cfRule type="cellIs" dxfId="1752" priority="3" operator="between">
      <formula>0</formula>
      <formula>1</formula>
    </cfRule>
  </conditionalFormatting>
  <conditionalFormatting sqref="C1065">
    <cfRule type="cellIs" dxfId="1751" priority="2" operator="equal">
      <formula>$AC$1065</formula>
    </cfRule>
  </conditionalFormatting>
  <dataValidations count="110">
    <dataValidation type="list" errorStyle="warning" allowBlank="1" showInputMessage="1" showErrorMessage="1" sqref="D755" xr:uid="{FD986C76-34AA-4A1C-A46F-8F03D820C662}">
      <formula1>$AR$749:$AR$753</formula1>
    </dataValidation>
    <dataValidation type="list" errorStyle="warning" allowBlank="1" showInputMessage="1" showErrorMessage="1" sqref="D754" xr:uid="{68ACE5FC-2833-4501-9C09-83A89443372D}">
      <formula1>$AP$749:$AP$753</formula1>
    </dataValidation>
    <dataValidation type="list" errorStyle="warning" allowBlank="1" showInputMessage="1" showErrorMessage="1" sqref="D753" xr:uid="{71BAF2C0-ACA0-4BD5-BA9C-961682C3C5DB}">
      <formula1>$AN$749:$AN$753</formula1>
    </dataValidation>
    <dataValidation type="list" errorStyle="warning" allowBlank="1" showInputMessage="1" showErrorMessage="1" sqref="D752" xr:uid="{39ECE9C2-E5AB-4F7A-BEFC-54C1AA0339F3}">
      <formula1>$AL$749:$AL$753</formula1>
    </dataValidation>
    <dataValidation type="list" errorStyle="warning" allowBlank="1" showInputMessage="1" showErrorMessage="1" sqref="D751" xr:uid="{8FDE379B-251F-40AA-941F-FFB55D647AA8}">
      <formula1>$AJ$749:$AJ$753</formula1>
    </dataValidation>
    <dataValidation type="list" errorStyle="warning" allowBlank="1" showInputMessage="1" showErrorMessage="1" sqref="D750" xr:uid="{F6A5FB08-53D9-446B-B6EC-6732746C963B}">
      <formula1>$AH$749:$AH$753</formula1>
    </dataValidation>
    <dataValidation type="list" errorStyle="warning" allowBlank="1" showInputMessage="1" showErrorMessage="1" sqref="D749" xr:uid="{0FA8B7BB-DC54-4CB4-BB59-6761DFF7D594}">
      <formula1>$AF$749:$AF$754</formula1>
    </dataValidation>
    <dataValidation type="list" errorStyle="warning" allowBlank="1" showInputMessage="1" showErrorMessage="1" sqref="D748" xr:uid="{F1270EDC-4F4E-4B24-A03C-E64CDE50C590}">
      <formula1>$AD$749:$AD$754</formula1>
    </dataValidation>
    <dataValidation type="list" errorStyle="warning" allowBlank="1" showInputMessage="1" showErrorMessage="1" error="Choose one of these four options, unless you've got one better." sqref="D1203 D1213 D1423 D1413 D1403 D1393 D1383 D1373 D1363 D1353 D1343 D1333 D1323 D1313 D1303 D1293 D1283 D1273 D1263 D1253 D1243 D1233 D1223 D1433" xr:uid="{2BBE7695-BADD-4466-964B-3132636F0713}">
      <formula1>$BQ$1206:$BQ$1209</formula1>
    </dataValidation>
    <dataValidation type="list" errorStyle="warning" allowBlank="1" showInputMessage="1" showErrorMessage="1" sqref="C1206 C1436 C1406 C1416 C1426 C1376 C1386 C1396 C1336 C1346 C1356 C1366 C1296 C1306 C1316 C1326 C1256 C1266 C1276 C1286 C1216 C1226 C1236 C1246" xr:uid="{B7D604A9-DD64-4092-9D39-2347112AA23A}">
      <formula1>$BN$1201:$BN$1205</formula1>
    </dataValidation>
    <dataValidation type="list" errorStyle="warning" allowBlank="1" showInputMessage="1" showErrorMessage="1" sqref="D1206 D1436 D1406 D1416 D1426 D1376 D1386 D1396 D1336 D1346 D1356 D1366 D1296 D1306 D1316 D1326 D1256 D1266 D1276 D1286 D1216 D1226 D1236 D1246" xr:uid="{074F783A-9621-4FB6-B1A1-FF2DC01C027E}">
      <formula1>$BM$1201:$BM$1205</formula1>
    </dataValidation>
    <dataValidation allowBlank="1" showInputMessage="1" showErrorMessage="1" sqref="D1212 D1222 D1232 D1242 D1252 D1262 D1272 D1282 D1292 D1302 D1312 D1322 D1332 D1342 D1352 D1362 D1372 D1382 D1392 D1402 D1412 D1422 D1432" xr:uid="{39724317-FD60-4C2E-8D6E-F96D577BDA9A}"/>
    <dataValidation type="date" errorStyle="warning" operator="lessThanOrEqual" allowBlank="1" showInputMessage="1" showErrorMessage="1" error="Use format: YEAR-MONTH-DAY" sqref="C1205:D1205 C1215:D1215 C1225:D1225 C1235:D1235 C1245:D1245 C1255:D1255 C1265:D1265 C1275:D1275 C1285:D1285 C1295:D1295 C1305:D1305 C1315:D1315 C1325:D1325 C1335:D1335 C1345:D1345 C1355:D1355 C1365:D1365 C1375:D1375 C1385:D1385 C1395:D1395 C1405:D1405 C1415:D1415 C1425:D1425 C1435:D1435" xr:uid="{9E80E537-FF4A-4E6A-8EE7-8110343FAD27}">
      <formula1>$AI$1199</formula1>
    </dataValidation>
    <dataValidation errorStyle="information" allowBlank="1" showInputMessage="1" showErrorMessage="1" error="Make sure you provide a working email address, or we may not be able to include this one." sqref="C1202 C1212 C1222 C1232 C1242 C1252 C1262 C1272 C1282 C1292 C1302 C1312 C1322 C1332 C1342 C1352 C1362 C1372 C1382 C1392 C1402 C1412 C1422 C1432" xr:uid="{30E574B3-083C-41B3-A0BD-9C7777F93419}"/>
    <dataValidation type="list" allowBlank="1" showInputMessage="1" showErrorMessage="1" sqref="C1207 C1437 C1427 C1417 C1407 C1397 C1387 C1377 C1327 C1317 C1307 C1297 C1287 C1277 C1267 C1257 C1247 C1237 C1227 C1217 C1367 C1357 C1347 C1337" xr:uid="{90255B5D-9F9D-4A34-9C7C-18742B808E37}">
      <formula1>$B$2043:$B$2048</formula1>
    </dataValidation>
    <dataValidation type="list" allowBlank="1" showInputMessage="1" showErrorMessage="1" sqref="B445 B457 B447" xr:uid="{442CAFFB-8C67-45DC-9476-E3135D5934B8}">
      <formula1>$AK$457:$AK$459</formula1>
    </dataValidation>
    <dataValidation type="list" errorStyle="information" allowBlank="1" showInputMessage="1" showErrorMessage="1" prompt="Select option that best fits your need" sqref="C1482:D1482 C1532:D1532 C1522:D1522 C1512:D1512 C1502:D1502 C1492:D1492" xr:uid="{7844781B-D056-45C8-B12F-3C549B835B55}">
      <formula1>$CI$1483:$CI$1485</formula1>
    </dataValidation>
    <dataValidation allowBlank="1" showInputMessage="1" showErrorMessage="1" prompt="Click on link" sqref="C1483:D1483 C1493:D1493 C1503:D1503 C1513:D1513 C1523:D1523 C1533:D1533" xr:uid="{81BF4F70-431F-40FB-BB66-46587B171B02}"/>
    <dataValidation type="list" errorStyle="information" allowBlank="1" showInputMessage="1" showErrorMessage="1" errorTitle="Select recipient type to notify" promptTitle="Change to recipient type: " prompt="Employer_x000a_Housing_x000a_Debt collector" sqref="B1491 B1481 B1501 B1521 B1511 B1531" xr:uid="{9F32611A-D755-4991-BC67-EEEA1471F540}">
      <formula1>$BB$1483:$BB$1485</formula1>
    </dataValidation>
    <dataValidation type="textLength" errorStyle="information" allowBlank="1" showInputMessage="1" showErrorMessage="1" error="Use either 5-digit or full zip code" prompt="Zip code" sqref="B1489 B1499 B1509 B1519 B1529 B1539" xr:uid="{4AD90745-5A22-4F05-B74D-61284D123BF6}">
      <formula1>5</formula1>
      <formula2>10</formula2>
    </dataValidation>
    <dataValidation type="list" operator="lessThanOrEqual" allowBlank="1" showInputMessage="1" showErrorMessage="1" error="Pick from list in dropdown menu" prompt="State" sqref="D1489 D1509 D1499 D1519 D1539 D1529" xr:uid="{3E8D4016-6ACD-40DE-8FAD-54B48A6A711C}">
      <formula1>$B$2167:$B$2218</formula1>
    </dataValidation>
    <dataValidation type="textLength" errorStyle="information" operator="lessThanOrEqual" allowBlank="1" showInputMessage="1" showErrorMessage="1" errorTitle="Before you go..." error="Make sure email is spelled correctly. It's up to you to provide a working email address." prompt="City" sqref="C1489 C1499 C1509 C1519 C1529 C1539" xr:uid="{C8659BA3-F564-4E96-ACB8-1C488ECABF67}">
      <formula1>35</formula1>
    </dataValidation>
    <dataValidation type="textLength" errorStyle="information" operator="lessThanOrEqual" allowBlank="1" showInputMessage="1" showErrorMessage="1" prompt="Suite or apt" sqref="D1488 D1538 D1508 D1518 D1528 D1498" xr:uid="{79B59127-085E-4474-9CDB-8904FC94BDC6}">
      <formula1>20</formula1>
    </dataValidation>
    <dataValidation type="textLength" errorStyle="information" operator="lessThanOrEqual" allowBlank="1" showInputMessage="1" showErrorMessage="1" errorTitle="Before you go..." error="Make sure this city is spelled correctly" prompt="Street address" sqref="C1488 C1538 C1508 C1518 C1528 C1498" xr:uid="{4C7B0F07-070E-497A-9AAC-C45B29194AC0}">
      <formula1>60</formula1>
    </dataValidation>
    <dataValidation type="textLength" errorStyle="information" operator="lessThanOrEqual" allowBlank="1" showInputMessage="1" showErrorMessage="1" errorTitle="Before you go..." error="Make sure email is spelled correctly. It's up to you to provide a working email address." sqref="C1487:D1487 C1537:D1537 C1507:D1507 C1517:D1517 C1527:D1527 C1497:D1497" xr:uid="{2394D30C-1A12-4D63-84D3-63EAB269D064}">
      <formula1>60</formula1>
    </dataValidation>
    <dataValidation type="list" allowBlank="1" showInputMessage="1" showErrorMessage="1" errorTitle="Oops!" error="Select only from the pulldown list." promptTitle="Custody status" prompt="Select item from list that best characterizes claimant's current custody status." sqref="D257" xr:uid="{E7BB680F-090B-417A-B4F2-166E5B2CAA19}">
      <formula1>$C$2017:$C$2038</formula1>
    </dataValidation>
    <dataValidation type="list" allowBlank="1" showInputMessage="1" showErrorMessage="1" sqref="D797:D808" xr:uid="{600006C4-22D7-44F2-A84D-B6DD7965DBAC}">
      <formula1>$C$2002:$C$2009</formula1>
    </dataValidation>
    <dataValidation type="list" allowBlank="1" showInputMessage="1" showErrorMessage="1" sqref="B797:B808" xr:uid="{87F10D2F-6161-4C02-B285-F36B4ADD8187}">
      <formula1>$C$1995:$C$1998</formula1>
    </dataValidation>
    <dataValidation type="list" allowBlank="1" showInputMessage="1" showErrorMessage="1" sqref="D267" xr:uid="{24D59B64-1313-41CD-BEDC-D80F0BA430CE}">
      <formula1>$D$2017:$D$2024</formula1>
    </dataValidation>
    <dataValidation type="list" allowBlank="1" showInputMessage="1" showErrorMessage="1" sqref="D199" xr:uid="{B2D62384-743F-4057-8605-7CC554334A8E}">
      <formula1>$AM$194:$AM$199</formula1>
    </dataValidation>
    <dataValidation type="list" allowBlank="1" showInputMessage="1" showErrorMessage="1" sqref="D270" xr:uid="{94474557-DEB4-4B24-9201-AE8C140252B7}">
      <formula1>$B$1988:$B$1991</formula1>
    </dataValidation>
    <dataValidation type="list" allowBlank="1" showInputMessage="1" showErrorMessage="1" sqref="D279" xr:uid="{2D5DB66F-9DEB-4739-95CC-713ABA744429}">
      <formula1>$B$1859:$B$1863</formula1>
    </dataValidation>
    <dataValidation type="list" allowBlank="1" showInputMessage="1" showErrorMessage="1" sqref="B276:D276" xr:uid="{97F90DEC-9917-4C5F-9175-B1FB2782714C}">
      <formula1>$B$1853:$B$1856</formula1>
    </dataValidation>
    <dataValidation type="list" allowBlank="1" showInputMessage="1" showErrorMessage="1" sqref="D191" xr:uid="{B0C10BB5-AC84-4177-83C6-667F1FCF1473}">
      <formula1>$D$1845:$D$1850</formula1>
    </dataValidation>
    <dataValidation type="list" allowBlank="1" showInputMessage="1" showErrorMessage="1" sqref="D187" xr:uid="{A512EC01-81DD-4114-A5B6-9281E83AC260}">
      <formula1>$B$1845:$B$1847</formula1>
    </dataValidation>
    <dataValidation type="list" allowBlank="1" showInputMessage="1" showErrorMessage="1" sqref="D189" xr:uid="{2306471C-AA85-48FC-812A-BA4916216030}">
      <formula1>$B$1848:$B$1849</formula1>
    </dataValidation>
    <dataValidation type="list" allowBlank="1" showInputMessage="1" showErrorMessage="1" sqref="D193" xr:uid="{B005A55B-B4A6-4D2D-9CD6-D10231D17120}">
      <formula1>$D$2473:$D$2478</formula1>
    </dataValidation>
    <dataValidation type="list" allowBlank="1" showInputMessage="1" showErrorMessage="1" sqref="B284" xr:uid="{F0149BDE-D257-49E0-AF4B-BCB9CD5D79B1}">
      <formula1>$B$2473:$B$2482</formula1>
    </dataValidation>
    <dataValidation type="list" allowBlank="1" showInputMessage="1" showErrorMessage="1" promptTitle="Choose one" prompt="Select which best fits your current experience." sqref="D889:D909" xr:uid="{15BC213F-AB51-41B4-8148-F69C4F44B4D2}">
      <formula1>$D$911:$D$914</formula1>
    </dataValidation>
    <dataValidation type="list" allowBlank="1" showInputMessage="1" showErrorMessage="1" promptTitle="2 of 21" prompt="hope" sqref="C931:D931" xr:uid="{6A14E773-CB37-40CE-9217-05F0B908F49A}">
      <formula1>$C$932:$C$935</formula1>
    </dataValidation>
    <dataValidation type="list" allowBlank="1" showInputMessage="1" showErrorMessage="1" promptTitle="4 of 21" prompt="satisfaction" sqref="C941:D941" xr:uid="{06B7B5E3-3A89-4A79-9D98-AF6593CE75C4}">
      <formula1>$C$942:$C$945</formula1>
    </dataValidation>
    <dataValidation type="list" allowBlank="1" showInputMessage="1" showErrorMessage="1" promptTitle="5 of 21" prompt="guilt" sqref="C946:D946" xr:uid="{9B568F6E-3E34-4022-87CF-E350BB460964}">
      <formula1>$C$947:$C$950</formula1>
    </dataValidation>
    <dataValidation type="list" allowBlank="1" showInputMessage="1" showErrorMessage="1" promptTitle="6 of 21" prompt="punished" sqref="C951:D951" xr:uid="{3B26F463-30F0-4487-A308-ABDA899DCF62}">
      <formula1>$C$952:$C$955</formula1>
    </dataValidation>
    <dataValidation type="list" allowBlank="1" showInputMessage="1" showErrorMessage="1" promptTitle="7 of 21" prompt="self-loath" sqref="C956:D956" xr:uid="{6CC32731-BEE3-41D7-8F60-CE26581416CB}">
      <formula1>$C$957:$C$960</formula1>
    </dataValidation>
    <dataValidation type="list" allowBlank="1" showInputMessage="1" showErrorMessage="1" promptTitle="8 of 21" prompt="faults" sqref="C961:D961" xr:uid="{4A2F39DB-6C0C-420E-AA86-3BE6D474DA3A}">
      <formula1>$C$962:$C$965</formula1>
    </dataValidation>
    <dataValidation type="list" allowBlank="1" showInputMessage="1" showErrorMessage="1" promptTitle="9 of 21" prompt="suicidal thoughts" sqref="C966:D966" xr:uid="{AFF83777-C966-43C4-800C-2D1618DFD2FE}">
      <formula1>$C$967:$C$970</formula1>
    </dataValidation>
    <dataValidation type="list" allowBlank="1" showInputMessage="1" showErrorMessage="1" promptTitle="10 of 21" prompt="crying" sqref="C971:D971" xr:uid="{061175CF-F89B-43A0-9E3D-5C544A99908D}">
      <formula1>$C$972:$C$975</formula1>
    </dataValidation>
    <dataValidation type="list" allowBlank="1" showInputMessage="1" showErrorMessage="1" promptTitle="11 of 21" prompt="irritability" sqref="C976:D976" xr:uid="{F0471ECF-2608-4BDA-8C46-D82AD59BD0FB}">
      <formula1>$C$977:$C$980</formula1>
    </dataValidation>
    <dataValidation type="list" allowBlank="1" showInputMessage="1" showErrorMessage="1" promptTitle="12 of 21" prompt="socializing" sqref="C981:D981" xr:uid="{EB808155-939B-44A7-A7D1-51A8A3B240BF}">
      <formula1>$C$982:$C$985</formula1>
    </dataValidation>
    <dataValidation type="list" allowBlank="1" showInputMessage="1" showErrorMessage="1" promptTitle="13 of 21" prompt="decisiveness" sqref="C986:D986" xr:uid="{27E6C031-B4E4-4BB9-BF50-17C4932BD3CB}">
      <formula1>$C$987:$C$990</formula1>
    </dataValidation>
    <dataValidation type="list" allowBlank="1" showInputMessage="1" showErrorMessage="1" promptTitle="14 of 21" prompt="self-image" sqref="C991:D991" xr:uid="{8F6D0453-CBA5-4605-AEE4-21C269E6CB38}">
      <formula1>$C$992:$C$995</formula1>
    </dataValidation>
    <dataValidation type="list" allowBlank="1" showInputMessage="1" showErrorMessage="1" promptTitle="15 of 21" prompt="effort" sqref="C996:D996" xr:uid="{2B93B906-0F9A-44B9-9FAE-772CD4B58D0C}">
      <formula1>$C$997:$C$1000</formula1>
    </dataValidation>
    <dataValidation type="list" allowBlank="1" showInputMessage="1" showErrorMessage="1" promptTitle="16 of 21" prompt="sleep" sqref="C1001:D1001" xr:uid="{99741D2A-8785-46FF-82CC-9F53C3257211}">
      <formula1>$C$1002:$C$1005</formula1>
    </dataValidation>
    <dataValidation type="list" allowBlank="1" showInputMessage="1" showErrorMessage="1" promptTitle="17 of 21" prompt="tiredness" sqref="C1006:D1006" xr:uid="{50C9C674-E498-4F8D-BA5B-45F9C2073A5A}">
      <formula1>$C$1007:$C$1010</formula1>
    </dataValidation>
    <dataValidation type="list" allowBlank="1" showInputMessage="1" showErrorMessage="1" promptTitle="18 of 21" prompt="appetite" sqref="C1011:D1011" xr:uid="{9CCC9B88-33AF-4D89-AA66-3A7F48B09425}">
      <formula1>$C$1012:$C$1015</formula1>
    </dataValidation>
    <dataValidation type="list" allowBlank="1" showInputMessage="1" showErrorMessage="1" promptTitle="19 of 21" prompt="weight loss" sqref="C1016:D1016" xr:uid="{5BD23A75-929B-4FC7-90A9-8444D8FF71E3}">
      <formula1>$C$1017:$C$1020</formula1>
    </dataValidation>
    <dataValidation type="list" allowBlank="1" showInputMessage="1" showErrorMessage="1" promptTitle="20 of 21" prompt="worries" sqref="C1021:D1021" xr:uid="{669A8988-2DC7-4D9C-8409-3AED8AA60F02}">
      <formula1>$C$1022:$C$1025</formula1>
    </dataValidation>
    <dataValidation type="list" allowBlank="1" showInputMessage="1" showErrorMessage="1" promptTitle="21 of 21" prompt="sexual interest" sqref="C1026:D1026" xr:uid="{743126B9-B15A-456C-976D-A07899FFE5B7}">
      <formula1>$C$1027:$C$1030</formula1>
    </dataValidation>
    <dataValidation type="list" allowBlank="1" showInputMessage="1" showErrorMessage="1" promptTitle="3 of 21" prompt="failures" sqref="C936:D936" xr:uid="{5BF00E10-D2B3-4837-9A67-67CFDBD1970D}">
      <formula1>$C$937:$C$940</formula1>
    </dataValidation>
    <dataValidation type="list" allowBlank="1" showInputMessage="1" showErrorMessage="1" promptTitle="1 of 21" prompt="sadness" sqref="C926:D926" xr:uid="{D0420E8F-9863-4399-80FE-62A71857B6CA}">
      <formula1>$C$927:$C$930</formula1>
    </dataValidation>
    <dataValidation type="textLength" errorStyle="warning" operator="lessThanOrEqual" allowBlank="1" showInputMessage="1" showErrorMessage="1" errorTitle="Oops! Too many words." error="Try using fewer words, or fewer characters, to make sure this displays correctly above. Click &quot;No&quot; to edit. Click &quot;Yes&quot; to accept as is. Click &quot;Cancel&quot; to start over." sqref="C849:D858" xr:uid="{3E5044AD-5F7E-4478-99DB-AEEC6EDB338F}">
      <formula1>75</formula1>
    </dataValidation>
    <dataValidation type="textLength" operator="lessThanOrEqual" allowBlank="1" showInputMessage="1" showErrorMessage="1" errorTitle="Oops!" error="You've reached the limit of 250 characters. Use fewer words." sqref="B845:D845" xr:uid="{A405547C-0A50-4F1B-BEF0-DBCE7C4201AC}">
      <formula1>250</formula1>
    </dataValidation>
    <dataValidation type="textLength" errorStyle="warning" operator="lessThanOrEqual" allowBlank="1" showInputMessage="1" showErrorMessage="1" errorTitle="Oops!" error="You've reached the 2000-characters maximum. Try using fewer words." sqref="B871" xr:uid="{8B509AD3-290E-4506-B9BB-DC22E7DBF6C0}">
      <formula1>2000</formula1>
    </dataValidation>
    <dataValidation type="list" allowBlank="1" showInputMessage="1" showErrorMessage="1" sqref="D738:D744" xr:uid="{4334436A-B3F5-4310-AE6E-3B1BDBB07C57}">
      <formula1>$B$1936:$B$1941</formula1>
    </dataValidation>
    <dataValidation type="list" allowBlank="1" showInputMessage="1" showErrorMessage="1" sqref="D828:D833" xr:uid="{33657BFF-0CDD-48B8-89A4-9EBE8E337F40}">
      <formula1>$B$1926:$B$1932</formula1>
    </dataValidation>
    <dataValidation type="list" allowBlank="1" showInputMessage="1" showErrorMessage="1" sqref="D818:D823" xr:uid="{5548C614-23C9-4C26-BBEF-7FA0D902C965}">
      <formula1>$B$1918:$B$1922</formula1>
    </dataValidation>
    <dataValidation type="list" allowBlank="1" showInputMessage="1" showErrorMessage="1" sqref="D468 D631 D712 D707 D702 D697 D581 D679 D674 D669 D664 D615 D653 D648 D637 D687 D626 D621 D547 D610 D605 D597 D592 D587 D484 D576 D571 D563 D558 D553 D513 D542 D537 D529 D524 D519 D473 D508 D503 D495 D479 D717 D490 D658" xr:uid="{F11408E8-10BC-4E96-A02F-813ECE1FFA36}">
      <formula1>$B$1885:$B$1892</formula1>
    </dataValidation>
    <dataValidation type="list" allowBlank="1" showInputMessage="1" showErrorMessage="1" error="You can only select one of the options given. Contact us if we missed an option vital to your case." promptTitle="Choose one" prompt="Select best option" sqref="B717 B631 B707 B702 B697 B581 B679 B674 B669 B664 B615 B653 B537 B542 B648 B553 B558 B563 B571 B576 B712 B587 B592 B597 B605 B610 B547 B621 B626 B687 B637 B658" xr:uid="{1D5BE95E-BA2E-4D11-9B77-8E54F84B3758}">
      <formula1>$B$1871:$B$1874</formula1>
    </dataValidation>
    <dataValidation type="list" allowBlank="1" showInputMessage="1" showErrorMessage="1" sqref="C717 C631 C707 C702 C697 C581 C679 C674 C669 C664 C615 C653 C537 C542 C648 C553 C558 C563 C571 C576 C712 C587 C592 C597 C605 C610 C547 C621 C626 C687 C637 C658" xr:uid="{E4E36D0C-6970-4A17-AA45-FFF8688850DF}">
      <formula1>$B$1877:$B$1882</formula1>
    </dataValidation>
    <dataValidation type="list" allowBlank="1" showInputMessage="1" showErrorMessage="1" errorTitle="Oops!" error="You can only select one of the options given. Contact us if we missed an option vital to your case." promptTitle="Choose one" prompt="Select best option" sqref="C468 C513 C479 C529 C490 C495 C503 C508 C473 C519 C524 C484" xr:uid="{2B56A80C-7380-4F24-AFD2-F522D1512139}">
      <formula1>$B$1877:$B$1882</formula1>
    </dataValidation>
    <dataValidation type="list" allowBlank="1" showInputMessage="1" showErrorMessage="1" errorTitle="Oops!" error="You can only select one of the options given. Contact us if we missed an option vital to your case." promptTitle="Choose one" prompt="Select best option" sqref="B468 B513 B479 B529 B490 B495 B503 B508 B473 B519 B524 B484" xr:uid="{5505B1A1-8E96-4872-9E2D-973CD8776D51}">
      <formula1>$B$1871:$B$1874</formula1>
    </dataValidation>
    <dataValidation type="list" allowBlank="1" showInputMessage="1" showErrorMessage="1" error="Only three options available for now" promptTitle="Choose one" prompt="Select best option available. Be sure spelling is exact. An inaccessible URL or unresponsive email address may lower the score." sqref="B330 B320:D320 B430:D430 B340:D340 B350:D350 B360:D360 B370:D370 B380:D380 B390:D390 B400:D400 B410:D410 B420:D420 B310:D310 B300 B723:D723" xr:uid="{D853ABE6-00BF-455B-A09C-42EE0CBE8215}">
      <formula1>$B$1896:$B$1901</formula1>
    </dataValidation>
    <dataValidation type="list" allowBlank="1" showInputMessage="1" showErrorMessage="1" sqref="BG5:BH5" xr:uid="{ED0B844F-93E7-4193-A02F-077F8B0FA7E3}">
      <formula1>$B$1904:$B$1906</formula1>
    </dataValidation>
    <dataValidation type="list" allowBlank="1" showInputMessage="1" showErrorMessage="1" error="Only three options available for now" promptTitle="Choose one" prompt="Select best option available. Be sure spelling is exact. An inaccessible URL or unresponsive email address may lower the score." sqref="C326 C316 C336 C346 C356 C366 C376 C386 C396 C406 C416 C426 C436 C306" xr:uid="{B7EF86F5-3E50-4512-904E-AD50D5DEB7C9}">
      <formula1>$D$1896:$D$1901</formula1>
    </dataValidation>
    <dataValidation type="list" allowBlank="1" showInputMessage="1" showErrorMessage="1" promptTitle="Applicability" prompt="How does this item apply to claimant?" sqref="B770:B789" xr:uid="{337A7BFC-C335-4E51-B6AC-F34EDC01E3AE}">
      <formula1>$B$1908:$B$1910</formula1>
    </dataValidation>
    <dataValidation type="list" allowBlank="1" showInputMessage="1" showErrorMessage="1" promptTitle="Time of impact" prompt="When did or does this item impact claimant?" sqref="D770:D789" xr:uid="{9D174654-DBB7-41B2-AB49-AAE4BC971456}">
      <formula1>$B$1912:$B$1914</formula1>
    </dataValidation>
    <dataValidation type="list" allowBlank="1" showInputMessage="1" showErrorMessage="1" sqref="D278 D269" xr:uid="{4AA87A72-960F-4540-BC82-F7FB9FE8A117}">
      <formula1>$AE$218:$AE$219</formula1>
    </dataValidation>
    <dataValidation type="list" allowBlank="1" showInputMessage="1" showErrorMessage="1" prompt="claim to know real culprit?" sqref="C224" xr:uid="{00A2E719-199E-4D95-9E9C-20798AD839FE}">
      <formula1>$AE$218:$AE$219</formula1>
    </dataValidation>
    <dataValidation type="list" allowBlank="1" showInputMessage="1" showErrorMessage="1" prompt="know where this codefendant currently lives?" sqref="B244 B232 B236 B240 B224" xr:uid="{0F4925F7-77ED-4C57-8C18-A96FF1272AF1}">
      <formula1>$AE$218:$AE$219</formula1>
    </dataValidation>
    <dataValidation type="list" allowBlank="1" showInputMessage="1" showErrorMessage="1" prompt="also claims innocence?" sqref="D228 D244 D232 D236 D240 D224" xr:uid="{7C27C9B8-FF64-4FB3-88AB-A17E729C8D9C}">
      <formula1>$AG$218:$AG$220</formula1>
    </dataValidation>
    <dataValidation type="list" allowBlank="1" showInputMessage="1" showErrorMessage="1" prompt="know location where this codefendant currently lives?" sqref="B228" xr:uid="{FA365E6B-50CE-4EB4-844A-DA6289B4A550}">
      <formula1>$AE$218:$AE$219</formula1>
    </dataValidation>
    <dataValidation type="list" allowBlank="1" showInputMessage="1" showErrorMessage="1" prompt="relation to claimant?" sqref="B227 B231 B243 B235 B239 B223" xr:uid="{E3B84DE4-62FE-4D7C-BD1F-2B91AB3ECBB0}">
      <formula1>$AP$218:$AP$223</formula1>
    </dataValidation>
    <dataValidation type="list" allowBlank="1" showInputMessage="1" showErrorMessage="1" prompt="claims to know real culprit?" sqref="C228 C232 C236 C240 C244" xr:uid="{39547663-7761-4E60-8F81-CD3E27F26A94}">
      <formula1>$AE$218:$AE$219</formula1>
    </dataValidation>
    <dataValidation type="list" allowBlank="1" showInputMessage="1" showErrorMessage="1" promptTitle="US State or Federal" prompt="Select US State or federal jurisdiction for prosecuting this case." sqref="B208" xr:uid="{519729C4-672B-46A0-89A0-30EBF1205602}">
      <formula1>$B$2242:$B$2294</formula1>
    </dataValidation>
    <dataValidation type="list" allowBlank="1" showInputMessage="1" showErrorMessage="1" sqref="D284" xr:uid="{457F47D0-5709-4260-88A9-FC6B13C87E54}">
      <formula1>$C$2489:$C$2493</formula1>
    </dataValidation>
    <dataValidation type="list" allowBlank="1" showInputMessage="1" showErrorMessage="1" sqref="D218" xr:uid="{EC8F37D2-FC8F-4446-B9E7-4865F1EE9B15}">
      <formula1>$C$2464:$C$2469</formula1>
    </dataValidation>
    <dataValidation type="list" allowBlank="1" showInputMessage="1" showErrorMessage="1" sqref="C218" xr:uid="{3C1031E3-C724-455E-AEFB-8B5535E2DFF1}">
      <formula1>$C$2456:$C$2460</formula1>
    </dataValidation>
    <dataValidation type="list" allowBlank="1" showInputMessage="1" showErrorMessage="1" sqref="D250" xr:uid="{5B448138-4431-4517-BAE3-CDA1FD55E67A}">
      <formula1>$AC$249:$AC$250</formula1>
    </dataValidation>
    <dataValidation type="list" allowBlank="1" showInputMessage="1" showErrorMessage="1" sqref="D253" xr:uid="{2E63D72C-567C-4DE0-AB49-38497812A134}">
      <formula1>$C$2447:$C$2451</formula1>
    </dataValidation>
    <dataValidation type="list" allowBlank="1" showInputMessage="1" showErrorMessage="1" sqref="D170:D179" xr:uid="{2CBFC900-5C46-44F8-A09A-C56F4F9B21F4}">
      <formula1>$C$2395:$C$2405</formula1>
    </dataValidation>
    <dataValidation type="list" allowBlank="1" showInputMessage="1" showErrorMessage="1" prompt="how adjudicated?" sqref="D242 D222 D226 D230 D234 D238" xr:uid="{683439CE-9E0B-4B75-A287-9AAD4183DF60}">
      <formula1>$AL$221:$AL$224</formula1>
    </dataValidation>
    <dataValidation allowBlank="1" showInputMessage="1" showErrorMessage="1" prompt="Name of codefendant" sqref="B226 B222" xr:uid="{082B7802-3BDA-4CA1-99D9-2FCD7FF490DD}"/>
    <dataValidation type="list" allowBlank="1" showInputMessage="1" showErrorMessage="1" prompt="verdict?" sqref="D243 D223 D227 D231 D235 D239" xr:uid="{1A2D90F3-6A83-4A54-80BB-DE37A4DE784C}">
      <formula1>$AD$226:$AD$228</formula1>
    </dataValidation>
    <dataValidation type="list" allowBlank="1" showInputMessage="1" showErrorMessage="1" sqref="D229 D233 D237 D241 D245" xr:uid="{478EAE60-26A5-452C-8CF0-8251AC1DC1EB}">
      <formula1>$AC$221:$AC$222</formula1>
    </dataValidation>
    <dataValidation type="list" allowBlank="1" showInputMessage="1" showErrorMessage="1" prompt="convicted as?" sqref="C227 C243 C231 C235 C239 C223" xr:uid="{4715B061-3266-4069-AB51-E328989D9140}">
      <formula1>$AH$221:$AH$223</formula1>
    </dataValidation>
    <dataValidation type="list" allowBlank="1" showInputMessage="1" showErrorMessage="1" prompt="charged as?" sqref="C226 C242 C230 C234 C238 C222" xr:uid="{5C43117F-E916-4632-8577-B2469A7B5057}">
      <formula1>$AH$221:$AH$223</formula1>
    </dataValidation>
    <dataValidation type="list" allowBlank="1" showInputMessage="1" showErrorMessage="1" sqref="C229 C233 C237 C241 C245" xr:uid="{54B98381-A8EC-487F-9634-9C43ED273B4F}">
      <formula1>$AH$221:$AH$223</formula1>
    </dataValidation>
    <dataValidation type="list" allowBlank="1" showInputMessage="1" showErrorMessage="1" sqref="B170:B179" xr:uid="{BBCF1E34-338F-4604-A784-240C4AAA26B5}">
      <formula1>$B$2384:$B$2391</formula1>
    </dataValidation>
    <dataValidation allowBlank="1" showInputMessage="1" showErrorMessage="1" prompt="If still incarcerated or under custody conditions prohibiting direct calling, then write in &quot;see proxy&quot;." sqref="D154" xr:uid="{969F4DDF-E49D-4796-8793-267545ED9B5E}"/>
    <dataValidation allowBlank="1" showInputMessage="1" showErrorMessage="1" prompt="If still incarcerated or under custody conditions prohibiting Internet access, then write in &quot;see proxy&quot;." sqref="C154" xr:uid="{D2D7FCC4-BE72-4590-9C94-42EB41DA6063}"/>
    <dataValidation allowBlank="1" showInputMessage="1" showErrorMessage="1" prompt="Be sure to spell exacdtly, or we may lose you. Check your email inbox to verify. Thanks." sqref="C164" xr:uid="{E891B860-EDFC-4050-B314-D728EB408C2F}"/>
    <dataValidation type="list" allowBlank="1" showInputMessage="1" showErrorMessage="1" errorTitle="Oops" error="Choose from dropdown list" prompt="from list" sqref="D166" xr:uid="{F831F88C-299E-46AF-99A6-3885E2282932}">
      <formula1>$C$2440:$C$2443</formula1>
    </dataValidation>
    <dataValidation type="list" allowBlank="1" showInputMessage="1" showErrorMessage="1" sqref="D158" xr:uid="{5294F7AB-6078-43E5-97F8-415C04CA368C}">
      <formula1>$C$2434:$C$2436</formula1>
    </dataValidation>
    <dataValidation type="list" allowBlank="1" showInputMessage="1" showErrorMessage="1" sqref="C158" xr:uid="{4A01141D-8E3D-4C04-9148-DC2384F3BC55}">
      <formula1>$C$2428:$C$2431</formula1>
    </dataValidation>
    <dataValidation type="list" allowBlank="1" showInputMessage="1" showErrorMessage="1" sqref="D156" xr:uid="{EA9B69E1-7C01-42F7-A04F-88EF0583B7E5}">
      <formula1>$C$2423:$C$2425</formula1>
    </dataValidation>
    <dataValidation type="list" allowBlank="1" showInputMessage="1" showErrorMessage="1" sqref="C170:C179" xr:uid="{67AD9718-914B-4FF5-ACC8-009D6B6DB9D9}">
      <formula1>$D$2384:$D$2386</formula1>
    </dataValidation>
    <dataValidation type="list" allowBlank="1" showInputMessage="1" showErrorMessage="1" errorTitle="Oops" error="Choose from dropdown list" prompt="from list" sqref="C166" xr:uid="{7510AF34-E749-4C75-BF83-304A0DC6592F}">
      <formula1>$C$2409:$C$2420</formula1>
    </dataValidation>
    <dataValidation type="list" errorStyle="warning" allowBlank="1" showInputMessage="1" showErrorMessage="1" sqref="B1603" xr:uid="{DED9726D-5839-4A77-AEAC-571056A9F6D9}">
      <formula1>$AF$1601:$AF$1605</formula1>
    </dataValidation>
    <dataValidation type="list" errorStyle="warning" allowBlank="1" showInputMessage="1" showErrorMessage="1" sqref="D1065" xr:uid="{4DD49A27-09B6-4078-A49D-A648D67B4440}">
      <formula1>$B$2242:$B$2293</formula1>
    </dataValidation>
    <dataValidation type="list" errorStyle="information" allowBlank="1" showInputMessage="1" showErrorMessage="1" sqref="C1065" xr:uid="{7DF4165E-81D8-482F-AE28-D7971412485C}">
      <formula1>$BY$1844:$BY$1903</formula1>
    </dataValidation>
  </dataValidations>
  <hyperlinks>
    <hyperlink ref="B464" r:id="rId1" xr:uid="{95C62FAC-2FAE-47A1-A897-05FE542C42E4}"/>
    <hyperlink ref="A532" r:id="rId2" xr:uid="{FE8C7CA0-35C5-4AEC-8D93-14825A6A921B}"/>
    <hyperlink ref="B843" location="input!B12" display="Claim Synopsis" xr:uid="{813D5538-9F16-47C0-B9D5-F329073C7D69}"/>
    <hyperlink ref="A108" location="'EIF-new'!A149:F295" tooltip="&gt;&gt; click to go to section A &lt;&lt;" display="A" xr:uid="{EF12DAFD-15D9-482A-B4EA-DA960A6E1377}"/>
    <hyperlink ref="A110" location="'EIF-new'!A296:F461" tooltip="&gt;&gt; click to go to section B &lt;&lt;" display="B" xr:uid="{AFB802D5-57DE-46AE-A5B9-528ABF808ADE}"/>
    <hyperlink ref="A130" location="'EIF-new'!A762:F838" tooltip="&gt;&gt; click to go to section E &lt;&lt;" display="E." xr:uid="{0F388834-DC25-40C2-BF63-9D8E7B474DBC}"/>
    <hyperlink ref="A462" location="'EIF-new'!A112" tooltip="Contents menu" display="C.1" xr:uid="{18D4A152-AB22-4DEC-9818-14D3FF8B9BCD}"/>
    <hyperlink ref="A497" location="'EIF-new'!A114" tooltip="Contents menu" display="C.2" xr:uid="{2D5BD962-9AE6-4D37-87C7-BE4BDA4784B5}"/>
    <hyperlink ref="A531" location="'EIF-new'!A116" tooltip="Contents menu" display="C.3" xr:uid="{C9D90AE2-B834-4AC0-A775-5D91EBA69F68}"/>
    <hyperlink ref="A599" location="'EIF-new'!A120" tooltip="Contents menu" display="C.5" xr:uid="{F9B267BE-22B8-4D10-A27B-0AD9A156DD3F}"/>
    <hyperlink ref="A642" location="'EIF-new'!A122" tooltip="Contents menu" display="C.6" xr:uid="{9F28B051-7A53-47F5-AE2C-3B50E10B44AA}"/>
    <hyperlink ref="A681" location="'EIF-new'!A124" tooltip="Contents menu" display="C.7" xr:uid="{D02B2899-75AE-44AA-B737-6397FE048E36}"/>
    <hyperlink ref="A691" location="'EIF-new'!A126" tooltip="Contents menu" display="C.8" xr:uid="{5926A44B-0B5B-47DE-BF6A-CE65A45BA1B9}"/>
    <hyperlink ref="A719" location="'EIF-new'!A128" tooltip="Contents menu" display="D." xr:uid="{A1B95DA4-B0E5-4CF1-8267-B9FF10B8B133}"/>
    <hyperlink ref="A762" location="'EIF-new'!A130" tooltip="Contents menu" display="E." xr:uid="{F0EB5F29-8088-4F72-BC03-D76CC686B69D}"/>
    <hyperlink ref="A839" location="'EIF-new'!A132" tooltip="Contents menu" display="F." xr:uid="{326E5E94-05C1-4FFC-9D52-A5BE21D67152}"/>
    <hyperlink ref="AD2241" r:id="rId3" xr:uid="{A7664DCE-E653-4907-8C8E-CA5205C6130F}"/>
    <hyperlink ref="AB2264" r:id="rId4" xr:uid="{515ACB13-12F8-4A18-8D4F-9C6D31F98FF4}"/>
    <hyperlink ref="B767" r:id="rId5" xr:uid="{3BDC2156-C434-4539-BADD-2689158D5A7D}"/>
    <hyperlink ref="A296" location="'EIF-new'!A110" tooltip="Contents menu" display="B." xr:uid="{76505754-F6E2-48C1-81CD-10BE29E0DA0F}"/>
    <hyperlink ref="B441" r:id="rId6" xr:uid="{7C9FB408-DC16-4D94-941B-16EDBDBD22BB}"/>
    <hyperlink ref="B408" r:id="rId7" xr:uid="{0B03A2FF-B47B-4E70-BAB3-929FC7F39C97}"/>
    <hyperlink ref="C2369" r:id="rId8" display="https://www.sao4th.com/about/programs-and-initiatives/community-engagement/" xr:uid="{D411642C-4949-455B-AA73-81F6B475F82D}"/>
    <hyperlink ref="C2370" r:id="rId9" display="https://www.sao4th.com/about/programs-and-initiatives/community-prosecution/" xr:uid="{B4602F81-6354-4864-9955-07F4181FDCAC}"/>
    <hyperlink ref="C2371" r:id="rId10" display="https://www.sao4th.com/about/programs-and-initiatives/diversion/" xr:uid="{869BF0C3-9304-495F-B222-0C84408F0F2D}"/>
    <hyperlink ref="C2372" r:id="rId11" display="https://www.sao4th.com/about/programs-and-initiatives/human-rights-division/" xr:uid="{A9353147-7B14-4DFE-A7E3-68F569DA9F07}"/>
    <hyperlink ref="C2373" r:id="rId12" display="https://www.sao4th.com/about/programs-and-initiatives/juvenile-justice/" xr:uid="{44E7FD4A-BC1A-4819-A987-7416C7706679}"/>
    <hyperlink ref="C2374" r:id="rId13" display="https://www.sao4th.com/about/programs-and-initiatives/mental-health/" xr:uid="{BD689934-DDAD-4D7E-A45B-A00616BADBD9}"/>
    <hyperlink ref="C2375" r:id="rId14" display="https://www.sao4th.com/about/programs-and-initiatives/public-corruption/" xr:uid="{326223B4-B29D-4BE9-9917-BF47B82BBF7C}"/>
    <hyperlink ref="C2376" r:id="rId15" display="https://www.sao4th.com/about/programs-and-initiatives/restitution/" xr:uid="{3D94B11A-6023-47FC-B0C2-C7D93B11F9AA}"/>
    <hyperlink ref="C2377" r:id="rId16" display="https://www.sao4th.com/about/programs-and-initiatives/restorative-justice/" xr:uid="{FAB39E9C-42A0-4806-A48B-1382D8D378CC}"/>
    <hyperlink ref="C2378" r:id="rId17" display="https://www.sao4th.com/about/programs-and-initiatives/violent-crime/" xr:uid="{BF76C078-0B2B-4ADD-A37B-2A5A985BF25A}"/>
    <hyperlink ref="BB1" location="input!A1360" display="input!A1360" xr:uid="{ED0E7458-F384-4EEB-ACA9-5162586C7B9E}"/>
    <hyperlink ref="B1055" r:id="rId18" xr:uid="{38716EE8-34AA-4168-B2B4-8519B9BB26C1}"/>
    <hyperlink ref="A114" location="'EIF-new'!A497:F530" tooltip="&gt;&gt; click to go to section C.2 &lt;&lt;" display="C.2" xr:uid="{1A4717AC-BBAF-421A-A54D-EFD4AA7B1B16}"/>
    <hyperlink ref="A116" location="'EIF-new'!A531:F564" tooltip="&gt;&gt; click to go to section C.3 &lt;&lt;" display="C.3" xr:uid="{5C2D4BBB-9224-49E0-8362-732F275DDE1A}"/>
    <hyperlink ref="A118" location="'EIF-new'!A565:F598" tooltip="&gt;&gt; click to go section C.4 &lt;&lt;" display="C.4" xr:uid="{3598A851-4EE5-4AAD-8F7B-3E5157BD486F}"/>
    <hyperlink ref="A120" location="'EIF-new'!A599:F641" tooltip="&gt;&gt; click to go to section C.5 &lt;&lt;" display="C.5" xr:uid="{1FCCB396-55BE-4D15-A909-3548A0B4786F}"/>
    <hyperlink ref="A122" location="'EIF-new'!A642:F680" tooltip="&gt;&gt; click to go to section C.6 &lt;&lt;" display="C.6" xr:uid="{B3D54BCC-2CCC-493D-9EA0-0078CFEDF09D}"/>
    <hyperlink ref="A124" location="'EIF-new'!A681:F690" tooltip="&gt;&gt; click to go to section C.7 &lt;&lt;" display="C.7" xr:uid="{53985B9B-4DE8-4472-BAF0-32428F557691}"/>
    <hyperlink ref="A126" location="'EIF-new'!A691:F718" tooltip="&gt;&gt; click to go to section C.8 &lt;&lt;" display="C.8" xr:uid="{FDAFB8E7-C1D0-41DF-BAC9-EC7386ECA628}"/>
    <hyperlink ref="A128" location="'EIF-new'!A719:F761" tooltip="&gt;&gt; click to go to section D &lt;&lt;" display="D." xr:uid="{5F62C317-C934-4C09-97E9-858756E28F9B}"/>
    <hyperlink ref="A132" location="'EIF-new'!A839:F881" tooltip="&gt;&gt; click to go to section F &lt;&lt;" display="F." xr:uid="{88889E51-0401-4AD9-BCFA-D3FB74807928}"/>
    <hyperlink ref="A149" location="'EIF-new'!A108" tooltip="Contents menu above" display="A." xr:uid="{DECA432F-AF98-4A4F-91BC-A0190DBCF66D}"/>
    <hyperlink ref="A1062" location="'EIF-new'!A134" tooltip="Contents menu" display="G." xr:uid="{20D00C2C-DBFB-4753-A5C9-1BE926222C83}"/>
    <hyperlink ref="A1196" location="input!A140" tooltip="Contents menu" display="J." xr:uid="{5D4563B9-8D21-402D-9F2C-3516ACC4099D}"/>
    <hyperlink ref="A1550" location="input!A144" tooltip="Contents menu" display="L." xr:uid="{80532A91-4119-4C24-A61F-7EF4449147EB}"/>
    <hyperlink ref="AR781" location="input!W214" display="GO" xr:uid="{38CDAFC5-0E66-427D-850C-53EE1BC4128A}"/>
    <hyperlink ref="AZ257" location="input!Z725" display="Z725" xr:uid="{A11B95AF-2649-443D-BFED-6AF52EB24069}"/>
    <hyperlink ref="B278:C278" location="input!B595" display="Asked an Innocence Project for help or something like it?" xr:uid="{C6737635-B50A-45E9-91B4-3ED121C2A4A2}"/>
    <hyperlink ref="A882" location="input!A134" tooltip="Contents menu" display="G." xr:uid="{6BEBF154-7DDA-4772-938F-4D545352E706}"/>
    <hyperlink ref="C1493" location="'AI01'!A1" display="'AI01'!A1" xr:uid="{30A9D2D0-8B4D-4439-99D4-94731A84D94D}"/>
    <hyperlink ref="C1493:D1493" location="'N2'!A1" tooltip="&gt;&gt; click to go to N2 notification &lt;&lt;" display="'N2'!A1" xr:uid="{939C5129-BF48-4661-AD2F-E53E074823C7}"/>
    <hyperlink ref="C1513" location="'AI01'!A1" display="'AI01'!A1" xr:uid="{5965B449-5496-40BC-927D-512E29B0A304}"/>
    <hyperlink ref="C1513:D1513" location="'N4'!A1" tooltip="&gt;&gt; click to go to N4 notification &lt;&lt;" display="'N4'!A1" xr:uid="{F6C90896-75BA-4096-9FD5-EBD01CE9767B}"/>
    <hyperlink ref="C1523" location="'AI01'!A1" display="'AI01'!A1" xr:uid="{EE8CCE68-00E1-4F6D-8AC7-32F9CD51AF0E}"/>
    <hyperlink ref="C1523:D1523" location="'N5'!A1" tooltip="&gt;&gt; click to go to N5 notification &lt;&lt;" display="'N5'!A1" xr:uid="{97FD61C9-B351-42C4-AB4F-E0F5C6B12922}"/>
    <hyperlink ref="C1533" location="'AI01'!A1" display="'AI01'!A1" xr:uid="{55F5B929-8779-403D-9E04-1038AE99975A}"/>
    <hyperlink ref="C1533:D1533" location="'N6'!A1" tooltip="&gt;&gt; click to go to N6 notification &lt;&lt;" display="'N6'!A1" xr:uid="{23A1E2F1-69AE-43EB-9BB4-DF5059EB09CD}"/>
    <hyperlink ref="A1201:B1201" location="'S01'!C4" display="'S01'!C4" xr:uid="{B580DC0C-596E-4B90-8BF0-13872E4C7F3D}"/>
    <hyperlink ref="C1483:D1483" location="'N1'!A1:J1" tooltip="&gt;&gt; go to N1 notification &lt;&lt;" display="'N1'!A1:J1" xr:uid="{1D64D3AD-41DE-49D9-9733-CB6746EBC6BE}"/>
    <hyperlink ref="B1201" location="'S01'!A1:F1" tooltip="CLICK to go to Supporter 1 tab" display="Supporter 01:" xr:uid="{7447DA0C-9364-4894-8595-708A8A6C99EA}"/>
    <hyperlink ref="C1110" location="'AI01'!A1:J1" tooltip="click to go to AI01 tab, first place for receiving your notification of estimated innocence" display="(AI01 and so forth) and review the information. " xr:uid="{ECB6FC2C-4D3A-47BF-8877-A09840479125}"/>
    <hyperlink ref="C1503" location="'AI01'!A1" display="'AI01'!A1" xr:uid="{B6B97E63-8060-4B0F-89FE-5E9D9A3279FF}"/>
    <hyperlink ref="C1503:D1503" location="'N3'!A1" tooltip="&gt;&gt; click to go to N3 notification &lt;&lt;" display="'N3'!A1" xr:uid="{39F0567E-2968-443B-B3C9-8766D60CB92A}"/>
    <hyperlink ref="A1104" location="input!A138" tooltip="Contents menu" display="I. " xr:uid="{0940F0DE-1622-4A56-AE92-1FA29A5C76BC}"/>
    <hyperlink ref="B149:E149" location="input!A1" tooltip="back to top" display="Case Information" xr:uid="{03EC63FC-B0C7-4CB9-B5A7-9EC94F620706}"/>
    <hyperlink ref="B296:E296" location="input!A1" tooltip="back to top" display="Documentation for verification" xr:uid="{1A4430CA-8DEF-4583-B5E3-8E68DF065C44}"/>
    <hyperlink ref="B462:E462" location="input!A1" tooltip="back to top" display="Common Factors in Wrongful Convictions" xr:uid="{6DA22C42-18AF-431C-8CC3-E3B7503C0ECF}"/>
    <hyperlink ref="B497:E497" location="input!A1" tooltip="back to top" display="Evidentiary Factors" xr:uid="{789E0535-18BF-4452-AA01-D224B4344B16}"/>
    <hyperlink ref="B531:E531" location="input!A1" tooltip="back to top" display="Investigative Factors" xr:uid="{83BC628A-719A-44EB-AA45-8783DED3C2C0}"/>
    <hyperlink ref="B565:E565" location="input!A1" tooltip="back to top" display="Complicating Factors" xr:uid="{853DCA5F-CAAC-4221-BD48-FF36A468EE9F}"/>
    <hyperlink ref="B599:E599" location="input!A1" tooltip="back to top" display="Claimant’s demonstratable innocence" xr:uid="{69CA83D1-14AC-437C-AFFC-8B8B25FCE4BE}"/>
    <hyperlink ref="B642:E642" location="input!A1" tooltip="back to top" display="Claimant’s innocence recognized by others" xr:uid="{B5C879C1-9D5F-4A88-BBC6-FEBA7713B0D2}"/>
    <hyperlink ref="B681:E681" location="input!A1" tooltip="back to top" display="Other" xr:uid="{E1BB7204-FF76-4D7F-BE39-FF9426708BFF}"/>
    <hyperlink ref="B691:E691" location="input!A1" tooltip="back to top" display="Process" xr:uid="{E234F46F-5B6F-4C8D-9B9B-515F7FC0FE2F}"/>
    <hyperlink ref="A565" location="'EIF-new'!A118" tooltip="Contents menu" display="C.4" xr:uid="{A6B4A6E4-9C86-4D42-AB70-D483BF7B473E}"/>
    <hyperlink ref="B719:E719" location="input!A1" tooltip="back to top" display="Requests and responses for exoneration help" xr:uid="{4229B4DF-58BD-4573-98C4-45E3D0E39AE8}"/>
    <hyperlink ref="B762:E762" location="input!A1" tooltip="back to top" display="Collateral consequences of conviction" xr:uid="{30FE7697-6E4E-4892-B341-CE60888401D8}"/>
    <hyperlink ref="B839:E839" location="input!A1" tooltip="back to top" display="Claimant narrative" xr:uid="{59446C3E-44E1-45EF-92FB-5C118713B721}"/>
    <hyperlink ref="B882:E882" location="input!A1" tooltip="back to top" display="Dynamic Relating" xr:uid="{AF945739-14BF-42BC-B2B3-4D45154D6C40}"/>
    <hyperlink ref="B1062:E1062" location="input!A1" tooltip="back to top" display="Compensation" xr:uid="{2463C5B3-09D8-4F25-819C-A113835BDCF2}"/>
    <hyperlink ref="B1104:E1104" location="input!A1" tooltip="back to top" display="Options" xr:uid="{BEE09CC8-F8A3-4866-AC58-1A42023A3C28}"/>
    <hyperlink ref="B1196:E1196" location="input!A1" tooltip="back to top" display="Supporter(s)" xr:uid="{61A41E20-3078-4253-ABCD-E0FD8B75C00E}"/>
    <hyperlink ref="B1476:E1476" location="input!A1" tooltip="back to top" display="Notifying" xr:uid="{0143C5A2-5038-4F5B-AADA-42B5DFEC56BA}"/>
    <hyperlink ref="B1550:E1550" location="input!A1" tooltip="back to top" display="Independent Verifier(s)" xr:uid="{1EF6DB7F-8E80-4F33-ABB7-CE6CEAE3F68D}"/>
    <hyperlink ref="B1597:E1597" location="input!A1" tooltip="back to top" display="Next" xr:uid="{BBFDF144-EE4B-4F65-A195-5D11058E5528}"/>
    <hyperlink ref="B1211" location="'S02'!A1:F1" tooltip="CLICK to go to Supporter 2 tab" display="Supporter 02" xr:uid="{BA80DC9C-EF2B-4A47-9D42-BB98D3772710}"/>
    <hyperlink ref="B1221" location="'S03'!A1:F1" tooltip="CLICK to go to Supporter 3 tab" display="Supporter 03" xr:uid="{75940303-9527-4270-B283-AE424E63EAA6}"/>
    <hyperlink ref="B1231" location="'S04'!A1:F1" tooltip="CLICK to go to Supporter 4 tab" display="Supporter 04" xr:uid="{A26AFC43-4B82-4DF5-AA8D-C628E14E0F59}"/>
    <hyperlink ref="B1241" location="'N5'!A1:F1" tooltip="CLICK to go to Supporter 5 tab" display="Supporter 05" xr:uid="{602C3F70-1367-4308-8AD1-1166CCCC2B3A}"/>
    <hyperlink ref="B1251" location="'S06'!A1:F1" tooltip="CLICK to go to Supporter 6 tab" display="Supporter 06" xr:uid="{72D446CE-9D51-41ED-9686-BDBA5CC09DE3}"/>
    <hyperlink ref="B1261" location="'S07'!A1:F1" tooltip="CLICK to go to Supporter 7 tab" display="Supporter 07" xr:uid="{BDBAC865-C635-4276-AE45-8F2FDC7BBECB}"/>
    <hyperlink ref="B1271" location="'S08'!A1:F1" tooltip="CLICK to go to Supporter 8 tab" display="Supporter 08" xr:uid="{EFDE920A-28BC-46CD-9AA3-645E5F6FCFE3}"/>
    <hyperlink ref="B1281" location="'S09'!A1:F1" tooltip="CLICK to go to Supporter 9 tab" display="Supporter 09" xr:uid="{3D6D866B-1811-4C8C-ABB6-5EDB2A18D1FE}"/>
    <hyperlink ref="B1291" location="'S10'!A1:F1" tooltip="CLICK to go to Supporter 10 tab" display="Supporter 10" xr:uid="{2F48627A-6805-4A30-A682-A1F0602DF17D}"/>
    <hyperlink ref="B1301" location="'S11'!A1:F1" tooltip="CLICK to go to Supporter 11 tab" display="Supporter 11" xr:uid="{E57081EA-44B3-437C-898C-5EABB66BE638}"/>
    <hyperlink ref="B1311" location="'S12'!A1:F1" tooltip="CLICK to go to Supporter 12 tab" display="Supporter 12" xr:uid="{4E6899DD-0FB9-4350-834F-553F86771B0D}"/>
    <hyperlink ref="B1321" location="'S13'!A1:F1" tooltip="CLICK to go to Supporter 13 tab" display="Supporter 13" xr:uid="{446B9CC3-3D92-4382-933F-E0072B079C85}"/>
    <hyperlink ref="B1331" location="'S14'!A1:F1" tooltip="CLICK to go to Supporter 14 tab" display="Supporter 14" xr:uid="{97E32238-3D5E-4F26-AA8B-0F77072A8B1D}"/>
    <hyperlink ref="B538" r:id="rId19" tooltip="Wikipedia entry" xr:uid="{F95A1002-271E-4F3B-80D6-42C0206225AD}"/>
    <hyperlink ref="B533" r:id="rId20" tooltip="Government website info on tunnel vision" xr:uid="{6CF0EE88-18AA-40DA-850F-0B91A96DE210}"/>
    <hyperlink ref="B2221" r:id="rId21" display="http://www.wrongfulconvictionlawyers.com/state-statutes/" xr:uid="{AB8E1481-05BF-4D05-9F95-BF6D212FC945}"/>
    <hyperlink ref="AB2256" r:id="rId22" xr:uid="{3E90A02F-3E33-47AD-AD3E-45343A7C6E94}"/>
    <hyperlink ref="AB2258" r:id="rId23" xr:uid="{6A8A3F29-93B3-4448-9BA1-A7A8F6015F92}"/>
    <hyperlink ref="AB2293" r:id="rId24" xr:uid="{FB8A530E-6DCC-4ACC-B12B-55D26AF71781}"/>
    <hyperlink ref="B1608" r:id="rId25" tooltip="Hoffman, Morris B. (2007). The Myth of Factual Innocence. 82 Chi.-Kent L. Rev. 663. | judicial official | def. &quot;actual innocence&quot; | qualitative method" xr:uid="{6D56DCEC-412A-4236-B730-8F9958ED805A}"/>
    <hyperlink ref="AC1605:AE1605" r:id="rId26" tooltip="source" display="https://leg.mt.gov/content/Committees/Interim/2019-2020/Law-and-Justice/Meetings/Nov-2019/sj19-doj-map-sex-offenders-per-capita-november-2019.pdf" xr:uid="{2D64B473-490F-4270-BC2B-465084493803}"/>
    <hyperlink ref="B1611" r:id="rId27" tooltip="Cassell, Paul G. (2018). Overstating America’s Wrongful Conviction Rate? Reassessing the Conventional Wisdom About the Prevalence of Wrongful Convictions. Arizona Law Review, 60:815." xr:uid="{4005CB12-CEF8-4CAD-84F9-84896191B47A}"/>
    <hyperlink ref="B1614" r:id="rId28" tooltip="Kansas v. Marsh (2006). U.S. Supreme Court Justice Antonin Scalia, quoting Joshua Marquis in U.S. Supreme Court opinion; Marquis, J. (2005). The Myth of Innocence, 95 J. Crim. L. &amp; Criminology 501." xr:uid="{BBFF9B7A-F208-4A51-9C92-F936D4887598}"/>
    <hyperlink ref="B1617" r:id="rId29" tooltip="Zalman, Marvin (2012). Qualitatively Estimating the Incidence of Wrongful Convictions. Criminal Law Bulletin, 48:2, 219-279." xr:uid="{A6FEF534-2B04-4978-A6E0-08A0EF5D5152}"/>
    <hyperlink ref="B1620" r:id="rId30" tooltip="Ramsey, Robert H. and Frank, James (2007). Wrongful Conviction: Perceptions of Criminal Justice Professionals Regarding the Frequency of Wrongful Conviction and the Extent of System Errors. Crime &amp; Delinq, 53:3, 436-470." xr:uid="{7E1D6A50-8DCA-4993-AE0D-67B285FCD045}"/>
    <hyperlink ref="B1623" r:id="rId31" tooltip="Gross, Samuel R. (2008). “Frequency and Predictors of False Conviction: Why We Know So Little, and New Data on Capital Cases.” B. O’Brien, co-author. J. Empirical Legal Stud. 5, no. 4: 927-6" xr:uid="{EA09CBF8-D5B9-47FE-A962-656F072754EF}"/>
    <hyperlink ref="B1626" r:id="rId32" tooltip="Risinger, D.M. (2007). Innocents Convicted: An Empirical Justified Factual Wrongful Conviction Rate, J. Crim. L. &amp; Criminology 97:761." xr:uid="{D3C0CFF9-1084-47C4-962F-9349B82A13DA}"/>
    <hyperlink ref="B1629" r:id="rId33" tooltip="Samuel R. Gross, Barbara O’Brien, Chen Hu, and Edward H. Kennedy (2014). Rate of False Conviction of Criminal Defendants Who are Sentenced to Death. Proceedings of the National Academy of Science, 111:2, 7230-7235." xr:uid="{713696D6-21FB-494F-865D-A64741621AF5}"/>
    <hyperlink ref="B1632" r:id="rId34" tooltip="John Roman, Kelly Walsh, Pamela Lachman, and Jennifer Yahner (2012). Post-Conviction DNA Testing and Wrongful Conviction. Urban Institute." xr:uid="{3269B70E-31B9-4883-8061-7E98A5772C43}"/>
    <hyperlink ref="B1635" r:id="rId35" tooltip="Loeffler, C.E., Hyatt, J. &amp; Ridgeway, G. (2019). Measuring Self-Reported Wrongful Convictions Among Prisoners. J Quant Criminol 35, 259–286." xr:uid="{49E49D09-591D-4E72-A841-A6CE45C4E68C}"/>
    <hyperlink ref="B1638" r:id="rId36" tooltip="Walsh, K., Hussemann, J., Flynn, A., Yahner, J., Golian, L. (2017). Estimating the Prevalence of Wrongful Conviction. Office of Justice Programs’ National Criminal Justice Reference Service." xr:uid="{507F9A7E-EF72-4CCD-BABE-67849C454601}"/>
    <hyperlink ref="B1641" r:id="rId37" tooltip="Poveda, T.G. (2001). Estimating Wrongful Convictions. Justice Quarterly, 18:3, 689-708." xr:uid="{446EBCD6-6E48-4B9B-B664-68F6FF81CA2C}"/>
    <hyperlink ref="A112" location="'EIF-new'!A462:F530" tooltip="&gt;&gt; click to go to section C.1 &lt;&lt;" display="C.1" xr:uid="{DC48CEC9-6CAF-4D39-9C14-BB035C27C803}"/>
    <hyperlink ref="B149" location="'EIF-new'!A1" tooltip="back to top" display="Case information" xr:uid="{116DDD9E-E645-4D37-B858-46C52CE841D9}"/>
    <hyperlink ref="B296" location="'EIF-new'!A1" tooltip="back to top" display="Documentation for verification" xr:uid="{990FF9A8-F163-4D7D-8BA1-2DE0FEB04ABD}"/>
    <hyperlink ref="B462" location="'EIF-new'!A1" tooltip="back to top" display="Common factors in wrongful convictions" xr:uid="{4E940FD8-440A-4517-9DEB-E74947D43830}"/>
    <hyperlink ref="B531" location="'EIF-new'!A1" tooltip="back to top" display="Investigative factors" xr:uid="{F6A073E6-F7DE-4086-862E-2A6974648777}"/>
    <hyperlink ref="B565" location="'EIF-new'!A1" tooltip="back to top" display="Complicating factors" xr:uid="{CB66AE10-3B33-44C7-9358-EC3DEBA3E54E}"/>
    <hyperlink ref="B599" location="'EIF-new'!A1" tooltip="back to top" display="Claimant’s demonstratable innocence" xr:uid="{E8025CB6-F458-4E33-8311-60E098D645BD}"/>
    <hyperlink ref="B642" location="'EIF-new'!A1" tooltip="back to top" display="Claimant’s innocence recognized by others" xr:uid="{79A83371-4A83-4DC4-A80E-F957B1661563}"/>
    <hyperlink ref="B681" location="'EIF-new'!A1" tooltip="back to top" display="Other" xr:uid="{BE5C68C6-5800-4BE4-8294-83B5C7FA184A}"/>
    <hyperlink ref="B719" location="'EIF-new'!A1" tooltip="back to top" display="Requests and responses for exoneration help" xr:uid="{4CF04D60-24B8-4EDC-AE24-61C431751B1A}"/>
    <hyperlink ref="B762" location="'EIF-new'!A1" tooltip="back to top" display="Collateral consequences of wrongful conviction" xr:uid="{47B8C3E8-57A1-4405-9399-60D3C787C54E}"/>
    <hyperlink ref="B839" location="'EIF-new'!A1" tooltip="back to top" display="Claimant narrative" xr:uid="{337255F7-0AD2-487F-AF49-F3E69720AD5E}"/>
    <hyperlink ref="B1062" location="'EIF-new'!A1" tooltip="back to top" display="Compensation" xr:uid="{DC1B2D00-68C4-4F03-9161-C9D141775E48}"/>
    <hyperlink ref="B1597" location="'EIF-new'!A1" tooltip="back to top" display="You're not alone" xr:uid="{F0E9FAB0-639D-4FC7-84AC-51E990663DFC}"/>
    <hyperlink ref="A1597" location="'EIF-new'!A136" display="H." xr:uid="{B768F819-B563-4C00-A8C0-4C219E5CFC5B}"/>
    <hyperlink ref="F149" location="'EIF-new'!A296:F296" tooltip="to B. Documentation for verfication" display="$" xr:uid="{E9142C7C-6F1D-4FC2-93E9-EFB9B8828864}"/>
    <hyperlink ref="F296" location="'EIF-new'!A462:F462" tooltip="to C.1 Common factors in wrongful convictions" display="$" xr:uid="{2E103E3C-7AE4-474E-ACA8-5B337A0D6B53}"/>
    <hyperlink ref="F462" location="'EIF-new'!A497:F497" tooltip="to C.2 Evidentiary factors" display="$" xr:uid="{36A696C4-3758-4A93-ACC4-4DBAFAF0722B}"/>
    <hyperlink ref="F691" location="'EIF-new'!A719:F719" tooltip="to D. Requests &amp; responses for exoneration help" display="$" xr:uid="{FFFA7794-B71D-47A4-97CB-735CDAEF7AEE}"/>
    <hyperlink ref="F681" location="'EIF-new'!A691:F691" tooltip="C.8 Process" display="$" xr:uid="{30AEA3FD-90AA-4ED5-B2C3-8C00D7835541}"/>
    <hyperlink ref="F642" location="'EIF-new'!A681:F681" tooltip="to C.7 Other" display="$" xr:uid="{3B0F990A-E20B-400C-9662-147F932DC93D}"/>
    <hyperlink ref="F599" location="'EIF-new'!A642:F642" tooltip="to C.6 Claimant's innocence recognized by others" display="$" xr:uid="{77B84C97-03B7-4394-9DF0-59263D5EDF9C}"/>
    <hyperlink ref="F565" location="'EIF-new'!A599:F599" tooltip="to C.5 Claimant's demonstrable innocence" display="$" xr:uid="{DC04FDAD-8755-4327-A44E-36D2FDAAF484}"/>
    <hyperlink ref="F531" location="'EIF-new'!A565:F565" tooltip="to C.4 Complicating factors" display="$" xr:uid="{F73B2B5F-A699-4B14-92A6-61E16F31CBD4}"/>
    <hyperlink ref="F497" location="'EIF-new'!A531:F531" tooltip="to C.3 Investigative factors" display="$" xr:uid="{B5627173-A86F-4972-B1D7-F77DDA909C67}"/>
    <hyperlink ref="A134" location="'EIF-new'!A1062:F1103" tooltip="&gt;&gt; click to go to section G &lt;&lt;" display="'EIF-new'!A1062:F1103" xr:uid="{219D9865-63C2-4662-AA96-78206CBD40F7}"/>
    <hyperlink ref="A136" location="'EIF-new'!A1597:F1646" tooltip="&gt;&gt; click to go to section H &lt;&lt;" display="'EIF-new'!A1597:F1646" xr:uid="{70FB3C19-91BD-446D-A069-D39B52A0BE3F}"/>
    <hyperlink ref="F719" location="'EIF-new'!A762:F762" tooltip="to E. Collateral consequences of wrongful conviction" display="$" xr:uid="{B6C09A25-CDBD-4052-8FAA-F16CEBF3AFC1}"/>
    <hyperlink ref="F762" location="'EIF-new'!A839:F839" tooltip="F. Claimant narrative" display="$" xr:uid="{1DECB100-1C1E-418A-B2B8-3917058BBA02}"/>
    <hyperlink ref="F839" location="'EIF-new'!A1062:F1062" tooltip="G. Compensation" display="$" xr:uid="{50A973C7-190B-4D04-8BA5-06CFBAE59451}"/>
    <hyperlink ref="F1062" location="'EIF-new'!A1597:F1597" tooltip="H. You're not alone" display="$" xr:uid="{6BE7F1E1-DACC-412A-BC42-C09BC4212E8E}"/>
    <hyperlink ref="F1597" location="'EIF-new'!A1:F3" tooltip="back to the top" display="#" xr:uid="{5502D522-F850-45B4-A557-E0722F7190C3}"/>
    <hyperlink ref="B497" location="'EIF-new'!A1" tooltip="back to top" display="Evidentiary factors" xr:uid="{FE2F2453-6367-4BD0-95CF-20211489D112}"/>
    <hyperlink ref="B691" location="'EIF-new'!A1" tooltip="back to top" display="Process" xr:uid="{B3295C29-D792-45B5-B7F2-B3763B51C362}"/>
  </hyperlinks>
  <pageMargins left="0.7" right="0.7" top="0.75" bottom="0.75" header="0.3" footer="0.3"/>
  <pageSetup orientation="portrait" r:id="rId38"/>
  <headerFooter>
    <oddHeader xml:space="preserve">&amp;L&amp;"-,Bold"&amp;14Estimated Innocence Form &amp;K01+048-A&amp;R&amp;D
</oddHeader>
    <oddFooter>&amp;L&amp;A&amp;C&amp;P&amp;R&amp;G</oddFooter>
  </headerFooter>
  <drawing r:id="rId39"/>
  <legacyDrawing r:id="rId40"/>
  <legacyDrawingHF r:id="rId41"/>
  <extLst>
    <ext xmlns:x14="http://schemas.microsoft.com/office/spreadsheetml/2009/9/main" uri="{78C0D931-6437-407d-A8EE-F0AAD7539E65}">
      <x14:conditionalFormattings>
        <x14:conditionalFormatting xmlns:xm="http://schemas.microsoft.com/office/excel/2006/main">
          <x14:cfRule type="containsText" priority="506" operator="containsText" id="{EF7D5445-8FDD-4B5F-BE8D-1FB1F4BB312A}">
            <xm:f>NOT(ISERROR(SEARCH($AM$1,BG1)))</xm:f>
            <xm:f>$AM$1</xm:f>
            <x14:dxf>
              <font>
                <color rgb="FF00B050"/>
              </font>
              <fill>
                <patternFill>
                  <bgColor theme="2"/>
                </patternFill>
              </fill>
            </x14:dxf>
          </x14:cfRule>
          <x14:cfRule type="containsText" priority="507" operator="containsText" id="{810FC885-2C8B-45B7-8FF2-E7F7074BBD1B}">
            <xm:f>NOT(ISERROR(SEARCH($AL$1,BG1)))</xm:f>
            <xm:f>$AL$1</xm:f>
            <x14:dxf>
              <font>
                <color rgb="FF92D050"/>
              </font>
              <fill>
                <patternFill>
                  <bgColor theme="2"/>
                </patternFill>
              </fill>
            </x14:dxf>
          </x14:cfRule>
          <x14:cfRule type="containsText" priority="508" operator="containsText" id="{93149CE6-7809-4A28-B148-135674656A67}">
            <xm:f>NOT(ISERROR(SEARCH($AK$1,BG1)))</xm:f>
            <xm:f>$AK$1</xm:f>
            <x14:dxf>
              <font>
                <color theme="7" tint="-0.24994659260841701"/>
              </font>
              <fill>
                <patternFill patternType="solid">
                  <bgColor theme="2"/>
                </patternFill>
              </fill>
            </x14:dxf>
          </x14:cfRule>
          <x14:cfRule type="containsText" priority="509" operator="containsText" id="{6657F167-1FAF-4FB3-B268-2749ED9342FC}">
            <xm:f>NOT(ISERROR(SEARCH($AJ$1,BG1)))</xm:f>
            <xm:f>$AJ$1</xm:f>
            <x14:dxf>
              <font>
                <color theme="5" tint="-0.24994659260841701"/>
              </font>
              <fill>
                <patternFill patternType="solid">
                  <bgColor theme="2"/>
                </patternFill>
              </fill>
            </x14:dxf>
          </x14:cfRule>
          <x14:cfRule type="containsText" priority="510" operator="containsText" id="{49D1C3D7-3CF2-4684-8CB3-E661033E99A3}">
            <xm:f>NOT(ISERROR(SEARCH($AI$1,BG1)))</xm:f>
            <xm:f>$AI$1</xm:f>
            <x14:dxf>
              <font>
                <strike val="0"/>
                <color rgb="FF9C0006"/>
              </font>
              <fill>
                <patternFill patternType="solid">
                  <bgColor theme="2"/>
                </patternFill>
              </fill>
            </x14:dxf>
          </x14:cfRule>
          <xm:sqref>BG1</xm:sqref>
        </x14:conditionalFormatting>
        <x14:conditionalFormatting xmlns:xm="http://schemas.microsoft.com/office/excel/2006/main">
          <x14:cfRule type="containsText" priority="501" operator="containsText" id="{B86C1647-523C-420B-AD3C-D33883191F6A}">
            <xm:f>NOT(ISERROR(SEARCH($AM$1,BG2)))</xm:f>
            <xm:f>$AM$1</xm:f>
            <x14:dxf>
              <font>
                <color rgb="FF00B050"/>
              </font>
              <fill>
                <patternFill>
                  <bgColor theme="2"/>
                </patternFill>
              </fill>
            </x14:dxf>
          </x14:cfRule>
          <x14:cfRule type="containsText" priority="502" operator="containsText" id="{740AFE3E-7E93-4D43-AC3D-639ADCC20F48}">
            <xm:f>NOT(ISERROR(SEARCH($AL$1,BG2)))</xm:f>
            <xm:f>$AL$1</xm:f>
            <x14:dxf>
              <font>
                <color rgb="FF92D050"/>
              </font>
              <fill>
                <patternFill>
                  <bgColor theme="2"/>
                </patternFill>
              </fill>
            </x14:dxf>
          </x14:cfRule>
          <x14:cfRule type="containsText" priority="503" operator="containsText" id="{514BEFAB-B508-4719-8BC1-180088B51229}">
            <xm:f>NOT(ISERROR(SEARCH($AK$1,BG2)))</xm:f>
            <xm:f>$AK$1</xm:f>
            <x14:dxf>
              <font>
                <color theme="7" tint="-0.24994659260841701"/>
              </font>
              <fill>
                <patternFill patternType="solid">
                  <bgColor theme="2"/>
                </patternFill>
              </fill>
            </x14:dxf>
          </x14:cfRule>
          <x14:cfRule type="containsText" priority="504" operator="containsText" id="{2D1C64C2-AA4E-419B-9BBD-735601CC775C}">
            <xm:f>NOT(ISERROR(SEARCH($AJ$1,BG2)))</xm:f>
            <xm:f>$AJ$1</xm:f>
            <x14:dxf>
              <font>
                <color theme="5" tint="-0.24994659260841701"/>
              </font>
              <fill>
                <patternFill patternType="solid">
                  <bgColor theme="2"/>
                </patternFill>
              </fill>
            </x14:dxf>
          </x14:cfRule>
          <x14:cfRule type="containsText" priority="505" operator="containsText" id="{4518355C-FC45-4469-A940-8A5429AAC394}">
            <xm:f>NOT(ISERROR(SEARCH($AI$1,BG2)))</xm:f>
            <xm:f>$AI$1</xm:f>
            <x14:dxf>
              <font>
                <strike val="0"/>
                <color rgb="FF9C0006"/>
              </font>
              <fill>
                <patternFill patternType="solid">
                  <bgColor theme="2"/>
                </patternFill>
              </fill>
            </x14:dxf>
          </x14:cfRule>
          <xm:sqref>BG2:BG3</xm:sqref>
        </x14:conditionalFormatting>
        <x14:conditionalFormatting xmlns:xm="http://schemas.microsoft.com/office/excel/2006/main">
          <x14:cfRule type="containsText" priority="303" operator="containsText" id="{F608DC7C-059A-4DFB-B932-7C7FD3FF36B5}">
            <xm:f>NOT(ISERROR(SEARCH($AG$14,B14)))</xm:f>
            <xm:f>$AG$14</xm:f>
            <x14:dxf>
              <font>
                <color theme="0" tint="-0.499984740745262"/>
              </font>
              <fill>
                <patternFill>
                  <bgColor theme="0" tint="-0.14996795556505021"/>
                </patternFill>
              </fill>
            </x14:dxf>
          </x14:cfRule>
          <xm:sqref>B14:D14</xm:sqref>
        </x14:conditionalFormatting>
        <x14:conditionalFormatting xmlns:xm="http://schemas.microsoft.com/office/excel/2006/main">
          <x14:cfRule type="containsText" priority="882" operator="containsText" id="{67F52233-6708-46B8-9BF2-50BD4F082F7F}">
            <xm:f>NOT(ISERROR(SEARCH($D$1862,B280)))</xm:f>
            <xm:f>$D$1862</xm:f>
            <x14:dxf>
              <font>
                <color auto="1"/>
              </font>
              <fill>
                <patternFill>
                  <bgColor theme="0"/>
                </patternFill>
              </fill>
              <border>
                <bottom style="thin">
                  <color rgb="FFEAE3D2"/>
                </bottom>
              </border>
            </x14:dxf>
          </x14:cfRule>
          <xm:sqref>B280:D280</xm:sqref>
        </x14:conditionalFormatting>
        <x14:conditionalFormatting xmlns:xm="http://schemas.microsoft.com/office/excel/2006/main">
          <x14:cfRule type="containsText" priority="295" operator="containsText" id="{7EEC0114-7575-4864-BC6C-4FEBF808E2D4}">
            <xm:f>NOT(ISERROR(SEARCH($C$152,B59)))</xm:f>
            <xm:f>$C$152</xm:f>
            <x14:dxf>
              <font>
                <color auto="1"/>
              </font>
              <fill>
                <patternFill>
                  <bgColor theme="0"/>
                </patternFill>
              </fill>
            </x14:dxf>
          </x14:cfRule>
          <xm:sqref>B59:D59</xm:sqref>
        </x14:conditionalFormatting>
        <x14:conditionalFormatting xmlns:xm="http://schemas.microsoft.com/office/excel/2006/main">
          <x14:cfRule type="containsText" priority="294" operator="containsText" id="{290C09D9-C5FC-4A61-98F8-138328A8B998}">
            <xm:f>NOT(ISERROR(SEARCH($C$152,B60)))</xm:f>
            <xm:f>$C$152</xm:f>
            <x14:dxf>
              <font>
                <color auto="1"/>
              </font>
              <fill>
                <patternFill>
                  <bgColor theme="0"/>
                </patternFill>
              </fill>
            </x14:dxf>
          </x14:cfRule>
          <xm:sqref>B60:D60</xm:sqref>
        </x14:conditionalFormatting>
        <x14:conditionalFormatting xmlns:xm="http://schemas.microsoft.com/office/excel/2006/main">
          <x14:cfRule type="containsText" priority="281" operator="containsText" id="{0D235B58-EC69-4CFA-9863-ADDC000C488B}">
            <xm:f>NOT(ISERROR(SEARCH($AM$1,D1)))</xm:f>
            <xm:f>$AM$1</xm:f>
            <x14:dxf>
              <font>
                <color rgb="FF00B050"/>
              </font>
              <fill>
                <patternFill>
                  <bgColor theme="2"/>
                </patternFill>
              </fill>
            </x14:dxf>
          </x14:cfRule>
          <x14:cfRule type="containsText" priority="282" operator="containsText" id="{F777B7AB-96CA-48A3-83FF-703FCC2E7C2E}">
            <xm:f>NOT(ISERROR(SEARCH($AL$1,D1)))</xm:f>
            <xm:f>$AL$1</xm:f>
            <x14:dxf>
              <font>
                <color rgb="FF92D050"/>
              </font>
              <fill>
                <patternFill>
                  <bgColor theme="2"/>
                </patternFill>
              </fill>
            </x14:dxf>
          </x14:cfRule>
          <x14:cfRule type="containsText" priority="283" operator="containsText" id="{254FB3A6-4102-43CE-860A-CA1396C00647}">
            <xm:f>NOT(ISERROR(SEARCH($AK$1,D1)))</xm:f>
            <xm:f>$AK$1</xm:f>
            <x14:dxf>
              <font>
                <color theme="7" tint="-0.24994659260841701"/>
              </font>
              <fill>
                <patternFill patternType="solid">
                  <bgColor theme="2"/>
                </patternFill>
              </fill>
            </x14:dxf>
          </x14:cfRule>
          <x14:cfRule type="containsText" priority="284" operator="containsText" id="{8916C9FA-5895-466D-BAE0-4F4B5B5C5FFA}">
            <xm:f>NOT(ISERROR(SEARCH($AJ$1,D1)))</xm:f>
            <xm:f>$AJ$1</xm:f>
            <x14:dxf>
              <font>
                <color theme="5" tint="-0.24994659260841701"/>
              </font>
              <fill>
                <patternFill patternType="solid">
                  <bgColor theme="2"/>
                </patternFill>
              </fill>
            </x14:dxf>
          </x14:cfRule>
          <x14:cfRule type="containsText" priority="285" operator="containsText" id="{D8D5BC55-104C-47B1-B60A-749B58457567}">
            <xm:f>NOT(ISERROR(SEARCH($AI$1,D1)))</xm:f>
            <xm:f>$AI$1</xm:f>
            <x14:dxf>
              <font>
                <strike val="0"/>
                <color rgb="FF9C0006"/>
              </font>
              <fill>
                <patternFill patternType="solid">
                  <bgColor theme="2"/>
                </patternFill>
              </fill>
            </x14:dxf>
          </x14:cfRule>
          <xm:sqref>D1</xm:sqref>
        </x14:conditionalFormatting>
        <x14:conditionalFormatting xmlns:xm="http://schemas.microsoft.com/office/excel/2006/main">
          <x14:cfRule type="containsText" priority="276" operator="containsText" id="{C32837BD-138F-40D2-9DEE-11A41668ED9A}">
            <xm:f>NOT(ISERROR(SEARCH($AM$1,D2)))</xm:f>
            <xm:f>$AM$1</xm:f>
            <x14:dxf>
              <font>
                <color rgb="FF00B050"/>
              </font>
              <fill>
                <patternFill>
                  <bgColor theme="2"/>
                </patternFill>
              </fill>
            </x14:dxf>
          </x14:cfRule>
          <x14:cfRule type="containsText" priority="277" operator="containsText" id="{7B91B31F-7CBA-41FA-882D-4DDA5FFA1A27}">
            <xm:f>NOT(ISERROR(SEARCH($AL$1,D2)))</xm:f>
            <xm:f>$AL$1</xm:f>
            <x14:dxf>
              <font>
                <color rgb="FF92D050"/>
              </font>
              <fill>
                <patternFill>
                  <bgColor theme="2"/>
                </patternFill>
              </fill>
            </x14:dxf>
          </x14:cfRule>
          <x14:cfRule type="containsText" priority="278" operator="containsText" id="{B911366E-23A1-413F-B52D-58D43B5DECD1}">
            <xm:f>NOT(ISERROR(SEARCH($AK$1,D2)))</xm:f>
            <xm:f>$AK$1</xm:f>
            <x14:dxf>
              <font>
                <color theme="7" tint="-0.24994659260841701"/>
              </font>
              <fill>
                <patternFill patternType="solid">
                  <bgColor theme="2"/>
                </patternFill>
              </fill>
            </x14:dxf>
          </x14:cfRule>
          <x14:cfRule type="containsText" priority="279" operator="containsText" id="{3E374F70-3377-483C-9D82-619E02BA7495}">
            <xm:f>NOT(ISERROR(SEARCH($AJ$1,D2)))</xm:f>
            <xm:f>$AJ$1</xm:f>
            <x14:dxf>
              <font>
                <color theme="5" tint="-0.24994659260841701"/>
              </font>
              <fill>
                <patternFill patternType="solid">
                  <bgColor theme="2"/>
                </patternFill>
              </fill>
            </x14:dxf>
          </x14:cfRule>
          <x14:cfRule type="containsText" priority="280" operator="containsText" id="{F4D299BF-7288-491C-A690-13AEB7BF2B8D}">
            <xm:f>NOT(ISERROR(SEARCH($AI$1,D2)))</xm:f>
            <xm:f>$AI$1</xm:f>
            <x14:dxf>
              <font>
                <strike val="0"/>
                <color rgb="FF9C0006"/>
              </font>
              <fill>
                <patternFill patternType="solid">
                  <bgColor theme="2"/>
                </patternFill>
              </fill>
            </x14:dxf>
          </x14:cfRule>
          <xm:sqref>D2</xm:sqref>
        </x14:conditionalFormatting>
        <x14:conditionalFormatting xmlns:xm="http://schemas.microsoft.com/office/excel/2006/main">
          <x14:cfRule type="containsText" priority="1" operator="containsText" id="{E8EAA6A9-582D-44F9-8137-8AC5B7911334}">
            <xm:f>NOT(ISERROR(SEARCH($AC$1063,D1065)))</xm:f>
            <xm:f>$AC$1063</xm:f>
            <x14:dxf>
              <fill>
                <patternFill>
                  <bgColor theme="5" tint="0.79998168889431442"/>
                </patternFill>
              </fill>
            </x14:dxf>
          </x14:cfRule>
          <xm:sqref>D1065</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85736-7703-4F1A-82A5-9853CC15C7CF}">
  <dimension ref="A1:CZ3013"/>
  <sheetViews>
    <sheetView zoomScaleNormal="100" workbookViewId="0"/>
  </sheetViews>
  <sheetFormatPr defaultRowHeight="13.8" x14ac:dyDescent="0.25"/>
  <cols>
    <col min="1" max="1" width="3.77734375" style="6" customWidth="1"/>
    <col min="2" max="2" width="15.77734375" style="6" customWidth="1"/>
    <col min="3" max="3" width="35.77734375" style="6" customWidth="1"/>
    <col min="4" max="4" width="28.77734375" style="6" customWidth="1"/>
    <col min="5" max="6" width="2.77734375" style="6" customWidth="1"/>
    <col min="7" max="26" width="8.88671875" style="5" customWidth="1"/>
    <col min="27" max="47" width="3.77734375" style="6" hidden="1" customWidth="1"/>
    <col min="48" max="48" width="4.77734375" style="6" hidden="1" customWidth="1"/>
    <col min="49" max="49" width="1.77734375" style="6" hidden="1" customWidth="1"/>
    <col min="50" max="50" width="3.77734375" style="6" hidden="1" customWidth="1"/>
    <col min="51" max="51" width="1.77734375" style="6" hidden="1" customWidth="1"/>
    <col min="52" max="52" width="3.77734375" style="6" hidden="1" customWidth="1"/>
    <col min="53" max="53" width="1.77734375" style="6" hidden="1" customWidth="1"/>
    <col min="54" max="54" width="6.77734375" style="16" hidden="1" customWidth="1"/>
    <col min="55" max="55" width="1.77734375" style="6" hidden="1" customWidth="1"/>
    <col min="56" max="56" width="6.77734375" style="6" hidden="1" customWidth="1"/>
    <col min="57" max="57" width="1.77734375" style="6" hidden="1" customWidth="1"/>
    <col min="58" max="58" width="5.77734375" style="6" hidden="1" customWidth="1"/>
    <col min="59" max="62" width="7.77734375" style="6" hidden="1" customWidth="1"/>
    <col min="63" max="77" width="3.77734375" style="6" hidden="1" customWidth="1"/>
    <col min="78" max="104" width="8.88671875" style="6" hidden="1" customWidth="1"/>
    <col min="105" max="16384" width="8.88671875" style="6"/>
  </cols>
  <sheetData>
    <row r="1" spans="1:60" ht="40.049999999999997" customHeight="1" thickTop="1" thickBot="1" x14ac:dyDescent="0.5">
      <c r="A1" s="1"/>
      <c r="B1" s="2">
        <f>E716</f>
        <v>0.89455357142857095</v>
      </c>
      <c r="C1" s="3" t="s">
        <v>0</v>
      </c>
      <c r="D1" s="4" t="str">
        <f>IF(B2&gt;B1,BG2,BG1)</f>
        <v>strong claim</v>
      </c>
      <c r="E1" s="1"/>
      <c r="F1" s="1"/>
      <c r="AC1" s="7">
        <f>IF(AND($B1&gt;0,$B1&lt;0.199999),AQ1,0)</f>
        <v>0</v>
      </c>
      <c r="AD1" s="7">
        <f>IF(AND($B1&gt;0.2,$B1&lt;0.399999),AR1,0)</f>
        <v>0</v>
      </c>
      <c r="AE1" s="7">
        <f>IF(AND($B1&gt;0.4,$B1&lt;0.599999),AS1,0)</f>
        <v>0</v>
      </c>
      <c r="AF1" s="7">
        <f>IF(AND($B1&gt;0.6,$B1&lt;0.799999),AT1,0)</f>
        <v>0</v>
      </c>
      <c r="AG1" s="7" t="str">
        <f>IF(AND($B1&gt;0.8,$B1&lt;1),AU1,0)</f>
        <v>strong claim</v>
      </c>
      <c r="AI1" s="6" t="s">
        <v>1</v>
      </c>
      <c r="AJ1" s="6" t="s">
        <v>2</v>
      </c>
      <c r="AK1" s="6" t="s">
        <v>3</v>
      </c>
      <c r="AL1" s="6" t="s">
        <v>4</v>
      </c>
      <c r="AM1" s="6" t="s">
        <v>5</v>
      </c>
      <c r="AO1" s="8" t="s">
        <v>6</v>
      </c>
      <c r="AQ1" s="9" t="str">
        <f>CONCATENATE(AI1,$AO1)</f>
        <v>weak claim</v>
      </c>
      <c r="AR1" s="10" t="str">
        <f>CONCATENATE(AJ1,$AO1)</f>
        <v>poor claim</v>
      </c>
      <c r="AS1" s="11" t="str">
        <f>CONCATENATE(AK1,$AO1)</f>
        <v>fair claim</v>
      </c>
      <c r="AT1" s="12" t="str">
        <f>CONCATENATE(AL1,$AO1)</f>
        <v>good claim</v>
      </c>
      <c r="AU1" s="13" t="str">
        <f>CONCATENATE(AM1,$AO1)</f>
        <v>strong claim</v>
      </c>
      <c r="BB1" s="14" t="s">
        <v>7</v>
      </c>
      <c r="BG1" s="15" t="str">
        <f>IF(AND(B1&gt;0,B1&lt;0.1999),AQ1,IF(AND(B1&gt;0.2,B1&lt;0.3999),AR1,IF(AND(B1&gt;0.4,B1&lt;0.5999),AS1,IF(AND(B1&gt;0.6,B1&lt;0.7999),AT1,IF(AND(B1&gt;0.8,B1&lt;1),AU1,"")))))</f>
        <v>strong claim</v>
      </c>
    </row>
    <row r="2" spans="1:60" ht="19.95" customHeight="1" thickTop="1" x14ac:dyDescent="0.25">
      <c r="A2" s="1"/>
      <c r="B2" s="498">
        <f>E717</f>
        <v>0.47142857142857131</v>
      </c>
      <c r="C2" s="500" t="s">
        <v>8</v>
      </c>
      <c r="D2" s="15"/>
      <c r="E2" s="1"/>
      <c r="F2" s="1"/>
      <c r="AQ2" s="9" t="str">
        <f>AQ1</f>
        <v>weak claim</v>
      </c>
      <c r="AR2" s="10" t="str">
        <f>AR1</f>
        <v>poor claim</v>
      </c>
      <c r="AS2" s="11" t="str">
        <f>AS1</f>
        <v>fair claim</v>
      </c>
      <c r="AT2" s="12" t="str">
        <f>AT1</f>
        <v>good claim</v>
      </c>
      <c r="AU2" s="13" t="str">
        <f>AU1</f>
        <v>strong claim</v>
      </c>
      <c r="BG2" s="15" t="str">
        <f>IF(AND(B2&gt;0.4,B2&lt;0.5999),AS2,IF(AND(B2&gt;0.6,B2&lt;0.7999),AT2,""))</f>
        <v>fair claim</v>
      </c>
    </row>
    <row r="3" spans="1:60" ht="19.95" customHeight="1" thickBot="1" x14ac:dyDescent="0.3">
      <c r="A3" s="1"/>
      <c r="B3" s="499"/>
      <c r="C3" s="500"/>
      <c r="D3" s="501" t="s">
        <v>9</v>
      </c>
      <c r="E3" s="1"/>
      <c r="F3" s="1"/>
      <c r="AQ3" s="9"/>
      <c r="AR3" s="10"/>
      <c r="AS3" s="11"/>
      <c r="AT3" s="12"/>
      <c r="AU3" s="13"/>
      <c r="BG3" s="15"/>
    </row>
    <row r="4" spans="1:60" ht="4.95" customHeight="1" thickTop="1" x14ac:dyDescent="0.25">
      <c r="A4" s="1"/>
      <c r="B4" s="1"/>
      <c r="C4" s="1"/>
      <c r="D4" s="501"/>
      <c r="E4" s="1"/>
      <c r="F4" s="1"/>
    </row>
    <row r="5" spans="1:60" ht="45" customHeight="1" x14ac:dyDescent="0.4">
      <c r="A5" s="17" t="s">
        <v>10</v>
      </c>
      <c r="B5" s="18"/>
      <c r="C5" s="18"/>
      <c r="D5" s="501"/>
      <c r="E5" s="1"/>
      <c r="F5" s="1"/>
      <c r="G5" s="479"/>
      <c r="BF5" s="19"/>
      <c r="BG5" s="20" t="s">
        <v>11</v>
      </c>
      <c r="BH5" s="20"/>
    </row>
    <row r="6" spans="1:60" ht="10.050000000000001" customHeight="1" thickBot="1" x14ac:dyDescent="0.3">
      <c r="A6" s="1"/>
      <c r="B6" s="1"/>
      <c r="C6" s="1"/>
      <c r="D6" s="501"/>
      <c r="E6" s="1"/>
      <c r="F6" s="1"/>
    </row>
    <row r="7" spans="1:60" ht="18.600000000000001" thickBot="1" x14ac:dyDescent="0.4">
      <c r="A7" s="1"/>
      <c r="B7" s="21" t="s">
        <v>12</v>
      </c>
      <c r="C7" s="22" t="str">
        <f>IF(OR(C152=AD152,D152=AH152),AD152,CONCATENATE(C152," ",D152))</f>
        <v>Steph Turner</v>
      </c>
      <c r="D7" s="501"/>
      <c r="E7" s="1"/>
      <c r="F7" s="1"/>
    </row>
    <row r="8" spans="1:60" ht="15" customHeight="1" thickBot="1" x14ac:dyDescent="0.3">
      <c r="A8" s="1"/>
      <c r="B8" s="23" t="s">
        <v>13</v>
      </c>
      <c r="C8" s="24" t="str">
        <f>IF(C154="","",C154)</f>
        <v>valuerelating@gmail.com</v>
      </c>
      <c r="D8" s="501"/>
      <c r="E8" s="1"/>
      <c r="F8" s="1"/>
    </row>
    <row r="9" spans="1:60" ht="4.95" customHeight="1" thickBot="1" x14ac:dyDescent="0.3">
      <c r="A9" s="1"/>
      <c r="B9" s="23"/>
      <c r="C9" s="1"/>
      <c r="D9" s="501"/>
      <c r="E9" s="1"/>
      <c r="F9" s="1"/>
    </row>
    <row r="10" spans="1:60" ht="18.600000000000001" thickBot="1" x14ac:dyDescent="0.4">
      <c r="A10" s="1"/>
      <c r="B10" s="25" t="s">
        <v>14</v>
      </c>
      <c r="C10" s="22" t="str">
        <f>IF(OR(C162=AD162,D162=AH162),AD162,CONCATENATE(C162," ",D162))</f>
        <v>Alisha Turner</v>
      </c>
      <c r="D10" s="501"/>
      <c r="E10" s="1"/>
      <c r="F10" s="1"/>
    </row>
    <row r="11" spans="1:60" ht="15" customHeight="1" thickBot="1" x14ac:dyDescent="0.3">
      <c r="A11" s="1"/>
      <c r="B11" s="23" t="s">
        <v>15</v>
      </c>
      <c r="C11" s="24"/>
      <c r="D11" s="502"/>
      <c r="E11" s="1"/>
      <c r="F11" s="1"/>
    </row>
    <row r="12" spans="1:60" ht="10.050000000000001" customHeight="1" x14ac:dyDescent="0.25">
      <c r="A12" s="1"/>
      <c r="B12" s="1"/>
      <c r="C12" s="1"/>
      <c r="D12" s="1"/>
      <c r="E12" s="1"/>
      <c r="F12" s="1"/>
    </row>
    <row r="13" spans="1:60" ht="20.399999999999999" customHeight="1" thickBot="1" x14ac:dyDescent="0.35">
      <c r="A13" s="1"/>
      <c r="B13" s="26" t="s">
        <v>16</v>
      </c>
      <c r="C13" s="1"/>
      <c r="D13" s="1"/>
      <c r="E13" s="1"/>
      <c r="F13" s="1"/>
    </row>
    <row r="14" spans="1:60" ht="90" customHeight="1" thickTop="1" thickBot="1" x14ac:dyDescent="0.3">
      <c r="A14" s="1"/>
      <c r="B14" s="503" t="str">
        <f>IF(B845="",AG14,B845)</f>
        <v>Asexual person comes out as transgender in early 90s, gets falsely accused as being a “sexual predator” homophobic stereotype. Convicted without evidence. Must register as sex offender for life. Forced into poverty and homelessness.</v>
      </c>
      <c r="C14" s="504"/>
      <c r="D14" s="505"/>
      <c r="E14" s="27"/>
      <c r="F14" s="1"/>
      <c r="AG14" s="28" t="s">
        <v>17</v>
      </c>
    </row>
    <row r="15" spans="1:60" ht="10.050000000000001" customHeight="1" thickTop="1" thickBot="1" x14ac:dyDescent="0.3">
      <c r="A15" s="1"/>
      <c r="B15" s="1"/>
      <c r="C15" s="1"/>
      <c r="D15" s="1"/>
      <c r="E15" s="1"/>
      <c r="F15" s="1"/>
    </row>
    <row r="16" spans="1:60" ht="16.2" customHeight="1" thickTop="1" thickBot="1" x14ac:dyDescent="0.3">
      <c r="A16" s="1"/>
      <c r="B16" s="29" t="str">
        <f t="shared" ref="B16:B25" si="0">IF(C16=C849,B849,"")</f>
        <v>Highlight 1</v>
      </c>
      <c r="C16" s="506" t="str">
        <f t="shared" ref="C16:C23" si="1">IF(C849="",AR849,C849)</f>
        <v>No other criminal history</v>
      </c>
      <c r="D16" s="506"/>
      <c r="E16" s="1"/>
      <c r="F16" s="1"/>
    </row>
    <row r="17" spans="1:33" ht="19.2" thickTop="1" thickBot="1" x14ac:dyDescent="0.3">
      <c r="A17" s="1"/>
      <c r="B17" s="29" t="str">
        <f t="shared" si="0"/>
        <v>Highlight 2</v>
      </c>
      <c r="C17" s="506" t="str">
        <f t="shared" si="1"/>
        <v>Consistently maintained innocence, took no plea deals</v>
      </c>
      <c r="D17" s="506"/>
      <c r="E17" s="1"/>
      <c r="F17" s="1"/>
    </row>
    <row r="18" spans="1:33" ht="19.2" thickTop="1" thickBot="1" x14ac:dyDescent="0.3">
      <c r="A18" s="1"/>
      <c r="B18" s="29" t="str">
        <f t="shared" si="0"/>
        <v>Highlight 3</v>
      </c>
      <c r="C18" s="506" t="str">
        <f t="shared" si="1"/>
        <v>Transphobic investigation and prosecution</v>
      </c>
      <c r="D18" s="506"/>
      <c r="E18" s="1"/>
      <c r="F18" s="1"/>
    </row>
    <row r="19" spans="1:33" ht="19.2" thickTop="1" thickBot="1" x14ac:dyDescent="0.3">
      <c r="A19" s="1"/>
      <c r="B19" s="29" t="str">
        <f t="shared" si="0"/>
        <v>Highlight 4</v>
      </c>
      <c r="C19" s="506" t="str">
        <f t="shared" si="1"/>
        <v>Convicted without corroborating evidence</v>
      </c>
      <c r="D19" s="506"/>
      <c r="E19" s="1"/>
      <c r="F19" s="1"/>
    </row>
    <row r="20" spans="1:33" ht="19.2" thickTop="1" thickBot="1" x14ac:dyDescent="0.3">
      <c r="A20" s="1"/>
      <c r="B20" s="29" t="str">
        <f t="shared" si="0"/>
        <v>Highlight 5</v>
      </c>
      <c r="C20" s="506" t="str">
        <f t="shared" si="1"/>
        <v>Climate of sex abuse hysteria</v>
      </c>
      <c r="D20" s="506"/>
      <c r="E20" s="1"/>
      <c r="F20" s="1"/>
    </row>
    <row r="21" spans="1:33" ht="19.2" thickTop="1" thickBot="1" x14ac:dyDescent="0.3">
      <c r="A21" s="1"/>
      <c r="B21" s="29" t="str">
        <f t="shared" si="0"/>
        <v>Highlight 6</v>
      </c>
      <c r="C21" s="506" t="str">
        <f t="shared" si="1"/>
        <v>Media sensationalized coverage</v>
      </c>
      <c r="D21" s="506"/>
      <c r="E21" s="1"/>
      <c r="F21" s="1"/>
    </row>
    <row r="22" spans="1:33" ht="19.2" thickTop="1" thickBot="1" x14ac:dyDescent="0.3">
      <c r="A22" s="1"/>
      <c r="B22" s="29" t="str">
        <f t="shared" si="0"/>
        <v>Highlight 7</v>
      </c>
      <c r="C22" s="506" t="str">
        <f t="shared" si="1"/>
        <v>Exculpatory evidence overlooked with untested DNA</v>
      </c>
      <c r="D22" s="506"/>
      <c r="E22" s="1"/>
      <c r="F22" s="1"/>
    </row>
    <row r="23" spans="1:33" ht="19.2" thickTop="1" thickBot="1" x14ac:dyDescent="0.3">
      <c r="A23" s="1"/>
      <c r="B23" s="29" t="str">
        <f t="shared" si="0"/>
        <v>Highlight 8</v>
      </c>
      <c r="C23" s="506" t="str">
        <f t="shared" si="1"/>
        <v>Asexual transperson must register for life as "sex offender"</v>
      </c>
      <c r="D23" s="506"/>
      <c r="E23" s="1"/>
      <c r="F23" s="1"/>
    </row>
    <row r="24" spans="1:33" ht="19.2" thickTop="1" thickBot="1" x14ac:dyDescent="0.3">
      <c r="A24" s="1"/>
      <c r="B24" s="29" t="str">
        <f t="shared" si="0"/>
        <v>Highlight 9</v>
      </c>
      <c r="C24" s="506"/>
      <c r="D24" s="506"/>
      <c r="E24" s="1"/>
      <c r="F24" s="1"/>
    </row>
    <row r="25" spans="1:33" ht="19.2" thickTop="1" thickBot="1" x14ac:dyDescent="0.3">
      <c r="A25" s="1"/>
      <c r="B25" s="29" t="str">
        <f t="shared" si="0"/>
        <v>Highlight 10</v>
      </c>
      <c r="C25" s="506"/>
      <c r="D25" s="506"/>
      <c r="E25" s="1"/>
      <c r="F25" s="1"/>
    </row>
    <row r="26" spans="1:33" ht="18.600000000000001" thickTop="1" x14ac:dyDescent="0.25">
      <c r="A26" s="1"/>
      <c r="B26" s="29"/>
      <c r="C26" s="1"/>
      <c r="D26" s="29"/>
      <c r="E26" s="1"/>
      <c r="F26" s="1"/>
    </row>
    <row r="27" spans="1:33" ht="18.600000000000001" thickBot="1" x14ac:dyDescent="0.35">
      <c r="A27" s="1"/>
      <c r="B27" s="26" t="s">
        <v>18</v>
      </c>
      <c r="C27" s="1"/>
      <c r="D27" s="29"/>
      <c r="E27" s="1"/>
      <c r="F27" s="1"/>
    </row>
    <row r="28" spans="1:33" ht="85.05" customHeight="1" thickTop="1" thickBot="1" x14ac:dyDescent="0.3">
      <c r="A28" s="1"/>
      <c r="B28" s="507" t="str">
        <f>IF(B862="",AG28,B862)</f>
        <v>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v>
      </c>
      <c r="C28" s="508"/>
      <c r="D28" s="509"/>
      <c r="E28" s="1"/>
      <c r="F28" s="1"/>
      <c r="AG28" s="28" t="s">
        <v>19</v>
      </c>
    </row>
    <row r="29" spans="1:33" ht="10.050000000000001" customHeight="1" thickTop="1" x14ac:dyDescent="0.25">
      <c r="A29" s="1"/>
      <c r="B29" s="29"/>
      <c r="C29" s="1"/>
      <c r="D29" s="29"/>
      <c r="E29" s="1"/>
      <c r="F29" s="1"/>
    </row>
    <row r="30" spans="1:33" ht="10.050000000000001" customHeight="1" x14ac:dyDescent="0.25">
      <c r="A30" s="1"/>
      <c r="B30" s="1"/>
      <c r="C30" s="1"/>
      <c r="D30" s="29"/>
      <c r="E30" s="1"/>
      <c r="F30" s="1"/>
    </row>
    <row r="31" spans="1:33" ht="18" x14ac:dyDescent="0.3">
      <c r="A31" s="1"/>
      <c r="B31" s="26" t="s">
        <v>20</v>
      </c>
      <c r="C31" s="1"/>
      <c r="D31" s="29"/>
      <c r="E31" s="1"/>
      <c r="F31" s="1"/>
    </row>
    <row r="32" spans="1:33" ht="4.95" customHeight="1" thickBot="1" x14ac:dyDescent="0.3">
      <c r="A32" s="1"/>
      <c r="B32" s="1"/>
      <c r="C32" s="1"/>
      <c r="D32" s="1"/>
      <c r="E32" s="1"/>
      <c r="F32" s="1"/>
    </row>
    <row r="33" spans="1:62" ht="400.05" customHeight="1" thickTop="1" thickBot="1" x14ac:dyDescent="0.3">
      <c r="A33" s="1"/>
      <c r="B33" s="507" t="str">
        <f>IF(B871="",AG33,B871)</f>
        <v>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
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
A neighborhood child drew curious, peeping into Janet’s window to gawk at what she called the "man with lipstick." When caught not being home on time, the child leveled bizarre claims of sex abuse unbecoming from a child. Exposed to porn?
The child then dragged Steph into her transphobic-indoctrinated accusations. The child claimed Steph posed with her as if she, the young child, was stabbing Steph in the chest with a jelly stained butter knife. She claimed this was to scare her from talking to police, that we would say she was the aggressor. Unbelievable? Not if you already believe trans people are subhuman.
Child testimonies back then were often coached. Trans people were easily vilified. Since no corroborating evidence was necessary back then to convict for sexual misconduct, both transwomen were wrongly convicted and sentenced to long terms in men’s prisons, where Steph’s codefendant transgender sibling died in 2001.
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v>
      </c>
      <c r="C33" s="508"/>
      <c r="D33" s="509"/>
      <c r="E33" s="1"/>
      <c r="F33" s="1"/>
      <c r="AG33" s="28" t="s">
        <v>21</v>
      </c>
    </row>
    <row r="34" spans="1:62" ht="30" customHeight="1" thickTop="1" x14ac:dyDescent="0.25">
      <c r="A34" s="1"/>
      <c r="B34" s="30">
        <f ca="1">IF(AD208=0,0,AD208)</f>
        <v>600000</v>
      </c>
      <c r="C34" s="31" t="str">
        <f ca="1">IF(B34="","","estimated eligible compensation under state law")</f>
        <v>estimated eligible compensation under state law</v>
      </c>
      <c r="D34" s="1"/>
      <c r="E34" s="1"/>
      <c r="F34" s="1"/>
    </row>
    <row r="35" spans="1:62" ht="4.95" customHeight="1" x14ac:dyDescent="0.25">
      <c r="A35" s="1"/>
      <c r="B35" s="30"/>
      <c r="C35" s="31"/>
      <c r="D35" s="1"/>
      <c r="E35" s="1"/>
      <c r="F35" s="1"/>
    </row>
    <row r="36" spans="1:62" x14ac:dyDescent="0.25">
      <c r="A36" s="1"/>
      <c r="B36" s="1"/>
      <c r="C36" s="1"/>
      <c r="D36" s="1"/>
      <c r="E36" s="1"/>
      <c r="F36" s="1"/>
    </row>
    <row r="37" spans="1:62" ht="30" customHeight="1" x14ac:dyDescent="0.25">
      <c r="A37" s="1"/>
      <c r="B37" s="32"/>
      <c r="C37" s="32"/>
      <c r="D37" s="32"/>
      <c r="E37" s="1"/>
      <c r="F37" s="1"/>
    </row>
    <row r="38" spans="1:62" ht="30" customHeight="1" x14ac:dyDescent="0.25">
      <c r="A38" s="1"/>
      <c r="B38" s="32"/>
      <c r="C38" s="32"/>
      <c r="D38" s="32"/>
      <c r="E38" s="1"/>
      <c r="F38" s="1"/>
    </row>
    <row r="39" spans="1:62" ht="30" customHeight="1" x14ac:dyDescent="0.25">
      <c r="A39" s="1"/>
      <c r="B39" s="32"/>
      <c r="C39" s="32"/>
      <c r="D39" s="32"/>
      <c r="E39" s="1"/>
      <c r="F39" s="1"/>
    </row>
    <row r="40" spans="1:62" ht="30" customHeight="1" x14ac:dyDescent="0.25">
      <c r="A40" s="1"/>
      <c r="B40" s="32"/>
      <c r="C40" s="32"/>
      <c r="D40" s="32"/>
      <c r="E40" s="1"/>
      <c r="F40" s="1"/>
    </row>
    <row r="41" spans="1:62" ht="30" customHeight="1" x14ac:dyDescent="0.25">
      <c r="A41" s="1"/>
      <c r="B41" s="32"/>
      <c r="C41" s="32"/>
      <c r="D41" s="32"/>
      <c r="E41" s="1"/>
      <c r="F41" s="1"/>
    </row>
    <row r="42" spans="1:62" ht="30" customHeight="1" x14ac:dyDescent="0.25">
      <c r="A42" s="1"/>
      <c r="B42" s="32"/>
      <c r="C42" s="32"/>
      <c r="D42" s="32"/>
      <c r="E42" s="1"/>
      <c r="F42" s="1"/>
    </row>
    <row r="43" spans="1:62" ht="30" customHeight="1" x14ac:dyDescent="0.25">
      <c r="A43" s="1"/>
      <c r="B43" s="510" t="s">
        <v>22</v>
      </c>
      <c r="C43" s="510"/>
      <c r="D43" s="510"/>
      <c r="E43" s="1"/>
      <c r="F43" s="1"/>
    </row>
    <row r="44" spans="1:62" ht="15" customHeight="1" x14ac:dyDescent="0.25">
      <c r="A44" s="1"/>
      <c r="B44" s="30"/>
      <c r="C44" s="31"/>
      <c r="D44" s="1"/>
      <c r="E44" s="1"/>
      <c r="F44" s="1"/>
    </row>
    <row r="45" spans="1:62" ht="19.95" customHeight="1" x14ac:dyDescent="0.25">
      <c r="A45" s="1"/>
      <c r="B45" s="511" t="s">
        <v>23</v>
      </c>
      <c r="C45" s="511"/>
      <c r="D45" s="511"/>
      <c r="E45" s="1"/>
      <c r="F45" s="1"/>
    </row>
    <row r="46" spans="1:62" ht="72" customHeight="1" x14ac:dyDescent="0.25">
      <c r="A46" s="1"/>
      <c r="B46" s="512" t="str">
        <f>AC792</f>
        <v>Collateral consequences create second-class citizens, often without measurable outcomes to test if meeting their intended purpose. Consequently, they can have the opposite effect, like enabling recidivism--even among the wrongly convicted. this claimant reports enduring so many of these consequences to the point of being cut off from opportunities to live independently. You can help change this.</v>
      </c>
      <c r="C46" s="512"/>
      <c r="D46" s="512"/>
      <c r="E46" s="1"/>
      <c r="F46" s="1"/>
      <c r="BH46" s="30" t="s">
        <v>24</v>
      </c>
      <c r="BJ46" s="34" t="s">
        <v>25</v>
      </c>
    </row>
    <row r="47" spans="1:62" ht="4.95" customHeight="1" x14ac:dyDescent="0.25">
      <c r="A47" s="1"/>
      <c r="B47" s="30"/>
      <c r="C47" s="31"/>
      <c r="D47" s="1"/>
      <c r="E47" s="1"/>
      <c r="F47" s="1"/>
      <c r="BH47" s="30"/>
      <c r="BJ47" s="34"/>
    </row>
    <row r="48" spans="1:62" ht="19.95" customHeight="1" x14ac:dyDescent="0.25">
      <c r="A48" s="1"/>
      <c r="B48" s="511" t="s">
        <v>26</v>
      </c>
      <c r="C48" s="511"/>
      <c r="D48" s="511"/>
      <c r="E48" s="1"/>
      <c r="F48" s="1"/>
      <c r="BH48" s="30" t="s">
        <v>27</v>
      </c>
    </row>
    <row r="49" spans="1:60" ht="60" customHeight="1" x14ac:dyDescent="0.25">
      <c r="A49" s="1"/>
      <c r="B49" s="512" t="str">
        <f>AC811</f>
        <v>Collateral consequences also impact others in Steph Turner's life. Steph Turner shares how family members have suffered from anxiety, depression, divorce, housing instability, poverty, stigma, among other things. You can help improve their lives too!</v>
      </c>
      <c r="C49" s="512"/>
      <c r="D49" s="512"/>
      <c r="E49" s="1"/>
      <c r="F49" s="1"/>
      <c r="BH49" s="30"/>
    </row>
    <row r="50" spans="1:60" ht="4.95" customHeight="1" x14ac:dyDescent="0.25">
      <c r="A50" s="1"/>
      <c r="B50" s="30"/>
      <c r="C50" s="31"/>
      <c r="D50" s="1"/>
      <c r="E50" s="1"/>
      <c r="F50" s="1"/>
      <c r="BH50" s="30"/>
    </row>
    <row r="51" spans="1:60" ht="19.95" customHeight="1" x14ac:dyDescent="0.25">
      <c r="A51" s="1"/>
      <c r="B51" s="511" t="s">
        <v>28</v>
      </c>
      <c r="C51" s="511"/>
      <c r="D51" s="511"/>
      <c r="E51" s="1"/>
      <c r="F51" s="1"/>
      <c r="BH51" s="30" t="s">
        <v>29</v>
      </c>
    </row>
    <row r="52" spans="1:60" ht="60" customHeight="1" x14ac:dyDescent="0.25">
      <c r="A52" s="1"/>
      <c r="B52" s="512" t="str">
        <f>AC836</f>
        <v xml:space="preserve">Despite challenging economic needs, mental health needs, relationships needs, and other needs, this claimant aspires toward income independence, maintaining healthy lifestyle, and other life improvements. Removing illicit discrimination will go a long way toward improving this claimant's life. </v>
      </c>
      <c r="C52" s="512"/>
      <c r="D52" s="512"/>
      <c r="E52" s="1"/>
      <c r="F52" s="1"/>
      <c r="BH52" s="30"/>
    </row>
    <row r="53" spans="1:60" ht="4.95" customHeight="1" x14ac:dyDescent="0.25">
      <c r="A53" s="1"/>
      <c r="B53" s="30"/>
      <c r="C53" s="31"/>
      <c r="D53" s="1"/>
      <c r="E53" s="1"/>
      <c r="F53" s="1"/>
      <c r="BH53" s="30"/>
    </row>
    <row r="54" spans="1:60" ht="15" customHeight="1" x14ac:dyDescent="0.25">
      <c r="A54" s="1"/>
      <c r="B54" s="30"/>
      <c r="C54" s="31"/>
      <c r="D54" s="1"/>
      <c r="E54" s="1"/>
      <c r="F54" s="1"/>
      <c r="AD54" s="35" t="str">
        <f>B208</f>
        <v>Michigan</v>
      </c>
      <c r="AE54" s="36"/>
      <c r="AF54" s="36"/>
      <c r="AG54" s="36"/>
      <c r="AH54" s="37"/>
      <c r="AI54" s="6" t="str">
        <f>D272</f>
        <v>yes</v>
      </c>
      <c r="BH54" s="30"/>
    </row>
    <row r="55" spans="1:60" ht="19.95" customHeight="1" x14ac:dyDescent="0.25">
      <c r="A55" s="1"/>
      <c r="B55" s="511" t="s">
        <v>30</v>
      </c>
      <c r="C55" s="511"/>
      <c r="D55" s="511"/>
      <c r="E55" s="1"/>
      <c r="F55" s="1"/>
      <c r="AD55" s="6" t="s">
        <v>31</v>
      </c>
      <c r="BH55" s="30" t="s">
        <v>32</v>
      </c>
    </row>
    <row r="56" spans="1:60" ht="60" customHeight="1" x14ac:dyDescent="0.25">
      <c r="A56" s="1"/>
      <c r="B56" s="512" t="str">
        <f>IF(AD54="",AD55,AC2157)</f>
        <v xml:space="preserve">Unfortunately, Michigan does not limit how far back and employer can run a background check. Background screeners must rely on indiscriminate records that fail to distinguish between "reliable evidence-based convictions" and "non-exonerated wrongful convictions"--permitting illicit discrimination. </v>
      </c>
      <c r="C56" s="512"/>
      <c r="D56" s="512"/>
      <c r="E56" s="1"/>
      <c r="F56" s="1"/>
      <c r="AD56" s="6" t="str">
        <f>IF(AND($AD$54=$B2167,$AI$54=$B$2163),AC2167,"")</f>
        <v/>
      </c>
    </row>
    <row r="57" spans="1:60" ht="15" customHeight="1" x14ac:dyDescent="0.25">
      <c r="A57" s="1"/>
      <c r="B57" s="30"/>
      <c r="C57" s="31"/>
      <c r="D57" s="1"/>
      <c r="E57" s="1"/>
      <c r="F57" s="1"/>
    </row>
    <row r="58" spans="1:60" ht="19.95" customHeight="1" x14ac:dyDescent="0.25">
      <c r="A58" s="1"/>
      <c r="B58" s="511" t="s">
        <v>33</v>
      </c>
      <c r="C58" s="511"/>
      <c r="D58" s="511"/>
      <c r="E58" s="1"/>
      <c r="F58" s="1"/>
    </row>
    <row r="59" spans="1:60" ht="49.95" customHeight="1" x14ac:dyDescent="0.25">
      <c r="A59" s="1"/>
      <c r="B59" s="513" t="str">
        <f>AD920</f>
        <v>Steph understandably experiences some anxiety from the wrongful conviction. Once hired, much of that should clear up. If not, Value Relating can help.</v>
      </c>
      <c r="C59" s="513"/>
      <c r="D59" s="513"/>
      <c r="E59" s="1"/>
      <c r="F59" s="1"/>
    </row>
    <row r="60" spans="1:60" ht="49.95" customHeight="1" x14ac:dyDescent="0.25">
      <c r="A60" s="1"/>
      <c r="B60" s="513" t="str">
        <f>AD1043</f>
        <v>Steph understandably experiences some depression from the wrongful conviction. The wrongful conviction produces plenty of depressing economic conditions. Once hired, much of that should clear up. If not, Value Relating can help.</v>
      </c>
      <c r="C60" s="513"/>
      <c r="D60" s="513"/>
      <c r="E60" s="1"/>
      <c r="F60" s="1"/>
      <c r="AD60" s="6" t="str">
        <f>CONCATENATE(AG61,AO62,AG63)</f>
        <v>You need those you trust to be trustworthy. Right? You need them to make informed decisions about you, so they don’t waste your precious time. Likewise, Steph needs those they trust, like you, to be trustworthy. They need those like you to be better informed in their decisions regarding them. Acknowledging the widespread problem of wrongful convictions is a start. Using this estimate of innocence can help you make better decisions.</v>
      </c>
    </row>
    <row r="61" spans="1:60" ht="15" customHeight="1" x14ac:dyDescent="0.25">
      <c r="A61" s="1"/>
      <c r="B61" s="30"/>
      <c r="C61" s="31"/>
      <c r="D61" s="1"/>
      <c r="E61" s="1"/>
      <c r="F61" s="1"/>
      <c r="AG61" s="6" t="s">
        <v>34</v>
      </c>
    </row>
    <row r="62" spans="1:60" ht="15" customHeight="1" x14ac:dyDescent="0.25">
      <c r="A62" s="1"/>
      <c r="B62" s="511" t="s">
        <v>35</v>
      </c>
      <c r="C62" s="511"/>
      <c r="D62" s="511"/>
      <c r="E62" s="1"/>
      <c r="F62" s="1"/>
      <c r="AG62" s="6" t="s">
        <v>36</v>
      </c>
      <c r="AI62" s="6" t="str">
        <f>C152</f>
        <v>Steph</v>
      </c>
      <c r="AO62" s="6" t="str">
        <f>IF(OR(AI62=AD152,AI62=""),AG62,AI62)</f>
        <v>Steph</v>
      </c>
    </row>
    <row r="63" spans="1:60" ht="85.05" customHeight="1" x14ac:dyDescent="0.25">
      <c r="A63" s="1"/>
      <c r="B63" s="512" t="str">
        <f>AD60</f>
        <v>You need those you trust to be trustworthy. Right? You need them to make informed decisions about you, so they don’t waste your precious time. Likewise, Steph needs those they trust, like you, to be trustworthy. They need those like you to be better informed in their decisions regarding them. Acknowledging the widespread problem of wrongful convictions is a start. Using this estimate of innocence can help you make better decisions.</v>
      </c>
      <c r="C63" s="512"/>
      <c r="D63" s="512"/>
      <c r="E63" s="1"/>
      <c r="F63" s="1"/>
      <c r="AG63" s="6" t="s">
        <v>37</v>
      </c>
    </row>
    <row r="64" spans="1:60" ht="15" customHeight="1" x14ac:dyDescent="0.25">
      <c r="A64" s="1"/>
      <c r="B64" s="30"/>
      <c r="C64" s="31"/>
      <c r="D64" s="1"/>
      <c r="E64" s="1"/>
      <c r="F64" s="1"/>
    </row>
    <row r="65" spans="1:6" ht="30" customHeight="1" x14ac:dyDescent="0.35">
      <c r="A65" s="38" t="s">
        <v>38</v>
      </c>
      <c r="B65" s="1"/>
      <c r="C65" s="1"/>
      <c r="D65" s="1"/>
      <c r="E65" s="1"/>
      <c r="F65" s="1"/>
    </row>
    <row r="66" spans="1:6" ht="15" customHeight="1" x14ac:dyDescent="0.25">
      <c r="A66" s="1"/>
      <c r="B66" s="30"/>
      <c r="C66" s="31"/>
      <c r="D66" s="1"/>
      <c r="E66" s="1"/>
      <c r="F66" s="1"/>
    </row>
    <row r="67" spans="1:6" ht="15" customHeight="1" x14ac:dyDescent="0.25">
      <c r="A67" s="1"/>
      <c r="B67" s="30"/>
      <c r="C67" s="31"/>
      <c r="D67" s="1"/>
      <c r="E67" s="1"/>
      <c r="F67" s="1"/>
    </row>
    <row r="68" spans="1:6" ht="15" customHeight="1" x14ac:dyDescent="0.25">
      <c r="A68" s="1"/>
      <c r="B68" s="30"/>
      <c r="C68" s="31"/>
      <c r="D68" s="1"/>
      <c r="E68" s="1"/>
      <c r="F68" s="1"/>
    </row>
    <row r="69" spans="1:6" ht="15" customHeight="1" x14ac:dyDescent="0.25">
      <c r="A69" s="1"/>
      <c r="B69" s="30"/>
      <c r="C69" s="31"/>
      <c r="D69" s="1"/>
      <c r="E69" s="1"/>
      <c r="F69" s="1"/>
    </row>
    <row r="70" spans="1:6" ht="15" customHeight="1" x14ac:dyDescent="0.25">
      <c r="A70" s="1"/>
      <c r="B70" s="30"/>
      <c r="C70" s="31"/>
      <c r="D70" s="1"/>
      <c r="E70" s="1"/>
      <c r="F70" s="1"/>
    </row>
    <row r="71" spans="1:6" ht="15" customHeight="1" x14ac:dyDescent="0.25">
      <c r="A71" s="1"/>
      <c r="B71" s="1"/>
      <c r="C71" s="31"/>
      <c r="D71" s="1"/>
      <c r="E71" s="1"/>
      <c r="F71" s="1"/>
    </row>
    <row r="72" spans="1:6" ht="30" customHeight="1" x14ac:dyDescent="0.25">
      <c r="A72" s="1"/>
      <c r="B72" s="1"/>
      <c r="C72" s="31"/>
      <c r="D72" s="1"/>
      <c r="E72" s="1"/>
      <c r="F72" s="1"/>
    </row>
    <row r="73" spans="1:6" ht="15" customHeight="1" x14ac:dyDescent="0.25">
      <c r="A73" s="1"/>
      <c r="B73" s="1"/>
      <c r="C73" s="31"/>
      <c r="D73" s="1"/>
      <c r="E73" s="1"/>
      <c r="F73" s="1"/>
    </row>
    <row r="74" spans="1:6" ht="15" customHeight="1" x14ac:dyDescent="0.25">
      <c r="A74" s="1"/>
      <c r="B74" s="1"/>
      <c r="C74" s="31"/>
      <c r="D74" s="1"/>
      <c r="E74" s="1"/>
      <c r="F74" s="1"/>
    </row>
    <row r="75" spans="1:6" ht="15" customHeight="1" x14ac:dyDescent="0.25">
      <c r="A75" s="1"/>
      <c r="B75" s="30"/>
      <c r="C75" s="31"/>
      <c r="D75" s="1"/>
      <c r="E75" s="1"/>
      <c r="F75" s="1"/>
    </row>
    <row r="76" spans="1:6" ht="15" customHeight="1" x14ac:dyDescent="0.25">
      <c r="A76" s="1"/>
      <c r="B76" s="30"/>
      <c r="C76" s="31"/>
      <c r="D76" s="1"/>
      <c r="E76" s="1"/>
      <c r="F76" s="1"/>
    </row>
    <row r="77" spans="1:6" ht="15" customHeight="1" x14ac:dyDescent="0.25">
      <c r="A77" s="1"/>
      <c r="B77" s="30"/>
      <c r="C77" s="31"/>
      <c r="D77" s="1"/>
      <c r="E77" s="1"/>
      <c r="F77" s="1"/>
    </row>
    <row r="78" spans="1:6" ht="15" customHeight="1" x14ac:dyDescent="0.25">
      <c r="A78" s="1"/>
      <c r="B78" s="30"/>
      <c r="C78" s="31"/>
      <c r="D78" s="1"/>
      <c r="E78" s="1"/>
      <c r="F78" s="1"/>
    </row>
    <row r="79" spans="1:6" ht="15" customHeight="1" x14ac:dyDescent="0.25">
      <c r="A79" s="1"/>
      <c r="B79" s="30"/>
      <c r="C79" s="31"/>
      <c r="D79" s="1"/>
      <c r="E79" s="1"/>
      <c r="F79" s="1"/>
    </row>
    <row r="80" spans="1:6" ht="15" customHeight="1" x14ac:dyDescent="0.25">
      <c r="A80" s="1"/>
      <c r="B80" s="30"/>
      <c r="C80" s="31"/>
      <c r="D80" s="1"/>
      <c r="E80" s="1"/>
      <c r="F80" s="1"/>
    </row>
    <row r="81" spans="1:77" ht="15" customHeight="1" x14ac:dyDescent="0.25">
      <c r="A81" s="1"/>
      <c r="B81" s="30"/>
      <c r="C81" s="31"/>
      <c r="D81" s="1"/>
      <c r="E81" s="1"/>
      <c r="F81" s="1"/>
    </row>
    <row r="82" spans="1:77" ht="15" customHeight="1" x14ac:dyDescent="0.25">
      <c r="A82" s="1"/>
      <c r="B82" s="30"/>
      <c r="C82" s="31"/>
      <c r="D82" s="1"/>
      <c r="E82" s="1"/>
      <c r="F82" s="1"/>
    </row>
    <row r="83" spans="1:77" ht="15" customHeight="1" x14ac:dyDescent="0.25">
      <c r="A83" s="1"/>
      <c r="B83" s="30"/>
      <c r="C83" s="31"/>
      <c r="D83" s="1"/>
      <c r="E83" s="1"/>
      <c r="F83" s="1"/>
    </row>
    <row r="84" spans="1:77" ht="15" customHeight="1" x14ac:dyDescent="0.25">
      <c r="A84" s="1"/>
      <c r="B84" s="30"/>
      <c r="C84" s="518" t="s">
        <v>39</v>
      </c>
      <c r="D84" s="519" t="s">
        <v>40</v>
      </c>
      <c r="E84" s="519"/>
      <c r="F84" s="1"/>
    </row>
    <row r="85" spans="1:77" ht="15" customHeight="1" thickBot="1" x14ac:dyDescent="0.3">
      <c r="A85" s="1"/>
      <c r="B85" s="30"/>
      <c r="C85" s="518"/>
      <c r="D85" s="519"/>
      <c r="E85" s="519"/>
      <c r="F85" s="1"/>
    </row>
    <row r="86" spans="1:77" ht="15" customHeight="1" x14ac:dyDescent="0.25">
      <c r="A86" s="1"/>
      <c r="B86" s="514" t="s">
        <v>41</v>
      </c>
      <c r="C86" s="520" t="s">
        <v>42</v>
      </c>
      <c r="D86" s="521" t="s">
        <v>43</v>
      </c>
      <c r="E86" s="522"/>
      <c r="F86" s="1"/>
    </row>
    <row r="87" spans="1:77" ht="15" customHeight="1" x14ac:dyDescent="0.25">
      <c r="A87" s="1"/>
      <c r="B87" s="514"/>
      <c r="C87" s="515"/>
      <c r="D87" s="516"/>
      <c r="E87" s="517"/>
      <c r="F87" s="1"/>
    </row>
    <row r="88" spans="1:77" ht="15" customHeight="1" x14ac:dyDescent="0.25">
      <c r="A88" s="1"/>
      <c r="B88" s="514" t="s">
        <v>44</v>
      </c>
      <c r="C88" s="515" t="s">
        <v>45</v>
      </c>
      <c r="D88" s="516" t="s">
        <v>46</v>
      </c>
      <c r="E88" s="517"/>
      <c r="F88" s="1"/>
    </row>
    <row r="89" spans="1:77" ht="15" customHeight="1" x14ac:dyDescent="0.25">
      <c r="A89" s="1"/>
      <c r="B89" s="514"/>
      <c r="C89" s="515"/>
      <c r="D89" s="516"/>
      <c r="E89" s="517"/>
      <c r="F89" s="1"/>
    </row>
    <row r="90" spans="1:77" ht="15" customHeight="1" x14ac:dyDescent="0.25">
      <c r="A90" s="1"/>
      <c r="B90" s="514" t="s">
        <v>47</v>
      </c>
      <c r="C90" s="515" t="s">
        <v>48</v>
      </c>
      <c r="D90" s="516" t="s">
        <v>49</v>
      </c>
      <c r="E90" s="517"/>
      <c r="F90" s="1"/>
    </row>
    <row r="91" spans="1:77" ht="15" customHeight="1" x14ac:dyDescent="0.25">
      <c r="A91" s="1"/>
      <c r="B91" s="514"/>
      <c r="C91" s="515"/>
      <c r="D91" s="516"/>
      <c r="E91" s="517"/>
      <c r="F91" s="1"/>
    </row>
    <row r="92" spans="1:77" ht="15" customHeight="1" x14ac:dyDescent="0.25">
      <c r="A92" s="1"/>
      <c r="B92" s="514" t="s">
        <v>50</v>
      </c>
      <c r="C92" s="515" t="s">
        <v>51</v>
      </c>
      <c r="D92" s="516" t="s">
        <v>52</v>
      </c>
      <c r="E92" s="517"/>
      <c r="F92" s="1"/>
    </row>
    <row r="93" spans="1:77" ht="15" customHeight="1" x14ac:dyDescent="0.25">
      <c r="A93" s="1"/>
      <c r="B93" s="514"/>
      <c r="C93" s="515"/>
      <c r="D93" s="516"/>
      <c r="E93" s="517"/>
      <c r="F93" s="1"/>
    </row>
    <row r="94" spans="1:77" ht="15" customHeight="1" x14ac:dyDescent="0.25">
      <c r="A94" s="1"/>
      <c r="B94" s="514" t="s">
        <v>53</v>
      </c>
      <c r="C94" s="515" t="s">
        <v>54</v>
      </c>
      <c r="D94" s="516" t="s">
        <v>55</v>
      </c>
      <c r="E94" s="517"/>
      <c r="F94" s="1"/>
    </row>
    <row r="95" spans="1:77" ht="15" customHeight="1" x14ac:dyDescent="0.25">
      <c r="A95" s="1"/>
      <c r="B95" s="514"/>
      <c r="C95" s="515"/>
      <c r="D95" s="516"/>
      <c r="E95" s="517"/>
      <c r="F95" s="1"/>
    </row>
    <row r="96" spans="1:77" ht="15" customHeight="1" x14ac:dyDescent="0.25">
      <c r="A96" s="1"/>
      <c r="B96" s="514" t="s">
        <v>56</v>
      </c>
      <c r="C96" s="515" t="s">
        <v>57</v>
      </c>
      <c r="D96" s="516" t="s">
        <v>58</v>
      </c>
      <c r="E96" s="517"/>
      <c r="F96" s="1"/>
      <c r="BY96" s="34" t="s">
        <v>25</v>
      </c>
    </row>
    <row r="97" spans="1:77" ht="15" customHeight="1" x14ac:dyDescent="0.25">
      <c r="A97" s="1"/>
      <c r="B97" s="514"/>
      <c r="C97" s="515"/>
      <c r="D97" s="516"/>
      <c r="E97" s="517"/>
      <c r="F97" s="1"/>
      <c r="BY97" s="34" t="s">
        <v>59</v>
      </c>
    </row>
    <row r="98" spans="1:77" ht="15" customHeight="1" x14ac:dyDescent="0.25">
      <c r="A98" s="1"/>
      <c r="B98" s="514" t="s">
        <v>60</v>
      </c>
      <c r="C98" s="515" t="s">
        <v>61</v>
      </c>
      <c r="D98" s="516" t="s">
        <v>62</v>
      </c>
      <c r="E98" s="517"/>
      <c r="F98" s="1"/>
      <c r="BY98" s="34" t="s">
        <v>63</v>
      </c>
    </row>
    <row r="99" spans="1:77" ht="15" customHeight="1" x14ac:dyDescent="0.25">
      <c r="A99" s="1"/>
      <c r="B99" s="514"/>
      <c r="C99" s="515"/>
      <c r="D99" s="516"/>
      <c r="E99" s="517"/>
      <c r="F99" s="1"/>
      <c r="BY99" s="34" t="s">
        <v>64</v>
      </c>
    </row>
    <row r="100" spans="1:77" ht="15" customHeight="1" x14ac:dyDescent="0.25">
      <c r="A100" s="1"/>
      <c r="B100" s="514" t="s">
        <v>65</v>
      </c>
      <c r="C100" s="515" t="s">
        <v>66</v>
      </c>
      <c r="D100" s="516" t="s">
        <v>67</v>
      </c>
      <c r="E100" s="517"/>
      <c r="F100" s="1"/>
    </row>
    <row r="101" spans="1:77" ht="15" customHeight="1" thickBot="1" x14ac:dyDescent="0.3">
      <c r="A101" s="1"/>
      <c r="B101" s="514"/>
      <c r="C101" s="523"/>
      <c r="D101" s="524"/>
      <c r="E101" s="525"/>
      <c r="F101" s="1"/>
    </row>
    <row r="102" spans="1:77" ht="15" customHeight="1" x14ac:dyDescent="0.3">
      <c r="A102" s="1"/>
      <c r="B102" s="30"/>
      <c r="C102" s="31"/>
      <c r="D102" s="1"/>
      <c r="E102" s="1"/>
      <c r="F102" s="1"/>
      <c r="AL102"/>
    </row>
    <row r="103" spans="1:77" ht="15" customHeight="1" x14ac:dyDescent="0.25">
      <c r="A103" s="1"/>
      <c r="B103" s="30"/>
      <c r="C103" s="31"/>
      <c r="D103" s="1"/>
      <c r="E103" s="1"/>
      <c r="F103" s="1"/>
    </row>
    <row r="104" spans="1:77" ht="49.95" customHeight="1" x14ac:dyDescent="0.25">
      <c r="A104" s="1"/>
      <c r="B104" s="30"/>
      <c r="C104" s="31"/>
      <c r="D104" s="1"/>
      <c r="E104" s="1"/>
      <c r="F104" s="1"/>
    </row>
    <row r="105" spans="1:77" ht="10.050000000000001" customHeight="1" x14ac:dyDescent="0.25">
      <c r="A105" s="1"/>
      <c r="B105" s="30"/>
      <c r="C105" s="31"/>
      <c r="D105" s="1"/>
      <c r="E105" s="1"/>
      <c r="F105" s="1"/>
    </row>
    <row r="106" spans="1:77" ht="25.05" customHeight="1" x14ac:dyDescent="0.35">
      <c r="A106" s="39" t="s">
        <v>68</v>
      </c>
      <c r="B106" s="1"/>
      <c r="C106" s="1"/>
      <c r="D106" s="1"/>
      <c r="E106" s="1"/>
      <c r="F106" s="1"/>
    </row>
    <row r="107" spans="1:77" ht="4.95" customHeight="1" x14ac:dyDescent="0.35">
      <c r="A107" s="39"/>
      <c r="B107" s="1"/>
      <c r="C107" s="1"/>
      <c r="D107" s="1"/>
      <c r="E107" s="1"/>
      <c r="F107" s="1"/>
    </row>
    <row r="108" spans="1:77" ht="18" customHeight="1" x14ac:dyDescent="0.5">
      <c r="A108" s="40" t="s">
        <v>69</v>
      </c>
      <c r="B108" s="40" t="str">
        <f>B149</f>
        <v>Case information</v>
      </c>
      <c r="C108" s="1"/>
      <c r="D108" s="1"/>
      <c r="E108" s="1"/>
      <c r="F108" s="1"/>
    </row>
    <row r="109" spans="1:77" ht="13.95" customHeight="1" x14ac:dyDescent="0.25">
      <c r="A109" s="41"/>
      <c r="B109" s="44" t="s">
        <v>70</v>
      </c>
      <c r="C109" s="41"/>
      <c r="D109" s="41"/>
      <c r="E109" s="1"/>
      <c r="F109" s="1"/>
    </row>
    <row r="110" spans="1:77" ht="18" customHeight="1" x14ac:dyDescent="0.5">
      <c r="A110" s="40" t="s">
        <v>71</v>
      </c>
      <c r="B110" s="40" t="str">
        <f>B296</f>
        <v>Documentation for verification</v>
      </c>
      <c r="C110" s="1"/>
      <c r="D110" s="1"/>
      <c r="E110" s="1"/>
      <c r="F110" s="1"/>
    </row>
    <row r="111" spans="1:77" ht="13.95" customHeight="1" x14ac:dyDescent="0.25">
      <c r="A111" s="41"/>
      <c r="B111" s="44" t="s">
        <v>72</v>
      </c>
      <c r="C111" s="41"/>
      <c r="D111" s="41"/>
      <c r="E111" s="1"/>
      <c r="F111" s="1"/>
    </row>
    <row r="112" spans="1:77" ht="18" customHeight="1" x14ac:dyDescent="0.5">
      <c r="A112" s="42" t="s">
        <v>73</v>
      </c>
      <c r="B112" s="43" t="str">
        <f>B462</f>
        <v>Common factors in wrongful convictions</v>
      </c>
      <c r="C112" s="1"/>
      <c r="D112" s="1"/>
      <c r="E112" s="1"/>
      <c r="F112" s="1"/>
    </row>
    <row r="113" spans="1:47" ht="13.95" customHeight="1" x14ac:dyDescent="0.4">
      <c r="A113" s="42"/>
      <c r="B113" s="484" t="s">
        <v>74</v>
      </c>
      <c r="C113" s="41"/>
      <c r="D113" s="41"/>
      <c r="E113" s="1"/>
      <c r="F113" s="1"/>
    </row>
    <row r="114" spans="1:47" ht="18" customHeight="1" x14ac:dyDescent="0.5">
      <c r="A114" s="42" t="s">
        <v>75</v>
      </c>
      <c r="B114" s="43" t="str">
        <f>B497</f>
        <v>Evidentiary factors</v>
      </c>
      <c r="C114" s="1"/>
      <c r="D114" s="1"/>
      <c r="E114" s="1"/>
      <c r="F114" s="1"/>
    </row>
    <row r="115" spans="1:47" ht="13.95" customHeight="1" x14ac:dyDescent="0.4">
      <c r="A115" s="42"/>
      <c r="B115" s="484" t="s">
        <v>76</v>
      </c>
      <c r="C115" s="41"/>
      <c r="D115" s="41"/>
      <c r="E115" s="1"/>
      <c r="F115" s="1"/>
    </row>
    <row r="116" spans="1:47" ht="18" customHeight="1" x14ac:dyDescent="0.5">
      <c r="A116" s="42" t="s">
        <v>77</v>
      </c>
      <c r="B116" s="43" t="str">
        <f>B531</f>
        <v>Investigative factors</v>
      </c>
      <c r="C116" s="1"/>
      <c r="D116" s="1"/>
      <c r="E116" s="1"/>
      <c r="F116" s="1"/>
    </row>
    <row r="117" spans="1:47" ht="13.95" customHeight="1" x14ac:dyDescent="0.4">
      <c r="A117" s="42"/>
      <c r="B117" s="484" t="s">
        <v>78</v>
      </c>
      <c r="C117" s="41"/>
      <c r="D117" s="41"/>
      <c r="E117" s="1"/>
      <c r="F117" s="1"/>
    </row>
    <row r="118" spans="1:47" ht="18" customHeight="1" x14ac:dyDescent="0.5">
      <c r="A118" s="42" t="s">
        <v>79</v>
      </c>
      <c r="B118" s="43" t="str">
        <f>B565</f>
        <v>Complicating factors</v>
      </c>
      <c r="C118" s="1"/>
      <c r="D118" s="1"/>
      <c r="E118" s="1"/>
      <c r="F118" s="1"/>
    </row>
    <row r="119" spans="1:47" ht="13.95" customHeight="1" x14ac:dyDescent="0.4">
      <c r="A119" s="42"/>
      <c r="B119" s="484" t="s">
        <v>80</v>
      </c>
      <c r="C119" s="41"/>
      <c r="D119" s="41"/>
      <c r="E119" s="1"/>
      <c r="F119" s="1"/>
    </row>
    <row r="120" spans="1:47" ht="18" customHeight="1" x14ac:dyDescent="0.5">
      <c r="A120" s="42" t="s">
        <v>81</v>
      </c>
      <c r="B120" s="43" t="str">
        <f>B599</f>
        <v>Claimant’s demonstratable innocence</v>
      </c>
      <c r="C120" s="1"/>
      <c r="D120" s="1"/>
      <c r="E120" s="1"/>
      <c r="F120" s="1"/>
    </row>
    <row r="121" spans="1:47" ht="13.95" customHeight="1" x14ac:dyDescent="0.4">
      <c r="A121" s="42"/>
      <c r="B121" s="484" t="s">
        <v>82</v>
      </c>
      <c r="C121" s="41"/>
      <c r="D121" s="41"/>
      <c r="E121" s="1"/>
      <c r="F121" s="1"/>
    </row>
    <row r="122" spans="1:47" ht="18" customHeight="1" x14ac:dyDescent="0.5">
      <c r="A122" s="42" t="s">
        <v>83</v>
      </c>
      <c r="B122" s="43" t="str">
        <f>B642</f>
        <v>Claimant’s innocence recognized by others</v>
      </c>
      <c r="C122" s="1"/>
      <c r="D122" s="1"/>
      <c r="E122" s="1"/>
      <c r="F122" s="1"/>
    </row>
    <row r="123" spans="1:47" ht="13.95" customHeight="1" x14ac:dyDescent="0.4">
      <c r="A123" s="42"/>
      <c r="B123" s="484" t="s">
        <v>84</v>
      </c>
      <c r="C123" s="41"/>
      <c r="D123" s="41"/>
      <c r="E123" s="1"/>
      <c r="F123" s="1"/>
    </row>
    <row r="124" spans="1:47" ht="18" customHeight="1" x14ac:dyDescent="0.5">
      <c r="A124" s="42" t="s">
        <v>85</v>
      </c>
      <c r="B124" s="43" t="str">
        <f>B681</f>
        <v>Other</v>
      </c>
      <c r="C124" s="1"/>
      <c r="D124" s="1"/>
      <c r="E124" s="1"/>
      <c r="F124" s="1"/>
      <c r="AP124" s="6" t="str">
        <f>_Toc525862528</f>
        <v>Notifying</v>
      </c>
    </row>
    <row r="125" spans="1:47" ht="13.95" customHeight="1" x14ac:dyDescent="0.4">
      <c r="A125" s="42"/>
      <c r="B125" s="484" t="s">
        <v>86</v>
      </c>
      <c r="C125" s="41"/>
      <c r="D125" s="41"/>
      <c r="E125" s="1"/>
      <c r="F125" s="1"/>
    </row>
    <row r="126" spans="1:47" ht="18" customHeight="1" x14ac:dyDescent="0.5">
      <c r="A126" s="42" t="s">
        <v>87</v>
      </c>
      <c r="B126" s="43" t="str">
        <f>B691</f>
        <v>Process</v>
      </c>
      <c r="C126" s="1"/>
      <c r="D126" s="1"/>
      <c r="E126" s="1"/>
      <c r="F126" s="1"/>
    </row>
    <row r="127" spans="1:47" ht="13.95" customHeight="1" x14ac:dyDescent="0.4">
      <c r="A127" s="42"/>
      <c r="B127" s="484" t="s">
        <v>88</v>
      </c>
      <c r="C127" s="41"/>
      <c r="D127" s="41"/>
      <c r="E127" s="1"/>
      <c r="F127" s="1"/>
    </row>
    <row r="128" spans="1:47" ht="18" customHeight="1" x14ac:dyDescent="0.5">
      <c r="A128" s="40" t="s">
        <v>89</v>
      </c>
      <c r="B128" s="40" t="str">
        <f>B719</f>
        <v>Requests and responses for exoneration help</v>
      </c>
      <c r="C128" s="1"/>
      <c r="D128" s="1"/>
      <c r="E128" s="1"/>
      <c r="F128" s="1"/>
      <c r="AU128"/>
    </row>
    <row r="129" spans="1:28" ht="13.95" customHeight="1" x14ac:dyDescent="0.5">
      <c r="A129" s="40"/>
      <c r="B129" s="44" t="s">
        <v>90</v>
      </c>
      <c r="C129" s="41"/>
      <c r="D129" s="41"/>
      <c r="E129" s="1"/>
      <c r="F129" s="1"/>
    </row>
    <row r="130" spans="1:28" ht="18" customHeight="1" x14ac:dyDescent="0.5">
      <c r="A130" s="40" t="s">
        <v>91</v>
      </c>
      <c r="B130" s="40" t="str">
        <f>B762</f>
        <v>Collateral consequences of wrongful conviction</v>
      </c>
      <c r="C130" s="1"/>
      <c r="D130" s="1"/>
      <c r="E130" s="1"/>
      <c r="F130" s="1"/>
      <c r="AB130"/>
    </row>
    <row r="131" spans="1:28" ht="13.95" customHeight="1" x14ac:dyDescent="0.25">
      <c r="A131" s="41"/>
      <c r="B131" s="44" t="s">
        <v>92</v>
      </c>
      <c r="C131" s="41"/>
      <c r="D131" s="41"/>
      <c r="E131" s="1"/>
      <c r="F131" s="1"/>
    </row>
    <row r="132" spans="1:28" ht="18" customHeight="1" x14ac:dyDescent="0.5">
      <c r="A132" s="40" t="s">
        <v>93</v>
      </c>
      <c r="B132" s="40" t="str">
        <f>B839</f>
        <v>Claimant narrative</v>
      </c>
      <c r="C132" s="1"/>
      <c r="D132" s="1"/>
      <c r="E132" s="1"/>
      <c r="F132" s="1"/>
    </row>
    <row r="133" spans="1:28" ht="13.95" customHeight="1" x14ac:dyDescent="0.25">
      <c r="A133" s="41"/>
      <c r="B133" s="44" t="s">
        <v>94</v>
      </c>
      <c r="C133" s="41"/>
      <c r="D133" s="41"/>
      <c r="E133" s="1"/>
      <c r="F133" s="1"/>
    </row>
    <row r="134" spans="1:28" ht="18" customHeight="1" x14ac:dyDescent="0.5">
      <c r="A134" s="40" t="str">
        <f>A1062</f>
        <v>G.</v>
      </c>
      <c r="B134" s="40" t="str">
        <f>B1062</f>
        <v>Compensation</v>
      </c>
      <c r="C134" s="1"/>
      <c r="D134" s="1"/>
      <c r="E134" s="1"/>
      <c r="F134" s="1"/>
    </row>
    <row r="135" spans="1:28" ht="13.95" customHeight="1" x14ac:dyDescent="0.25">
      <c r="A135" s="1"/>
      <c r="B135" s="44" t="s">
        <v>97</v>
      </c>
      <c r="C135" s="1"/>
      <c r="D135" s="1"/>
      <c r="E135" s="1"/>
      <c r="F135" s="1"/>
    </row>
    <row r="136" spans="1:28" ht="18" customHeight="1" x14ac:dyDescent="0.5">
      <c r="A136" s="40" t="str">
        <f>A1597</f>
        <v>H.</v>
      </c>
      <c r="B136" s="40" t="str">
        <f>B1597</f>
        <v>You're not alone</v>
      </c>
      <c r="C136" s="1"/>
      <c r="D136" s="1"/>
      <c r="E136" s="1"/>
      <c r="F136" s="1"/>
    </row>
    <row r="137" spans="1:28" ht="13.95" customHeight="1" x14ac:dyDescent="0.25">
      <c r="A137" s="1"/>
      <c r="B137" s="44" t="s">
        <v>100</v>
      </c>
      <c r="C137" s="1"/>
      <c r="D137" s="1"/>
      <c r="E137" s="1"/>
      <c r="F137" s="1"/>
    </row>
    <row r="138" spans="1:28" ht="18" customHeight="1" x14ac:dyDescent="0.5">
      <c r="A138" s="476"/>
      <c r="B138" s="476"/>
      <c r="C138" s="1"/>
      <c r="D138" s="1"/>
      <c r="E138" s="1"/>
      <c r="F138" s="1"/>
    </row>
    <row r="139" spans="1:28" ht="13.95" customHeight="1" x14ac:dyDescent="0.25">
      <c r="A139" s="477"/>
      <c r="B139" s="478"/>
      <c r="C139" s="1"/>
      <c r="D139" s="1"/>
      <c r="E139" s="1"/>
      <c r="F139" s="1"/>
    </row>
    <row r="140" spans="1:28" ht="18" customHeight="1" x14ac:dyDescent="0.5">
      <c r="A140" s="476"/>
      <c r="B140" s="476"/>
      <c r="C140" s="1"/>
      <c r="D140" s="1"/>
      <c r="E140" s="1"/>
      <c r="F140" s="1"/>
      <c r="AB140"/>
    </row>
    <row r="141" spans="1:28" ht="13.95" customHeight="1" x14ac:dyDescent="0.25">
      <c r="A141" s="477"/>
      <c r="B141" s="478"/>
      <c r="C141" s="1"/>
      <c r="D141" s="1"/>
      <c r="E141" s="1"/>
      <c r="F141" s="1"/>
    </row>
    <row r="142" spans="1:28" ht="18" customHeight="1" x14ac:dyDescent="0.5">
      <c r="A142" s="476"/>
      <c r="B142" s="476"/>
      <c r="C142" s="1"/>
      <c r="D142" s="1"/>
      <c r="E142" s="1"/>
      <c r="F142" s="1"/>
    </row>
    <row r="143" spans="1:28" ht="13.95" customHeight="1" x14ac:dyDescent="0.25">
      <c r="A143" s="477"/>
      <c r="B143" s="478"/>
      <c r="C143" s="1"/>
      <c r="D143" s="1"/>
      <c r="E143" s="1"/>
      <c r="F143" s="1"/>
    </row>
    <row r="144" spans="1:28" ht="18" customHeight="1" x14ac:dyDescent="0.5">
      <c r="A144" s="476"/>
      <c r="B144" s="476"/>
      <c r="C144" s="1"/>
      <c r="D144" s="1"/>
      <c r="E144" s="1"/>
      <c r="F144" s="1"/>
    </row>
    <row r="145" spans="1:54" ht="13.95" customHeight="1" x14ac:dyDescent="0.25">
      <c r="A145" s="477"/>
      <c r="B145" s="478"/>
      <c r="C145" s="1"/>
      <c r="D145" s="1"/>
      <c r="E145" s="1"/>
      <c r="F145" s="1"/>
    </row>
    <row r="146" spans="1:54" ht="18" customHeight="1" x14ac:dyDescent="0.25">
      <c r="A146" s="1"/>
      <c r="B146" s="1"/>
      <c r="C146" s="1"/>
      <c r="D146" s="1"/>
      <c r="E146" s="1"/>
      <c r="F146" s="1"/>
    </row>
    <row r="147" spans="1:54" ht="13.95" customHeight="1" x14ac:dyDescent="0.25">
      <c r="A147" s="1"/>
      <c r="B147" s="1"/>
      <c r="C147" s="1"/>
      <c r="D147" s="1"/>
      <c r="E147" s="1"/>
      <c r="F147" s="1"/>
    </row>
    <row r="148" spans="1:54" ht="7.95" customHeight="1" x14ac:dyDescent="0.25">
      <c r="A148" s="1"/>
      <c r="B148" s="1"/>
      <c r="C148" s="1"/>
      <c r="D148" s="1"/>
      <c r="E148" s="1"/>
      <c r="F148" s="1"/>
    </row>
    <row r="149" spans="1:54" ht="30" customHeight="1" x14ac:dyDescent="0.25">
      <c r="A149" s="46" t="s">
        <v>101</v>
      </c>
      <c r="B149" s="46" t="s">
        <v>102</v>
      </c>
      <c r="C149" s="46"/>
      <c r="D149" s="46"/>
      <c r="E149" s="47"/>
      <c r="F149" s="475" t="s">
        <v>949</v>
      </c>
    </row>
    <row r="150" spans="1:54" ht="17.399999999999999" x14ac:dyDescent="0.3">
      <c r="A150" s="48"/>
      <c r="B150" s="531" t="s">
        <v>103</v>
      </c>
      <c r="C150" s="531"/>
      <c r="D150" s="531"/>
      <c r="E150" s="49"/>
      <c r="F150" s="49"/>
      <c r="AP150"/>
    </row>
    <row r="151" spans="1:54" ht="10.050000000000001" customHeight="1" thickBot="1" x14ac:dyDescent="0.3">
      <c r="A151" s="50"/>
      <c r="B151" s="50"/>
      <c r="C151" s="50"/>
      <c r="D151" s="50"/>
      <c r="E151" s="50"/>
      <c r="F151" s="1"/>
    </row>
    <row r="152" spans="1:54" ht="25.05" customHeight="1" thickTop="1" thickBot="1" x14ac:dyDescent="0.45">
      <c r="A152" s="50"/>
      <c r="B152" s="51" t="s">
        <v>104</v>
      </c>
      <c r="C152" s="52" t="s">
        <v>105</v>
      </c>
      <c r="D152" s="52" t="s">
        <v>106</v>
      </c>
      <c r="E152" s="50"/>
      <c r="F152" s="1"/>
      <c r="AD152" s="6" t="str">
        <f>"FIRST NAME"</f>
        <v>FIRST NAME</v>
      </c>
      <c r="AH152" s="6" t="s">
        <v>107</v>
      </c>
      <c r="AN152" s="35" t="str">
        <f>IF(NOT(C152=AD152),C152,"Claimant")</f>
        <v>Steph</v>
      </c>
      <c r="AO152" s="36"/>
      <c r="AP152" s="36"/>
      <c r="AQ152" s="36"/>
      <c r="AR152" s="36"/>
      <c r="AS152" s="36"/>
      <c r="AT152" s="37"/>
    </row>
    <row r="153" spans="1:54" ht="15" thickTop="1" thickBot="1" x14ac:dyDescent="0.3">
      <c r="A153" s="50"/>
      <c r="B153" s="50"/>
      <c r="C153" s="53" t="s">
        <v>108</v>
      </c>
      <c r="D153" s="53" t="s">
        <v>109</v>
      </c>
      <c r="E153" s="50"/>
      <c r="F153" s="1"/>
    </row>
    <row r="154" spans="1:54" ht="15" thickTop="1" thickBot="1" x14ac:dyDescent="0.3">
      <c r="A154" s="50"/>
      <c r="B154" s="50"/>
      <c r="C154" s="54" t="s">
        <v>110</v>
      </c>
      <c r="D154" s="55"/>
      <c r="E154" s="50"/>
      <c r="F154" s="1"/>
    </row>
    <row r="155" spans="1:54" ht="15" thickTop="1" thickBot="1" x14ac:dyDescent="0.3">
      <c r="A155" s="50"/>
      <c r="B155" s="50"/>
      <c r="C155" s="53" t="s">
        <v>111</v>
      </c>
      <c r="D155" s="53" t="s">
        <v>112</v>
      </c>
      <c r="E155" s="50"/>
      <c r="F155" s="1"/>
      <c r="AJ155" s="526">
        <v>37798</v>
      </c>
      <c r="AK155" s="526"/>
      <c r="AL155" s="526"/>
      <c r="AM155" s="6" t="s">
        <v>113</v>
      </c>
      <c r="AQ155" s="532"/>
      <c r="AR155" s="532"/>
    </row>
    <row r="156" spans="1:54" ht="15" thickTop="1" thickBot="1" x14ac:dyDescent="0.3">
      <c r="A156" s="50"/>
      <c r="B156" s="50"/>
      <c r="C156" s="54">
        <v>23000</v>
      </c>
      <c r="D156" s="54" t="s">
        <v>114</v>
      </c>
      <c r="E156" s="50"/>
      <c r="F156" s="1"/>
      <c r="AB156" s="57"/>
      <c r="AD156" s="6" t="str">
        <f>C2425</f>
        <v>other (explain in box)</v>
      </c>
      <c r="AJ156" s="58">
        <f>IF(AND(D202&lt;AJ155,D156=AD156),2,1)</f>
        <v>2</v>
      </c>
      <c r="AK156" s="58" t="s">
        <v>115</v>
      </c>
      <c r="AM156" s="58">
        <f>IF($AF$587&gt;2,1.12,1)</f>
        <v>1.1200000000000001</v>
      </c>
      <c r="AO156" s="58">
        <f>IF($AF$592&gt;2,1.12,1)</f>
        <v>1.1200000000000001</v>
      </c>
      <c r="BB156" s="59">
        <f>ROUND(AJ156*AM156*AO156,1)</f>
        <v>2.5</v>
      </c>
    </row>
    <row r="157" spans="1:54" ht="15" thickTop="1" thickBot="1" x14ac:dyDescent="0.3">
      <c r="A157" s="50"/>
      <c r="B157" s="50"/>
      <c r="C157" s="53" t="s">
        <v>116</v>
      </c>
      <c r="D157" s="53" t="s">
        <v>117</v>
      </c>
      <c r="E157" s="50"/>
      <c r="F157" s="1"/>
    </row>
    <row r="158" spans="1:54" ht="15" thickTop="1" thickBot="1" x14ac:dyDescent="0.3">
      <c r="A158" s="50"/>
      <c r="B158" s="50"/>
      <c r="C158" s="54" t="s">
        <v>118</v>
      </c>
      <c r="D158" s="54" t="s">
        <v>119</v>
      </c>
      <c r="E158" s="50"/>
      <c r="F158" s="1"/>
      <c r="AB158" s="57"/>
      <c r="AD158" s="6" t="str">
        <f>C2428</f>
        <v>primarily white</v>
      </c>
      <c r="AH158" s="6" t="str">
        <f>C2429</f>
        <v>primarily black</v>
      </c>
      <c r="AL158" s="6" t="str">
        <f>C2430</f>
        <v>nonwhite hispanic</v>
      </c>
      <c r="AQ158" s="6" t="str">
        <f>C2431</f>
        <v>other (explain in box)</v>
      </c>
    </row>
    <row r="159" spans="1:54" ht="15" thickTop="1" thickBot="1" x14ac:dyDescent="0.3">
      <c r="A159" s="50"/>
      <c r="B159" s="50"/>
      <c r="C159" s="53" t="s">
        <v>120</v>
      </c>
      <c r="D159" s="50"/>
      <c r="E159" s="50"/>
      <c r="F159" s="1"/>
      <c r="AD159" s="6">
        <f>IF($C158=AD158,1,0)</f>
        <v>1</v>
      </c>
      <c r="AE159" s="6">
        <f>IF($AF$587&gt;2,1.5,1)</f>
        <v>1.5</v>
      </c>
      <c r="AF159" s="6">
        <f>IF($AF$592&gt;2,1.5,1)</f>
        <v>1.5</v>
      </c>
      <c r="AG159" s="58">
        <f>AD159*AE159*AF159</f>
        <v>2.25</v>
      </c>
      <c r="AH159" s="6">
        <f>IF($C158=AH158,3,0)</f>
        <v>0</v>
      </c>
      <c r="AI159" s="6">
        <f>IF($AF$587&gt;2,1.5,0)</f>
        <v>1.5</v>
      </c>
      <c r="AJ159" s="6">
        <f>IF($AF$592&gt;2,1.5,0)</f>
        <v>1.5</v>
      </c>
      <c r="AK159" s="58">
        <f>AH159*AI159*AJ159</f>
        <v>0</v>
      </c>
      <c r="AL159" s="6">
        <f>IF($C158=AL158,2,0)</f>
        <v>0</v>
      </c>
      <c r="AM159" s="6">
        <f>IF($AF$587&gt;2,1.5,1)</f>
        <v>1.5</v>
      </c>
      <c r="AN159" s="6">
        <f>IF($AF$592&gt;2,1.5,1)</f>
        <v>1.5</v>
      </c>
      <c r="AO159" s="58">
        <f>AL159*AM159*AN159</f>
        <v>0</v>
      </c>
      <c r="AQ159" s="6">
        <f>IF($C158=AQ158,1.5,0)</f>
        <v>0</v>
      </c>
      <c r="AR159" s="6">
        <f>IF($AF$587&gt;2,1.5,1)</f>
        <v>1.5</v>
      </c>
      <c r="AS159" s="6">
        <f>IF($AF$592&gt;2,1.5,1)</f>
        <v>1.5</v>
      </c>
      <c r="AT159" s="58">
        <f>AQ159*AR159*AS159</f>
        <v>0</v>
      </c>
      <c r="AV159" s="60">
        <f>(MAX(AG159,AK159,AO159,AT159))-2.25</f>
        <v>0</v>
      </c>
      <c r="BB159" s="61">
        <f>IF(AV159=-2.25,0,AV159)</f>
        <v>0</v>
      </c>
    </row>
    <row r="160" spans="1:54" ht="45" customHeight="1" thickTop="1" thickBot="1" x14ac:dyDescent="0.3">
      <c r="A160" s="50"/>
      <c r="B160" s="50"/>
      <c r="C160" s="528" t="s">
        <v>121</v>
      </c>
      <c r="D160" s="530"/>
      <c r="E160" s="50"/>
      <c r="F160" s="1"/>
    </row>
    <row r="161" spans="1:54" ht="4.95" customHeight="1" thickTop="1" thickBot="1" x14ac:dyDescent="0.3">
      <c r="A161" s="50"/>
      <c r="B161" s="50"/>
      <c r="C161" s="50"/>
      <c r="D161" s="50"/>
      <c r="E161" s="50"/>
      <c r="F161" s="1"/>
    </row>
    <row r="162" spans="1:54" ht="25.05" customHeight="1" thickTop="1" thickBot="1" x14ac:dyDescent="0.45">
      <c r="A162" s="50"/>
      <c r="B162" s="51" t="s">
        <v>122</v>
      </c>
      <c r="C162" s="52" t="s">
        <v>123</v>
      </c>
      <c r="D162" s="52" t="s">
        <v>106</v>
      </c>
      <c r="E162" s="50"/>
      <c r="F162" s="1"/>
      <c r="AD162" s="6" t="str">
        <f>"FIRST NAME"</f>
        <v>FIRST NAME</v>
      </c>
      <c r="AH162" s="6" t="s">
        <v>107</v>
      </c>
      <c r="AN162" s="35" t="str">
        <f>IF(NOT(C162=AD162),C162,"Proxy")</f>
        <v>Alisha</v>
      </c>
      <c r="AO162" s="36"/>
      <c r="AP162" s="36"/>
      <c r="AQ162" s="36"/>
      <c r="AR162" s="36"/>
      <c r="AS162" s="36"/>
      <c r="AT162" s="37"/>
    </row>
    <row r="163" spans="1:54" ht="15" thickTop="1" thickBot="1" x14ac:dyDescent="0.3">
      <c r="A163" s="50"/>
      <c r="B163" s="50"/>
      <c r="C163" s="53" t="s">
        <v>124</v>
      </c>
      <c r="D163" s="53" t="s">
        <v>109</v>
      </c>
      <c r="E163" s="50"/>
      <c r="F163" s="1"/>
    </row>
    <row r="164" spans="1:54" ht="15" thickTop="1" thickBot="1" x14ac:dyDescent="0.3">
      <c r="A164" s="50"/>
      <c r="B164" s="50"/>
      <c r="C164" s="54"/>
      <c r="D164" s="55"/>
      <c r="E164" s="50"/>
      <c r="F164" s="1"/>
    </row>
    <row r="165" spans="1:54" ht="15" thickTop="1" thickBot="1" x14ac:dyDescent="0.3">
      <c r="A165" s="50"/>
      <c r="B165" s="50"/>
      <c r="C165" s="53" t="s">
        <v>125</v>
      </c>
      <c r="D165" s="53" t="s">
        <v>126</v>
      </c>
      <c r="E165" s="50"/>
      <c r="F165" s="1"/>
    </row>
    <row r="166" spans="1:54" ht="15" thickTop="1" thickBot="1" x14ac:dyDescent="0.3">
      <c r="A166" s="50"/>
      <c r="B166" s="50"/>
      <c r="C166" s="62" t="s">
        <v>127</v>
      </c>
      <c r="D166" s="55" t="s">
        <v>128</v>
      </c>
      <c r="E166" s="50"/>
      <c r="F166" s="1"/>
    </row>
    <row r="167" spans="1:54" ht="10.050000000000001" customHeight="1" thickTop="1" thickBot="1" x14ac:dyDescent="0.3">
      <c r="A167" s="50"/>
      <c r="B167" s="50"/>
      <c r="C167" s="50"/>
      <c r="D167" s="50"/>
      <c r="E167" s="50"/>
      <c r="F167" s="1"/>
    </row>
    <row r="168" spans="1:54" ht="15" thickTop="1" thickBot="1" x14ac:dyDescent="0.3">
      <c r="A168" s="63" t="s">
        <v>129</v>
      </c>
      <c r="B168" s="64"/>
      <c r="C168" s="50"/>
      <c r="D168" s="50"/>
      <c r="E168" s="50"/>
      <c r="F168" s="1"/>
    </row>
    <row r="169" spans="1:54" ht="19.95" customHeight="1" thickTop="1" thickBot="1" x14ac:dyDescent="0.3">
      <c r="A169" s="50"/>
      <c r="B169" s="65" t="s">
        <v>130</v>
      </c>
      <c r="C169" s="65" t="s">
        <v>131</v>
      </c>
      <c r="D169" s="65" t="s">
        <v>132</v>
      </c>
      <c r="E169" s="50"/>
      <c r="F169" s="1"/>
    </row>
    <row r="170" spans="1:54" s="71" customFormat="1" ht="30" customHeight="1" thickTop="1" thickBot="1" x14ac:dyDescent="0.3">
      <c r="A170" s="66">
        <f>IF(B170="","",1)</f>
        <v>1</v>
      </c>
      <c r="B170" s="67" t="s">
        <v>133</v>
      </c>
      <c r="C170" s="67" t="s">
        <v>134</v>
      </c>
      <c r="D170" s="68" t="s">
        <v>135</v>
      </c>
      <c r="E170" s="66"/>
      <c r="F170" s="69"/>
      <c r="G170" s="70"/>
      <c r="H170" s="70"/>
      <c r="I170" s="70"/>
      <c r="J170" s="70"/>
      <c r="K170" s="70"/>
      <c r="L170" s="70"/>
      <c r="M170" s="70"/>
      <c r="N170" s="70"/>
      <c r="O170" s="70"/>
      <c r="P170" s="70"/>
      <c r="Q170" s="70"/>
      <c r="R170" s="70"/>
      <c r="S170" s="70"/>
      <c r="T170" s="70"/>
      <c r="U170" s="70"/>
      <c r="V170" s="70"/>
      <c r="W170" s="70"/>
      <c r="X170" s="70"/>
      <c r="Y170" s="70"/>
      <c r="Z170" s="70"/>
      <c r="AA170" s="6"/>
      <c r="BB170" s="72"/>
    </row>
    <row r="171" spans="1:54" s="71" customFormat="1" ht="30" customHeight="1" thickTop="1" thickBot="1" x14ac:dyDescent="0.3">
      <c r="A171" s="66">
        <f>IF(B171="","",1+A170)</f>
        <v>2</v>
      </c>
      <c r="B171" s="67" t="s">
        <v>133</v>
      </c>
      <c r="C171" s="67" t="s">
        <v>134</v>
      </c>
      <c r="D171" s="68" t="s">
        <v>135</v>
      </c>
      <c r="E171" s="66"/>
      <c r="F171" s="69"/>
      <c r="G171" s="70"/>
      <c r="H171" s="70"/>
      <c r="I171" s="70"/>
      <c r="J171" s="70"/>
      <c r="K171" s="70"/>
      <c r="L171" s="70"/>
      <c r="M171" s="70"/>
      <c r="N171" s="70"/>
      <c r="O171" s="70"/>
      <c r="P171" s="70"/>
      <c r="Q171" s="70"/>
      <c r="R171" s="70"/>
      <c r="S171" s="70"/>
      <c r="T171" s="70"/>
      <c r="U171" s="70"/>
      <c r="V171" s="70"/>
      <c r="W171" s="70"/>
      <c r="X171" s="70"/>
      <c r="Y171" s="70"/>
      <c r="Z171" s="70"/>
      <c r="AA171" s="6"/>
      <c r="BB171" s="72"/>
    </row>
    <row r="172" spans="1:54" s="71" customFormat="1" ht="30" customHeight="1" thickTop="1" thickBot="1" x14ac:dyDescent="0.3">
      <c r="A172" s="66" t="str">
        <f t="shared" ref="A172:A179" si="2">IF(B172="","",1+A171)</f>
        <v/>
      </c>
      <c r="B172" s="67"/>
      <c r="C172" s="67"/>
      <c r="D172" s="68"/>
      <c r="E172" s="66"/>
      <c r="F172" s="69"/>
      <c r="G172" s="70"/>
      <c r="H172" s="70"/>
      <c r="I172" s="70"/>
      <c r="J172" s="70"/>
      <c r="K172" s="70"/>
      <c r="L172" s="70"/>
      <c r="M172" s="70"/>
      <c r="N172" s="70"/>
      <c r="O172" s="70"/>
      <c r="P172" s="70"/>
      <c r="Q172" s="70"/>
      <c r="R172" s="70"/>
      <c r="S172" s="70"/>
      <c r="T172" s="70"/>
      <c r="U172" s="70"/>
      <c r="V172" s="70"/>
      <c r="W172" s="70"/>
      <c r="X172" s="70"/>
      <c r="Y172" s="70"/>
      <c r="Z172" s="70"/>
      <c r="AA172" s="6"/>
      <c r="BB172" s="72"/>
    </row>
    <row r="173" spans="1:54" s="71" customFormat="1" ht="30" customHeight="1" thickTop="1" thickBot="1" x14ac:dyDescent="0.3">
      <c r="A173" s="66" t="str">
        <f t="shared" si="2"/>
        <v/>
      </c>
      <c r="B173" s="67"/>
      <c r="C173" s="67"/>
      <c r="D173" s="68"/>
      <c r="E173" s="66"/>
      <c r="F173" s="69"/>
      <c r="G173" s="70"/>
      <c r="H173" s="70"/>
      <c r="I173" s="70"/>
      <c r="J173" s="70"/>
      <c r="K173" s="70"/>
      <c r="L173" s="70"/>
      <c r="M173" s="70"/>
      <c r="N173" s="70"/>
      <c r="O173" s="70"/>
      <c r="P173" s="70"/>
      <c r="Q173" s="70"/>
      <c r="R173" s="70"/>
      <c r="S173" s="70"/>
      <c r="T173" s="70"/>
      <c r="U173" s="70"/>
      <c r="V173" s="70"/>
      <c r="W173" s="70"/>
      <c r="X173" s="70"/>
      <c r="Y173" s="70"/>
      <c r="Z173" s="70"/>
      <c r="AA173" s="6"/>
      <c r="BB173" s="72"/>
    </row>
    <row r="174" spans="1:54" s="71" customFormat="1" ht="30" customHeight="1" thickTop="1" thickBot="1" x14ac:dyDescent="0.3">
      <c r="A174" s="66" t="str">
        <f t="shared" si="2"/>
        <v/>
      </c>
      <c r="B174" s="67"/>
      <c r="C174" s="67"/>
      <c r="D174" s="68"/>
      <c r="E174" s="66"/>
      <c r="F174" s="69"/>
      <c r="G174" s="70"/>
      <c r="H174" s="70"/>
      <c r="I174" s="70"/>
      <c r="J174" s="70"/>
      <c r="K174" s="70"/>
      <c r="L174" s="70"/>
      <c r="M174" s="70"/>
      <c r="N174" s="70"/>
      <c r="O174" s="70"/>
      <c r="P174" s="70"/>
      <c r="Q174" s="70"/>
      <c r="R174" s="70"/>
      <c r="S174" s="70"/>
      <c r="T174" s="70"/>
      <c r="U174" s="70"/>
      <c r="V174" s="70"/>
      <c r="W174" s="70"/>
      <c r="X174" s="70"/>
      <c r="Y174" s="70"/>
      <c r="Z174" s="70"/>
      <c r="AA174" s="6"/>
      <c r="BB174" s="72"/>
    </row>
    <row r="175" spans="1:54" s="71" customFormat="1" ht="30" customHeight="1" thickTop="1" thickBot="1" x14ac:dyDescent="0.3">
      <c r="A175" s="66" t="str">
        <f t="shared" si="2"/>
        <v/>
      </c>
      <c r="B175" s="67"/>
      <c r="C175" s="67"/>
      <c r="D175" s="68"/>
      <c r="E175" s="66"/>
      <c r="F175" s="69"/>
      <c r="G175" s="70"/>
      <c r="H175" s="70"/>
      <c r="I175" s="70"/>
      <c r="J175" s="70"/>
      <c r="K175" s="70"/>
      <c r="L175" s="70"/>
      <c r="M175" s="70"/>
      <c r="N175" s="70"/>
      <c r="O175" s="70"/>
      <c r="P175" s="70"/>
      <c r="Q175" s="70"/>
      <c r="R175" s="70"/>
      <c r="S175" s="70"/>
      <c r="T175" s="70"/>
      <c r="U175" s="70"/>
      <c r="V175" s="70"/>
      <c r="W175" s="70"/>
      <c r="X175" s="70"/>
      <c r="Y175" s="70"/>
      <c r="Z175" s="70"/>
      <c r="AA175" s="6"/>
      <c r="BB175" s="72"/>
    </row>
    <row r="176" spans="1:54" s="71" customFormat="1" ht="30" customHeight="1" thickTop="1" thickBot="1" x14ac:dyDescent="0.3">
      <c r="A176" s="66" t="str">
        <f t="shared" si="2"/>
        <v/>
      </c>
      <c r="B176" s="67"/>
      <c r="C176" s="67"/>
      <c r="D176" s="68"/>
      <c r="E176" s="66"/>
      <c r="F176" s="69"/>
      <c r="G176" s="70"/>
      <c r="H176" s="70"/>
      <c r="I176" s="70"/>
      <c r="J176" s="70"/>
      <c r="K176" s="70"/>
      <c r="L176" s="70"/>
      <c r="M176" s="70"/>
      <c r="N176" s="70"/>
      <c r="O176" s="70"/>
      <c r="P176" s="70"/>
      <c r="Q176" s="70"/>
      <c r="R176" s="70"/>
      <c r="S176" s="70"/>
      <c r="T176" s="70"/>
      <c r="U176" s="70"/>
      <c r="V176" s="70"/>
      <c r="W176" s="70"/>
      <c r="X176" s="70"/>
      <c r="Y176" s="70"/>
      <c r="Z176" s="70"/>
      <c r="AA176" s="6"/>
      <c r="BB176" s="72"/>
    </row>
    <row r="177" spans="1:54" s="71" customFormat="1" ht="30" customHeight="1" thickTop="1" thickBot="1" x14ac:dyDescent="0.3">
      <c r="A177" s="66" t="str">
        <f t="shared" si="2"/>
        <v/>
      </c>
      <c r="B177" s="67"/>
      <c r="C177" s="67"/>
      <c r="D177" s="68"/>
      <c r="E177" s="66"/>
      <c r="F177" s="69"/>
      <c r="G177" s="70"/>
      <c r="H177" s="70"/>
      <c r="I177" s="70"/>
      <c r="J177" s="70"/>
      <c r="K177" s="70"/>
      <c r="L177" s="70"/>
      <c r="M177" s="70"/>
      <c r="N177" s="70"/>
      <c r="O177" s="70"/>
      <c r="P177" s="70"/>
      <c r="Q177" s="70"/>
      <c r="R177" s="70"/>
      <c r="S177" s="70"/>
      <c r="T177" s="70"/>
      <c r="U177" s="70"/>
      <c r="V177" s="70"/>
      <c r="W177" s="70"/>
      <c r="X177" s="70"/>
      <c r="Y177" s="70"/>
      <c r="Z177" s="70"/>
      <c r="AA177" s="6"/>
      <c r="BB177" s="72"/>
    </row>
    <row r="178" spans="1:54" s="71" customFormat="1" ht="30" customHeight="1" thickTop="1" thickBot="1" x14ac:dyDescent="0.3">
      <c r="A178" s="66" t="str">
        <f t="shared" si="2"/>
        <v/>
      </c>
      <c r="B178" s="67"/>
      <c r="C178" s="67"/>
      <c r="D178" s="68"/>
      <c r="E178" s="66"/>
      <c r="F178" s="69"/>
      <c r="G178" s="70"/>
      <c r="H178" s="70"/>
      <c r="I178" s="70"/>
      <c r="J178" s="70"/>
      <c r="K178" s="70"/>
      <c r="L178" s="70"/>
      <c r="M178" s="70"/>
      <c r="N178" s="70"/>
      <c r="O178" s="70"/>
      <c r="P178" s="70"/>
      <c r="Q178" s="70"/>
      <c r="R178" s="70"/>
      <c r="S178" s="70"/>
      <c r="T178" s="70"/>
      <c r="U178" s="70"/>
      <c r="V178" s="70"/>
      <c r="W178" s="70"/>
      <c r="X178" s="70"/>
      <c r="Y178" s="70"/>
      <c r="Z178" s="70"/>
      <c r="AA178" s="6"/>
      <c r="BB178" s="72"/>
    </row>
    <row r="179" spans="1:54" s="71" customFormat="1" ht="30" customHeight="1" thickTop="1" thickBot="1" x14ac:dyDescent="0.3">
      <c r="A179" s="66" t="str">
        <f t="shared" si="2"/>
        <v/>
      </c>
      <c r="B179" s="67"/>
      <c r="C179" s="67"/>
      <c r="D179" s="68"/>
      <c r="E179" s="66"/>
      <c r="F179" s="69"/>
      <c r="G179" s="70"/>
      <c r="H179" s="70"/>
      <c r="I179" s="70"/>
      <c r="J179" s="70"/>
      <c r="K179" s="70"/>
      <c r="L179" s="70"/>
      <c r="M179" s="70"/>
      <c r="N179" s="70"/>
      <c r="O179" s="70"/>
      <c r="P179" s="70"/>
      <c r="Q179" s="70"/>
      <c r="R179" s="70"/>
      <c r="S179" s="70"/>
      <c r="T179" s="70"/>
      <c r="U179" s="70"/>
      <c r="V179" s="70"/>
      <c r="W179" s="70"/>
      <c r="X179" s="70"/>
      <c r="Y179" s="70"/>
      <c r="Z179" s="70"/>
      <c r="AA179" s="6"/>
      <c r="BB179" s="72"/>
    </row>
    <row r="180" spans="1:54" ht="10.050000000000001" customHeight="1" thickTop="1" x14ac:dyDescent="0.25">
      <c r="A180" s="50"/>
      <c r="B180" s="73"/>
      <c r="C180" s="53"/>
      <c r="D180" s="53"/>
      <c r="E180" s="50"/>
      <c r="F180" s="1"/>
    </row>
    <row r="181" spans="1:54" ht="15" customHeight="1" thickBot="1" x14ac:dyDescent="0.3">
      <c r="A181" s="50"/>
      <c r="B181" s="73" t="str">
        <f>IF(B171="","", "If more than ten charges, explain in this box")</f>
        <v>If more than ten charges, explain in this box</v>
      </c>
      <c r="C181" s="53"/>
      <c r="D181" s="53"/>
      <c r="E181" s="50"/>
      <c r="F181" s="1"/>
    </row>
    <row r="182" spans="1:54" ht="45" customHeight="1" thickTop="1" thickBot="1" x14ac:dyDescent="0.3">
      <c r="A182" s="50"/>
      <c r="B182" s="528"/>
      <c r="C182" s="529"/>
      <c r="D182" s="530"/>
      <c r="E182" s="50"/>
      <c r="F182" s="1"/>
    </row>
    <row r="183" spans="1:54" ht="15" customHeight="1" thickTop="1" thickBot="1" x14ac:dyDescent="0.3">
      <c r="A183" s="50"/>
      <c r="B183" s="73" t="str">
        <f>IF(B170="","", "Provide any helpful information about any charge in this box:")</f>
        <v>Provide any helpful information about any charge in this box:</v>
      </c>
      <c r="C183" s="53"/>
      <c r="D183" s="53"/>
      <c r="E183" s="50"/>
      <c r="F183" s="1"/>
    </row>
    <row r="184" spans="1:54" ht="45" customHeight="1" thickTop="1" thickBot="1" x14ac:dyDescent="0.3">
      <c r="A184" s="50"/>
      <c r="B184" s="528"/>
      <c r="C184" s="529"/>
      <c r="D184" s="530"/>
      <c r="E184" s="50"/>
      <c r="F184" s="1"/>
    </row>
    <row r="185" spans="1:54" ht="7.05" customHeight="1" thickTop="1" thickBot="1" x14ac:dyDescent="0.3">
      <c r="A185" s="63"/>
      <c r="B185" s="53"/>
      <c r="C185" s="53"/>
      <c r="D185" s="53"/>
      <c r="E185" s="50"/>
      <c r="F185" s="1"/>
    </row>
    <row r="186" spans="1:54" ht="15.6" thickTop="1" thickBot="1" x14ac:dyDescent="0.3">
      <c r="A186" s="63" t="s">
        <v>136</v>
      </c>
      <c r="B186" s="64"/>
      <c r="C186" s="53"/>
      <c r="D186" s="53"/>
      <c r="E186" s="50"/>
      <c r="F186" s="1"/>
      <c r="AD186" s="74">
        <f>SUM(AD187:AD199)</f>
        <v>3</v>
      </c>
    </row>
    <row r="187" spans="1:54" ht="15" thickTop="1" thickBot="1" x14ac:dyDescent="0.3">
      <c r="A187" s="50"/>
      <c r="B187" s="53" t="s">
        <v>137</v>
      </c>
      <c r="C187" s="53"/>
      <c r="D187" s="62" t="s">
        <v>138</v>
      </c>
      <c r="E187" s="50"/>
      <c r="F187" s="1"/>
      <c r="AB187" s="57"/>
      <c r="AD187" s="6">
        <f>IF(D187="no, I pled not guilty",1,0)</f>
        <v>1</v>
      </c>
    </row>
    <row r="188" spans="1:54" ht="45" customHeight="1" thickTop="1" thickBot="1" x14ac:dyDescent="0.3">
      <c r="A188" s="50"/>
      <c r="B188" s="528"/>
      <c r="C188" s="529"/>
      <c r="D188" s="530"/>
      <c r="E188" s="50"/>
      <c r="F188" s="1"/>
    </row>
    <row r="189" spans="1:54" ht="15" thickTop="1" thickBot="1" x14ac:dyDescent="0.3">
      <c r="A189" s="50"/>
      <c r="B189" s="53" t="str">
        <f>IF(NOT(D187=B1847),"Did you try withdrawing your plea? (If not, why not?)","")</f>
        <v/>
      </c>
      <c r="C189" s="53"/>
      <c r="D189" s="62"/>
      <c r="E189" s="50"/>
      <c r="F189" s="50"/>
    </row>
    <row r="190" spans="1:54" ht="45" customHeight="1" thickTop="1" thickBot="1" x14ac:dyDescent="0.3">
      <c r="A190" s="50"/>
      <c r="B190" s="528"/>
      <c r="C190" s="529"/>
      <c r="D190" s="530"/>
      <c r="E190" s="50"/>
      <c r="F190" s="1"/>
    </row>
    <row r="191" spans="1:54" ht="15" customHeight="1" thickTop="1" thickBot="1" x14ac:dyDescent="0.3">
      <c r="A191" s="50"/>
      <c r="B191" s="53" t="str">
        <f>IF(D187&lt;&gt;"","Offered a plea deal?","")</f>
        <v>Offered a plea deal?</v>
      </c>
      <c r="C191" s="53"/>
      <c r="D191" s="75" t="s">
        <v>139</v>
      </c>
      <c r="E191" s="50"/>
      <c r="F191" s="1"/>
      <c r="AB191" s="57"/>
      <c r="AD191" s="6">
        <f>IF(D191="never open to any plea deal",1,0)</f>
        <v>1</v>
      </c>
    </row>
    <row r="192" spans="1:54" ht="45" customHeight="1" thickTop="1" thickBot="1" x14ac:dyDescent="0.3">
      <c r="A192" s="50"/>
      <c r="B192" s="528"/>
      <c r="C192" s="529"/>
      <c r="D192" s="530"/>
      <c r="E192" s="50"/>
      <c r="F192" s="1"/>
      <c r="AC192" s="28"/>
    </row>
    <row r="193" spans="1:39" ht="15" customHeight="1" thickTop="1" thickBot="1" x14ac:dyDescent="0.35">
      <c r="A193" s="50"/>
      <c r="B193" s="53" t="s">
        <v>140</v>
      </c>
      <c r="C193" s="50"/>
      <c r="D193" s="75" t="s">
        <v>141</v>
      </c>
      <c r="E193" s="50"/>
      <c r="F193" s="1"/>
      <c r="AB193" s="57"/>
      <c r="AC193" s="28"/>
      <c r="AD193" s="6">
        <f>MAX(AE193:AG193)</f>
        <v>1</v>
      </c>
      <c r="AE193" s="6">
        <f>IF($D$193=D2473,1,0)</f>
        <v>1</v>
      </c>
      <c r="AF193" s="6">
        <f>IF($D$193=D2474,1,0)</f>
        <v>0</v>
      </c>
      <c r="AG193" s="6">
        <f>IF($D$193=D2475,1,0)</f>
        <v>0</v>
      </c>
      <c r="AL193" s="60">
        <f>SUM(AL194:AL199)</f>
        <v>1</v>
      </c>
      <c r="AM193" s="76" t="s">
        <v>142</v>
      </c>
    </row>
    <row r="194" spans="1:39" ht="10.050000000000001" customHeight="1" thickTop="1" x14ac:dyDescent="0.3">
      <c r="A194" s="50"/>
      <c r="B194" s="50"/>
      <c r="C194" s="50"/>
      <c r="D194" s="50"/>
      <c r="E194" s="50"/>
      <c r="F194" s="1"/>
      <c r="AC194" s="28"/>
      <c r="AL194" s="6">
        <v>0</v>
      </c>
      <c r="AM194" s="77" t="s">
        <v>143</v>
      </c>
    </row>
    <row r="195" spans="1:39" ht="15" customHeight="1" thickBot="1" x14ac:dyDescent="0.35">
      <c r="A195" s="50"/>
      <c r="B195" s="78" t="s">
        <v>144</v>
      </c>
      <c r="C195" s="78" t="s">
        <v>145</v>
      </c>
      <c r="D195" s="78" t="s">
        <v>146</v>
      </c>
      <c r="E195" s="50"/>
      <c r="F195" s="1"/>
      <c r="AC195" s="28"/>
      <c r="AL195" s="6">
        <v>0</v>
      </c>
      <c r="AM195" s="77" t="s">
        <v>147</v>
      </c>
    </row>
    <row r="196" spans="1:39" ht="15" customHeight="1" thickTop="1" thickBot="1" x14ac:dyDescent="0.35">
      <c r="A196" s="50"/>
      <c r="B196" s="79">
        <f>C250</f>
        <v>34157</v>
      </c>
      <c r="C196" s="79">
        <f>C250</f>
        <v>34157</v>
      </c>
      <c r="D196" s="79">
        <f>C196+2</f>
        <v>34159</v>
      </c>
      <c r="E196" s="50"/>
      <c r="F196" s="1"/>
      <c r="AC196" s="28"/>
      <c r="AI196" s="526">
        <f>C196+3</f>
        <v>34160</v>
      </c>
      <c r="AJ196" s="527"/>
      <c r="AK196" s="527"/>
      <c r="AL196" s="6">
        <f>IF($D$199=AM196,1,0)</f>
        <v>0</v>
      </c>
      <c r="AM196" s="77" t="s">
        <v>148</v>
      </c>
    </row>
    <row r="197" spans="1:39" ht="4.95" customHeight="1" thickTop="1" thickBot="1" x14ac:dyDescent="0.35">
      <c r="A197" s="50"/>
      <c r="B197" s="53"/>
      <c r="C197" s="53"/>
      <c r="D197" s="53"/>
      <c r="E197" s="50"/>
      <c r="F197" s="1"/>
      <c r="AC197" s="28"/>
      <c r="AL197" s="6">
        <f>IF($D$199=AM197,1,0)</f>
        <v>1</v>
      </c>
      <c r="AM197" s="77" t="s">
        <v>149</v>
      </c>
    </row>
    <row r="198" spans="1:39" ht="15.6" thickTop="1" thickBot="1" x14ac:dyDescent="0.35">
      <c r="A198" s="63" t="s">
        <v>150</v>
      </c>
      <c r="B198" s="53"/>
      <c r="C198" s="53"/>
      <c r="D198" s="53"/>
      <c r="E198" s="50"/>
      <c r="F198" s="1"/>
      <c r="AL198" s="6">
        <f>IF($D$199=AM198,1,0)</f>
        <v>0</v>
      </c>
      <c r="AM198" s="77" t="s">
        <v>151</v>
      </c>
    </row>
    <row r="199" spans="1:39" ht="15.6" customHeight="1" thickTop="1" thickBot="1" x14ac:dyDescent="0.35">
      <c r="A199" s="50"/>
      <c r="B199" s="53" t="s">
        <v>152</v>
      </c>
      <c r="C199" s="53"/>
      <c r="D199" s="75" t="s">
        <v>149</v>
      </c>
      <c r="E199" s="50"/>
      <c r="F199" s="1"/>
      <c r="AB199" s="57"/>
      <c r="AL199" s="6">
        <f>IF($D$199=AM199,1,0)</f>
        <v>0</v>
      </c>
      <c r="AM199" s="77" t="s">
        <v>114</v>
      </c>
    </row>
    <row r="200" spans="1:39" ht="30" customHeight="1" thickTop="1" thickBot="1" x14ac:dyDescent="0.3">
      <c r="A200" s="50"/>
      <c r="B200" s="528"/>
      <c r="C200" s="529"/>
      <c r="D200" s="530"/>
      <c r="E200" s="50"/>
      <c r="F200" s="1"/>
    </row>
    <row r="201" spans="1:39" ht="15" thickTop="1" thickBot="1" x14ac:dyDescent="0.3">
      <c r="A201" s="50"/>
      <c r="B201" s="78" t="s">
        <v>153</v>
      </c>
      <c r="C201" s="78" t="str">
        <f>IF(AL193=1,AM201,"")</f>
        <v>Jury selection date</v>
      </c>
      <c r="D201" s="78" t="s">
        <v>154</v>
      </c>
      <c r="E201" s="50"/>
      <c r="F201" s="1"/>
      <c r="AM201" s="60" t="s">
        <v>155</v>
      </c>
    </row>
    <row r="202" spans="1:39" ht="15" thickTop="1" thickBot="1" x14ac:dyDescent="0.3">
      <c r="A202" s="50"/>
      <c r="B202" s="79">
        <v>34170</v>
      </c>
      <c r="C202" s="79">
        <v>34303</v>
      </c>
      <c r="D202" s="79">
        <v>34316</v>
      </c>
      <c r="E202" s="50"/>
      <c r="F202" s="1"/>
    </row>
    <row r="203" spans="1:39" ht="15" thickTop="1" thickBot="1" x14ac:dyDescent="0.3">
      <c r="A203" s="50"/>
      <c r="B203" s="81" t="str">
        <f>IF(D199&lt;&gt;"","Anything else about the conviction you can add?","")</f>
        <v>Anything else about the conviction you can add?</v>
      </c>
      <c r="C203" s="53"/>
      <c r="D203" s="53"/>
      <c r="E203" s="50"/>
      <c r="F203" s="1"/>
    </row>
    <row r="204" spans="1:39" ht="25.05" customHeight="1" thickTop="1" thickBot="1" x14ac:dyDescent="0.3">
      <c r="A204" s="50"/>
      <c r="B204" s="528"/>
      <c r="C204" s="529"/>
      <c r="D204" s="530"/>
      <c r="E204" s="50"/>
      <c r="F204" s="1"/>
    </row>
    <row r="205" spans="1:39" ht="4.95" customHeight="1" thickTop="1" thickBot="1" x14ac:dyDescent="0.3">
      <c r="A205" s="50"/>
      <c r="B205" s="50"/>
      <c r="C205" s="50"/>
      <c r="D205" s="50"/>
      <c r="E205" s="50"/>
      <c r="F205" s="1"/>
    </row>
    <row r="206" spans="1:39" ht="25.05" customHeight="1" thickTop="1" thickBot="1" x14ac:dyDescent="0.3">
      <c r="A206" s="50"/>
      <c r="B206" s="64" t="s">
        <v>156</v>
      </c>
      <c r="C206" s="50"/>
      <c r="D206" s="50"/>
      <c r="E206" s="50"/>
      <c r="F206" s="1"/>
    </row>
    <row r="207" spans="1:39" ht="15" thickTop="1" x14ac:dyDescent="0.3">
      <c r="A207" s="50"/>
      <c r="B207" s="82" t="s">
        <v>157</v>
      </c>
      <c r="C207" s="82" t="s">
        <v>158</v>
      </c>
      <c r="D207" s="82" t="s">
        <v>159</v>
      </c>
      <c r="E207" s="50"/>
      <c r="F207" s="1"/>
      <c r="AC207" s="83"/>
      <c r="AD207" s="83"/>
      <c r="AE207" s="83"/>
      <c r="AF207" s="83"/>
      <c r="AG207" s="83"/>
      <c r="AI207"/>
      <c r="AJ207"/>
      <c r="AK207"/>
    </row>
    <row r="208" spans="1:39" ht="14.4" x14ac:dyDescent="0.3">
      <c r="A208" s="50"/>
      <c r="B208" s="84" t="s">
        <v>160</v>
      </c>
      <c r="C208" s="84" t="s">
        <v>161</v>
      </c>
      <c r="D208" s="84" t="s">
        <v>162</v>
      </c>
      <c r="E208" s="50"/>
      <c r="F208" s="1"/>
      <c r="AD208" s="533">
        <f ca="1">IF(AND($B$208=B2242,$D$272="yes"),BB2242,IF(AND($B$208=B2243,$D$272="yes"),BB2243,IF(AND($B$208=B2244,$D$272="yes"),BB2244,IF(AND($B$208=B2245,$D$272="yes"),BB2245,IF(AND($B$208=B2246,$D$272="yes"),BB2246,IF(AND($B$208=B2247,$D$272="yes"),BB2247,IF(AND($B$208=B2248,$D$272="yes"),BB2248,IF(AND($B$208=B2249,$D$272="yes"),BB2249,IF(AND($B$208=B2250,$D$272="yes"),BB2250,IF(AND($B$208=B2251,$D$272="yes"),BB2251,IF(AND($B$208=B2252,$D$272="yes"),BB2252,IF(AND($B$208=B2253,$D$272="yes"),BB2253,IF(AND($B$208=B2254,$D$272="yes"),BB2254,IF(AND($B$208=B2255,$D$272="yes"),BB2255,IF(AND($B$208=B2256,$D$272="yes"),BB2256,IF(AND($B$208=B2257,$D$272="yes"),BB2257,IF(AND($B$208=B2258,$D$272="yes"),BB2258,IF(AND($B$208=B2259,$D$272="yes"),BB2259,IF(AND($B$208=B2260,$D$272="yes"),BB2260,IF(AND($B$208=B2261,$D$272="yes"),BB2261,IF(AND($B$208=B2262,$D$272="yes"),BB2262,IF(AND($B$208=B2263,$D$272="yes"),BB2263,IF(AND($B$208=B2264,$D$272="yes"),BB2264,IF(AND($B$208=B2265,$D$272="yes"),BB2265,IF(AND($B$208=B2266,$D$272="yes"),BB2266,IF(AND($B$208=B2267,$D$272="yes"),BB2267,IF(AND($B$208=B2268,$D$272="yes"),BB2268,IF(AND($B$208=B2269,$D$272="yes"),BB2269,IF(AND($B$208=B2270,$D$272="yes"),BB2270,IF(AND($B$208=B2271,$D$272="yes"),BB2271,IF(AND($B$208=B2272,$D$272="yes"),BB2272,IF(AND($B$208=B2273,$D$272="yes"),BB2273,IF(AND($B$208=B2274,$D$272="yes"),BB2274,IF(AND($B$208=B2275,$D$272="yes"),BB2275,IF(AND($B$208=B2276,$D$272="yes"),BB2276,IF(AND($B$208=B2277,$D$272="yes"),BB2277,IF(AND($B$208=B2278,$D$272="yes"),BB2278,IF(AND($B$208=B2279,$D$272="yes"),BB2279,IF(AND($B$208=B2280,$D$272="yes"),BB2280,IF(AND($B$208=B2281,$D$272="yes"),BB2281,IF(AND($B$208=B2282,$D$272="yes"),BB2282,IF(AND($B$208=B2283,$D$272="yes"),BB2283,IF(AND($B$208=B2284,$D$272="yes"),BB2284,IF(AND($B$208=B2285,$D$272="yes"),BB2285,IF(AND($B$208=B2286,$D$272="yes"),BB2286,IF(AND($B$208=B2287,$D$272="yes"),BB2287,IF(AND($B$208=B2288,$D$272="yes"),BB2288,IF(AND($B$208=B2289,$D$272="yes"),BB2289,IF(AND($B$208=B2290,$D$272="yes"),BB2290,IF(AND($B$208=B2291,$D$272="yes"),BB2291,IF(AND($B$208=B2292,$D$272="yes"),BB2292,IF(AND($B$208=B2293,$D$272="yes"),BB2293,0))))))))))))))))))))))))))))))))))))))))))))))))))))</f>
        <v>600000</v>
      </c>
      <c r="AE208" s="533"/>
      <c r="AF208" s="533"/>
      <c r="AG208" s="533"/>
      <c r="AH208" s="533"/>
      <c r="AJ208"/>
      <c r="AK208"/>
    </row>
    <row r="209" spans="1:48" ht="10.050000000000001" customHeight="1" thickBot="1" x14ac:dyDescent="0.35">
      <c r="A209" s="50"/>
      <c r="B209" s="50"/>
      <c r="C209" s="50"/>
      <c r="D209" s="50"/>
      <c r="E209" s="50"/>
      <c r="F209" s="1"/>
      <c r="AC209" s="83"/>
      <c r="AD209" s="83"/>
      <c r="AE209" s="83"/>
      <c r="AF209" s="83"/>
      <c r="AG209" s="83"/>
      <c r="AI209"/>
      <c r="AJ209"/>
      <c r="AK209"/>
    </row>
    <row r="210" spans="1:48" ht="15" thickTop="1" thickBot="1" x14ac:dyDescent="0.3">
      <c r="A210" s="50"/>
      <c r="B210" s="53" t="s">
        <v>163</v>
      </c>
      <c r="C210" s="50"/>
      <c r="D210" s="55"/>
      <c r="E210" s="50"/>
      <c r="F210" s="1"/>
      <c r="AP210" s="6" t="s">
        <v>164</v>
      </c>
      <c r="AV210" s="6" t="s">
        <v>165</v>
      </c>
    </row>
    <row r="211" spans="1:48" ht="15" thickTop="1" thickBot="1" x14ac:dyDescent="0.3">
      <c r="A211" s="50"/>
      <c r="B211" s="53" t="s">
        <v>166</v>
      </c>
      <c r="C211" s="85" t="s">
        <v>1543</v>
      </c>
      <c r="D211" s="85" t="s">
        <v>168</v>
      </c>
      <c r="E211" s="50"/>
      <c r="F211" s="1"/>
      <c r="AP211" s="6" t="s">
        <v>169</v>
      </c>
      <c r="AV211" s="6" t="s">
        <v>170</v>
      </c>
    </row>
    <row r="212" spans="1:48" ht="15" thickTop="1" thickBot="1" x14ac:dyDescent="0.3">
      <c r="A212" s="50"/>
      <c r="B212" s="55"/>
      <c r="C212" s="55"/>
      <c r="D212" s="55"/>
      <c r="E212" s="50"/>
      <c r="F212" s="1"/>
      <c r="AP212" s="6" t="s">
        <v>171</v>
      </c>
      <c r="AV212" s="6" t="s">
        <v>172</v>
      </c>
    </row>
    <row r="213" spans="1:48" ht="15" thickTop="1" thickBot="1" x14ac:dyDescent="0.3">
      <c r="A213" s="50"/>
      <c r="B213" s="53" t="s">
        <v>173</v>
      </c>
      <c r="C213" s="85" t="s">
        <v>174</v>
      </c>
      <c r="D213" s="85" t="s">
        <v>175</v>
      </c>
      <c r="E213" s="50"/>
      <c r="F213" s="1"/>
      <c r="AP213" s="6" t="s">
        <v>176</v>
      </c>
      <c r="AV213" s="6" t="s">
        <v>177</v>
      </c>
    </row>
    <row r="214" spans="1:48" ht="15" thickTop="1" thickBot="1" x14ac:dyDescent="0.3">
      <c r="A214" s="50"/>
      <c r="B214" s="55"/>
      <c r="C214" s="55"/>
      <c r="D214" s="55"/>
      <c r="E214" s="50"/>
      <c r="F214" s="1"/>
      <c r="AP214" s="6" t="s">
        <v>178</v>
      </c>
    </row>
    <row r="215" spans="1:48" ht="4.95" customHeight="1" thickTop="1" x14ac:dyDescent="0.25">
      <c r="A215" s="50"/>
      <c r="B215" s="50"/>
      <c r="C215" s="50"/>
      <c r="D215" s="50"/>
      <c r="E215" s="50"/>
      <c r="F215" s="1"/>
    </row>
    <row r="216" spans="1:48" ht="14.4" thickBot="1" x14ac:dyDescent="0.3">
      <c r="A216" s="50"/>
      <c r="B216" s="50"/>
      <c r="C216" s="50"/>
      <c r="D216" s="50"/>
      <c r="E216" s="50"/>
      <c r="F216" s="1"/>
      <c r="AP216" s="6" t="s">
        <v>179</v>
      </c>
      <c r="AV216" s="6" t="s">
        <v>179</v>
      </c>
    </row>
    <row r="217" spans="1:48" ht="15.6" customHeight="1" thickTop="1" thickBot="1" x14ac:dyDescent="0.3">
      <c r="A217" s="50"/>
      <c r="B217" s="53" t="s">
        <v>180</v>
      </c>
      <c r="C217" s="534" t="s">
        <v>181</v>
      </c>
      <c r="D217" s="535"/>
      <c r="E217" s="50"/>
      <c r="F217" s="1"/>
    </row>
    <row r="218" spans="1:48" ht="15.6" thickTop="1" thickBot="1" x14ac:dyDescent="0.35">
      <c r="A218" s="50"/>
      <c r="B218" s="53" t="s">
        <v>182</v>
      </c>
      <c r="C218" s="62" t="s">
        <v>183</v>
      </c>
      <c r="D218" s="55" t="s">
        <v>184</v>
      </c>
      <c r="E218" s="50"/>
      <c r="F218" s="1"/>
      <c r="AC218" s="6" t="s">
        <v>185</v>
      </c>
      <c r="AE218" s="6" t="s">
        <v>185</v>
      </c>
      <c r="AG218" s="6" t="s">
        <v>185</v>
      </c>
      <c r="AP218" s="77" t="s">
        <v>186</v>
      </c>
    </row>
    <row r="219" spans="1:48" ht="15.6" thickTop="1" thickBot="1" x14ac:dyDescent="0.35">
      <c r="A219" s="50"/>
      <c r="B219" s="50"/>
      <c r="C219" s="50"/>
      <c r="D219" s="50"/>
      <c r="E219" s="50"/>
      <c r="F219" s="1"/>
      <c r="AC219" s="6" t="s">
        <v>187</v>
      </c>
      <c r="AE219" s="6" t="s">
        <v>188</v>
      </c>
      <c r="AG219" s="6" t="s">
        <v>189</v>
      </c>
      <c r="AP219" s="77" t="s">
        <v>190</v>
      </c>
    </row>
    <row r="220" spans="1:48" ht="15.6" thickTop="1" thickBot="1" x14ac:dyDescent="0.35">
      <c r="A220" s="50"/>
      <c r="B220" s="53" t="s">
        <v>191</v>
      </c>
      <c r="C220" s="50"/>
      <c r="D220" s="86">
        <v>1</v>
      </c>
      <c r="E220" s="50"/>
      <c r="F220" s="1"/>
      <c r="AC220" s="6" t="s">
        <v>188</v>
      </c>
      <c r="AG220" s="6" t="s">
        <v>188</v>
      </c>
      <c r="AP220" s="77" t="s">
        <v>192</v>
      </c>
    </row>
    <row r="221" spans="1:48" ht="15.6" thickTop="1" thickBot="1" x14ac:dyDescent="0.35">
      <c r="A221" s="50"/>
      <c r="B221" s="536" t="str">
        <f>IF(D220&gt;0,"Codefendant(s) information","")</f>
        <v>Codefendant(s) information</v>
      </c>
      <c r="C221" s="536"/>
      <c r="D221" s="536"/>
      <c r="E221" s="50"/>
      <c r="F221" s="1"/>
      <c r="AH221" s="6" t="s">
        <v>193</v>
      </c>
      <c r="AL221" s="6" t="s">
        <v>194</v>
      </c>
      <c r="AP221" s="77" t="s">
        <v>195</v>
      </c>
    </row>
    <row r="222" spans="1:48" ht="15.6" thickTop="1" thickBot="1" x14ac:dyDescent="0.35">
      <c r="A222" s="50">
        <f>IF(D$220&gt;0,1,"")</f>
        <v>1</v>
      </c>
      <c r="B222" s="87" t="s">
        <v>196</v>
      </c>
      <c r="C222" s="87" t="s">
        <v>193</v>
      </c>
      <c r="D222" s="87" t="s">
        <v>197</v>
      </c>
      <c r="E222" s="50"/>
      <c r="F222" s="1"/>
      <c r="AC222" s="6" t="s">
        <v>198</v>
      </c>
      <c r="AH222" s="6" t="s">
        <v>134</v>
      </c>
      <c r="AL222" s="6" t="s">
        <v>197</v>
      </c>
      <c r="AP222" s="77" t="s">
        <v>199</v>
      </c>
    </row>
    <row r="223" spans="1:48" ht="15.6" thickTop="1" thickBot="1" x14ac:dyDescent="0.35">
      <c r="A223" s="50"/>
      <c r="B223" s="87" t="s">
        <v>190</v>
      </c>
      <c r="C223" s="87" t="s">
        <v>193</v>
      </c>
      <c r="D223" s="87" t="s">
        <v>200</v>
      </c>
      <c r="E223" s="50"/>
      <c r="F223" s="1"/>
      <c r="AC223" s="6" t="s">
        <v>164</v>
      </c>
      <c r="AH223" s="6" t="s">
        <v>201</v>
      </c>
      <c r="AL223" s="6" t="s">
        <v>202</v>
      </c>
      <c r="AP223" s="77" t="s">
        <v>203</v>
      </c>
    </row>
    <row r="224" spans="1:48" ht="15.6" thickTop="1" thickBot="1" x14ac:dyDescent="0.35">
      <c r="A224" s="50"/>
      <c r="B224" s="87" t="str">
        <f>IF($D$220&gt;0,"know location?","")</f>
        <v>know location?</v>
      </c>
      <c r="C224" s="87" t="str">
        <f>IF($D$220&gt;0,"claims to know real culprit?","")</f>
        <v>claims to know real culprit?</v>
      </c>
      <c r="D224" s="87" t="s">
        <v>185</v>
      </c>
      <c r="E224" s="50"/>
      <c r="F224" s="1"/>
      <c r="AD224" s="6" t="s">
        <v>204</v>
      </c>
      <c r="AL224" s="6" t="s">
        <v>205</v>
      </c>
      <c r="AP224" s="77"/>
    </row>
    <row r="225" spans="1:30" ht="4.95" customHeight="1" thickTop="1" thickBot="1" x14ac:dyDescent="0.3">
      <c r="A225" s="50"/>
      <c r="B225" s="50"/>
      <c r="C225" s="50"/>
      <c r="D225" s="50"/>
      <c r="E225" s="50"/>
      <c r="F225" s="1"/>
    </row>
    <row r="226" spans="1:30" ht="15" thickTop="1" thickBot="1" x14ac:dyDescent="0.3">
      <c r="A226" s="50" t="str">
        <f>IF(D$220&gt;1,2,"")</f>
        <v/>
      </c>
      <c r="B226" s="87" t="str">
        <f>IF(D$220&gt;1,"NAME ","")</f>
        <v/>
      </c>
      <c r="C226" s="87" t="str">
        <f>IF($D$220&gt;1,"charged as?","")</f>
        <v/>
      </c>
      <c r="D226" s="87" t="str">
        <f>IF($D$220&gt;1,"how adjudicated?","")</f>
        <v/>
      </c>
      <c r="E226" s="50"/>
      <c r="F226" s="1"/>
      <c r="AD226" s="6" t="s">
        <v>164</v>
      </c>
    </row>
    <row r="227" spans="1:30" ht="15" thickTop="1" thickBot="1" x14ac:dyDescent="0.3">
      <c r="A227" s="50"/>
      <c r="B227" s="87" t="str">
        <f>IF($D$220&gt;1,"relation?","")</f>
        <v/>
      </c>
      <c r="C227" s="87" t="str">
        <f>IF($D$220&gt;1,"convicted as?","")</f>
        <v/>
      </c>
      <c r="D227" s="87" t="str">
        <f>IF($D$220&gt;1,"verdict?","")</f>
        <v/>
      </c>
      <c r="E227" s="50"/>
      <c r="F227" s="1"/>
      <c r="AD227" s="6" t="s">
        <v>200</v>
      </c>
    </row>
    <row r="228" spans="1:30" ht="15" thickTop="1" thickBot="1" x14ac:dyDescent="0.3">
      <c r="A228" s="50"/>
      <c r="B228" s="87" t="str">
        <f>IF($D$220&gt;1,"know location?","")</f>
        <v/>
      </c>
      <c r="C228" s="87" t="str">
        <f>IF($D$220&gt;1,"claims to know real culprit?","")</f>
        <v/>
      </c>
      <c r="D228" s="87" t="str">
        <f>IF($D$220&gt;1,"also claims innocence?","")</f>
        <v/>
      </c>
      <c r="E228" s="50"/>
      <c r="F228" s="1"/>
      <c r="AD228" s="6" t="s">
        <v>206</v>
      </c>
    </row>
    <row r="229" spans="1:30" ht="4.95" customHeight="1" thickTop="1" thickBot="1" x14ac:dyDescent="0.3">
      <c r="A229" s="50"/>
      <c r="B229" s="50"/>
      <c r="C229" s="50"/>
      <c r="D229" s="50"/>
      <c r="E229" s="50"/>
      <c r="F229" s="1"/>
    </row>
    <row r="230" spans="1:30" ht="15" thickTop="1" thickBot="1" x14ac:dyDescent="0.3">
      <c r="A230" s="50" t="str">
        <f>IF(D$220&gt;2,3,"")</f>
        <v/>
      </c>
      <c r="B230" s="87" t="str">
        <f>IF(D$220&gt;2,"NAME ","")</f>
        <v/>
      </c>
      <c r="C230" s="87" t="str">
        <f>IF($D$220&gt;2,"charged as?","")</f>
        <v/>
      </c>
      <c r="D230" s="87" t="str">
        <f>IF($D$220&gt;2,"how adjudicated?","")</f>
        <v/>
      </c>
      <c r="E230" s="50"/>
      <c r="F230" s="1"/>
    </row>
    <row r="231" spans="1:30" ht="15" thickTop="1" thickBot="1" x14ac:dyDescent="0.3">
      <c r="A231" s="50"/>
      <c r="B231" s="87" t="str">
        <f>IF($D$220&gt;2,"relation?","")</f>
        <v/>
      </c>
      <c r="C231" s="87" t="str">
        <f>IF($D$220&gt;2,"convicted as?","")</f>
        <v/>
      </c>
      <c r="D231" s="87" t="str">
        <f>IF($D$220&gt;2,"verdict?","")</f>
        <v/>
      </c>
      <c r="E231" s="50"/>
      <c r="F231" s="1"/>
    </row>
    <row r="232" spans="1:30" ht="15" thickTop="1" thickBot="1" x14ac:dyDescent="0.3">
      <c r="A232" s="50"/>
      <c r="B232" s="87" t="str">
        <f>IF($D$220&gt;2,"know location?","")</f>
        <v/>
      </c>
      <c r="C232" s="87" t="str">
        <f>IF($D$220&gt;2,"claims to know real culprit?","")</f>
        <v/>
      </c>
      <c r="D232" s="87" t="str">
        <f>IF($D$220&gt;2,"also claims innocence?","")</f>
        <v/>
      </c>
      <c r="E232" s="50"/>
      <c r="F232" s="1"/>
    </row>
    <row r="233" spans="1:30" ht="4.95" customHeight="1" thickTop="1" thickBot="1" x14ac:dyDescent="0.3">
      <c r="A233" s="50"/>
      <c r="B233" s="50"/>
      <c r="C233" s="50"/>
      <c r="D233" s="50"/>
      <c r="E233" s="50"/>
      <c r="F233" s="1"/>
    </row>
    <row r="234" spans="1:30" ht="15" thickTop="1" thickBot="1" x14ac:dyDescent="0.3">
      <c r="A234" s="50" t="str">
        <f>IF(D$220&gt;3,4,"")</f>
        <v/>
      </c>
      <c r="B234" s="87" t="str">
        <f>IF(D$220&gt;3,"NAME ","")</f>
        <v/>
      </c>
      <c r="C234" s="87" t="str">
        <f>IF($D$220&gt;3,"charged as?","")</f>
        <v/>
      </c>
      <c r="D234" s="87" t="str">
        <f>IF($D$220&gt;3,"how adjudicated?","")</f>
        <v/>
      </c>
      <c r="E234" s="50"/>
      <c r="F234" s="1"/>
    </row>
    <row r="235" spans="1:30" ht="15" thickTop="1" thickBot="1" x14ac:dyDescent="0.3">
      <c r="A235" s="50"/>
      <c r="B235" s="87" t="str">
        <f>IF($D$220&gt;3,"relation?","")</f>
        <v/>
      </c>
      <c r="C235" s="87" t="str">
        <f>IF($D$220&gt;3,"convicted as?","")</f>
        <v/>
      </c>
      <c r="D235" s="87" t="str">
        <f>IF($D$220&gt;3,"verdict?","")</f>
        <v/>
      </c>
      <c r="E235" s="50"/>
      <c r="F235" s="1"/>
    </row>
    <row r="236" spans="1:30" ht="15" thickTop="1" thickBot="1" x14ac:dyDescent="0.3">
      <c r="A236" s="50"/>
      <c r="B236" s="87" t="str">
        <f>IF($D$220&gt;3,"know location?","")</f>
        <v/>
      </c>
      <c r="C236" s="87" t="str">
        <f>IF($D$220&gt;3,"claims to know real culprit?","")</f>
        <v/>
      </c>
      <c r="D236" s="87" t="str">
        <f>IF($D$220&gt;3,"also claims innocence?","")</f>
        <v/>
      </c>
      <c r="E236" s="50"/>
      <c r="F236" s="1"/>
    </row>
    <row r="237" spans="1:30" ht="4.95" customHeight="1" thickTop="1" thickBot="1" x14ac:dyDescent="0.3">
      <c r="A237" s="50"/>
      <c r="B237" s="50"/>
      <c r="C237" s="50"/>
      <c r="D237" s="50"/>
      <c r="E237" s="50"/>
      <c r="F237" s="1"/>
    </row>
    <row r="238" spans="1:30" ht="15" thickTop="1" thickBot="1" x14ac:dyDescent="0.3">
      <c r="A238" s="50" t="str">
        <f>IF(D$220&gt;4,5,"")</f>
        <v/>
      </c>
      <c r="B238" s="87" t="str">
        <f>IF(D$220&gt;4,"NAME ","")</f>
        <v/>
      </c>
      <c r="C238" s="87" t="str">
        <f>IF($D$220&gt;4,"charged as?","")</f>
        <v/>
      </c>
      <c r="D238" s="87" t="str">
        <f>IF($D$220&gt;4,"how adjudicated?","")</f>
        <v/>
      </c>
      <c r="E238" s="50"/>
      <c r="F238" s="1"/>
    </row>
    <row r="239" spans="1:30" ht="15" thickTop="1" thickBot="1" x14ac:dyDescent="0.3">
      <c r="A239" s="50"/>
      <c r="B239" s="87" t="str">
        <f>IF($D$220&gt;4,"relation?","")</f>
        <v/>
      </c>
      <c r="C239" s="87" t="str">
        <f>IF($D$220&gt;4,"convicted as?","")</f>
        <v/>
      </c>
      <c r="D239" s="87" t="str">
        <f>IF($D$220&gt;4,"verdict?","")</f>
        <v/>
      </c>
      <c r="E239" s="50"/>
      <c r="F239" s="1"/>
    </row>
    <row r="240" spans="1:30" ht="15" thickTop="1" thickBot="1" x14ac:dyDescent="0.3">
      <c r="A240" s="50"/>
      <c r="B240" s="87" t="str">
        <f>IF($D$220&gt;4,"know location?","")</f>
        <v/>
      </c>
      <c r="C240" s="87" t="str">
        <f>IF($D$220&gt;4,"claims to know real culprit?","")</f>
        <v/>
      </c>
      <c r="D240" s="87" t="str">
        <f>IF($D$220&gt;4,"also claims innocence?","")</f>
        <v/>
      </c>
      <c r="E240" s="50"/>
      <c r="F240" s="1"/>
    </row>
    <row r="241" spans="1:49" ht="4.95" customHeight="1" thickTop="1" thickBot="1" x14ac:dyDescent="0.3">
      <c r="A241" s="50"/>
      <c r="B241" s="50"/>
      <c r="C241" s="50"/>
      <c r="D241" s="50"/>
      <c r="E241" s="50"/>
      <c r="F241" s="1"/>
    </row>
    <row r="242" spans="1:49" ht="15" thickTop="1" thickBot="1" x14ac:dyDescent="0.3">
      <c r="A242" s="50" t="str">
        <f>IF(D$220&gt;5,6,"")</f>
        <v/>
      </c>
      <c r="B242" s="87" t="str">
        <f>IF(D$220&gt;5,"NAME ","")</f>
        <v/>
      </c>
      <c r="C242" s="87" t="str">
        <f>IF($D$220&gt;5,"charged as?","")</f>
        <v/>
      </c>
      <c r="D242" s="87" t="str">
        <f>IF($D$220&gt;5,"how adjudicated?","")</f>
        <v/>
      </c>
      <c r="E242" s="50"/>
      <c r="F242" s="1"/>
    </row>
    <row r="243" spans="1:49" ht="15" thickTop="1" thickBot="1" x14ac:dyDescent="0.3">
      <c r="A243" s="50"/>
      <c r="B243" s="87" t="str">
        <f>IF($D$220&gt;5,"relation?","")</f>
        <v/>
      </c>
      <c r="C243" s="87" t="str">
        <f>IF($D$220&gt;5,"convicted as?","")</f>
        <v/>
      </c>
      <c r="D243" s="87" t="str">
        <f>IF($D$220&gt;5,"verdict?","")</f>
        <v/>
      </c>
      <c r="E243" s="50"/>
      <c r="F243" s="1"/>
    </row>
    <row r="244" spans="1:49" ht="15" thickTop="1" thickBot="1" x14ac:dyDescent="0.3">
      <c r="A244" s="50"/>
      <c r="B244" s="87" t="str">
        <f>IF($D$220&gt;5,"know location?","")</f>
        <v/>
      </c>
      <c r="C244" s="87" t="str">
        <f>IF($D$220&gt;5,"claims to know real culprit?","")</f>
        <v/>
      </c>
      <c r="D244" s="87" t="str">
        <f>IF($D$220&gt;5,"also claims innocence?","")</f>
        <v/>
      </c>
      <c r="E244" s="50"/>
      <c r="F244" s="1"/>
    </row>
    <row r="245" spans="1:49" ht="4.95" customHeight="1" thickTop="1" x14ac:dyDescent="0.25">
      <c r="A245" s="50"/>
      <c r="B245" s="50"/>
      <c r="C245" s="50"/>
      <c r="D245" s="50"/>
      <c r="E245" s="50"/>
      <c r="F245" s="1"/>
    </row>
    <row r="246" spans="1:49" ht="15" customHeight="1" thickBot="1" x14ac:dyDescent="0.3">
      <c r="A246" s="50"/>
      <c r="B246" s="53" t="s">
        <v>207</v>
      </c>
      <c r="C246" s="50"/>
      <c r="D246" s="53"/>
      <c r="E246" s="50"/>
      <c r="F246" s="1"/>
    </row>
    <row r="247" spans="1:49" ht="60" customHeight="1" thickTop="1" thickBot="1" x14ac:dyDescent="0.3">
      <c r="A247" s="50"/>
      <c r="B247" s="537" t="s">
        <v>208</v>
      </c>
      <c r="C247" s="538"/>
      <c r="D247" s="539"/>
      <c r="E247" s="50"/>
      <c r="F247" s="1"/>
      <c r="AN247" s="88" t="s">
        <v>209</v>
      </c>
    </row>
    <row r="248" spans="1:49" ht="14.4" thickTop="1" x14ac:dyDescent="0.25">
      <c r="A248" s="50"/>
      <c r="B248" s="53"/>
      <c r="C248" s="53"/>
      <c r="D248" s="53"/>
      <c r="E248" s="53"/>
      <c r="F248" s="1"/>
      <c r="AN248" s="88" t="s">
        <v>210</v>
      </c>
    </row>
    <row r="249" spans="1:49" ht="15" thickBot="1" x14ac:dyDescent="0.35">
      <c r="A249" s="50"/>
      <c r="B249" s="78" t="s">
        <v>211</v>
      </c>
      <c r="C249" s="78" t="s">
        <v>212</v>
      </c>
      <c r="D249" s="78" t="s">
        <v>213</v>
      </c>
      <c r="E249" s="50"/>
      <c r="F249" s="1"/>
      <c r="AC249" s="77" t="s">
        <v>214</v>
      </c>
      <c r="AN249" s="88" t="s">
        <v>215</v>
      </c>
    </row>
    <row r="250" spans="1:49" ht="15.6" thickTop="1" thickBot="1" x14ac:dyDescent="0.35">
      <c r="A250" s="50"/>
      <c r="B250" s="79">
        <v>34367</v>
      </c>
      <c r="C250" s="79">
        <v>34157</v>
      </c>
      <c r="D250" s="86" t="s">
        <v>214</v>
      </c>
      <c r="E250" s="50"/>
      <c r="F250" s="1"/>
      <c r="AC250" s="77" t="s">
        <v>216</v>
      </c>
      <c r="AN250" s="88" t="s">
        <v>217</v>
      </c>
      <c r="AW250" s="89"/>
    </row>
    <row r="251" spans="1:49" ht="15" thickTop="1" thickBot="1" x14ac:dyDescent="0.3">
      <c r="A251" s="50"/>
      <c r="B251" s="53"/>
      <c r="C251" s="53"/>
      <c r="D251" s="53"/>
      <c r="E251" s="50"/>
      <c r="F251" s="1"/>
      <c r="AW251" s="89"/>
    </row>
    <row r="252" spans="1:49" ht="15" thickTop="1" thickBot="1" x14ac:dyDescent="0.3">
      <c r="A252" s="50"/>
      <c r="B252" s="78" t="s">
        <v>218</v>
      </c>
      <c r="C252" s="78" t="s">
        <v>219</v>
      </c>
      <c r="D252" s="78" t="s">
        <v>220</v>
      </c>
      <c r="E252" s="50"/>
      <c r="F252" s="1"/>
      <c r="AW252" s="89"/>
    </row>
    <row r="253" spans="1:49" ht="15" thickTop="1" thickBot="1" x14ac:dyDescent="0.3">
      <c r="A253" s="50"/>
      <c r="B253" s="79">
        <v>35060</v>
      </c>
      <c r="C253" s="79">
        <v>35803</v>
      </c>
      <c r="D253" s="90" t="s">
        <v>221</v>
      </c>
      <c r="E253" s="50"/>
      <c r="F253" s="1"/>
    </row>
    <row r="254" spans="1:49" ht="15" thickTop="1" thickBot="1" x14ac:dyDescent="0.3">
      <c r="A254" s="50"/>
      <c r="B254" s="53" t="s">
        <v>222</v>
      </c>
      <c r="C254" s="50"/>
      <c r="D254" s="50"/>
      <c r="E254" s="50"/>
      <c r="F254" s="1"/>
    </row>
    <row r="255" spans="1:49" ht="45" customHeight="1" thickTop="1" thickBot="1" x14ac:dyDescent="0.3">
      <c r="A255" s="50"/>
      <c r="B255" s="537"/>
      <c r="C255" s="538"/>
      <c r="D255" s="539"/>
      <c r="E255" s="50"/>
      <c r="F255" s="1"/>
    </row>
    <row r="256" spans="1:49" ht="7.05" customHeight="1" thickTop="1" thickBot="1" x14ac:dyDescent="0.3">
      <c r="A256" s="50"/>
      <c r="B256" s="50"/>
      <c r="C256" s="50"/>
      <c r="D256" s="50"/>
      <c r="E256" s="50"/>
      <c r="F256" s="1"/>
    </row>
    <row r="257" spans="1:52" ht="15.6" thickTop="1" thickBot="1" x14ac:dyDescent="0.35">
      <c r="A257" s="50"/>
      <c r="B257" s="53" t="s">
        <v>223</v>
      </c>
      <c r="C257" s="50"/>
      <c r="D257" s="91" t="s">
        <v>224</v>
      </c>
      <c r="E257" s="50"/>
      <c r="F257" s="1"/>
      <c r="AC257" s="60">
        <f>SUM(AD257:AK257)</f>
        <v>0</v>
      </c>
      <c r="AD257" s="6">
        <f>IF(D257=C2018,1,0)</f>
        <v>0</v>
      </c>
      <c r="AE257" s="6">
        <f>IF(D257=C2019,1,0)</f>
        <v>0</v>
      </c>
      <c r="AF257" s="6">
        <f>IF(D257=C2020,1,0)</f>
        <v>0</v>
      </c>
      <c r="AG257" s="6">
        <f>IF(D257=C2021,1,0)</f>
        <v>0</v>
      </c>
      <c r="AH257" s="6">
        <f>IF(D257=C2022,1,0)</f>
        <v>0</v>
      </c>
      <c r="AI257" s="6">
        <f>IF(D257=C2023,1,0)</f>
        <v>0</v>
      </c>
      <c r="AJ257" s="6">
        <f>IF(D257=C2024,1,0)</f>
        <v>0</v>
      </c>
      <c r="AK257" s="6">
        <f>IF(D257=C2026,1,0)</f>
        <v>0</v>
      </c>
      <c r="AM257" s="92">
        <f>IF(AC257=1,0,1)</f>
        <v>1</v>
      </c>
      <c r="AN257" s="92">
        <f>IF(D$257=C2035,1,0)</f>
        <v>0</v>
      </c>
      <c r="AO257" s="92">
        <f>IF(D$257=C2036,1,0)</f>
        <v>0</v>
      </c>
      <c r="AP257" s="92">
        <f>IF(D$257=C2037,1,0)</f>
        <v>0</v>
      </c>
      <c r="AQ257" s="93">
        <f>MAX(AN257:AP257)</f>
        <v>0</v>
      </c>
      <c r="AR257" s="92"/>
      <c r="AS257" s="92"/>
      <c r="AT257" s="92"/>
      <c r="AU257" s="92" t="str">
        <f>IF(OR(AC257&gt;0,AQ257&gt;0),AV258,AV259)</f>
        <v>no new charges</v>
      </c>
      <c r="AV257" s="92"/>
      <c r="AW257" s="92"/>
      <c r="AX257" s="92"/>
      <c r="AY257" s="92"/>
      <c r="AZ257" s="94" t="s">
        <v>225</v>
      </c>
    </row>
    <row r="258" spans="1:52" ht="14.4" thickTop="1" x14ac:dyDescent="0.25">
      <c r="A258" s="50"/>
      <c r="B258" s="95" t="str">
        <f>IF($AC$257=1,"Inmate #","")</f>
        <v/>
      </c>
      <c r="C258" s="95" t="str">
        <f>IF($AC$257=1,"Current correctional facility","")</f>
        <v/>
      </c>
      <c r="D258" s="95" t="str">
        <f>IF($AC$257=1,"City, ST zipcode","")</f>
        <v/>
      </c>
      <c r="E258" s="50"/>
      <c r="F258" s="1"/>
      <c r="AM258" s="92"/>
      <c r="AN258" s="92"/>
      <c r="AO258" s="92"/>
      <c r="AP258" s="92"/>
      <c r="AQ258" s="92"/>
      <c r="AR258" s="92"/>
      <c r="AS258" s="92"/>
      <c r="AT258" s="92"/>
      <c r="AU258" s="92"/>
      <c r="AV258" s="92" t="s">
        <v>226</v>
      </c>
      <c r="AW258" s="92"/>
      <c r="AX258" s="92"/>
      <c r="AY258" s="92"/>
      <c r="AZ258" s="92"/>
    </row>
    <row r="259" spans="1:52" x14ac:dyDescent="0.25">
      <c r="A259" s="50"/>
      <c r="B259" s="96"/>
      <c r="C259" s="96"/>
      <c r="D259" s="96"/>
      <c r="E259" s="50"/>
      <c r="F259" s="1"/>
      <c r="AM259" s="92"/>
      <c r="AN259" s="92" t="str">
        <f>IF(AQ257&gt;0,AV258,AV259)</f>
        <v>no new charges</v>
      </c>
      <c r="AO259" s="92"/>
      <c r="AP259" s="92"/>
      <c r="AQ259" s="92"/>
      <c r="AR259" s="92"/>
      <c r="AS259" s="92"/>
      <c r="AT259" s="92"/>
      <c r="AU259" s="92"/>
      <c r="AV259" s="92" t="s">
        <v>227</v>
      </c>
      <c r="AW259" s="92"/>
      <c r="AX259" s="92"/>
      <c r="AY259" s="92"/>
      <c r="AZ259" s="92"/>
    </row>
    <row r="260" spans="1:52" ht="4.95" customHeight="1" x14ac:dyDescent="0.25">
      <c r="A260" s="50"/>
      <c r="B260" s="96"/>
      <c r="C260" s="96"/>
      <c r="D260" s="96"/>
      <c r="E260" s="50"/>
      <c r="F260" s="1"/>
    </row>
    <row r="261" spans="1:52" ht="4.95" customHeight="1" x14ac:dyDescent="0.25">
      <c r="A261" s="50"/>
      <c r="B261" s="96"/>
      <c r="C261" s="96"/>
      <c r="D261" s="96"/>
      <c r="E261" s="50"/>
      <c r="F261" s="1"/>
    </row>
    <row r="262" spans="1:52" ht="14.4" thickBot="1" x14ac:dyDescent="0.3">
      <c r="A262" s="50"/>
      <c r="B262" s="97" t="s">
        <v>228</v>
      </c>
      <c r="C262" s="53"/>
      <c r="D262" s="53"/>
      <c r="E262" s="50"/>
      <c r="F262" s="1"/>
    </row>
    <row r="263" spans="1:52" ht="15" thickTop="1" thickBot="1" x14ac:dyDescent="0.3">
      <c r="A263" s="50"/>
      <c r="B263" s="53" t="s">
        <v>229</v>
      </c>
      <c r="C263" s="50"/>
      <c r="D263" s="89">
        <f>B196</f>
        <v>34157</v>
      </c>
      <c r="E263" s="53"/>
      <c r="F263" s="1"/>
    </row>
    <row r="264" spans="1:52" ht="15" thickTop="1" thickBot="1" x14ac:dyDescent="0.3">
      <c r="A264" s="50"/>
      <c r="B264" s="53" t="str">
        <f>IF($AC$257=0,"Date released from prison:","Earliest release date (if applicable):")</f>
        <v>Date released from prison:</v>
      </c>
      <c r="C264" s="50"/>
      <c r="D264" s="89">
        <v>38617</v>
      </c>
      <c r="E264" s="50"/>
      <c r="F264" s="1"/>
      <c r="AB264" s="532">
        <f>D264-C250</f>
        <v>4460</v>
      </c>
      <c r="AC264" s="532"/>
      <c r="AE264" s="98">
        <f>ROUNDDOWN((AB264/365.25),0)</f>
        <v>12</v>
      </c>
    </row>
    <row r="265" spans="1:52" ht="15" thickTop="1" thickBot="1" x14ac:dyDescent="0.3">
      <c r="A265" s="50"/>
      <c r="B265" s="53" t="str">
        <f>IF($D$257="on parole","Date expected to end parole:","Date released from parole (if applicable):")</f>
        <v>Date released from parole (if applicable):</v>
      </c>
      <c r="C265" s="50"/>
      <c r="D265" s="89"/>
      <c r="E265" s="50"/>
      <c r="F265" s="1"/>
      <c r="AB265" s="532">
        <f>IF(D265="",0,D265-D264)</f>
        <v>0</v>
      </c>
      <c r="AC265" s="532">
        <f>D264-D264</f>
        <v>0</v>
      </c>
      <c r="AE265" s="98">
        <f>ROUND((AB265/365.25),1)</f>
        <v>0</v>
      </c>
    </row>
    <row r="266" spans="1:52" ht="15" thickTop="1" thickBot="1" x14ac:dyDescent="0.3">
      <c r="A266" s="50"/>
      <c r="B266" s="53" t="str">
        <f>IF($D$257="on probation","Date expected to end probation:","Date released from probation (if applicable):")</f>
        <v>Date released from probation (if applicable):</v>
      </c>
      <c r="C266" s="50"/>
      <c r="D266" s="55"/>
      <c r="E266" s="50"/>
      <c r="F266" s="1"/>
    </row>
    <row r="267" spans="1:52" ht="15" thickTop="1" thickBot="1" x14ac:dyDescent="0.3">
      <c r="A267" s="50"/>
      <c r="B267" s="541" t="s">
        <v>230</v>
      </c>
      <c r="C267" s="542"/>
      <c r="D267" s="99" t="s">
        <v>231</v>
      </c>
      <c r="E267" s="50"/>
      <c r="F267" s="1"/>
    </row>
    <row r="268" spans="1:52" ht="15" thickTop="1" thickBot="1" x14ac:dyDescent="0.3">
      <c r="A268" s="50"/>
      <c r="B268" s="53" t="s">
        <v>232</v>
      </c>
      <c r="C268" s="50"/>
      <c r="D268" s="55">
        <v>3</v>
      </c>
      <c r="E268" s="50"/>
      <c r="F268" s="1"/>
      <c r="AB268" s="57"/>
    </row>
    <row r="269" spans="1:52" ht="15" thickTop="1" thickBot="1" x14ac:dyDescent="0.3">
      <c r="A269" s="50"/>
      <c r="B269" s="541" t="str">
        <f>IF(AC257=0,"Discharged from max sentence due to innocence claim?","Expect to serve full sentence due to innocence claim?")</f>
        <v>Discharged from max sentence due to innocence claim?</v>
      </c>
      <c r="C269" s="542"/>
      <c r="D269" s="100" t="s">
        <v>185</v>
      </c>
      <c r="E269" s="50"/>
      <c r="F269" s="1"/>
      <c r="AB269" s="57"/>
    </row>
    <row r="270" spans="1:52" ht="15" thickTop="1" thickBot="1" x14ac:dyDescent="0.3">
      <c r="A270" s="50"/>
      <c r="B270" s="541" t="s">
        <v>233</v>
      </c>
      <c r="C270" s="542"/>
      <c r="D270" s="100" t="s">
        <v>234</v>
      </c>
      <c r="E270" s="50"/>
      <c r="F270" s="1"/>
      <c r="AM270" s="101" t="str">
        <f>IF(AND(AO270&gt;0,AO270&lt;3),"Sex offender registry end date:",IF(AND(AO270&gt;2,AO270&lt;4),"Sex offender registry as of today:",""))</f>
        <v>Sex offender registry as of today:</v>
      </c>
      <c r="AO270" s="60">
        <f>MAX(AP270:AS270)</f>
        <v>3</v>
      </c>
      <c r="AP270" s="6">
        <f>IF($D$270=B1988,D1988,-1)</f>
        <v>-1</v>
      </c>
      <c r="AQ270" s="6">
        <f>IF($D$270=B1989,D1989,-1)</f>
        <v>-1</v>
      </c>
      <c r="AR270" s="6">
        <f>IF($D$270=B1990,D1990,-1)</f>
        <v>-1</v>
      </c>
      <c r="AS270" s="6">
        <f>IF($D$270=B1991,D1991,-1)</f>
        <v>3</v>
      </c>
    </row>
    <row r="271" spans="1:52" ht="15.6" customHeight="1" thickTop="1" thickBot="1" x14ac:dyDescent="0.3">
      <c r="A271" s="50"/>
      <c r="B271" s="541" t="str">
        <f>AM270</f>
        <v>Sex offender registry as of today:</v>
      </c>
      <c r="C271" s="542"/>
      <c r="D271" s="89">
        <f ca="1">IF(AO270=3,TODAY(),"")</f>
        <v>44336</v>
      </c>
      <c r="E271" s="50"/>
      <c r="F271" s="1"/>
      <c r="AB271" s="532">
        <f ca="1">D271-D264</f>
        <v>5719</v>
      </c>
      <c r="AC271" s="532"/>
      <c r="AD271" s="98">
        <f ca="1">ROUND((AB271/365.25),0)</f>
        <v>16</v>
      </c>
      <c r="AE271" s="98">
        <f ca="1">MAX(AE265,AD271)</f>
        <v>16</v>
      </c>
      <c r="AF271" s="540">
        <f ca="1">TODAY()</f>
        <v>44336</v>
      </c>
      <c r="AG271" s="540"/>
    </row>
    <row r="272" spans="1:52" ht="15" thickTop="1" thickBot="1" x14ac:dyDescent="0.3">
      <c r="A272" s="50"/>
      <c r="B272" s="541" t="s">
        <v>235</v>
      </c>
      <c r="C272" s="542"/>
      <c r="D272" s="102" t="s">
        <v>185</v>
      </c>
      <c r="E272" s="50"/>
      <c r="F272" s="1"/>
    </row>
    <row r="273" spans="1:56" ht="14.4" thickTop="1" x14ac:dyDescent="0.25">
      <c r="A273" s="50"/>
      <c r="B273" s="53"/>
      <c r="C273" s="50"/>
      <c r="D273" s="50"/>
      <c r="E273" s="50"/>
      <c r="F273" s="1"/>
    </row>
    <row r="274" spans="1:56" x14ac:dyDescent="0.25">
      <c r="A274" s="50"/>
      <c r="B274" s="53" t="s">
        <v>236</v>
      </c>
      <c r="C274" s="50"/>
      <c r="D274" s="50"/>
      <c r="E274" s="50"/>
      <c r="F274" s="1"/>
    </row>
    <row r="275" spans="1:56" ht="14.4" thickBot="1" x14ac:dyDescent="0.3">
      <c r="A275" s="50"/>
      <c r="B275" s="50" t="s">
        <v>237</v>
      </c>
      <c r="C275" s="50" t="s">
        <v>238</v>
      </c>
      <c r="D275" s="50" t="s">
        <v>239</v>
      </c>
      <c r="E275" s="50"/>
      <c r="F275" s="1"/>
    </row>
    <row r="276" spans="1:56" ht="15" thickTop="1" thickBot="1" x14ac:dyDescent="0.3">
      <c r="A276" s="50"/>
      <c r="B276" s="103" t="s">
        <v>185</v>
      </c>
      <c r="C276" s="86" t="s">
        <v>185</v>
      </c>
      <c r="D276" s="86" t="s">
        <v>240</v>
      </c>
      <c r="E276" s="50"/>
      <c r="F276" s="1"/>
    </row>
    <row r="277" spans="1:56" ht="15" thickTop="1" thickBot="1" x14ac:dyDescent="0.3">
      <c r="A277" s="50"/>
      <c r="B277" s="53"/>
      <c r="C277" s="50"/>
      <c r="D277" s="50"/>
      <c r="E277" s="50"/>
      <c r="F277" s="1"/>
    </row>
    <row r="278" spans="1:56" ht="15" thickTop="1" thickBot="1" x14ac:dyDescent="0.3">
      <c r="A278" s="50"/>
      <c r="B278" s="543" t="s">
        <v>241</v>
      </c>
      <c r="C278" s="544"/>
      <c r="D278" s="100" t="s">
        <v>185</v>
      </c>
      <c r="E278" s="50"/>
      <c r="F278" s="1"/>
      <c r="AB278" s="57"/>
      <c r="AC278" s="57"/>
      <c r="AT278" s="543"/>
      <c r="AU278" s="544"/>
    </row>
    <row r="279" spans="1:56" ht="15" thickTop="1" thickBot="1" x14ac:dyDescent="0.3">
      <c r="A279" s="50"/>
      <c r="B279" s="53" t="str">
        <f>IF(D278=AE218,"What was the response? Explain further below.","Please explain why not in box below.")</f>
        <v>What was the response? Explain further below.</v>
      </c>
      <c r="C279" s="50"/>
      <c r="D279" s="104" t="s">
        <v>242</v>
      </c>
      <c r="E279" s="50"/>
      <c r="F279" s="1"/>
      <c r="AB279" s="57"/>
      <c r="BD279" s="6" t="s">
        <v>243</v>
      </c>
    </row>
    <row r="280" spans="1:56" ht="15" thickTop="1" thickBot="1" x14ac:dyDescent="0.3">
      <c r="A280" s="50"/>
      <c r="B280" s="545" t="str">
        <f>IF(D279=B1862,D1862,"")</f>
        <v>but had to prioritize their resources for others whose liberty was more in jeopardy.</v>
      </c>
      <c r="C280" s="545"/>
      <c r="D280" s="545"/>
      <c r="E280" s="50"/>
      <c r="F280" s="1"/>
      <c r="BD280" s="6" t="s">
        <v>244</v>
      </c>
    </row>
    <row r="281" spans="1:56" ht="45" customHeight="1" thickTop="1" thickBot="1" x14ac:dyDescent="0.3">
      <c r="A281" s="50"/>
      <c r="B281" s="537" t="s">
        <v>245</v>
      </c>
      <c r="C281" s="538"/>
      <c r="D281" s="539"/>
      <c r="E281" s="50"/>
      <c r="F281" s="1"/>
    </row>
    <row r="282" spans="1:56" ht="7.95" customHeight="1" thickTop="1" x14ac:dyDescent="0.25">
      <c r="A282" s="50"/>
      <c r="B282" s="53"/>
      <c r="C282" s="50"/>
      <c r="D282" s="50"/>
      <c r="E282" s="50"/>
      <c r="F282" s="1"/>
    </row>
    <row r="283" spans="1:56" ht="14.4" thickBot="1" x14ac:dyDescent="0.3">
      <c r="A283" s="50"/>
      <c r="B283" s="53" t="s">
        <v>246</v>
      </c>
      <c r="C283" s="50"/>
      <c r="D283" s="53" t="s">
        <v>247</v>
      </c>
      <c r="E283" s="50"/>
      <c r="F283" s="1"/>
    </row>
    <row r="284" spans="1:56" ht="15" thickTop="1" thickBot="1" x14ac:dyDescent="0.3">
      <c r="A284" s="50"/>
      <c r="B284" s="559" t="s">
        <v>248</v>
      </c>
      <c r="C284" s="560"/>
      <c r="D284" s="89"/>
      <c r="E284" s="50"/>
      <c r="F284" s="1"/>
      <c r="AB284" s="57"/>
      <c r="AD284" s="106" t="str">
        <f>IF(B284=B2473,"No other criminal history","")</f>
        <v>No other criminal history</v>
      </c>
      <c r="AE284" s="107"/>
      <c r="AF284" s="107"/>
      <c r="AG284" s="107"/>
      <c r="AH284" s="107"/>
      <c r="AI284" s="107"/>
    </row>
    <row r="285" spans="1:56" ht="15" thickTop="1" thickBot="1" x14ac:dyDescent="0.3">
      <c r="A285" s="50"/>
      <c r="B285" s="53" t="s">
        <v>249</v>
      </c>
      <c r="C285" s="53"/>
      <c r="D285" s="53"/>
      <c r="E285" s="50"/>
      <c r="F285" s="1"/>
    </row>
    <row r="286" spans="1:56" ht="45" customHeight="1" thickTop="1" thickBot="1" x14ac:dyDescent="0.3">
      <c r="A286" s="50"/>
      <c r="B286" s="537"/>
      <c r="C286" s="538"/>
      <c r="D286" s="539"/>
      <c r="E286" s="50"/>
      <c r="F286" s="1"/>
    </row>
    <row r="287" spans="1:56" ht="7.95" customHeight="1" thickTop="1" x14ac:dyDescent="0.25">
      <c r="A287" s="50"/>
      <c r="B287" s="50"/>
      <c r="C287" s="50"/>
      <c r="D287" s="50"/>
      <c r="E287" s="50"/>
      <c r="F287" s="1"/>
    </row>
    <row r="288" spans="1:56" ht="14.4" thickBot="1" x14ac:dyDescent="0.3">
      <c r="A288" s="50"/>
      <c r="B288" s="53" t="s">
        <v>250</v>
      </c>
      <c r="C288" s="50"/>
      <c r="D288" s="50"/>
      <c r="E288" s="50"/>
      <c r="F288" s="1"/>
    </row>
    <row r="289" spans="1:62" ht="60" customHeight="1" thickTop="1" thickBot="1" x14ac:dyDescent="0.3">
      <c r="A289" s="50"/>
      <c r="B289" s="537" t="str">
        <f>AE289</f>
        <v>My 3 young daughters never accused me since I never touched them inappropriately. An Olan Mills professional portrait of them was taken in the search warrant as "child pornagraphy".</v>
      </c>
      <c r="C289" s="538"/>
      <c r="D289" s="539"/>
      <c r="E289" s="50"/>
      <c r="F289" s="1"/>
      <c r="AE289" s="28" t="s">
        <v>251</v>
      </c>
    </row>
    <row r="290" spans="1:62" ht="7.95" customHeight="1" thickTop="1" x14ac:dyDescent="0.25">
      <c r="A290" s="50"/>
      <c r="B290" s="53"/>
      <c r="C290" s="50"/>
      <c r="D290" s="50"/>
      <c r="E290" s="50"/>
      <c r="F290" s="1"/>
    </row>
    <row r="291" spans="1:62" ht="30" customHeight="1" thickBot="1" x14ac:dyDescent="0.3">
      <c r="A291" s="50"/>
      <c r="B291" s="561" t="s">
        <v>252</v>
      </c>
      <c r="C291" s="561"/>
      <c r="D291" s="561"/>
      <c r="E291" s="50"/>
      <c r="F291" s="1"/>
    </row>
    <row r="292" spans="1:62" ht="60" customHeight="1" thickTop="1" thickBot="1" x14ac:dyDescent="0.3">
      <c r="A292" s="50"/>
      <c r="B292" s="537" t="str">
        <f>AE292</f>
        <v xml:space="preserve">Codefendant had a long rap sheet, but no history of sexual vioence. Seems to have overcome previous criminality and shame by accepting being transgender. At the time I struggled with codependency and by appearances prone to appease codefendant's requests than stand up for myself. At the time, I was in bankruptcy. </v>
      </c>
      <c r="C292" s="538"/>
      <c r="D292" s="539"/>
      <c r="E292" s="50"/>
      <c r="F292" s="1"/>
      <c r="AE292" s="28" t="s">
        <v>253</v>
      </c>
    </row>
    <row r="293" spans="1:62" ht="7.95" customHeight="1" thickTop="1" x14ac:dyDescent="0.25">
      <c r="A293" s="50"/>
      <c r="B293" s="50"/>
      <c r="C293" s="50"/>
      <c r="D293" s="50"/>
      <c r="E293" s="50"/>
      <c r="F293" s="1"/>
    </row>
    <row r="294" spans="1:62" ht="45" customHeight="1" x14ac:dyDescent="0.25">
      <c r="A294" s="50"/>
      <c r="B294" s="562" t="str">
        <f>IF(AB294&lt;&gt;"","Thanks for answering all those questions. They understandably bring up a lot of painful stuff. Together, let's give your pain some purpose by bringing this injustice to an end. And next provide documentation to help verify your innocence claim.","Please review your answers and fill any unfinished items. You've come this far, and we trust you can do it. You deserve to bring this injustice to an end.")</f>
        <v>Thanks for answering all those questions. They understandably bring up a lot of painful stuff. Together, let's give your pain some purpose by bringing this injustice to an end. And next provide documentation to help verify your innocence claim.</v>
      </c>
      <c r="C294" s="562"/>
      <c r="D294" s="562"/>
      <c r="E294" s="50"/>
      <c r="F294" s="1"/>
      <c r="AB294" s="6">
        <v>1</v>
      </c>
    </row>
    <row r="295" spans="1:62" ht="7.95" customHeight="1" x14ac:dyDescent="0.25">
      <c r="A295" s="50"/>
      <c r="B295" s="53"/>
      <c r="C295" s="50"/>
      <c r="D295" s="50"/>
      <c r="E295" s="50"/>
      <c r="F295" s="1"/>
    </row>
    <row r="296" spans="1:62" ht="30" customHeight="1" x14ac:dyDescent="0.25">
      <c r="A296" s="46" t="s">
        <v>254</v>
      </c>
      <c r="B296" s="46" t="s">
        <v>255</v>
      </c>
      <c r="C296" s="46"/>
      <c r="D296" s="46"/>
      <c r="E296" s="46"/>
      <c r="F296" s="475" t="s">
        <v>949</v>
      </c>
    </row>
    <row r="297" spans="1:62" ht="17.399999999999999" x14ac:dyDescent="0.3">
      <c r="A297" s="108" t="s">
        <v>256</v>
      </c>
      <c r="B297" s="109"/>
      <c r="C297" s="109"/>
      <c r="D297" s="109"/>
      <c r="E297" s="110"/>
      <c r="F297" s="108"/>
      <c r="AC297" s="6" t="s">
        <v>257</v>
      </c>
      <c r="AK297" s="6">
        <v>9.9999999999999998E-13</v>
      </c>
      <c r="AL297" s="7">
        <f>COUNT(AK300,AK310,AK320,AK330,AK340,AK350,AK360,AK370,AK380,AK390,AK400,AK410,AK420,AK430)</f>
        <v>7</v>
      </c>
      <c r="AN297" s="111">
        <f>MAX(AK297:AL297)</f>
        <v>7</v>
      </c>
      <c r="AP297" s="112">
        <f>AQ297-0.25</f>
        <v>0</v>
      </c>
      <c r="AQ297" s="112">
        <f>AR297-0.25</f>
        <v>0.25</v>
      </c>
      <c r="AR297" s="112">
        <f>AS297-0.25</f>
        <v>0.5</v>
      </c>
      <c r="AS297" s="112">
        <f>AT297-0.25</f>
        <v>0.75</v>
      </c>
      <c r="AT297" s="112">
        <v>1</v>
      </c>
      <c r="BF297" s="113">
        <v>0.05</v>
      </c>
      <c r="BH297" s="113">
        <v>0.1</v>
      </c>
    </row>
    <row r="298" spans="1:62" ht="19.95" customHeight="1" x14ac:dyDescent="0.25">
      <c r="A298" s="114">
        <v>1</v>
      </c>
      <c r="B298" s="114" t="s">
        <v>258</v>
      </c>
      <c r="C298" s="114"/>
      <c r="D298" s="115">
        <f>IF(AN300&gt;0,AN300,0)</f>
        <v>7.1428571428571425E-2</v>
      </c>
      <c r="E298" s="116"/>
      <c r="F298" s="1"/>
    </row>
    <row r="299" spans="1:62" s="120" customFormat="1" ht="18" customHeight="1" thickBot="1" x14ac:dyDescent="0.3">
      <c r="A299" s="117"/>
      <c r="B299" s="546" t="s">
        <v>259</v>
      </c>
      <c r="C299" s="546"/>
      <c r="D299" s="546"/>
      <c r="E299" s="118"/>
      <c r="F299" s="1"/>
      <c r="G299" s="119"/>
      <c r="H299" s="119"/>
      <c r="I299" s="119"/>
      <c r="J299" s="119"/>
      <c r="K299" s="119"/>
      <c r="L299" s="119"/>
      <c r="M299" s="119"/>
      <c r="N299" s="119"/>
      <c r="O299" s="119"/>
      <c r="P299" s="119"/>
      <c r="Q299" s="119"/>
      <c r="R299" s="119"/>
      <c r="S299" s="119"/>
      <c r="T299" s="119"/>
      <c r="U299" s="119"/>
      <c r="V299" s="119"/>
      <c r="W299" s="119"/>
      <c r="X299" s="119"/>
      <c r="Y299" s="119"/>
      <c r="Z299" s="119"/>
      <c r="AC299" s="121">
        <v>1</v>
      </c>
      <c r="AD299" s="122">
        <f>AC299-($AC299/5)</f>
        <v>0.8</v>
      </c>
      <c r="AE299" s="123">
        <f>AD299-($AC299/5)</f>
        <v>0.60000000000000009</v>
      </c>
      <c r="AF299" s="124">
        <f>AE299-($AC299/5)</f>
        <v>0.40000000000000008</v>
      </c>
      <c r="AG299" s="125">
        <f>AF299-($AC299/5)</f>
        <v>0.20000000000000007</v>
      </c>
      <c r="AH299" s="126">
        <f>AG299-($AC299/5)</f>
        <v>0</v>
      </c>
      <c r="BB299" s="127" t="s">
        <v>260</v>
      </c>
      <c r="BC299" s="6"/>
      <c r="BD299" s="127" t="s">
        <v>261</v>
      </c>
      <c r="BG299" s="128" t="s">
        <v>262</v>
      </c>
      <c r="BH299" s="129"/>
      <c r="BI299" s="130" t="s">
        <v>263</v>
      </c>
      <c r="BJ299" s="131"/>
    </row>
    <row r="300" spans="1:62" ht="15.6" thickTop="1" thickBot="1" x14ac:dyDescent="0.35">
      <c r="A300" s="117"/>
      <c r="B300" s="547" t="s">
        <v>264</v>
      </c>
      <c r="C300" s="548"/>
      <c r="D300" s="549"/>
      <c r="E300" s="132"/>
      <c r="F300" s="1"/>
      <c r="AC300" s="112">
        <f t="shared" ref="AC300:AH300" si="3">IF($B300=AC$1896,AC299,0)</f>
        <v>1</v>
      </c>
      <c r="AD300" s="112">
        <f t="shared" si="3"/>
        <v>0</v>
      </c>
      <c r="AE300" s="112">
        <f t="shared" si="3"/>
        <v>0</v>
      </c>
      <c r="AF300" s="112">
        <f t="shared" si="3"/>
        <v>0</v>
      </c>
      <c r="AG300" s="112">
        <f t="shared" si="3"/>
        <v>0</v>
      </c>
      <c r="AH300" s="112">
        <f t="shared" si="3"/>
        <v>0</v>
      </c>
      <c r="AI300" s="133">
        <f>SUM(AC300:AH300)</f>
        <v>1</v>
      </c>
      <c r="AK300" s="550">
        <f>IF(AI300&gt;0,AI300,"")</f>
        <v>1</v>
      </c>
      <c r="AL300" s="527"/>
      <c r="AN300" s="551">
        <f>(AI300/$AN$297)/2</f>
        <v>7.1428571428571425E-2</v>
      </c>
      <c r="AO300" s="552"/>
      <c r="BB300" s="127" t="s">
        <v>265</v>
      </c>
      <c r="BD300" s="127" t="s">
        <v>265</v>
      </c>
      <c r="BG300" s="128" t="s">
        <v>266</v>
      </c>
      <c r="BH300" s="134">
        <f>BH297</f>
        <v>0.1</v>
      </c>
      <c r="BI300" s="130" t="s">
        <v>266</v>
      </c>
      <c r="BJ300" s="135">
        <f>1-BH300</f>
        <v>0.9</v>
      </c>
    </row>
    <row r="301" spans="1:62" ht="15.6" thickTop="1" thickBot="1" x14ac:dyDescent="0.3">
      <c r="A301" s="117"/>
      <c r="B301" s="553" t="s">
        <v>267</v>
      </c>
      <c r="C301" s="554"/>
      <c r="D301" s="555"/>
      <c r="E301" s="132"/>
      <c r="F301" s="1"/>
      <c r="AC301" s="120"/>
      <c r="BB301" s="136">
        <f>$AC$1556</f>
        <v>10</v>
      </c>
      <c r="BD301" s="136">
        <f>$AC$1557</f>
        <v>25</v>
      </c>
      <c r="BG301" s="137" t="str">
        <f>BB299</f>
        <v>low</v>
      </c>
      <c r="BH301" s="137" t="str">
        <f>BD299</f>
        <v>high</v>
      </c>
      <c r="BI301" s="137" t="str">
        <f>BB299</f>
        <v>low</v>
      </c>
      <c r="BJ301" s="137" t="str">
        <f>BD299</f>
        <v>high</v>
      </c>
    </row>
    <row r="302" spans="1:62" ht="15" thickTop="1" thickBot="1" x14ac:dyDescent="0.3">
      <c r="A302" s="117"/>
      <c r="B302" s="118" t="str">
        <f>IF(B300="","","Add any relevant info in box below to help us help you with your trial transcripts.")</f>
        <v>Add any relevant info in box below to help us help you with your trial transcripts.</v>
      </c>
      <c r="C302" s="117"/>
      <c r="D302" s="117"/>
      <c r="E302" s="132"/>
      <c r="F302" s="1"/>
      <c r="AC302" s="120"/>
      <c r="BB302" s="136">
        <f>IF(AK306=$AC$297,0,(BB301*AK306))</f>
        <v>5545.2</v>
      </c>
      <c r="BD302" s="136">
        <f>IF(AK306=$AC$297,0,(BD301*AK306))</f>
        <v>13863</v>
      </c>
      <c r="BG302" s="136">
        <f>BB302*BH300</f>
        <v>554.52</v>
      </c>
      <c r="BH302" s="136">
        <f>BD302*BH300</f>
        <v>1386.3000000000002</v>
      </c>
      <c r="BI302" s="136">
        <f>BB302*BJ300</f>
        <v>4990.68</v>
      </c>
      <c r="BJ302" s="136">
        <f>BD302*BJ300</f>
        <v>12476.7</v>
      </c>
    </row>
    <row r="303" spans="1:62" ht="67.05" customHeight="1" thickTop="1" thickBot="1" x14ac:dyDescent="0.3">
      <c r="A303" s="117"/>
      <c r="B303" s="556" t="s">
        <v>268</v>
      </c>
      <c r="C303" s="557"/>
      <c r="D303" s="558"/>
      <c r="E303" s="132"/>
      <c r="F303" s="1"/>
      <c r="AC303" s="120"/>
      <c r="BJ303" s="138">
        <f>MIN(BJ302,($D$1330*10))</f>
        <v>0</v>
      </c>
    </row>
    <row r="304" spans="1:62" ht="19.95" customHeight="1" thickTop="1" thickBot="1" x14ac:dyDescent="0.3">
      <c r="A304" s="117"/>
      <c r="B304" s="139" t="str">
        <f>IF(B300="","","SUPPORTER REVIEW: Prepare for Independent Verifier")</f>
        <v>SUPPORTER REVIEW: Prepare for Independent Verifier</v>
      </c>
      <c r="C304" s="117"/>
      <c r="D304" s="117"/>
      <c r="E304" s="132"/>
      <c r="F304" s="1"/>
      <c r="AC304" s="120"/>
      <c r="BJ304" s="140"/>
    </row>
    <row r="305" spans="1:63" ht="14.4" thickTop="1" x14ac:dyDescent="0.25">
      <c r="A305" s="117"/>
      <c r="B305" s="141" t="str">
        <f>IF(B300="","","How many pages?")</f>
        <v>How many pages?</v>
      </c>
      <c r="C305" s="142" t="str">
        <f>IF(AJ306&gt;30,"check if URL works, report from list below","")</f>
        <v>check if URL works, report from list below</v>
      </c>
      <c r="D305" s="143" t="str">
        <f>IF(B300="","","Estimated time to verify")</f>
        <v>Estimated time to verify</v>
      </c>
      <c r="E305" s="132"/>
      <c r="F305" s="1"/>
      <c r="AP305" s="6" t="s">
        <v>269</v>
      </c>
      <c r="AT305" s="144" t="str">
        <f>IF(AND(AJ306&gt;30,B306&gt;0),"ready","not ready")</f>
        <v>ready</v>
      </c>
      <c r="AU305" s="144"/>
      <c r="AV305" s="144"/>
      <c r="BB305" s="6"/>
      <c r="BF305" s="113">
        <f>BF297</f>
        <v>0.05</v>
      </c>
      <c r="BG305" s="136">
        <f>BG302*$BF305</f>
        <v>27.725999999999999</v>
      </c>
      <c r="BH305" s="136">
        <f>BH302*$BF305</f>
        <v>69.315000000000012</v>
      </c>
      <c r="BI305" s="136">
        <f>BI302*$BF305</f>
        <v>249.53400000000002</v>
      </c>
      <c r="BJ305" s="136">
        <f>BJ302*$BF305</f>
        <v>623.83500000000004</v>
      </c>
    </row>
    <row r="306" spans="1:63" ht="14.4" thickBot="1" x14ac:dyDescent="0.3">
      <c r="A306" s="117"/>
      <c r="B306" s="145">
        <f>64+172+251+424+592+690+694+800+903+31</f>
        <v>4621</v>
      </c>
      <c r="C306" s="146" t="s">
        <v>270</v>
      </c>
      <c r="D306" s="147" t="str">
        <f>CONCATENATE(AK306,AL306)</f>
        <v>554.52 hours</v>
      </c>
      <c r="E306" s="148"/>
      <c r="F306" s="1"/>
      <c r="AD306" s="149">
        <f>IF(B300=B$1896,G$1896,AC305)</f>
        <v>0.12</v>
      </c>
      <c r="AE306" s="150">
        <f>IF(B300=B$1897,G$1897,AD305)</f>
        <v>0</v>
      </c>
      <c r="AF306" s="151">
        <f>IF(B300=B$1898,G$1898,AE305)</f>
        <v>0</v>
      </c>
      <c r="AG306" s="152">
        <f>IF(B300=B$1899,G$1899,AF305)</f>
        <v>0</v>
      </c>
      <c r="AH306" s="9"/>
      <c r="AI306" s="153">
        <f>MAX(AD306:AG306)</f>
        <v>0.12</v>
      </c>
      <c r="AJ306" s="6">
        <f>LEN(B300)</f>
        <v>37</v>
      </c>
      <c r="AK306" s="154">
        <f>IF(B306="",$AC$297,B306*AI306)</f>
        <v>554.52</v>
      </c>
      <c r="AL306" s="6" t="s">
        <v>271</v>
      </c>
      <c r="AN306" s="6">
        <f>B306*AI306</f>
        <v>554.52</v>
      </c>
      <c r="AP306" s="155" t="str">
        <f>IF($C306=$D$1896,AP$297,"")</f>
        <v/>
      </c>
      <c r="AQ306" s="156" t="str">
        <f>IF($C306=$D$1897,AQ$297,"")</f>
        <v/>
      </c>
      <c r="AR306" s="157" t="str">
        <f>IF($C306=$D$1898,AR$297,"")</f>
        <v/>
      </c>
      <c r="AS306" s="158" t="str">
        <f>IF($C306=$D$1899,AS$297,"")</f>
        <v/>
      </c>
      <c r="AT306" s="159">
        <f>IF($C306=$D$1900,AT$297,"")</f>
        <v>1</v>
      </c>
      <c r="AU306" s="160">
        <f>MAX(AP306:AS306)</f>
        <v>0</v>
      </c>
      <c r="AV306" s="154"/>
      <c r="AX306" s="6">
        <f>IF(AK306=$AC$297,0,AK306)</f>
        <v>554.52</v>
      </c>
      <c r="BB306" s="6"/>
      <c r="BG306" s="161">
        <f>BG302*0.95</f>
        <v>526.79399999999998</v>
      </c>
      <c r="BH306" s="161">
        <f>BH302*0.95</f>
        <v>1316.9850000000001</v>
      </c>
      <c r="BI306" s="161">
        <f>BI302*0.95</f>
        <v>4741.1459999999997</v>
      </c>
      <c r="BJ306" s="161">
        <f>BJ302*0.95</f>
        <v>11852.865</v>
      </c>
    </row>
    <row r="307" spans="1:63" ht="14.4" thickTop="1" x14ac:dyDescent="0.25">
      <c r="A307" s="117"/>
      <c r="B307" s="117"/>
      <c r="C307" s="117"/>
      <c r="D307" s="117"/>
      <c r="E307" s="132"/>
      <c r="F307" s="1"/>
      <c r="BK307" s="162"/>
    </row>
    <row r="308" spans="1:63" ht="19.95" customHeight="1" x14ac:dyDescent="0.25">
      <c r="A308" s="114">
        <f>A298+1</f>
        <v>2</v>
      </c>
      <c r="B308" s="114" t="s">
        <v>272</v>
      </c>
      <c r="C308" s="114"/>
      <c r="D308" s="115">
        <f>IF(AN310&gt;0,AN310,0)</f>
        <v>7.1428571428571425E-2</v>
      </c>
      <c r="E308" s="132"/>
      <c r="F308" s="1"/>
      <c r="BK308" s="162"/>
    </row>
    <row r="309" spans="1:63" ht="18" customHeight="1" x14ac:dyDescent="0.25">
      <c r="A309" s="114"/>
      <c r="B309" s="563" t="s">
        <v>273</v>
      </c>
      <c r="C309" s="563"/>
      <c r="D309" s="563"/>
      <c r="E309" s="132"/>
      <c r="F309" s="1"/>
      <c r="AC309" s="121">
        <v>1</v>
      </c>
      <c r="AD309" s="122">
        <f>AC309-($AC309/5)</f>
        <v>0.8</v>
      </c>
      <c r="AE309" s="123">
        <f>AD309-($AC309/5)</f>
        <v>0.60000000000000009</v>
      </c>
      <c r="AF309" s="124">
        <f>AE309-($AC309/5)</f>
        <v>0.40000000000000008</v>
      </c>
      <c r="AG309" s="125">
        <f>AF309-($AC309/5)</f>
        <v>0.20000000000000007</v>
      </c>
      <c r="AH309" s="126">
        <f>AG309-($AC309/5)</f>
        <v>0</v>
      </c>
      <c r="AI309" s="120"/>
      <c r="AP309" s="120"/>
      <c r="AQ309" s="120"/>
      <c r="AR309" s="120"/>
      <c r="AS309" s="120"/>
      <c r="AT309" s="120"/>
      <c r="AU309" s="120"/>
      <c r="AV309" s="120"/>
      <c r="AW309" s="120"/>
      <c r="AX309" s="120"/>
      <c r="AY309" s="120"/>
      <c r="AZ309" s="120"/>
      <c r="BA309" s="120"/>
      <c r="BB309" s="127" t="s">
        <v>260</v>
      </c>
      <c r="BD309" s="127" t="s">
        <v>261</v>
      </c>
      <c r="BE309" s="120"/>
      <c r="BF309" s="120"/>
      <c r="BG309" s="128" t="s">
        <v>262</v>
      </c>
      <c r="BH309" s="129"/>
      <c r="BI309" s="130" t="s">
        <v>263</v>
      </c>
      <c r="BJ309" s="131"/>
    </row>
    <row r="310" spans="1:63" ht="14.4" x14ac:dyDescent="0.3">
      <c r="A310" s="117"/>
      <c r="B310" s="564" t="s">
        <v>264</v>
      </c>
      <c r="C310" s="564"/>
      <c r="D310" s="564"/>
      <c r="E310" s="132"/>
      <c r="F310" s="1"/>
      <c r="AC310" s="112">
        <f t="shared" ref="AC310:AH310" si="4">IF($B310=AC$1896,AC309,0)</f>
        <v>1</v>
      </c>
      <c r="AD310" s="112">
        <f t="shared" si="4"/>
        <v>0</v>
      </c>
      <c r="AE310" s="112">
        <f t="shared" si="4"/>
        <v>0</v>
      </c>
      <c r="AF310" s="112">
        <f t="shared" si="4"/>
        <v>0</v>
      </c>
      <c r="AG310" s="112">
        <f t="shared" si="4"/>
        <v>0</v>
      </c>
      <c r="AH310" s="112">
        <f t="shared" si="4"/>
        <v>0</v>
      </c>
      <c r="AI310" s="133">
        <f>SUM(AC310:AH310)</f>
        <v>1</v>
      </c>
      <c r="AK310" s="550">
        <f>IF(AI310&gt;0,AI310,"")</f>
        <v>1</v>
      </c>
      <c r="AL310" s="527"/>
      <c r="AN310" s="551">
        <f>(AI310/$AN$297)/2</f>
        <v>7.1428571428571425E-2</v>
      </c>
      <c r="AO310" s="552"/>
      <c r="BB310" s="127" t="s">
        <v>265</v>
      </c>
      <c r="BD310" s="127" t="s">
        <v>265</v>
      </c>
      <c r="BG310" s="128" t="s">
        <v>266</v>
      </c>
      <c r="BH310" s="134">
        <f>BH300</f>
        <v>0.1</v>
      </c>
      <c r="BI310" s="130" t="s">
        <v>266</v>
      </c>
      <c r="BJ310" s="135">
        <f>1-BH310</f>
        <v>0.9</v>
      </c>
    </row>
    <row r="311" spans="1:63" ht="14.4" x14ac:dyDescent="0.25">
      <c r="A311" s="117"/>
      <c r="B311" s="565" t="s">
        <v>267</v>
      </c>
      <c r="C311" s="565"/>
      <c r="D311" s="565"/>
      <c r="E311" s="132"/>
      <c r="F311" s="1"/>
      <c r="BB311" s="136">
        <f>$AC$1556</f>
        <v>10</v>
      </c>
      <c r="BD311" s="136">
        <f>$AC$1557</f>
        <v>25</v>
      </c>
      <c r="BG311" s="137" t="str">
        <f>BB309</f>
        <v>low</v>
      </c>
      <c r="BH311" s="137" t="str">
        <f>BD309</f>
        <v>high</v>
      </c>
      <c r="BI311" s="137" t="str">
        <f>BB309</f>
        <v>low</v>
      </c>
      <c r="BJ311" s="137" t="str">
        <f>BD309</f>
        <v>high</v>
      </c>
    </row>
    <row r="312" spans="1:63" ht="14.4" thickBot="1" x14ac:dyDescent="0.3">
      <c r="A312" s="117"/>
      <c r="B312" s="118" t="str">
        <f>IF(B310="","","Add any relevant info in box below to help us help you with your discovery documents.")</f>
        <v>Add any relevant info in box below to help us help you with your discovery documents.</v>
      </c>
      <c r="C312" s="117"/>
      <c r="D312" s="117"/>
      <c r="E312" s="132"/>
      <c r="F312" s="1"/>
      <c r="BB312" s="136">
        <f>IF(AK316=$AC$297,0,(BB311*AK316))</f>
        <v>43.2</v>
      </c>
      <c r="BD312" s="136">
        <f>IF(AK316=$AC$297,0,(BD311*AK316))</f>
        <v>108</v>
      </c>
      <c r="BG312" s="136">
        <f>BB312*BH310</f>
        <v>4.32</v>
      </c>
      <c r="BH312" s="136">
        <f>BD312*BH310</f>
        <v>10.8</v>
      </c>
      <c r="BI312" s="136">
        <f>BB312*BJ310</f>
        <v>38.880000000000003</v>
      </c>
      <c r="BJ312" s="136">
        <f>BD312*BJ310</f>
        <v>97.2</v>
      </c>
    </row>
    <row r="313" spans="1:63" ht="67.05" customHeight="1" thickTop="1" thickBot="1" x14ac:dyDescent="0.3">
      <c r="A313" s="117"/>
      <c r="B313" s="556"/>
      <c r="C313" s="557"/>
      <c r="D313" s="558"/>
      <c r="E313" s="132"/>
      <c r="F313" s="1"/>
      <c r="BJ313" s="138">
        <f>MIN(BJ312,($D$1330*10))</f>
        <v>0</v>
      </c>
    </row>
    <row r="314" spans="1:63" ht="16.8" thickTop="1" thickBot="1" x14ac:dyDescent="0.3">
      <c r="A314" s="117"/>
      <c r="B314" s="139" t="str">
        <f>IF(B310="","","SUPPORTER REVIEW: Prepare for Independent Verifier")</f>
        <v>SUPPORTER REVIEW: Prepare for Independent Verifier</v>
      </c>
      <c r="C314" s="117"/>
      <c r="D314" s="117"/>
      <c r="E314" s="132"/>
      <c r="F314" s="1"/>
      <c r="BJ314" s="140"/>
    </row>
    <row r="315" spans="1:63" ht="14.4" thickTop="1" x14ac:dyDescent="0.25">
      <c r="A315" s="117"/>
      <c r="B315" s="141" t="str">
        <f>IF(B310="","","How many pages?")</f>
        <v>How many pages?</v>
      </c>
      <c r="C315" s="142" t="str">
        <f>IF(AJ316&gt;30,"check if URL works, report from list below","")</f>
        <v>check if URL works, report from list below</v>
      </c>
      <c r="D315" s="143" t="str">
        <f>IF(B310="","","Estimated time to verify")</f>
        <v>Estimated time to verify</v>
      </c>
      <c r="E315" s="132"/>
      <c r="F315" s="1"/>
      <c r="AP315" s="6" t="s">
        <v>269</v>
      </c>
      <c r="AT315" s="144" t="str">
        <f>IF(AND(AJ316&gt;30,B316&gt;0),"ready","not ready")</f>
        <v>ready</v>
      </c>
      <c r="AU315" s="144"/>
      <c r="AV315" s="144"/>
      <c r="BB315" s="6"/>
      <c r="BF315" s="113">
        <f>BF305</f>
        <v>0.05</v>
      </c>
      <c r="BG315" s="136">
        <f>BG312*$BF315</f>
        <v>0.21600000000000003</v>
      </c>
      <c r="BH315" s="136">
        <f>BH312*$BF315</f>
        <v>0.54</v>
      </c>
      <c r="BI315" s="136">
        <f>BI312*$BF315</f>
        <v>1.9440000000000002</v>
      </c>
      <c r="BJ315" s="136">
        <f>BJ312*$BF315</f>
        <v>4.8600000000000003</v>
      </c>
    </row>
    <row r="316" spans="1:63" ht="14.4" thickBot="1" x14ac:dyDescent="0.3">
      <c r="A316" s="117"/>
      <c r="B316" s="163">
        <v>36</v>
      </c>
      <c r="C316" s="146"/>
      <c r="D316" s="147" t="str">
        <f>CONCATENATE(AK316,AL316)</f>
        <v>4.32 hours</v>
      </c>
      <c r="E316" s="132"/>
      <c r="F316" s="1"/>
      <c r="AD316" s="149">
        <f>IF(B310=B$1896,G$1896,AC315)</f>
        <v>0.12</v>
      </c>
      <c r="AE316" s="150">
        <f>IF(B310=B$1897,G$1897,AD315)</f>
        <v>0</v>
      </c>
      <c r="AF316" s="151">
        <f>IF(B310=B$1898,G$1898,AE315)</f>
        <v>0</v>
      </c>
      <c r="AG316" s="152">
        <f>IF(B310=B$1899,G$1899,AF315)</f>
        <v>0</v>
      </c>
      <c r="AH316" s="9"/>
      <c r="AI316" s="153">
        <f>MAX(AD316:AG316)</f>
        <v>0.12</v>
      </c>
      <c r="AJ316" s="6">
        <f>LEN(B310)</f>
        <v>37</v>
      </c>
      <c r="AK316" s="154">
        <f>IF(B316="",$AC$297,B316*AI316)</f>
        <v>4.32</v>
      </c>
      <c r="AL316" s="6" t="s">
        <v>271</v>
      </c>
      <c r="AN316" s="6">
        <f>B316*AI316</f>
        <v>4.32</v>
      </c>
      <c r="AP316" s="155" t="str">
        <f>IF($C316=$D$1896,AP$297,"")</f>
        <v/>
      </c>
      <c r="AQ316" s="156" t="str">
        <f>IF($C316=$D$1897,AQ$297,"")</f>
        <v/>
      </c>
      <c r="AR316" s="157" t="str">
        <f>IF($C316=$D$1898,AR$297,"")</f>
        <v/>
      </c>
      <c r="AS316" s="158" t="str">
        <f>IF($C316=$D$1899,AS$297,"")</f>
        <v/>
      </c>
      <c r="AT316" s="159" t="str">
        <f>IF($C316=$D$1900,AT$297,"")</f>
        <v/>
      </c>
      <c r="AU316" s="160">
        <f>MAX(AP316:AS316)</f>
        <v>0</v>
      </c>
      <c r="AV316" s="154"/>
      <c r="AX316" s="112">
        <f>IF(AK316=$AC$297,0,AK316)</f>
        <v>4.32</v>
      </c>
      <c r="BB316" s="6"/>
      <c r="BG316" s="161">
        <f>BG312*0.95</f>
        <v>4.1040000000000001</v>
      </c>
      <c r="BH316" s="161">
        <f>BH312*0.95</f>
        <v>10.26</v>
      </c>
      <c r="BI316" s="161">
        <f>BI312*0.95</f>
        <v>36.936</v>
      </c>
      <c r="BJ316" s="161">
        <f>BJ312*0.95</f>
        <v>92.34</v>
      </c>
    </row>
    <row r="317" spans="1:63" ht="14.4" thickTop="1" x14ac:dyDescent="0.25">
      <c r="A317" s="117"/>
      <c r="B317" s="117"/>
      <c r="C317" s="117"/>
      <c r="D317" s="117"/>
      <c r="E317" s="132"/>
      <c r="F317" s="1"/>
    </row>
    <row r="318" spans="1:63" ht="19.95" customHeight="1" x14ac:dyDescent="0.25">
      <c r="A318" s="114">
        <f>A308+1</f>
        <v>3</v>
      </c>
      <c r="B318" s="114" t="s">
        <v>274</v>
      </c>
      <c r="C318" s="114"/>
      <c r="D318" s="115">
        <f>IF(AN320&gt;0,AN320,0)</f>
        <v>4.2857142857142864E-2</v>
      </c>
      <c r="E318" s="132"/>
      <c r="F318" s="1"/>
    </row>
    <row r="319" spans="1:63" ht="18" customHeight="1" x14ac:dyDescent="0.25">
      <c r="A319" s="114"/>
      <c r="B319" s="563" t="s">
        <v>275</v>
      </c>
      <c r="C319" s="563"/>
      <c r="D319" s="563"/>
      <c r="E319" s="132"/>
      <c r="F319" s="1"/>
      <c r="AC319" s="121">
        <v>1</v>
      </c>
      <c r="AD319" s="122">
        <f>AC319-($AC319/5)</f>
        <v>0.8</v>
      </c>
      <c r="AE319" s="123">
        <f>AD319-($AC319/5)</f>
        <v>0.60000000000000009</v>
      </c>
      <c r="AF319" s="124">
        <f>AE319-($AC319/5)</f>
        <v>0.40000000000000008</v>
      </c>
      <c r="AG319" s="125">
        <f>AF319-($AC319/5)</f>
        <v>0.20000000000000007</v>
      </c>
      <c r="AH319" s="126">
        <f>AG319-($AC319/5)</f>
        <v>0</v>
      </c>
      <c r="AI319" s="120"/>
      <c r="AP319" s="120"/>
      <c r="AQ319" s="120"/>
      <c r="AR319" s="120"/>
      <c r="AS319" s="120"/>
      <c r="AT319" s="120"/>
      <c r="AU319" s="120"/>
      <c r="AV319" s="120"/>
      <c r="AW319" s="120"/>
      <c r="AX319" s="120"/>
      <c r="AY319" s="120"/>
      <c r="AZ319" s="120"/>
      <c r="BA319" s="120"/>
      <c r="BB319" s="127" t="s">
        <v>260</v>
      </c>
      <c r="BD319" s="127" t="s">
        <v>261</v>
      </c>
      <c r="BE319" s="120"/>
      <c r="BF319" s="120"/>
      <c r="BG319" s="128" t="s">
        <v>262</v>
      </c>
      <c r="BH319" s="129"/>
      <c r="BI319" s="130" t="s">
        <v>263</v>
      </c>
      <c r="BJ319" s="131"/>
    </row>
    <row r="320" spans="1:63" ht="14.4" x14ac:dyDescent="0.3">
      <c r="A320" s="117"/>
      <c r="B320" s="564" t="s">
        <v>276</v>
      </c>
      <c r="C320" s="564"/>
      <c r="D320" s="564"/>
      <c r="E320" s="132"/>
      <c r="F320" s="1"/>
      <c r="AC320" s="112">
        <f t="shared" ref="AC320:AH320" si="5">IF($B320=AC$1896,AC319,0)</f>
        <v>0</v>
      </c>
      <c r="AD320" s="112">
        <f t="shared" si="5"/>
        <v>0</v>
      </c>
      <c r="AE320" s="112">
        <f t="shared" si="5"/>
        <v>0.60000000000000009</v>
      </c>
      <c r="AF320" s="112">
        <f t="shared" si="5"/>
        <v>0</v>
      </c>
      <c r="AG320" s="112">
        <f t="shared" si="5"/>
        <v>0</v>
      </c>
      <c r="AH320" s="112">
        <f t="shared" si="5"/>
        <v>0</v>
      </c>
      <c r="AI320" s="133">
        <f>SUM(AC320:AH320)</f>
        <v>0.60000000000000009</v>
      </c>
      <c r="AK320" s="550">
        <f>IF(AI320&gt;0,AI320,"")</f>
        <v>0.60000000000000009</v>
      </c>
      <c r="AL320" s="527"/>
      <c r="AN320" s="551">
        <f>(AI320/$AN$297)/2</f>
        <v>4.2857142857142864E-2</v>
      </c>
      <c r="AO320" s="552"/>
      <c r="BB320" s="127" t="s">
        <v>265</v>
      </c>
      <c r="BD320" s="127" t="s">
        <v>265</v>
      </c>
      <c r="BG320" s="128" t="s">
        <v>266</v>
      </c>
      <c r="BH320" s="134">
        <f>BH310</f>
        <v>0.1</v>
      </c>
      <c r="BI320" s="130" t="s">
        <v>266</v>
      </c>
      <c r="BJ320" s="135">
        <f>1-BH320</f>
        <v>0.9</v>
      </c>
    </row>
    <row r="321" spans="1:62" ht="14.4" x14ac:dyDescent="0.25">
      <c r="A321" s="117"/>
      <c r="B321" s="565" t="s">
        <v>267</v>
      </c>
      <c r="C321" s="565"/>
      <c r="D321" s="565"/>
      <c r="E321" s="132"/>
      <c r="F321" s="1"/>
      <c r="BB321" s="136">
        <f>$AC$1556</f>
        <v>10</v>
      </c>
      <c r="BD321" s="136">
        <f>$AC$1557</f>
        <v>25</v>
      </c>
      <c r="BG321" s="137" t="str">
        <f>BB319</f>
        <v>low</v>
      </c>
      <c r="BH321" s="137" t="str">
        <f>BD319</f>
        <v>high</v>
      </c>
      <c r="BI321" s="137" t="str">
        <f>BB319</f>
        <v>low</v>
      </c>
      <c r="BJ321" s="137" t="str">
        <f>BD319</f>
        <v>high</v>
      </c>
    </row>
    <row r="322" spans="1:62" ht="14.4" thickBot="1" x14ac:dyDescent="0.3">
      <c r="A322" s="117"/>
      <c r="B322" s="118" t="str">
        <f>IF(B320="","","Add any relevant info in box below to help us help you with your other trial documents.")</f>
        <v>Add any relevant info in box below to help us help you with your other trial documents.</v>
      </c>
      <c r="C322" s="117"/>
      <c r="D322" s="117"/>
      <c r="E322" s="132"/>
      <c r="F322" s="1"/>
      <c r="BB322" s="136">
        <f>IF(AK326=$AC$297,0,(BB321*AK326))</f>
        <v>20</v>
      </c>
      <c r="BD322" s="136">
        <f>IF(AK326=$AC$297,0,(BD321*AK326))</f>
        <v>50</v>
      </c>
      <c r="BG322" s="136">
        <f>BB322*BH320</f>
        <v>2</v>
      </c>
      <c r="BH322" s="136">
        <f>BD322*BH320</f>
        <v>5</v>
      </c>
      <c r="BI322" s="136">
        <f>BB322*BJ320</f>
        <v>18</v>
      </c>
      <c r="BJ322" s="136">
        <f>BD322*BJ320</f>
        <v>45</v>
      </c>
    </row>
    <row r="323" spans="1:62" ht="67.05" customHeight="1" thickTop="1" thickBot="1" x14ac:dyDescent="0.3">
      <c r="A323" s="117"/>
      <c r="B323" s="556"/>
      <c r="C323" s="557"/>
      <c r="D323" s="558"/>
      <c r="E323" s="132"/>
      <c r="F323" s="1"/>
      <c r="BJ323" s="138">
        <f>MIN(BJ322,($D$1330*10))</f>
        <v>0</v>
      </c>
    </row>
    <row r="324" spans="1:62" ht="16.8" thickTop="1" thickBot="1" x14ac:dyDescent="0.3">
      <c r="A324" s="117"/>
      <c r="B324" s="139" t="str">
        <f>IF(B320="","","SUPPORTER REVIEW: Prepare for Independent Verifier")</f>
        <v>SUPPORTER REVIEW: Prepare for Independent Verifier</v>
      </c>
      <c r="C324" s="117"/>
      <c r="D324" s="117"/>
      <c r="E324" s="132"/>
      <c r="F324" s="1"/>
      <c r="BJ324" s="140"/>
    </row>
    <row r="325" spans="1:62" ht="14.4" thickTop="1" x14ac:dyDescent="0.25">
      <c r="A325" s="117"/>
      <c r="B325" s="141" t="str">
        <f>IF(B320="","","How many pages?")</f>
        <v>How many pages?</v>
      </c>
      <c r="C325" s="142" t="str">
        <f>IF(AJ326&gt;30,"check if URL works, report from list below","")</f>
        <v>check if URL works, report from list below</v>
      </c>
      <c r="D325" s="143" t="str">
        <f>IF(B320="","","Estimated time to verify")</f>
        <v>Estimated time to verify</v>
      </c>
      <c r="E325" s="132"/>
      <c r="F325" s="1"/>
      <c r="AP325" s="6" t="s">
        <v>269</v>
      </c>
      <c r="AT325" s="144" t="str">
        <f>IF(AND(AJ326&gt;30,B326&gt;0),"ready","not ready")</f>
        <v>ready</v>
      </c>
      <c r="AU325" s="144"/>
      <c r="AV325" s="144"/>
      <c r="BB325" s="6"/>
      <c r="BF325" s="113">
        <f>BF315</f>
        <v>0.05</v>
      </c>
      <c r="BG325" s="136">
        <f>BG322*$BF325</f>
        <v>0.1</v>
      </c>
      <c r="BH325" s="136">
        <f>BH322*$BF325</f>
        <v>0.25</v>
      </c>
      <c r="BI325" s="136">
        <f>BI322*$BF325</f>
        <v>0.9</v>
      </c>
      <c r="BJ325" s="136">
        <f>BJ322*$BF325</f>
        <v>2.25</v>
      </c>
    </row>
    <row r="326" spans="1:62" ht="14.4" thickBot="1" x14ac:dyDescent="0.3">
      <c r="A326" s="117"/>
      <c r="B326" s="163">
        <v>4</v>
      </c>
      <c r="C326" s="146"/>
      <c r="D326" s="147" t="str">
        <f>CONCATENATE(AK326,AL326)</f>
        <v>2 hours</v>
      </c>
      <c r="E326" s="132"/>
      <c r="F326" s="1"/>
      <c r="AD326" s="149">
        <f>IF(B320=B$1896,G$1896,AC325)</f>
        <v>0</v>
      </c>
      <c r="AE326" s="150">
        <f>IF(B320=B$1897,G$1897,AD325)</f>
        <v>0</v>
      </c>
      <c r="AF326" s="151">
        <f>IF(B320=B$1898,G$1898,AE325)</f>
        <v>0.5</v>
      </c>
      <c r="AG326" s="152">
        <f>IF(B320=B$1899,G$1899,AF325)</f>
        <v>0</v>
      </c>
      <c r="AH326" s="9"/>
      <c r="AI326" s="153">
        <f>MAX(AD326:AG326)</f>
        <v>0.5</v>
      </c>
      <c r="AJ326" s="6">
        <f>LEN(B320)</f>
        <v>32</v>
      </c>
      <c r="AK326" s="154">
        <f>IF(B326="",$AC$297,B326*AI326)</f>
        <v>2</v>
      </c>
      <c r="AL326" s="6" t="s">
        <v>271</v>
      </c>
      <c r="AN326" s="6">
        <f>B326*AI326</f>
        <v>2</v>
      </c>
      <c r="AP326" s="155" t="str">
        <f>IF($C326=$D$1896,AP$297,"")</f>
        <v/>
      </c>
      <c r="AQ326" s="156" t="str">
        <f>IF($C326=$D$1897,AQ$297,"")</f>
        <v/>
      </c>
      <c r="AR326" s="157" t="str">
        <f>IF($C326=$D$1898,AR$297,"")</f>
        <v/>
      </c>
      <c r="AS326" s="158" t="str">
        <f>IF($C326=$D$1899,AS$297,"")</f>
        <v/>
      </c>
      <c r="AT326" s="159" t="str">
        <f>IF($C326=$D$1900,AT$297,"")</f>
        <v/>
      </c>
      <c r="AU326" s="160">
        <f>MAX(AP326:AS326)</f>
        <v>0</v>
      </c>
      <c r="AV326" s="154"/>
      <c r="AX326" s="112">
        <f>IF(AK326=$AC$297,0,AK326)</f>
        <v>2</v>
      </c>
      <c r="BB326" s="6"/>
      <c r="BG326" s="161">
        <f>BG322*0.95</f>
        <v>1.9</v>
      </c>
      <c r="BH326" s="161">
        <f>BH322*0.95</f>
        <v>4.75</v>
      </c>
      <c r="BI326" s="161">
        <f>BI322*0.95</f>
        <v>17.099999999999998</v>
      </c>
      <c r="BJ326" s="161">
        <f>BJ322*0.95</f>
        <v>42.75</v>
      </c>
    </row>
    <row r="327" spans="1:62" ht="13.05" customHeight="1" thickTop="1" x14ac:dyDescent="0.25">
      <c r="A327" s="117"/>
      <c r="B327" s="117"/>
      <c r="C327" s="117"/>
      <c r="D327" s="117"/>
      <c r="E327" s="132"/>
      <c r="F327" s="1"/>
    </row>
    <row r="328" spans="1:62" ht="19.95" customHeight="1" x14ac:dyDescent="0.25">
      <c r="A328" s="114">
        <f>A318+1</f>
        <v>4</v>
      </c>
      <c r="B328" s="114" t="s">
        <v>277</v>
      </c>
      <c r="C328" s="114"/>
      <c r="D328" s="115">
        <f>IF(AN330&gt;0,AN330,0)</f>
        <v>0</v>
      </c>
      <c r="E328" s="132"/>
      <c r="F328" s="1"/>
    </row>
    <row r="329" spans="1:62" ht="18" customHeight="1" x14ac:dyDescent="0.25">
      <c r="A329" s="114"/>
      <c r="B329" s="563" t="s">
        <v>278</v>
      </c>
      <c r="C329" s="563"/>
      <c r="D329" s="563"/>
      <c r="E329" s="132"/>
      <c r="F329" s="1"/>
      <c r="AC329" s="121">
        <v>1</v>
      </c>
      <c r="AD329" s="122">
        <f>AC329-($AC329/5)</f>
        <v>0.8</v>
      </c>
      <c r="AE329" s="123">
        <f>AD329-($AC329/5)</f>
        <v>0.60000000000000009</v>
      </c>
      <c r="AF329" s="124">
        <f>AE329-($AC329/5)</f>
        <v>0.40000000000000008</v>
      </c>
      <c r="AG329" s="125">
        <f>AF329-($AC329/5)</f>
        <v>0.20000000000000007</v>
      </c>
      <c r="AP329" s="120"/>
      <c r="AQ329" s="120"/>
      <c r="AR329" s="120"/>
      <c r="AS329" s="120"/>
      <c r="AT329" s="120"/>
      <c r="AU329" s="120"/>
      <c r="AV329" s="120"/>
      <c r="AW329" s="120"/>
      <c r="AX329" s="120"/>
      <c r="AY329" s="120"/>
      <c r="AZ329" s="120"/>
      <c r="BA329" s="120"/>
      <c r="BB329" s="127" t="s">
        <v>260</v>
      </c>
      <c r="BD329" s="127" t="s">
        <v>261</v>
      </c>
      <c r="BE329" s="120"/>
      <c r="BF329" s="120"/>
      <c r="BG329" s="128" t="s">
        <v>262</v>
      </c>
      <c r="BH329" s="129"/>
      <c r="BI329" s="130" t="s">
        <v>263</v>
      </c>
      <c r="BJ329" s="131"/>
    </row>
    <row r="330" spans="1:62" ht="14.4" x14ac:dyDescent="0.3">
      <c r="A330" s="117"/>
      <c r="B330" s="564"/>
      <c r="C330" s="564"/>
      <c r="D330" s="564"/>
      <c r="E330" s="132"/>
      <c r="F330" s="1"/>
      <c r="AC330" s="112">
        <f t="shared" ref="AC330:AH330" si="6">IF($B330=AC$1896,AC329,0)</f>
        <v>0</v>
      </c>
      <c r="AD330" s="112">
        <f t="shared" si="6"/>
        <v>0</v>
      </c>
      <c r="AE330" s="112">
        <f t="shared" si="6"/>
        <v>0</v>
      </c>
      <c r="AF330" s="112">
        <f t="shared" si="6"/>
        <v>0</v>
      </c>
      <c r="AG330" s="112">
        <f t="shared" si="6"/>
        <v>0</v>
      </c>
      <c r="AH330" s="112">
        <f t="shared" si="6"/>
        <v>0</v>
      </c>
      <c r="AI330" s="164">
        <f>SUM(AC330:AH330)</f>
        <v>0</v>
      </c>
      <c r="AK330" s="550" t="str">
        <f>IF(AI330&gt;0,AI330,"")</f>
        <v/>
      </c>
      <c r="AL330" s="527"/>
      <c r="AN330" s="551">
        <f>(AI330/$AN$297)/2</f>
        <v>0</v>
      </c>
      <c r="AO330" s="552"/>
      <c r="BB330" s="127" t="s">
        <v>265</v>
      </c>
      <c r="BD330" s="127" t="s">
        <v>265</v>
      </c>
      <c r="BG330" s="128" t="s">
        <v>266</v>
      </c>
      <c r="BH330" s="134">
        <f>BH320</f>
        <v>0.1</v>
      </c>
      <c r="BI330" s="130" t="s">
        <v>266</v>
      </c>
      <c r="BJ330" s="135">
        <f>1-BH330</f>
        <v>0.9</v>
      </c>
    </row>
    <row r="331" spans="1:62" ht="14.4" x14ac:dyDescent="0.25">
      <c r="A331" s="117"/>
      <c r="B331" s="565"/>
      <c r="C331" s="565"/>
      <c r="D331" s="565"/>
      <c r="E331" s="132"/>
      <c r="F331" s="1"/>
      <c r="BB331" s="136">
        <f>$AC$1556</f>
        <v>10</v>
      </c>
      <c r="BD331" s="136">
        <f>$AC$1557</f>
        <v>25</v>
      </c>
      <c r="BG331" s="137" t="str">
        <f>BB329</f>
        <v>low</v>
      </c>
      <c r="BH331" s="137" t="str">
        <f>BD329</f>
        <v>high</v>
      </c>
      <c r="BI331" s="137" t="str">
        <f>BB329</f>
        <v>low</v>
      </c>
      <c r="BJ331" s="137" t="str">
        <f>BD329</f>
        <v>high</v>
      </c>
    </row>
    <row r="332" spans="1:62" ht="14.4" thickBot="1" x14ac:dyDescent="0.3">
      <c r="A332" s="117"/>
      <c r="B332" s="118" t="str">
        <f>IF(B330="","","Add any relevant info in box below to help us help you with your interrogation transcripts.")</f>
        <v/>
      </c>
      <c r="C332" s="165"/>
      <c r="D332" s="165"/>
      <c r="E332" s="132"/>
      <c r="F332" s="1"/>
      <c r="BB332" s="136">
        <f>IF(AK336=$AC$297,0,(BB331*AK336))</f>
        <v>0</v>
      </c>
      <c r="BD332" s="136">
        <f>IF(AK336=$AC$297,0,(BD331*AK336))</f>
        <v>0</v>
      </c>
      <c r="BG332" s="136">
        <f>BB332*BH330</f>
        <v>0</v>
      </c>
      <c r="BH332" s="136">
        <f>BD332*BH330</f>
        <v>0</v>
      </c>
      <c r="BI332" s="136">
        <f>BB332*BJ330</f>
        <v>0</v>
      </c>
      <c r="BJ332" s="136">
        <f>BD332*BJ330</f>
        <v>0</v>
      </c>
    </row>
    <row r="333" spans="1:62" ht="85.05" customHeight="1" thickTop="1" thickBot="1" x14ac:dyDescent="0.3">
      <c r="A333" s="117"/>
      <c r="B333" s="556"/>
      <c r="C333" s="557"/>
      <c r="D333" s="558"/>
      <c r="E333" s="148"/>
      <c r="F333" s="1"/>
      <c r="BJ333" s="138">
        <f>MIN(BJ332,($D$1330*10))</f>
        <v>0</v>
      </c>
    </row>
    <row r="334" spans="1:62" ht="16.8" thickTop="1" thickBot="1" x14ac:dyDescent="0.3">
      <c r="A334" s="117"/>
      <c r="B334" s="139" t="str">
        <f>IF(B330="","","SUPPORTER REVIEW: Prepare for Independent Verifier")</f>
        <v/>
      </c>
      <c r="C334" s="117"/>
      <c r="D334" s="117"/>
      <c r="E334" s="148"/>
      <c r="F334" s="1"/>
      <c r="BJ334" s="140"/>
    </row>
    <row r="335" spans="1:62" ht="14.4" thickTop="1" x14ac:dyDescent="0.25">
      <c r="A335" s="117"/>
      <c r="B335" s="141" t="str">
        <f>IF(B330="","","How many pages?")</f>
        <v/>
      </c>
      <c r="C335" s="142" t="str">
        <f>IF(AJ336&gt;30,"check if URL works, report from list below","")</f>
        <v/>
      </c>
      <c r="D335" s="143" t="str">
        <f>IF(B330="","","Estimated time to verify")</f>
        <v/>
      </c>
      <c r="E335" s="117"/>
      <c r="F335" s="1"/>
      <c r="AP335" s="6" t="s">
        <v>269</v>
      </c>
      <c r="AT335" s="144" t="str">
        <f>IF(AND(AJ336&gt;30,B336&gt;0),"ready","not ready")</f>
        <v>not ready</v>
      </c>
      <c r="AU335" s="144"/>
      <c r="AV335" s="144"/>
      <c r="BB335" s="6"/>
      <c r="BF335" s="113">
        <f>BF325</f>
        <v>0.05</v>
      </c>
      <c r="BG335" s="136">
        <f>BG332*$BF335</f>
        <v>0</v>
      </c>
      <c r="BH335" s="136">
        <f>BH332*$BF335</f>
        <v>0</v>
      </c>
      <c r="BI335" s="136">
        <f>BI332*$BF335</f>
        <v>0</v>
      </c>
      <c r="BJ335" s="136">
        <f>BJ332*$BF335</f>
        <v>0</v>
      </c>
    </row>
    <row r="336" spans="1:62" ht="14.4" thickBot="1" x14ac:dyDescent="0.3">
      <c r="A336" s="117"/>
      <c r="B336" s="163"/>
      <c r="C336" s="146"/>
      <c r="D336" s="147" t="str">
        <f>CONCATENATE(AK336,AL336)</f>
        <v>in estimated hours</v>
      </c>
      <c r="E336" s="117"/>
      <c r="F336" s="1"/>
      <c r="AD336" s="149">
        <f>IF(B330=B$1896,G$1896,AC335)</f>
        <v>0</v>
      </c>
      <c r="AE336" s="150">
        <f>IF(B330=B$1897,G$1897,AD335)</f>
        <v>0</v>
      </c>
      <c r="AF336" s="151">
        <f>IF(B330=B$1898,G$1898,AE335)</f>
        <v>0</v>
      </c>
      <c r="AG336" s="152">
        <f>IF(B330=B$1899,G$1899,AF335)</f>
        <v>0</v>
      </c>
      <c r="AH336" s="9"/>
      <c r="AI336" s="153">
        <f>MAX(AD336:AG336)</f>
        <v>0</v>
      </c>
      <c r="AJ336" s="6">
        <f>LEN(B330)</f>
        <v>0</v>
      </c>
      <c r="AK336" s="154" t="str">
        <f>IF(B336="",$AC$297,B336*AI336)</f>
        <v>in estimated</v>
      </c>
      <c r="AL336" s="6" t="s">
        <v>271</v>
      </c>
      <c r="AN336" s="6">
        <f>B336*AI336</f>
        <v>0</v>
      </c>
      <c r="AP336" s="155" t="str">
        <f>IF($C336=$D$1896,AP$297,"")</f>
        <v/>
      </c>
      <c r="AQ336" s="156" t="str">
        <f>IF($C336=$D$1897,AQ$297,"")</f>
        <v/>
      </c>
      <c r="AR336" s="157" t="str">
        <f>IF($C336=$D$1898,AR$297,"")</f>
        <v/>
      </c>
      <c r="AS336" s="158" t="str">
        <f>IF($C336=$D$1899,AS$297,"")</f>
        <v/>
      </c>
      <c r="AT336" s="159" t="str">
        <f>IF($C336=$D$1900,AT$297,"")</f>
        <v/>
      </c>
      <c r="AU336" s="160">
        <f>MAX(AP336:AS336)</f>
        <v>0</v>
      </c>
      <c r="AV336" s="154"/>
      <c r="AX336" s="112">
        <f>IF(AK336=$AC$297,0,AK336)</f>
        <v>0</v>
      </c>
      <c r="BB336" s="6"/>
      <c r="BG336" s="161">
        <f>BG332*0.95</f>
        <v>0</v>
      </c>
      <c r="BH336" s="161">
        <f>BH332*0.95</f>
        <v>0</v>
      </c>
      <c r="BI336" s="161">
        <f>BI332*0.95</f>
        <v>0</v>
      </c>
      <c r="BJ336" s="161">
        <f>BJ332*0.95</f>
        <v>0</v>
      </c>
    </row>
    <row r="337" spans="1:62" ht="14.4" thickTop="1" x14ac:dyDescent="0.25">
      <c r="A337" s="117"/>
      <c r="B337" s="117"/>
      <c r="C337" s="117"/>
      <c r="D337" s="117"/>
      <c r="E337" s="117"/>
      <c r="F337" s="1"/>
    </row>
    <row r="338" spans="1:62" ht="19.95" customHeight="1" x14ac:dyDescent="0.25">
      <c r="A338" s="114">
        <f>A328+1</f>
        <v>5</v>
      </c>
      <c r="B338" s="114" t="s">
        <v>279</v>
      </c>
      <c r="C338" s="114"/>
      <c r="D338" s="115">
        <f>IF(AN340&gt;0,AN340,0)</f>
        <v>7.1428571428571425E-2</v>
      </c>
      <c r="E338" s="132"/>
      <c r="F338" s="1"/>
    </row>
    <row r="339" spans="1:62" ht="18" customHeight="1" x14ac:dyDescent="0.25">
      <c r="A339" s="114"/>
      <c r="B339" s="166"/>
      <c r="C339" s="166"/>
      <c r="D339" s="166"/>
      <c r="E339" s="132"/>
      <c r="F339" s="1"/>
      <c r="AC339" s="121">
        <v>1</v>
      </c>
      <c r="AD339" s="122">
        <f>AC339-($AC339/5)</f>
        <v>0.8</v>
      </c>
      <c r="AE339" s="123">
        <f>AD339-($AC339/5)</f>
        <v>0.60000000000000009</v>
      </c>
      <c r="AF339" s="124">
        <f>AE339-($AC339/5)</f>
        <v>0.40000000000000008</v>
      </c>
      <c r="AG339" s="125">
        <f>AF339-($AC339/5)</f>
        <v>0.20000000000000007</v>
      </c>
      <c r="AH339" s="126">
        <f>AG339-($AC339/5)</f>
        <v>0</v>
      </c>
      <c r="AI339" s="120"/>
      <c r="AP339" s="120"/>
      <c r="AQ339" s="120"/>
      <c r="AR339" s="120"/>
      <c r="AS339" s="120"/>
      <c r="AT339" s="120"/>
      <c r="AU339" s="120"/>
      <c r="AV339" s="120"/>
      <c r="AW339" s="120"/>
      <c r="AX339" s="120"/>
      <c r="AY339" s="120"/>
      <c r="AZ339" s="120"/>
      <c r="BA339" s="120"/>
      <c r="BB339" s="127" t="s">
        <v>260</v>
      </c>
      <c r="BD339" s="127" t="s">
        <v>261</v>
      </c>
      <c r="BE339" s="120"/>
      <c r="BF339" s="120"/>
      <c r="BG339" s="128" t="s">
        <v>262</v>
      </c>
      <c r="BH339" s="129"/>
      <c r="BI339" s="130" t="s">
        <v>263</v>
      </c>
      <c r="BJ339" s="131"/>
    </row>
    <row r="340" spans="1:62" ht="14.4" x14ac:dyDescent="0.3">
      <c r="A340" s="117"/>
      <c r="B340" s="564" t="s">
        <v>264</v>
      </c>
      <c r="C340" s="564"/>
      <c r="D340" s="564"/>
      <c r="E340" s="132"/>
      <c r="F340" s="1"/>
      <c r="AC340" s="112">
        <f t="shared" ref="AC340:AH340" si="7">IF($B340=AC$1896,AC339,0)</f>
        <v>1</v>
      </c>
      <c r="AD340" s="112">
        <f t="shared" si="7"/>
        <v>0</v>
      </c>
      <c r="AE340" s="112">
        <f t="shared" si="7"/>
        <v>0</v>
      </c>
      <c r="AF340" s="112">
        <f t="shared" si="7"/>
        <v>0</v>
      </c>
      <c r="AG340" s="112">
        <f t="shared" si="7"/>
        <v>0</v>
      </c>
      <c r="AH340" s="112">
        <f t="shared" si="7"/>
        <v>0</v>
      </c>
      <c r="AI340" s="164">
        <f>SUM(AC340:AH340)</f>
        <v>1</v>
      </c>
      <c r="AK340" s="550">
        <f>IF(AI340&gt;0,AI340,"")</f>
        <v>1</v>
      </c>
      <c r="AL340" s="527"/>
      <c r="AN340" s="551">
        <f>(AI340/$AN$297)/2</f>
        <v>7.1428571428571425E-2</v>
      </c>
      <c r="AO340" s="552"/>
      <c r="BB340" s="127" t="s">
        <v>265</v>
      </c>
      <c r="BD340" s="127" t="s">
        <v>265</v>
      </c>
      <c r="BG340" s="128" t="s">
        <v>266</v>
      </c>
      <c r="BH340" s="134">
        <f>BH330</f>
        <v>0.1</v>
      </c>
      <c r="BI340" s="130" t="s">
        <v>266</v>
      </c>
      <c r="BJ340" s="135">
        <f>1-BH340</f>
        <v>0.9</v>
      </c>
    </row>
    <row r="341" spans="1:62" ht="14.4" x14ac:dyDescent="0.25">
      <c r="A341" s="117"/>
      <c r="B341" s="565" t="s">
        <v>280</v>
      </c>
      <c r="C341" s="565"/>
      <c r="D341" s="565"/>
      <c r="E341" s="132"/>
      <c r="F341" s="1"/>
      <c r="BB341" s="136">
        <f>$AC$1556</f>
        <v>10</v>
      </c>
      <c r="BD341" s="136">
        <f>$AC$1557</f>
        <v>25</v>
      </c>
      <c r="BG341" s="137" t="str">
        <f>BB339</f>
        <v>low</v>
      </c>
      <c r="BH341" s="137" t="str">
        <f>BD339</f>
        <v>high</v>
      </c>
      <c r="BI341" s="137" t="str">
        <f>BB339</f>
        <v>low</v>
      </c>
      <c r="BJ341" s="137" t="str">
        <f>BD339</f>
        <v>high</v>
      </c>
    </row>
    <row r="342" spans="1:62" ht="14.4" thickBot="1" x14ac:dyDescent="0.3">
      <c r="A342" s="117"/>
      <c r="B342" s="165"/>
      <c r="C342" s="165"/>
      <c r="D342" s="165"/>
      <c r="E342" s="132"/>
      <c r="F342" s="1"/>
      <c r="BB342" s="136">
        <f>IF(AK346=$AC$297,0,(BB341*AK346))</f>
        <v>15.600000000000001</v>
      </c>
      <c r="BD342" s="136">
        <f>IF(AK346=$AC$297,0,(BD341*AK346))</f>
        <v>39</v>
      </c>
      <c r="BG342" s="136">
        <f>BB342*BH340</f>
        <v>1.5600000000000003</v>
      </c>
      <c r="BH342" s="136">
        <f>BD342*BH340</f>
        <v>3.9000000000000004</v>
      </c>
      <c r="BI342" s="136">
        <f>BB342*BJ340</f>
        <v>14.040000000000001</v>
      </c>
      <c r="BJ342" s="136">
        <f>BD342*BJ340</f>
        <v>35.1</v>
      </c>
    </row>
    <row r="343" spans="1:62" ht="85.05" customHeight="1" thickTop="1" thickBot="1" x14ac:dyDescent="0.3">
      <c r="A343" s="117"/>
      <c r="B343" s="556"/>
      <c r="C343" s="557"/>
      <c r="D343" s="558"/>
      <c r="E343" s="132"/>
      <c r="F343" s="1"/>
      <c r="BJ343" s="138">
        <f>MIN(BJ342,($D$1330*10))</f>
        <v>0</v>
      </c>
    </row>
    <row r="344" spans="1:62" ht="16.8" thickTop="1" thickBot="1" x14ac:dyDescent="0.3">
      <c r="A344" s="117"/>
      <c r="B344" s="139" t="str">
        <f>IF(B340="","","SUPPORTER REVIEW: Prepare for Independent Verifier")</f>
        <v>SUPPORTER REVIEW: Prepare for Independent Verifier</v>
      </c>
      <c r="C344" s="117"/>
      <c r="D344" s="117"/>
      <c r="E344" s="132"/>
      <c r="F344" s="1"/>
      <c r="BJ344" s="140"/>
    </row>
    <row r="345" spans="1:62" ht="14.4" thickTop="1" x14ac:dyDescent="0.25">
      <c r="A345" s="117"/>
      <c r="B345" s="141" t="str">
        <f>IF(B340="","","How many pages?")</f>
        <v>How many pages?</v>
      </c>
      <c r="C345" s="142" t="str">
        <f>IF(AJ346&gt;30,"check if URL works, report from list below","")</f>
        <v>check if URL works, report from list below</v>
      </c>
      <c r="D345" s="143" t="str">
        <f>IF(B340="","","Estimated time to verify")</f>
        <v>Estimated time to verify</v>
      </c>
      <c r="E345" s="132"/>
      <c r="F345" s="1"/>
      <c r="AP345" s="6" t="s">
        <v>269</v>
      </c>
      <c r="AT345" s="144" t="str">
        <f>IF(AND(AJ346&gt;30,B346&gt;0),"ready","not ready")</f>
        <v>ready</v>
      </c>
      <c r="AU345" s="144"/>
      <c r="AV345" s="144"/>
      <c r="BB345" s="6"/>
      <c r="BF345" s="113">
        <f>BF335</f>
        <v>0.05</v>
      </c>
      <c r="BG345" s="136">
        <f>BG342*$BF345</f>
        <v>7.8000000000000014E-2</v>
      </c>
      <c r="BH345" s="136">
        <f>BH342*$BF345</f>
        <v>0.19500000000000003</v>
      </c>
      <c r="BI345" s="136">
        <f>BI342*$BF345</f>
        <v>0.70200000000000007</v>
      </c>
      <c r="BJ345" s="136">
        <f>BJ342*$BF345</f>
        <v>1.7550000000000001</v>
      </c>
    </row>
    <row r="346" spans="1:62" ht="14.4" thickBot="1" x14ac:dyDescent="0.3">
      <c r="A346" s="117"/>
      <c r="B346" s="163">
        <v>13</v>
      </c>
      <c r="C346" s="146" t="s">
        <v>270</v>
      </c>
      <c r="D346" s="147" t="str">
        <f>CONCATENATE(AK346,AL346)</f>
        <v>1.56 hours</v>
      </c>
      <c r="E346" s="132"/>
      <c r="F346" s="1"/>
      <c r="AD346" s="149">
        <f>IF(B340=B$1896,G$1896,AC345)</f>
        <v>0.12</v>
      </c>
      <c r="AE346" s="150">
        <f>IF(B340=B$1897,G$1897,AD345)</f>
        <v>0</v>
      </c>
      <c r="AF346" s="151">
        <f>IF(B340=B$1898,G$1898,AE345)</f>
        <v>0</v>
      </c>
      <c r="AG346" s="152">
        <f>IF(B340=B$1899,G$1899,AF345)</f>
        <v>0</v>
      </c>
      <c r="AH346" s="9"/>
      <c r="AI346" s="153">
        <f>MAX(AD346:AG346)</f>
        <v>0.12</v>
      </c>
      <c r="AJ346" s="6">
        <f>LEN(B340)</f>
        <v>37</v>
      </c>
      <c r="AK346" s="154">
        <f>IF(B346="",$AC$297,B346*AI346)</f>
        <v>1.56</v>
      </c>
      <c r="AL346" s="6" t="s">
        <v>271</v>
      </c>
      <c r="AN346" s="6">
        <f>B346*AI346</f>
        <v>1.56</v>
      </c>
      <c r="AP346" s="155" t="str">
        <f>IF($C346=$D$1896,AP$297,"")</f>
        <v/>
      </c>
      <c r="AQ346" s="156" t="str">
        <f>IF($C346=$D$1897,AQ$297,"")</f>
        <v/>
      </c>
      <c r="AR346" s="157" t="str">
        <f>IF($C346=$D$1898,AR$297,"")</f>
        <v/>
      </c>
      <c r="AS346" s="158" t="str">
        <f>IF($C346=$D$1899,AS$297,"")</f>
        <v/>
      </c>
      <c r="AT346" s="159">
        <f>IF($C346=$D$1900,AT$297,"")</f>
        <v>1</v>
      </c>
      <c r="AU346" s="160">
        <f>MAX(AP346:AS346)</f>
        <v>0</v>
      </c>
      <c r="AV346" s="154"/>
      <c r="AX346" s="112">
        <f>IF(AK346=$AC$297,0,AK346)</f>
        <v>1.56</v>
      </c>
      <c r="BB346" s="6"/>
      <c r="BG346" s="161">
        <f>BG342*0.95</f>
        <v>1.4820000000000002</v>
      </c>
      <c r="BH346" s="161">
        <f>BH342*0.95</f>
        <v>3.7050000000000001</v>
      </c>
      <c r="BI346" s="161">
        <f>BI342*0.95</f>
        <v>13.338000000000001</v>
      </c>
      <c r="BJ346" s="161">
        <f>BJ342*0.95</f>
        <v>33.344999999999999</v>
      </c>
    </row>
    <row r="347" spans="1:62" ht="14.4" thickTop="1" x14ac:dyDescent="0.25">
      <c r="A347" s="117"/>
      <c r="B347" s="117"/>
      <c r="C347" s="117"/>
      <c r="D347" s="117"/>
      <c r="E347" s="132"/>
      <c r="F347" s="1"/>
    </row>
    <row r="348" spans="1:62" ht="19.95" customHeight="1" x14ac:dyDescent="0.25">
      <c r="A348" s="114">
        <f>A338+1</f>
        <v>6</v>
      </c>
      <c r="B348" s="114" t="s">
        <v>281</v>
      </c>
      <c r="C348" s="114"/>
      <c r="D348" s="115">
        <f>IF(AN350&gt;0,AN350,0)</f>
        <v>7.1428571428571425E-2</v>
      </c>
      <c r="E348" s="132"/>
      <c r="F348" s="1"/>
    </row>
    <row r="349" spans="1:62" ht="18" customHeight="1" x14ac:dyDescent="0.25">
      <c r="A349" s="114"/>
      <c r="B349" s="563"/>
      <c r="C349" s="563"/>
      <c r="D349" s="563"/>
      <c r="E349" s="132"/>
      <c r="F349" s="1"/>
      <c r="AC349" s="121">
        <v>1</v>
      </c>
      <c r="AD349" s="122">
        <f>AC349-($AC349/5)</f>
        <v>0.8</v>
      </c>
      <c r="AE349" s="123">
        <f>AD349-($AC349/5)</f>
        <v>0.60000000000000009</v>
      </c>
      <c r="AF349" s="124">
        <f>AE349-($AC349/5)</f>
        <v>0.40000000000000008</v>
      </c>
      <c r="AG349" s="125">
        <f>AF349-($AC349/5)</f>
        <v>0.20000000000000007</v>
      </c>
      <c r="AH349" s="126">
        <f>AG349-($AC349/5)</f>
        <v>0</v>
      </c>
      <c r="AI349" s="120"/>
      <c r="AP349" s="120"/>
      <c r="AQ349" s="120"/>
      <c r="AR349" s="120"/>
      <c r="AS349" s="120"/>
      <c r="AT349" s="120"/>
      <c r="AU349" s="120"/>
      <c r="AV349" s="120"/>
      <c r="AW349" s="120"/>
      <c r="AX349" s="120"/>
      <c r="AY349" s="120"/>
      <c r="AZ349" s="120"/>
      <c r="BA349" s="120"/>
      <c r="BB349" s="127" t="s">
        <v>260</v>
      </c>
      <c r="BD349" s="127" t="s">
        <v>261</v>
      </c>
      <c r="BE349" s="120"/>
      <c r="BF349" s="120"/>
      <c r="BG349" s="128" t="s">
        <v>262</v>
      </c>
      <c r="BH349" s="129"/>
      <c r="BI349" s="130" t="s">
        <v>263</v>
      </c>
      <c r="BJ349" s="131"/>
    </row>
    <row r="350" spans="1:62" ht="14.4" x14ac:dyDescent="0.3">
      <c r="A350" s="117"/>
      <c r="B350" s="564" t="s">
        <v>264</v>
      </c>
      <c r="C350" s="564"/>
      <c r="D350" s="564"/>
      <c r="E350" s="132"/>
      <c r="F350" s="1"/>
      <c r="AC350" s="112">
        <f t="shared" ref="AC350:AH350" si="8">IF($B350=AC$1896,AC349,0)</f>
        <v>1</v>
      </c>
      <c r="AD350" s="112">
        <f t="shared" si="8"/>
        <v>0</v>
      </c>
      <c r="AE350" s="112">
        <f t="shared" si="8"/>
        <v>0</v>
      </c>
      <c r="AF350" s="112">
        <f t="shared" si="8"/>
        <v>0</v>
      </c>
      <c r="AG350" s="112">
        <f t="shared" si="8"/>
        <v>0</v>
      </c>
      <c r="AH350" s="112">
        <f t="shared" si="8"/>
        <v>0</v>
      </c>
      <c r="AI350" s="164">
        <f>SUM(AC350:AH350)</f>
        <v>1</v>
      </c>
      <c r="AK350" s="550">
        <f>IF(AI350&gt;0,AI350,"")</f>
        <v>1</v>
      </c>
      <c r="AL350" s="527"/>
      <c r="AN350" s="551">
        <f>(AI350/$AN$297)/2</f>
        <v>7.1428571428571425E-2</v>
      </c>
      <c r="AO350" s="552"/>
      <c r="BB350" s="127" t="s">
        <v>265</v>
      </c>
      <c r="BD350" s="127" t="s">
        <v>265</v>
      </c>
      <c r="BG350" s="128" t="s">
        <v>266</v>
      </c>
      <c r="BH350" s="134">
        <f>BH340</f>
        <v>0.1</v>
      </c>
      <c r="BI350" s="130" t="s">
        <v>266</v>
      </c>
      <c r="BJ350" s="135">
        <f>1-BH350</f>
        <v>0.9</v>
      </c>
    </row>
    <row r="351" spans="1:62" ht="14.4" x14ac:dyDescent="0.25">
      <c r="A351" s="117"/>
      <c r="B351" s="565" t="s">
        <v>282</v>
      </c>
      <c r="C351" s="565"/>
      <c r="D351" s="565"/>
      <c r="E351" s="132"/>
      <c r="F351" s="1"/>
      <c r="BB351" s="136">
        <f>$AC$1556</f>
        <v>10</v>
      </c>
      <c r="BD351" s="136">
        <f>$AC$1557</f>
        <v>25</v>
      </c>
      <c r="BG351" s="137" t="str">
        <f>BB349</f>
        <v>low</v>
      </c>
      <c r="BH351" s="137" t="str">
        <f>BD349</f>
        <v>high</v>
      </c>
      <c r="BI351" s="137" t="str">
        <f>BB349</f>
        <v>low</v>
      </c>
      <c r="BJ351" s="137" t="str">
        <f>BD349</f>
        <v>high</v>
      </c>
    </row>
    <row r="352" spans="1:62" ht="14.4" thickBot="1" x14ac:dyDescent="0.3">
      <c r="A352" s="117"/>
      <c r="B352" s="165"/>
      <c r="C352" s="165"/>
      <c r="D352" s="165"/>
      <c r="E352" s="132"/>
      <c r="F352" s="1"/>
      <c r="BB352" s="136">
        <f>IF(AK356=$AC$297,0,(BB351*AK356))</f>
        <v>9.6</v>
      </c>
      <c r="BD352" s="136">
        <f>IF(AK356=$AC$297,0,(BD351*AK356))</f>
        <v>24</v>
      </c>
      <c r="BG352" s="136">
        <f>BB352*BH350</f>
        <v>0.96</v>
      </c>
      <c r="BH352" s="136">
        <f>BD352*BH350</f>
        <v>2.4000000000000004</v>
      </c>
      <c r="BI352" s="136">
        <f>BB352*BJ350</f>
        <v>8.64</v>
      </c>
      <c r="BJ352" s="136">
        <f>BD352*BJ350</f>
        <v>21.6</v>
      </c>
    </row>
    <row r="353" spans="1:62" ht="85.05" customHeight="1" thickTop="1" thickBot="1" x14ac:dyDescent="0.3">
      <c r="A353" s="117"/>
      <c r="B353" s="556"/>
      <c r="C353" s="557"/>
      <c r="D353" s="558"/>
      <c r="E353" s="132"/>
      <c r="F353" s="1"/>
      <c r="BJ353" s="138">
        <f>MIN(BJ352,($D$1330*10))</f>
        <v>0</v>
      </c>
    </row>
    <row r="354" spans="1:62" ht="16.8" thickTop="1" thickBot="1" x14ac:dyDescent="0.3">
      <c r="A354" s="117"/>
      <c r="B354" s="139" t="str">
        <f>IF(B350="","","SUPPORTER REVIEW: Prepare for Independent Verifier")</f>
        <v>SUPPORTER REVIEW: Prepare for Independent Verifier</v>
      </c>
      <c r="C354" s="117"/>
      <c r="D354" s="117"/>
      <c r="E354" s="132"/>
      <c r="F354" s="1"/>
      <c r="BJ354" s="140"/>
    </row>
    <row r="355" spans="1:62" ht="14.4" thickTop="1" x14ac:dyDescent="0.25">
      <c r="A355" s="117"/>
      <c r="B355" s="141" t="str">
        <f>IF(B350="","","How many pages?")</f>
        <v>How many pages?</v>
      </c>
      <c r="C355" s="142" t="str">
        <f>IF(AJ356&gt;30,"check if URL works, report from list below","")</f>
        <v>check if URL works, report from list below</v>
      </c>
      <c r="D355" s="143" t="str">
        <f>IF(B350="","","Estimated time to verify")</f>
        <v>Estimated time to verify</v>
      </c>
      <c r="E355" s="132"/>
      <c r="F355" s="1"/>
      <c r="AP355" s="6" t="s">
        <v>269</v>
      </c>
      <c r="AT355" s="144" t="str">
        <f>IF(AND(AJ356&gt;30,B356&gt;0),"ready","not ready")</f>
        <v>ready</v>
      </c>
      <c r="AU355" s="144"/>
      <c r="AV355" s="144"/>
      <c r="BB355" s="6"/>
      <c r="BF355" s="113">
        <f>BF345</f>
        <v>0.05</v>
      </c>
      <c r="BG355" s="136">
        <f>BG352*$BF355</f>
        <v>4.8000000000000001E-2</v>
      </c>
      <c r="BH355" s="136">
        <f>BH352*$BF355</f>
        <v>0.12000000000000002</v>
      </c>
      <c r="BI355" s="136">
        <f>BI352*$BF355</f>
        <v>0.43200000000000005</v>
      </c>
      <c r="BJ355" s="136">
        <f>BJ352*$BF355</f>
        <v>1.08</v>
      </c>
    </row>
    <row r="356" spans="1:62" ht="14.4" thickBot="1" x14ac:dyDescent="0.3">
      <c r="A356" s="117"/>
      <c r="B356" s="163">
        <v>8</v>
      </c>
      <c r="C356" s="146" t="s">
        <v>270</v>
      </c>
      <c r="D356" s="147" t="str">
        <f>CONCATENATE(AK356,AL356)</f>
        <v>0.96 hours</v>
      </c>
      <c r="E356" s="132"/>
      <c r="F356" s="1"/>
      <c r="AD356" s="149">
        <f>IF(B350=B$1896,G$1896,AC355)</f>
        <v>0.12</v>
      </c>
      <c r="AE356" s="150">
        <f>IF(B350=B$1897,G$1897,AD355)</f>
        <v>0</v>
      </c>
      <c r="AF356" s="151">
        <f>IF(B350=B$1898,G$1898,AE355)</f>
        <v>0</v>
      </c>
      <c r="AG356" s="152">
        <f>IF(B350=B$1899,G$1899,AF355)</f>
        <v>0</v>
      </c>
      <c r="AH356" s="9"/>
      <c r="AI356" s="153">
        <f>MAX(AD356:AG356)</f>
        <v>0.12</v>
      </c>
      <c r="AJ356" s="6">
        <f>LEN(B350)</f>
        <v>37</v>
      </c>
      <c r="AK356" s="154">
        <f>IF(B356="",$AC$297,B356*AI356)</f>
        <v>0.96</v>
      </c>
      <c r="AL356" s="6" t="s">
        <v>271</v>
      </c>
      <c r="AN356" s="6">
        <f>B356*AI356</f>
        <v>0.96</v>
      </c>
      <c r="AP356" s="155" t="str">
        <f>IF($C356=$D$1896,AP$297,"")</f>
        <v/>
      </c>
      <c r="AQ356" s="156" t="str">
        <f>IF($C356=$D$1897,AQ$297,"")</f>
        <v/>
      </c>
      <c r="AR356" s="157" t="str">
        <f>IF($C356=$D$1898,AR$297,"")</f>
        <v/>
      </c>
      <c r="AS356" s="158" t="str">
        <f>IF($C356=$D$1899,AS$297,"")</f>
        <v/>
      </c>
      <c r="AT356" s="159">
        <f>IF($C356=$D$1900,AT$297,"")</f>
        <v>1</v>
      </c>
      <c r="AU356" s="160">
        <f>MAX(AP356:AS356)</f>
        <v>0</v>
      </c>
      <c r="AV356" s="154"/>
      <c r="AX356" s="112">
        <f>IF(AK356=$AC$297,0,AK356)</f>
        <v>0.96</v>
      </c>
      <c r="BB356" s="6"/>
      <c r="BG356" s="161">
        <f>BG352*0.95</f>
        <v>0.91199999999999992</v>
      </c>
      <c r="BH356" s="161">
        <f>BH352*0.95</f>
        <v>2.2800000000000002</v>
      </c>
      <c r="BI356" s="161">
        <f>BI352*0.95</f>
        <v>8.2080000000000002</v>
      </c>
      <c r="BJ356" s="161">
        <f>BJ352*0.95</f>
        <v>20.52</v>
      </c>
    </row>
    <row r="357" spans="1:62" ht="13.05" customHeight="1" thickTop="1" x14ac:dyDescent="0.25">
      <c r="A357" s="117"/>
      <c r="B357" s="117"/>
      <c r="C357" s="117"/>
      <c r="D357" s="117"/>
      <c r="E357" s="132"/>
      <c r="F357" s="1"/>
    </row>
    <row r="358" spans="1:62" ht="19.95" customHeight="1" x14ac:dyDescent="0.25">
      <c r="A358" s="114">
        <f>A348+1</f>
        <v>7</v>
      </c>
      <c r="B358" s="114" t="s">
        <v>283</v>
      </c>
      <c r="C358" s="114"/>
      <c r="D358" s="115">
        <f>IF(AN360&gt;0,AN360,0)</f>
        <v>7.1428571428571425E-2</v>
      </c>
      <c r="E358" s="132"/>
      <c r="F358" s="1"/>
    </row>
    <row r="359" spans="1:62" ht="18" customHeight="1" x14ac:dyDescent="0.25">
      <c r="A359" s="114"/>
      <c r="B359" s="563"/>
      <c r="C359" s="563"/>
      <c r="D359" s="563"/>
      <c r="E359" s="132"/>
      <c r="F359" s="1"/>
      <c r="AC359" s="121">
        <v>1</v>
      </c>
      <c r="AD359" s="122">
        <f>AC359-($AC359/5)</f>
        <v>0.8</v>
      </c>
      <c r="AE359" s="123">
        <f>AD359-($AC359/5)</f>
        <v>0.60000000000000009</v>
      </c>
      <c r="AF359" s="124">
        <f>AE359-($AC359/5)</f>
        <v>0.40000000000000008</v>
      </c>
      <c r="AG359" s="125">
        <f>AF359-($AC359/5)</f>
        <v>0.20000000000000007</v>
      </c>
      <c r="AH359" s="126">
        <f>AG359-($AC359/5)</f>
        <v>0</v>
      </c>
      <c r="AI359" s="120"/>
      <c r="AP359" s="120"/>
      <c r="AQ359" s="120"/>
      <c r="AR359" s="120"/>
      <c r="AS359" s="120"/>
      <c r="AT359" s="120"/>
      <c r="AU359" s="120"/>
      <c r="AV359" s="120"/>
      <c r="AW359" s="120"/>
      <c r="AX359" s="120"/>
      <c r="AY359" s="120"/>
      <c r="AZ359" s="120"/>
      <c r="BA359" s="120"/>
      <c r="BB359" s="127" t="s">
        <v>260</v>
      </c>
      <c r="BD359" s="127" t="s">
        <v>261</v>
      </c>
      <c r="BE359" s="120"/>
      <c r="BF359" s="120"/>
      <c r="BG359" s="128" t="s">
        <v>262</v>
      </c>
      <c r="BH359" s="129"/>
      <c r="BI359" s="130" t="s">
        <v>263</v>
      </c>
      <c r="BJ359" s="131"/>
    </row>
    <row r="360" spans="1:62" ht="14.4" x14ac:dyDescent="0.3">
      <c r="A360" s="117"/>
      <c r="B360" s="564" t="s">
        <v>264</v>
      </c>
      <c r="C360" s="564"/>
      <c r="D360" s="564"/>
      <c r="E360" s="132"/>
      <c r="F360" s="1"/>
      <c r="AC360" s="112">
        <f t="shared" ref="AC360:AH360" si="9">IF($B360=AC$1896,AC359,0)</f>
        <v>1</v>
      </c>
      <c r="AD360" s="112">
        <f t="shared" si="9"/>
        <v>0</v>
      </c>
      <c r="AE360" s="112">
        <f t="shared" si="9"/>
        <v>0</v>
      </c>
      <c r="AF360" s="112">
        <f t="shared" si="9"/>
        <v>0</v>
      </c>
      <c r="AG360" s="112">
        <f t="shared" si="9"/>
        <v>0</v>
      </c>
      <c r="AH360" s="112">
        <f t="shared" si="9"/>
        <v>0</v>
      </c>
      <c r="AI360" s="164">
        <f>SUM(AC360:AH360)</f>
        <v>1</v>
      </c>
      <c r="AK360" s="550">
        <f>IF(AI360&gt;0,AI360,"")</f>
        <v>1</v>
      </c>
      <c r="AL360" s="527"/>
      <c r="AN360" s="551">
        <f>(AI360/$AN$297)/2</f>
        <v>7.1428571428571425E-2</v>
      </c>
      <c r="AO360" s="552"/>
      <c r="BB360" s="127" t="s">
        <v>265</v>
      </c>
      <c r="BD360" s="127" t="s">
        <v>265</v>
      </c>
      <c r="BG360" s="128" t="s">
        <v>266</v>
      </c>
      <c r="BH360" s="134">
        <f>BH350</f>
        <v>0.1</v>
      </c>
      <c r="BI360" s="130" t="s">
        <v>266</v>
      </c>
      <c r="BJ360" s="135">
        <f>1-BH360</f>
        <v>0.9</v>
      </c>
    </row>
    <row r="361" spans="1:62" ht="14.4" x14ac:dyDescent="0.25">
      <c r="A361" s="117"/>
      <c r="B361" s="565" t="s">
        <v>284</v>
      </c>
      <c r="C361" s="565"/>
      <c r="D361" s="565"/>
      <c r="E361" s="132"/>
      <c r="F361" s="1"/>
      <c r="BB361" s="136">
        <f>$AC$1556</f>
        <v>10</v>
      </c>
      <c r="BD361" s="136">
        <f>$AC$1557</f>
        <v>25</v>
      </c>
      <c r="BG361" s="137" t="str">
        <f>BB359</f>
        <v>low</v>
      </c>
      <c r="BH361" s="137" t="str">
        <f>BD359</f>
        <v>high</v>
      </c>
      <c r="BI361" s="137" t="str">
        <f>BB359</f>
        <v>low</v>
      </c>
      <c r="BJ361" s="137" t="str">
        <f>BD359</f>
        <v>high</v>
      </c>
    </row>
    <row r="362" spans="1:62" ht="14.4" thickBot="1" x14ac:dyDescent="0.3">
      <c r="A362" s="117"/>
      <c r="B362" s="165"/>
      <c r="C362" s="165"/>
      <c r="D362" s="165"/>
      <c r="E362" s="132"/>
      <c r="F362" s="1"/>
      <c r="BB362" s="136">
        <f>IF(AK366=$AC$297,0,(BB361*AK366))</f>
        <v>72</v>
      </c>
      <c r="BD362" s="136">
        <f>IF(AK366=$AC$297,0,(BD361*AK366))</f>
        <v>179.99999999999997</v>
      </c>
      <c r="BG362" s="136">
        <f>BB362*BH360</f>
        <v>7.2</v>
      </c>
      <c r="BH362" s="136">
        <f>BD362*BH360</f>
        <v>17.999999999999996</v>
      </c>
      <c r="BI362" s="136">
        <f>BB362*BJ360</f>
        <v>64.8</v>
      </c>
      <c r="BJ362" s="136">
        <f>BD362*BJ360</f>
        <v>161.99999999999997</v>
      </c>
    </row>
    <row r="363" spans="1:62" ht="85.05" customHeight="1" thickTop="1" thickBot="1" x14ac:dyDescent="0.3">
      <c r="A363" s="117"/>
      <c r="B363" s="556"/>
      <c r="C363" s="557"/>
      <c r="D363" s="558"/>
      <c r="E363" s="132"/>
      <c r="F363" s="1"/>
      <c r="BJ363" s="138">
        <f>MIN(BJ362,($D$1330*10))</f>
        <v>0</v>
      </c>
    </row>
    <row r="364" spans="1:62" ht="16.8" thickTop="1" thickBot="1" x14ac:dyDescent="0.3">
      <c r="A364" s="117"/>
      <c r="B364" s="139" t="str">
        <f>IF(B360="","","SUPPORTER REVIEW: Prepare for Independent Verifier")</f>
        <v>SUPPORTER REVIEW: Prepare for Independent Verifier</v>
      </c>
      <c r="C364" s="117"/>
      <c r="D364" s="117"/>
      <c r="E364" s="132"/>
      <c r="F364" s="1"/>
      <c r="BJ364" s="140"/>
    </row>
    <row r="365" spans="1:62" ht="14.4" thickTop="1" x14ac:dyDescent="0.25">
      <c r="A365" s="117"/>
      <c r="B365" s="141" t="str">
        <f>IF(B360="","","How many pages?")</f>
        <v>How many pages?</v>
      </c>
      <c r="C365" s="142" t="str">
        <f>IF(AJ366&gt;30,"check if URL works, report from list below","")</f>
        <v>check if URL works, report from list below</v>
      </c>
      <c r="D365" s="143" t="str">
        <f>IF(B360="","","Estimated time to verify")</f>
        <v>Estimated time to verify</v>
      </c>
      <c r="E365" s="132"/>
      <c r="F365" s="1"/>
      <c r="AP365" s="6" t="s">
        <v>269</v>
      </c>
      <c r="AT365" s="144" t="str">
        <f>IF(AND(AJ366&gt;30,B366&gt;0),"ready","not ready")</f>
        <v>ready</v>
      </c>
      <c r="AU365" s="144"/>
      <c r="AV365" s="144"/>
      <c r="BB365" s="6"/>
      <c r="BF365" s="113">
        <f>BF355</f>
        <v>0.05</v>
      </c>
      <c r="BG365" s="136">
        <f>BG362*$BF365</f>
        <v>0.36000000000000004</v>
      </c>
      <c r="BH365" s="136">
        <f>BH362*$BF365</f>
        <v>0.89999999999999991</v>
      </c>
      <c r="BI365" s="136">
        <f>BI362*$BF365</f>
        <v>3.24</v>
      </c>
      <c r="BJ365" s="136">
        <f>BJ362*$BF365</f>
        <v>8.1</v>
      </c>
    </row>
    <row r="366" spans="1:62" ht="14.4" thickBot="1" x14ac:dyDescent="0.3">
      <c r="A366" s="117"/>
      <c r="B366" s="163">
        <v>60</v>
      </c>
      <c r="C366" s="146" t="s">
        <v>270</v>
      </c>
      <c r="D366" s="147" t="str">
        <f>CONCATENATE(AK366,AL366)</f>
        <v>7.2 hours</v>
      </c>
      <c r="E366" s="132"/>
      <c r="F366" s="1"/>
      <c r="AD366" s="149">
        <f>IF(B360=B$1896,G$1896,AC365)</f>
        <v>0.12</v>
      </c>
      <c r="AE366" s="150">
        <f>IF(B360=B$1897,G$1897,AD365)</f>
        <v>0</v>
      </c>
      <c r="AF366" s="151">
        <f>IF(B360=B$1898,G$1898,AE365)</f>
        <v>0</v>
      </c>
      <c r="AG366" s="152">
        <f>IF(B360=B$1899,G$1899,AF365)</f>
        <v>0</v>
      </c>
      <c r="AH366" s="9"/>
      <c r="AI366" s="153">
        <f>MAX(AD366:AG366)</f>
        <v>0.12</v>
      </c>
      <c r="AJ366" s="6">
        <f>LEN(B360)</f>
        <v>37</v>
      </c>
      <c r="AK366" s="154">
        <f>IF(B366="",$AC$297,B366*AI366)</f>
        <v>7.1999999999999993</v>
      </c>
      <c r="AL366" s="6" t="s">
        <v>271</v>
      </c>
      <c r="AN366" s="6">
        <f>B366*AI366</f>
        <v>7.1999999999999993</v>
      </c>
      <c r="AP366" s="155" t="str">
        <f>IF($C366=$D$1896,AP$297,"")</f>
        <v/>
      </c>
      <c r="AQ366" s="156" t="str">
        <f>IF($C366=$D$1897,AQ$297,"")</f>
        <v/>
      </c>
      <c r="AR366" s="157" t="str">
        <f>IF($C366=$D$1898,AR$297,"")</f>
        <v/>
      </c>
      <c r="AS366" s="158" t="str">
        <f>IF($C366=$D$1899,AS$297,"")</f>
        <v/>
      </c>
      <c r="AT366" s="159">
        <f>IF($C366=$D$1900,AT$297,"")</f>
        <v>1</v>
      </c>
      <c r="AU366" s="160">
        <f>MAX(AP366:AS366)</f>
        <v>0</v>
      </c>
      <c r="AV366" s="154"/>
      <c r="AX366" s="112">
        <f>IF(AK366=$AC$297,0,AK366)</f>
        <v>7.1999999999999993</v>
      </c>
      <c r="BB366" s="6"/>
      <c r="BG366" s="161">
        <f>BG362*0.95</f>
        <v>6.84</v>
      </c>
      <c r="BH366" s="161">
        <f>BH362*0.95</f>
        <v>17.099999999999994</v>
      </c>
      <c r="BI366" s="161">
        <f>BI362*0.95</f>
        <v>61.559999999999995</v>
      </c>
      <c r="BJ366" s="161">
        <f>BJ362*0.95</f>
        <v>153.89999999999998</v>
      </c>
    </row>
    <row r="367" spans="1:62" ht="14.4" thickTop="1" x14ac:dyDescent="0.25">
      <c r="A367" s="117"/>
      <c r="B367" s="117"/>
      <c r="C367" s="117"/>
      <c r="D367" s="117"/>
      <c r="E367" s="132"/>
      <c r="F367" s="1"/>
    </row>
    <row r="368" spans="1:62" ht="19.95" customHeight="1" x14ac:dyDescent="0.25">
      <c r="A368" s="114">
        <f>A358+1</f>
        <v>8</v>
      </c>
      <c r="B368" s="114" t="s">
        <v>285</v>
      </c>
      <c r="C368" s="114"/>
      <c r="D368" s="115">
        <f>IF(AN370&gt;0,AN370,0)</f>
        <v>7.1428571428571425E-2</v>
      </c>
      <c r="E368" s="132"/>
      <c r="F368" s="1"/>
    </row>
    <row r="369" spans="1:62" ht="18" customHeight="1" x14ac:dyDescent="0.25">
      <c r="A369" s="114"/>
      <c r="B369" s="563"/>
      <c r="C369" s="563"/>
      <c r="D369" s="563"/>
      <c r="E369" s="132"/>
      <c r="F369" s="1"/>
      <c r="AC369" s="121">
        <v>1</v>
      </c>
      <c r="AD369" s="122">
        <f>AC369-($AC369/5)</f>
        <v>0.8</v>
      </c>
      <c r="AE369" s="123">
        <f>AD369-($AC369/5)</f>
        <v>0.60000000000000009</v>
      </c>
      <c r="AF369" s="124">
        <f>AE369-($AC369/5)</f>
        <v>0.40000000000000008</v>
      </c>
      <c r="AG369" s="125">
        <f>AF369-($AC369/5)</f>
        <v>0.20000000000000007</v>
      </c>
      <c r="AH369" s="126">
        <f>AG369-($AC369/5)</f>
        <v>0</v>
      </c>
      <c r="AI369" s="120"/>
      <c r="AP369" s="120"/>
      <c r="AQ369" s="120"/>
      <c r="AR369" s="120"/>
      <c r="AS369" s="120"/>
      <c r="AT369" s="120"/>
      <c r="AU369" s="120"/>
      <c r="AV369" s="120"/>
      <c r="AW369" s="120"/>
      <c r="AX369" s="120"/>
      <c r="AY369" s="120"/>
      <c r="AZ369" s="120"/>
      <c r="BA369" s="120"/>
      <c r="BB369" s="127" t="s">
        <v>260</v>
      </c>
      <c r="BD369" s="127" t="s">
        <v>261</v>
      </c>
      <c r="BE369" s="120"/>
      <c r="BF369" s="120"/>
      <c r="BG369" s="128" t="s">
        <v>262</v>
      </c>
      <c r="BH369" s="129"/>
      <c r="BI369" s="130" t="s">
        <v>263</v>
      </c>
      <c r="BJ369" s="131"/>
    </row>
    <row r="370" spans="1:62" ht="14.4" x14ac:dyDescent="0.3">
      <c r="A370" s="117"/>
      <c r="B370" s="564" t="s">
        <v>264</v>
      </c>
      <c r="C370" s="564"/>
      <c r="D370" s="564"/>
      <c r="E370" s="132"/>
      <c r="F370" s="1"/>
      <c r="AC370" s="112">
        <f t="shared" ref="AC370:AH370" si="10">IF($B370=AC$1896,AC369,0)</f>
        <v>1</v>
      </c>
      <c r="AD370" s="112">
        <f t="shared" si="10"/>
        <v>0</v>
      </c>
      <c r="AE370" s="112">
        <f t="shared" si="10"/>
        <v>0</v>
      </c>
      <c r="AF370" s="112">
        <f t="shared" si="10"/>
        <v>0</v>
      </c>
      <c r="AG370" s="112">
        <f t="shared" si="10"/>
        <v>0</v>
      </c>
      <c r="AH370" s="112">
        <f t="shared" si="10"/>
        <v>0</v>
      </c>
      <c r="AI370" s="164">
        <f>SUM(AC370:AH370)</f>
        <v>1</v>
      </c>
      <c r="AK370" s="550">
        <f>IF(AI370&gt;0,AI370,"")</f>
        <v>1</v>
      </c>
      <c r="AL370" s="527"/>
      <c r="AN370" s="551">
        <f>(AI370/$AN$297)/2</f>
        <v>7.1428571428571425E-2</v>
      </c>
      <c r="AO370" s="552"/>
      <c r="BB370" s="127" t="s">
        <v>265</v>
      </c>
      <c r="BD370" s="127" t="s">
        <v>265</v>
      </c>
      <c r="BG370" s="128" t="s">
        <v>266</v>
      </c>
      <c r="BH370" s="134">
        <f>BH360</f>
        <v>0.1</v>
      </c>
      <c r="BI370" s="130" t="s">
        <v>266</v>
      </c>
      <c r="BJ370" s="135">
        <f>1-BH370</f>
        <v>0.9</v>
      </c>
    </row>
    <row r="371" spans="1:62" ht="14.4" x14ac:dyDescent="0.25">
      <c r="A371" s="117"/>
      <c r="B371" s="565" t="s">
        <v>286</v>
      </c>
      <c r="C371" s="565"/>
      <c r="D371" s="565"/>
      <c r="E371" s="132"/>
      <c r="F371" s="1"/>
      <c r="BB371" s="136">
        <f>$AC$1556</f>
        <v>10</v>
      </c>
      <c r="BD371" s="136">
        <f>$AC$1557</f>
        <v>25</v>
      </c>
      <c r="BG371" s="137" t="str">
        <f>BB369</f>
        <v>low</v>
      </c>
      <c r="BH371" s="137" t="str">
        <f>BD369</f>
        <v>high</v>
      </c>
      <c r="BI371" s="137" t="str">
        <f>BB369</f>
        <v>low</v>
      </c>
      <c r="BJ371" s="137" t="str">
        <f>BD369</f>
        <v>high</v>
      </c>
    </row>
    <row r="372" spans="1:62" ht="14.4" thickBot="1" x14ac:dyDescent="0.3">
      <c r="A372" s="117"/>
      <c r="B372" s="165"/>
      <c r="C372" s="165"/>
      <c r="D372" s="165"/>
      <c r="E372" s="132"/>
      <c r="F372" s="1"/>
      <c r="BB372" s="136">
        <f>IF(AK376=$AC$297,0,(BB371*AK376))</f>
        <v>10.8</v>
      </c>
      <c r="BD372" s="136">
        <f>IF(AK376=$AC$297,0,(BD371*AK376))</f>
        <v>27</v>
      </c>
      <c r="BG372" s="136">
        <f>BB372*BH370</f>
        <v>1.08</v>
      </c>
      <c r="BH372" s="136">
        <f>BD372*BH370</f>
        <v>2.7</v>
      </c>
      <c r="BI372" s="136">
        <f>BB372*BJ370</f>
        <v>9.7200000000000006</v>
      </c>
      <c r="BJ372" s="136">
        <f>BD372*BJ370</f>
        <v>24.3</v>
      </c>
    </row>
    <row r="373" spans="1:62" ht="85.05" customHeight="1" thickTop="1" thickBot="1" x14ac:dyDescent="0.3">
      <c r="A373" s="117"/>
      <c r="B373" s="556"/>
      <c r="C373" s="557"/>
      <c r="D373" s="558"/>
      <c r="E373" s="132"/>
      <c r="F373" s="1"/>
      <c r="BJ373" s="138">
        <f>MIN(BJ372,($D$1330*10))</f>
        <v>0</v>
      </c>
    </row>
    <row r="374" spans="1:62" ht="16.8" thickTop="1" thickBot="1" x14ac:dyDescent="0.3">
      <c r="A374" s="117"/>
      <c r="B374" s="139" t="str">
        <f>IF(B370="","","SUPPORTER REVIEW: Prepare for Independent Verifier")</f>
        <v>SUPPORTER REVIEW: Prepare for Independent Verifier</v>
      </c>
      <c r="C374" s="117"/>
      <c r="D374" s="117"/>
      <c r="E374" s="132"/>
      <c r="F374" s="1"/>
      <c r="BJ374" s="140"/>
    </row>
    <row r="375" spans="1:62" ht="14.4" thickTop="1" x14ac:dyDescent="0.25">
      <c r="A375" s="117"/>
      <c r="B375" s="141" t="str">
        <f>IF(B370="","","How many pages?")</f>
        <v>How many pages?</v>
      </c>
      <c r="C375" s="142" t="str">
        <f>IF(AJ376&gt;30,"check if URL works, report from list below","")</f>
        <v>check if URL works, report from list below</v>
      </c>
      <c r="D375" s="143" t="str">
        <f>IF(B370="","","Estimated time to verify")</f>
        <v>Estimated time to verify</v>
      </c>
      <c r="E375" s="132"/>
      <c r="F375" s="1"/>
      <c r="AP375" s="6" t="s">
        <v>269</v>
      </c>
      <c r="AT375" s="144" t="str">
        <f>IF(AND(AJ376&gt;30,B376&gt;0),"ready","not ready")</f>
        <v>ready</v>
      </c>
      <c r="AU375" s="144"/>
      <c r="AV375" s="144"/>
      <c r="BB375" s="6"/>
      <c r="BF375" s="113">
        <f>BF365</f>
        <v>0.05</v>
      </c>
      <c r="BG375" s="136">
        <f>BG372*$BF375</f>
        <v>5.4000000000000006E-2</v>
      </c>
      <c r="BH375" s="136">
        <f>BH372*$BF375</f>
        <v>0.13500000000000001</v>
      </c>
      <c r="BI375" s="136">
        <f>BI372*$BF375</f>
        <v>0.48600000000000004</v>
      </c>
      <c r="BJ375" s="136">
        <f>BJ372*$BF375</f>
        <v>1.2150000000000001</v>
      </c>
    </row>
    <row r="376" spans="1:62" ht="14.4" thickBot="1" x14ac:dyDescent="0.3">
      <c r="A376" s="117"/>
      <c r="B376" s="163">
        <v>9</v>
      </c>
      <c r="C376" s="146" t="s">
        <v>270</v>
      </c>
      <c r="D376" s="147" t="str">
        <f>CONCATENATE(AK376,AL376)</f>
        <v>1.08 hours</v>
      </c>
      <c r="E376" s="132"/>
      <c r="F376" s="1"/>
      <c r="AD376" s="149">
        <f>IF(B370=B$1896,G$1896,AC375)</f>
        <v>0.12</v>
      </c>
      <c r="AE376" s="150">
        <f>IF(B370=B$1897,G$1897,AD375)</f>
        <v>0</v>
      </c>
      <c r="AF376" s="151">
        <f>IF(B370=B$1898,G$1898,AE375)</f>
        <v>0</v>
      </c>
      <c r="AG376" s="152">
        <f>IF(B370=B$1899,G$1899,AF375)</f>
        <v>0</v>
      </c>
      <c r="AH376" s="9"/>
      <c r="AI376" s="153">
        <f>MAX(AD376:AG376)</f>
        <v>0.12</v>
      </c>
      <c r="AJ376" s="6">
        <f>LEN(B370)</f>
        <v>37</v>
      </c>
      <c r="AK376" s="154">
        <f>IF(B376="",$AC$297,B376*AI376)</f>
        <v>1.08</v>
      </c>
      <c r="AL376" s="6" t="s">
        <v>271</v>
      </c>
      <c r="AN376" s="6">
        <f>B376*AI376</f>
        <v>1.08</v>
      </c>
      <c r="AP376" s="155" t="str">
        <f>IF($C376=$D$1896,AP$297,"")</f>
        <v/>
      </c>
      <c r="AQ376" s="156" t="str">
        <f>IF($C376=$D$1897,AQ$297,"")</f>
        <v/>
      </c>
      <c r="AR376" s="157" t="str">
        <f>IF($C376=$D$1898,AR$297,"")</f>
        <v/>
      </c>
      <c r="AS376" s="158" t="str">
        <f>IF($C376=$D$1899,AS$297,"")</f>
        <v/>
      </c>
      <c r="AT376" s="159">
        <f>IF($C376=$D$1900,AT$297,"")</f>
        <v>1</v>
      </c>
      <c r="AU376" s="160">
        <f>MAX(AP376:AS376)</f>
        <v>0</v>
      </c>
      <c r="AV376" s="154"/>
      <c r="AX376" s="112">
        <f>IF(AK376=$AC$297,0,AK376)</f>
        <v>1.08</v>
      </c>
      <c r="BB376" s="6"/>
      <c r="BG376" s="161">
        <f>BG372*0.95</f>
        <v>1.026</v>
      </c>
      <c r="BH376" s="161">
        <f>BH372*0.95</f>
        <v>2.5649999999999999</v>
      </c>
      <c r="BI376" s="161">
        <f>BI372*0.95</f>
        <v>9.234</v>
      </c>
      <c r="BJ376" s="161">
        <f>BJ372*0.95</f>
        <v>23.085000000000001</v>
      </c>
    </row>
    <row r="377" spans="1:62" ht="14.4" thickTop="1" x14ac:dyDescent="0.25">
      <c r="A377" s="117"/>
      <c r="B377" s="117"/>
      <c r="C377" s="117"/>
      <c r="D377" s="117"/>
      <c r="E377" s="132"/>
      <c r="F377" s="1"/>
    </row>
    <row r="378" spans="1:62" ht="19.95" customHeight="1" x14ac:dyDescent="0.25">
      <c r="A378" s="114">
        <f>A368+1</f>
        <v>9</v>
      </c>
      <c r="B378" s="114" t="s">
        <v>287</v>
      </c>
      <c r="C378" s="114"/>
      <c r="D378" s="115">
        <f>IF(AN380&gt;0,AN380,0)</f>
        <v>0</v>
      </c>
      <c r="E378" s="132"/>
      <c r="F378" s="1"/>
    </row>
    <row r="379" spans="1:62" ht="18" customHeight="1" x14ac:dyDescent="0.25">
      <c r="A379" s="114"/>
      <c r="B379" s="563"/>
      <c r="C379" s="563"/>
      <c r="D379" s="563"/>
      <c r="E379" s="132"/>
      <c r="F379" s="1"/>
      <c r="AC379" s="121">
        <v>1</v>
      </c>
      <c r="AD379" s="122">
        <f>AC379-($AC379/5)</f>
        <v>0.8</v>
      </c>
      <c r="AE379" s="123">
        <f>AD379-($AC379/5)</f>
        <v>0.60000000000000009</v>
      </c>
      <c r="AF379" s="124">
        <f>AE379-($AC379/5)</f>
        <v>0.40000000000000008</v>
      </c>
      <c r="AG379" s="125">
        <f>AF379-($AC379/5)</f>
        <v>0.20000000000000007</v>
      </c>
      <c r="AH379" s="126">
        <f>AG379-($AC379/5)</f>
        <v>0</v>
      </c>
      <c r="AI379" s="120"/>
      <c r="AP379" s="120"/>
      <c r="AQ379" s="120"/>
      <c r="AR379" s="120"/>
      <c r="AS379" s="120"/>
      <c r="AT379" s="120"/>
      <c r="AU379" s="120"/>
      <c r="AV379" s="120"/>
      <c r="AW379" s="120"/>
      <c r="AX379" s="120"/>
      <c r="AY379" s="120"/>
      <c r="AZ379" s="120"/>
      <c r="BA379" s="120"/>
      <c r="BB379" s="127" t="s">
        <v>260</v>
      </c>
      <c r="BD379" s="127" t="s">
        <v>261</v>
      </c>
      <c r="BE379" s="120"/>
      <c r="BF379" s="120"/>
      <c r="BG379" s="128" t="s">
        <v>262</v>
      </c>
      <c r="BH379" s="129"/>
      <c r="BI379" s="130" t="s">
        <v>263</v>
      </c>
      <c r="BJ379" s="131"/>
    </row>
    <row r="380" spans="1:62" ht="14.4" x14ac:dyDescent="0.3">
      <c r="A380" s="117"/>
      <c r="B380" s="564"/>
      <c r="C380" s="564"/>
      <c r="D380" s="564"/>
      <c r="E380" s="132"/>
      <c r="F380" s="1"/>
      <c r="AC380" s="112">
        <f t="shared" ref="AC380:AH380" si="11">IF($B380=AC$1896,AC379,0)</f>
        <v>0</v>
      </c>
      <c r="AD380" s="112">
        <f t="shared" si="11"/>
        <v>0</v>
      </c>
      <c r="AE380" s="112">
        <f t="shared" si="11"/>
        <v>0</v>
      </c>
      <c r="AF380" s="112">
        <f t="shared" si="11"/>
        <v>0</v>
      </c>
      <c r="AG380" s="112">
        <f t="shared" si="11"/>
        <v>0</v>
      </c>
      <c r="AH380" s="112">
        <f t="shared" si="11"/>
        <v>0</v>
      </c>
      <c r="AI380" s="164">
        <f>SUM(AC380:AH380)</f>
        <v>0</v>
      </c>
      <c r="AK380" s="550" t="str">
        <f>IF(AI380&gt;0,AI380,"")</f>
        <v/>
      </c>
      <c r="AL380" s="527"/>
      <c r="AN380" s="551">
        <f>(AI380/$AN$297)/2</f>
        <v>0</v>
      </c>
      <c r="AO380" s="552"/>
      <c r="BB380" s="127" t="s">
        <v>265</v>
      </c>
      <c r="BD380" s="127" t="s">
        <v>265</v>
      </c>
      <c r="BG380" s="128" t="s">
        <v>266</v>
      </c>
      <c r="BH380" s="134">
        <f>BH370</f>
        <v>0.1</v>
      </c>
      <c r="BI380" s="130" t="s">
        <v>266</v>
      </c>
      <c r="BJ380" s="135">
        <f>1-BH380</f>
        <v>0.9</v>
      </c>
    </row>
    <row r="381" spans="1:62" ht="14.4" x14ac:dyDescent="0.25">
      <c r="A381" s="117"/>
      <c r="B381" s="565"/>
      <c r="C381" s="565"/>
      <c r="D381" s="565"/>
      <c r="E381" s="132"/>
      <c r="F381" s="1"/>
      <c r="BB381" s="136">
        <f>$AC$1556</f>
        <v>10</v>
      </c>
      <c r="BD381" s="136">
        <f>$AC$1557</f>
        <v>25</v>
      </c>
      <c r="BG381" s="137" t="str">
        <f>BB379</f>
        <v>low</v>
      </c>
      <c r="BH381" s="137" t="str">
        <f>BD379</f>
        <v>high</v>
      </c>
      <c r="BI381" s="137" t="str">
        <f>BB379</f>
        <v>low</v>
      </c>
      <c r="BJ381" s="137" t="str">
        <f>BD379</f>
        <v>high</v>
      </c>
    </row>
    <row r="382" spans="1:62" ht="14.4" thickBot="1" x14ac:dyDescent="0.3">
      <c r="A382" s="117"/>
      <c r="B382" s="165"/>
      <c r="C382" s="165"/>
      <c r="D382" s="165"/>
      <c r="E382" s="132"/>
      <c r="F382" s="1"/>
      <c r="BB382" s="136">
        <f>IF(AK386=$AC$297,0,(BB381*AK386))</f>
        <v>0</v>
      </c>
      <c r="BD382" s="136">
        <f>IF(AK386=$AC$297,0,(BD381*AK386))</f>
        <v>0</v>
      </c>
      <c r="BG382" s="136">
        <f>BB382*BH380</f>
        <v>0</v>
      </c>
      <c r="BH382" s="136">
        <f>BD382*BH380</f>
        <v>0</v>
      </c>
      <c r="BI382" s="136">
        <f>BB382*BJ380</f>
        <v>0</v>
      </c>
      <c r="BJ382" s="136">
        <f>BD382*BJ380</f>
        <v>0</v>
      </c>
    </row>
    <row r="383" spans="1:62" ht="85.05" customHeight="1" thickTop="1" thickBot="1" x14ac:dyDescent="0.3">
      <c r="A383" s="117"/>
      <c r="B383" s="556"/>
      <c r="C383" s="557"/>
      <c r="D383" s="558"/>
      <c r="E383" s="132"/>
      <c r="F383" s="1"/>
      <c r="BJ383" s="138">
        <f>MIN(BJ382,($D$1330*10))</f>
        <v>0</v>
      </c>
    </row>
    <row r="384" spans="1:62" ht="16.8" thickTop="1" thickBot="1" x14ac:dyDescent="0.3">
      <c r="A384" s="117"/>
      <c r="B384" s="139" t="str">
        <f>IF(B380="","","SUPPORTER REVIEW: Prepare for Independent Verifier")</f>
        <v/>
      </c>
      <c r="C384" s="117"/>
      <c r="D384" s="117"/>
      <c r="E384" s="132"/>
      <c r="F384" s="1"/>
      <c r="BJ384" s="140"/>
    </row>
    <row r="385" spans="1:62" ht="14.4" thickTop="1" x14ac:dyDescent="0.25">
      <c r="A385" s="117"/>
      <c r="B385" s="141" t="str">
        <f>IF(B380="","","How many pages?")</f>
        <v/>
      </c>
      <c r="C385" s="142" t="str">
        <f>IF(AJ386&gt;30,"check if URL works, report from list below","")</f>
        <v/>
      </c>
      <c r="D385" s="143" t="str">
        <f>IF(B380="","","Estimated time to verify")</f>
        <v/>
      </c>
      <c r="E385" s="132"/>
      <c r="F385" s="1"/>
      <c r="AP385" s="6" t="s">
        <v>269</v>
      </c>
      <c r="AT385" s="144" t="str">
        <f>IF(AND(AJ386&gt;30,B386&gt;0),"ready","not ready")</f>
        <v>not ready</v>
      </c>
      <c r="AU385" s="144"/>
      <c r="AV385" s="144"/>
      <c r="BB385" s="6"/>
      <c r="BF385" s="113">
        <f>BF375</f>
        <v>0.05</v>
      </c>
      <c r="BG385" s="136">
        <f>BG382*$BF385</f>
        <v>0</v>
      </c>
      <c r="BH385" s="136">
        <f>BH382*$BF385</f>
        <v>0</v>
      </c>
      <c r="BI385" s="136">
        <f>BI382*$BF385</f>
        <v>0</v>
      </c>
      <c r="BJ385" s="136">
        <f>BJ382*$BF385</f>
        <v>0</v>
      </c>
    </row>
    <row r="386" spans="1:62" ht="14.4" thickBot="1" x14ac:dyDescent="0.3">
      <c r="A386" s="117"/>
      <c r="B386" s="163"/>
      <c r="C386" s="146"/>
      <c r="D386" s="147" t="str">
        <f>CONCATENATE(AK386,AL386)</f>
        <v>in estimated hours</v>
      </c>
      <c r="E386" s="132"/>
      <c r="F386" s="1"/>
      <c r="AD386" s="149">
        <f>IF(B380=B$1896,G$1896,AC385)</f>
        <v>0</v>
      </c>
      <c r="AE386" s="150">
        <f>IF(B380=B$1897,G$1897,AD385)</f>
        <v>0</v>
      </c>
      <c r="AF386" s="151">
        <f>IF(B380=B$1898,G$1898,AE385)</f>
        <v>0</v>
      </c>
      <c r="AG386" s="152">
        <f>IF(B380=B$1899,G$1899,AF385)</f>
        <v>0</v>
      </c>
      <c r="AH386" s="9"/>
      <c r="AI386" s="153">
        <f>MAX(AD386:AG386)</f>
        <v>0</v>
      </c>
      <c r="AJ386" s="6">
        <f>LEN(B380)</f>
        <v>0</v>
      </c>
      <c r="AK386" s="154" t="str">
        <f>IF(B386="",$AC$297,B386*AI386)</f>
        <v>in estimated</v>
      </c>
      <c r="AL386" s="6" t="s">
        <v>271</v>
      </c>
      <c r="AN386" s="6">
        <f>B386*AI386</f>
        <v>0</v>
      </c>
      <c r="AP386" s="155" t="str">
        <f>IF($C386=$D$1896,AP$297,"")</f>
        <v/>
      </c>
      <c r="AQ386" s="156" t="str">
        <f>IF($C386=$D$1897,AQ$297,"")</f>
        <v/>
      </c>
      <c r="AR386" s="157" t="str">
        <f>IF($C386=$D$1898,AR$297,"")</f>
        <v/>
      </c>
      <c r="AS386" s="158" t="str">
        <f>IF($C386=$D$1899,AS$297,"")</f>
        <v/>
      </c>
      <c r="AT386" s="159" t="str">
        <f>IF($C386=$D$1900,AT$297,"")</f>
        <v/>
      </c>
      <c r="AU386" s="160">
        <f>MAX(AP386:AS386)</f>
        <v>0</v>
      </c>
      <c r="AV386" s="154"/>
      <c r="AX386" s="112">
        <f>IF(AK386=$AC$297,0,AK386)</f>
        <v>0</v>
      </c>
      <c r="BB386" s="6"/>
      <c r="BG386" s="161">
        <f>BG382*0.95</f>
        <v>0</v>
      </c>
      <c r="BH386" s="161">
        <f>BH382*0.95</f>
        <v>0</v>
      </c>
      <c r="BI386" s="161">
        <f>BI382*0.95</f>
        <v>0</v>
      </c>
      <c r="BJ386" s="161">
        <f>BJ382*0.95</f>
        <v>0</v>
      </c>
    </row>
    <row r="387" spans="1:62" ht="13.05" customHeight="1" thickTop="1" x14ac:dyDescent="0.25">
      <c r="A387" s="117"/>
      <c r="B387" s="117"/>
      <c r="C387" s="117"/>
      <c r="D387" s="117"/>
      <c r="E387" s="132"/>
      <c r="F387" s="1"/>
    </row>
    <row r="388" spans="1:62" ht="19.95" customHeight="1" x14ac:dyDescent="0.25">
      <c r="A388" s="114">
        <f>A378+1</f>
        <v>10</v>
      </c>
      <c r="B388" s="114" t="s">
        <v>288</v>
      </c>
      <c r="C388" s="114"/>
      <c r="D388" s="115">
        <f>IF(AN390&gt;0,AN390,0)</f>
        <v>0</v>
      </c>
      <c r="E388" s="132"/>
      <c r="F388" s="1"/>
    </row>
    <row r="389" spans="1:62" ht="18" customHeight="1" x14ac:dyDescent="0.25">
      <c r="A389" s="114"/>
      <c r="B389" s="563"/>
      <c r="C389" s="563"/>
      <c r="D389" s="563"/>
      <c r="E389" s="132"/>
      <c r="F389" s="1"/>
      <c r="AC389" s="121">
        <v>1</v>
      </c>
      <c r="AD389" s="122">
        <f>AC389-($AC389/5)</f>
        <v>0.8</v>
      </c>
      <c r="AE389" s="123">
        <f>AD389-($AC389/5)</f>
        <v>0.60000000000000009</v>
      </c>
      <c r="AF389" s="124">
        <f>AE389-($AC389/5)</f>
        <v>0.40000000000000008</v>
      </c>
      <c r="AG389" s="125">
        <f>AF389-($AC389/5)</f>
        <v>0.20000000000000007</v>
      </c>
      <c r="AH389" s="126">
        <f>AG389-($AC389/5)</f>
        <v>0</v>
      </c>
      <c r="AI389" s="120"/>
      <c r="AP389" s="120"/>
      <c r="AQ389" s="120"/>
      <c r="AR389" s="120"/>
      <c r="AS389" s="120"/>
      <c r="AT389" s="120"/>
      <c r="AU389" s="120"/>
      <c r="AV389" s="120"/>
      <c r="AW389" s="120"/>
      <c r="AX389" s="120"/>
      <c r="AY389" s="120"/>
      <c r="AZ389" s="120"/>
      <c r="BA389" s="120"/>
      <c r="BB389" s="127" t="s">
        <v>260</v>
      </c>
      <c r="BD389" s="127" t="s">
        <v>261</v>
      </c>
      <c r="BE389" s="120"/>
      <c r="BF389" s="120"/>
      <c r="BG389" s="128" t="s">
        <v>262</v>
      </c>
      <c r="BH389" s="129"/>
      <c r="BI389" s="130" t="s">
        <v>263</v>
      </c>
      <c r="BJ389" s="131"/>
    </row>
    <row r="390" spans="1:62" ht="14.4" x14ac:dyDescent="0.3">
      <c r="A390" s="117"/>
      <c r="B390" s="564"/>
      <c r="C390" s="564"/>
      <c r="D390" s="564"/>
      <c r="E390" s="132"/>
      <c r="F390" s="1"/>
      <c r="AC390" s="112">
        <f t="shared" ref="AC390:AH390" si="12">IF($B390=AC$1896,AC389,0)</f>
        <v>0</v>
      </c>
      <c r="AD390" s="112">
        <f t="shared" si="12"/>
        <v>0</v>
      </c>
      <c r="AE390" s="112">
        <f t="shared" si="12"/>
        <v>0</v>
      </c>
      <c r="AF390" s="112">
        <f t="shared" si="12"/>
        <v>0</v>
      </c>
      <c r="AG390" s="112">
        <f t="shared" si="12"/>
        <v>0</v>
      </c>
      <c r="AH390" s="112">
        <f t="shared" si="12"/>
        <v>0</v>
      </c>
      <c r="AI390" s="164">
        <f>SUM(AC390:AH390)</f>
        <v>0</v>
      </c>
      <c r="AK390" s="550" t="str">
        <f>IF(AI390&gt;0,AI390,"")</f>
        <v/>
      </c>
      <c r="AL390" s="527"/>
      <c r="AN390" s="551">
        <f>(AI390/$AN$297)/2</f>
        <v>0</v>
      </c>
      <c r="AO390" s="552"/>
      <c r="BB390" s="127" t="s">
        <v>265</v>
      </c>
      <c r="BD390" s="127" t="s">
        <v>265</v>
      </c>
      <c r="BG390" s="128" t="s">
        <v>266</v>
      </c>
      <c r="BH390" s="134">
        <f>BH380</f>
        <v>0.1</v>
      </c>
      <c r="BI390" s="130" t="s">
        <v>266</v>
      </c>
      <c r="BJ390" s="135">
        <f>1-BH390</f>
        <v>0.9</v>
      </c>
    </row>
    <row r="391" spans="1:62" ht="14.4" x14ac:dyDescent="0.25">
      <c r="A391" s="117"/>
      <c r="B391" s="565"/>
      <c r="C391" s="565"/>
      <c r="D391" s="565"/>
      <c r="E391" s="132"/>
      <c r="F391" s="1"/>
      <c r="BB391" s="136">
        <f>$AC$1556</f>
        <v>10</v>
      </c>
      <c r="BD391" s="136">
        <f>$AC$1557</f>
        <v>25</v>
      </c>
      <c r="BG391" s="137" t="str">
        <f>BB389</f>
        <v>low</v>
      </c>
      <c r="BH391" s="137" t="str">
        <f>BD389</f>
        <v>high</v>
      </c>
      <c r="BI391" s="137" t="str">
        <f>BB389</f>
        <v>low</v>
      </c>
      <c r="BJ391" s="137" t="str">
        <f>BD389</f>
        <v>high</v>
      </c>
    </row>
    <row r="392" spans="1:62" ht="14.4" thickBot="1" x14ac:dyDescent="0.3">
      <c r="A392" s="117"/>
      <c r="B392" s="165"/>
      <c r="C392" s="165"/>
      <c r="D392" s="165"/>
      <c r="E392" s="132"/>
      <c r="F392" s="1"/>
      <c r="BB392" s="136">
        <f>IF(AK396=$AC$297,0,(BB391*AK396))</f>
        <v>0</v>
      </c>
      <c r="BD392" s="136">
        <f>IF(AK396=$AC$297,0,(BD391*AK396))</f>
        <v>0</v>
      </c>
      <c r="BG392" s="136">
        <f>BB392*BH390</f>
        <v>0</v>
      </c>
      <c r="BH392" s="136">
        <f>BD392*BH390</f>
        <v>0</v>
      </c>
      <c r="BI392" s="136">
        <f>BB392*BJ390</f>
        <v>0</v>
      </c>
      <c r="BJ392" s="136">
        <f>BD392*BJ390</f>
        <v>0</v>
      </c>
    </row>
    <row r="393" spans="1:62" ht="85.05" customHeight="1" thickTop="1" thickBot="1" x14ac:dyDescent="0.3">
      <c r="A393" s="117"/>
      <c r="B393" s="556"/>
      <c r="C393" s="557"/>
      <c r="D393" s="558"/>
      <c r="E393" s="132"/>
      <c r="F393" s="1"/>
      <c r="BJ393" s="138">
        <f>MIN(BJ392,($D$1330*10))</f>
        <v>0</v>
      </c>
    </row>
    <row r="394" spans="1:62" ht="16.8" thickTop="1" thickBot="1" x14ac:dyDescent="0.3">
      <c r="A394" s="117"/>
      <c r="B394" s="139" t="str">
        <f>IF(B390="","","SUPPORTER REVIEW: Prepare for Independent Verifier")</f>
        <v/>
      </c>
      <c r="C394" s="117"/>
      <c r="D394" s="117"/>
      <c r="E394" s="132"/>
      <c r="F394" s="1"/>
      <c r="BJ394" s="140"/>
    </row>
    <row r="395" spans="1:62" ht="14.4" thickTop="1" x14ac:dyDescent="0.25">
      <c r="A395" s="117"/>
      <c r="B395" s="141" t="str">
        <f>IF(B390="","","How many pages?")</f>
        <v/>
      </c>
      <c r="C395" s="142" t="str">
        <f>IF(AJ396&gt;30,"check if URL works, report from list below","")</f>
        <v/>
      </c>
      <c r="D395" s="143" t="str">
        <f>IF(B390="","","Estimated time to verify")</f>
        <v/>
      </c>
      <c r="E395" s="132"/>
      <c r="F395" s="1"/>
      <c r="AP395" s="6" t="s">
        <v>269</v>
      </c>
      <c r="AT395" s="144" t="str">
        <f>IF(AND(AJ396&gt;30,B396&gt;0),"ready","not ready")</f>
        <v>not ready</v>
      </c>
      <c r="AU395" s="144"/>
      <c r="AV395" s="144"/>
      <c r="BB395" s="6"/>
      <c r="BF395" s="113">
        <f>BF385</f>
        <v>0.05</v>
      </c>
      <c r="BG395" s="136">
        <f>BG392*$BF395</f>
        <v>0</v>
      </c>
      <c r="BH395" s="136">
        <f>BH392*$BF395</f>
        <v>0</v>
      </c>
      <c r="BI395" s="136">
        <f>BI392*$BF395</f>
        <v>0</v>
      </c>
      <c r="BJ395" s="136">
        <f>BJ392*$BF395</f>
        <v>0</v>
      </c>
    </row>
    <row r="396" spans="1:62" ht="14.4" thickBot="1" x14ac:dyDescent="0.3">
      <c r="A396" s="117"/>
      <c r="B396" s="163"/>
      <c r="C396" s="146"/>
      <c r="D396" s="147" t="str">
        <f>CONCATENATE(AK396,AL396)</f>
        <v>in estimated hours</v>
      </c>
      <c r="E396" s="132"/>
      <c r="F396" s="1"/>
      <c r="AD396" s="149">
        <f>IF(B390=B$1896,G$1896,AC395)</f>
        <v>0</v>
      </c>
      <c r="AE396" s="150">
        <f>IF(B390=B$1897,G$1897,AD395)</f>
        <v>0</v>
      </c>
      <c r="AF396" s="151">
        <f>IF(B390=B$1898,G$1898,AE395)</f>
        <v>0</v>
      </c>
      <c r="AG396" s="152">
        <f>IF(B390=B$1899,G$1899,AF395)</f>
        <v>0</v>
      </c>
      <c r="AH396" s="9"/>
      <c r="AI396" s="153">
        <f>MAX(AD396:AG396)</f>
        <v>0</v>
      </c>
      <c r="AJ396" s="6">
        <f>LEN(B390)</f>
        <v>0</v>
      </c>
      <c r="AK396" s="154" t="str">
        <f>IF(B396="",$AC$297,B396*AI396)</f>
        <v>in estimated</v>
      </c>
      <c r="AL396" s="6" t="s">
        <v>271</v>
      </c>
      <c r="AN396" s="6">
        <f>B396*AI396</f>
        <v>0</v>
      </c>
      <c r="AP396" s="155" t="str">
        <f>IF($C396=$D$1896,AP$297,"")</f>
        <v/>
      </c>
      <c r="AQ396" s="156" t="str">
        <f>IF($C396=$D$1897,AQ$297,"")</f>
        <v/>
      </c>
      <c r="AR396" s="157" t="str">
        <f>IF($C396=$D$1898,AR$297,"")</f>
        <v/>
      </c>
      <c r="AS396" s="158" t="str">
        <f>IF($C396=$D$1899,AS$297,"")</f>
        <v/>
      </c>
      <c r="AT396" s="159" t="str">
        <f>IF($C396=$D$1900,AT$297,"")</f>
        <v/>
      </c>
      <c r="AU396" s="160">
        <f>MAX(AP396:AS396)</f>
        <v>0</v>
      </c>
      <c r="AV396" s="154"/>
      <c r="AX396" s="112">
        <f>IF(AK396=$AC$297,0,AK396)</f>
        <v>0</v>
      </c>
      <c r="BB396" s="6"/>
      <c r="BG396" s="161">
        <f>BG392*0.95</f>
        <v>0</v>
      </c>
      <c r="BH396" s="161">
        <f>BH392*0.95</f>
        <v>0</v>
      </c>
      <c r="BI396" s="161">
        <f>BI392*0.95</f>
        <v>0</v>
      </c>
      <c r="BJ396" s="161">
        <f>BJ392*0.95</f>
        <v>0</v>
      </c>
    </row>
    <row r="397" spans="1:62" ht="14.4" thickTop="1" x14ac:dyDescent="0.25">
      <c r="A397" s="117"/>
      <c r="B397" s="117"/>
      <c r="C397" s="117"/>
      <c r="D397" s="117"/>
      <c r="E397" s="132"/>
      <c r="F397" s="1"/>
    </row>
    <row r="398" spans="1:62" ht="19.95" customHeight="1" x14ac:dyDescent="0.25">
      <c r="A398" s="114">
        <f>A388+1</f>
        <v>11</v>
      </c>
      <c r="B398" s="114" t="s">
        <v>289</v>
      </c>
      <c r="C398" s="114"/>
      <c r="D398" s="115">
        <f>IF(AN400&gt;0,AN400,0)</f>
        <v>0</v>
      </c>
      <c r="E398" s="132"/>
      <c r="F398" s="1"/>
    </row>
    <row r="399" spans="1:62" ht="18" customHeight="1" x14ac:dyDescent="0.25">
      <c r="A399" s="114"/>
      <c r="B399" s="563" t="s">
        <v>290</v>
      </c>
      <c r="C399" s="563"/>
      <c r="D399" s="563"/>
      <c r="E399" s="132"/>
      <c r="F399" s="1"/>
      <c r="AC399" s="121">
        <v>1</v>
      </c>
      <c r="AD399" s="122">
        <f>AC399-($AC399/5)</f>
        <v>0.8</v>
      </c>
      <c r="AE399" s="123">
        <f>AD399-($AC399/5)</f>
        <v>0.60000000000000009</v>
      </c>
      <c r="AF399" s="124">
        <f>AE399-($AC399/5)</f>
        <v>0.40000000000000008</v>
      </c>
      <c r="AG399" s="125">
        <f>AF399-($AC399/5)</f>
        <v>0.20000000000000007</v>
      </c>
      <c r="AH399" s="126">
        <f>AG399-($AC399/5)</f>
        <v>0</v>
      </c>
      <c r="AI399" s="120"/>
      <c r="AP399" s="120"/>
      <c r="AQ399" s="120"/>
      <c r="AR399" s="120"/>
      <c r="AS399" s="120"/>
      <c r="AT399" s="120"/>
      <c r="AU399" s="120"/>
      <c r="AV399" s="120"/>
      <c r="AW399" s="120"/>
      <c r="AX399" s="120"/>
      <c r="AY399" s="120"/>
      <c r="AZ399" s="120"/>
      <c r="BA399" s="120"/>
      <c r="BB399" s="127" t="s">
        <v>260</v>
      </c>
      <c r="BD399" s="127" t="s">
        <v>261</v>
      </c>
      <c r="BE399" s="120"/>
      <c r="BF399" s="120"/>
      <c r="BG399" s="128" t="s">
        <v>262</v>
      </c>
      <c r="BH399" s="129"/>
      <c r="BI399" s="130" t="s">
        <v>263</v>
      </c>
      <c r="BJ399" s="131"/>
    </row>
    <row r="400" spans="1:62" ht="14.4" x14ac:dyDescent="0.3">
      <c r="A400" s="117"/>
      <c r="B400" s="564"/>
      <c r="C400" s="564"/>
      <c r="D400" s="564"/>
      <c r="E400" s="132"/>
      <c r="F400" s="1"/>
      <c r="AC400" s="112">
        <f t="shared" ref="AC400:AH400" si="13">IF($B400=AC$1896,AC399,0)</f>
        <v>0</v>
      </c>
      <c r="AD400" s="112">
        <f t="shared" si="13"/>
        <v>0</v>
      </c>
      <c r="AE400" s="112">
        <f t="shared" si="13"/>
        <v>0</v>
      </c>
      <c r="AF400" s="112">
        <f t="shared" si="13"/>
        <v>0</v>
      </c>
      <c r="AG400" s="112">
        <f t="shared" si="13"/>
        <v>0</v>
      </c>
      <c r="AH400" s="112">
        <f t="shared" si="13"/>
        <v>0</v>
      </c>
      <c r="AI400" s="164">
        <f>SUM(AC400:AH400)</f>
        <v>0</v>
      </c>
      <c r="AK400" s="550" t="str">
        <f>IF(AI400&gt;0,AI400,"")</f>
        <v/>
      </c>
      <c r="AL400" s="527"/>
      <c r="AN400" s="551">
        <f>(AI400/$AN$297)/2</f>
        <v>0</v>
      </c>
      <c r="AO400" s="552"/>
      <c r="BB400" s="127" t="s">
        <v>265</v>
      </c>
      <c r="BD400" s="127" t="s">
        <v>265</v>
      </c>
      <c r="BG400" s="128" t="s">
        <v>266</v>
      </c>
      <c r="BH400" s="134">
        <f>BH390</f>
        <v>0.1</v>
      </c>
      <c r="BI400" s="130" t="s">
        <v>266</v>
      </c>
      <c r="BJ400" s="135">
        <f>1-BH400</f>
        <v>0.9</v>
      </c>
    </row>
    <row r="401" spans="1:62" ht="14.4" x14ac:dyDescent="0.25">
      <c r="A401" s="117"/>
      <c r="B401" s="565"/>
      <c r="C401" s="565"/>
      <c r="D401" s="565"/>
      <c r="E401" s="132"/>
      <c r="F401" s="1"/>
      <c r="BB401" s="136">
        <f>$AC$1556</f>
        <v>10</v>
      </c>
      <c r="BD401" s="136">
        <f>$AC$1557</f>
        <v>25</v>
      </c>
      <c r="BG401" s="137" t="str">
        <f>BB399</f>
        <v>low</v>
      </c>
      <c r="BH401" s="137" t="str">
        <f>BD399</f>
        <v>high</v>
      </c>
      <c r="BI401" s="137" t="str">
        <f>BB399</f>
        <v>low</v>
      </c>
      <c r="BJ401" s="137" t="str">
        <f>BD399</f>
        <v>high</v>
      </c>
    </row>
    <row r="402" spans="1:62" ht="14.4" thickBot="1" x14ac:dyDescent="0.3">
      <c r="A402" s="117"/>
      <c r="B402" s="165"/>
      <c r="C402" s="165"/>
      <c r="D402" s="165"/>
      <c r="E402" s="132"/>
      <c r="F402" s="1"/>
      <c r="BB402" s="136">
        <f>IF(AK406=$AC$297,0,(BB401*AK406))</f>
        <v>0</v>
      </c>
      <c r="BD402" s="136">
        <f>IF(AK406=$AC$297,0,(BD401*AK406))</f>
        <v>0</v>
      </c>
      <c r="BG402" s="136">
        <f>BB402*BH400</f>
        <v>0</v>
      </c>
      <c r="BH402" s="136">
        <f>BD402*BH400</f>
        <v>0</v>
      </c>
      <c r="BI402" s="136">
        <f>BB402*BJ400</f>
        <v>0</v>
      </c>
      <c r="BJ402" s="136">
        <f>BD402*BJ400</f>
        <v>0</v>
      </c>
    </row>
    <row r="403" spans="1:62" ht="85.05" customHeight="1" thickTop="1" thickBot="1" x14ac:dyDescent="0.3">
      <c r="A403" s="117"/>
      <c r="B403" s="556"/>
      <c r="C403" s="557"/>
      <c r="D403" s="558"/>
      <c r="E403" s="132"/>
      <c r="F403" s="1"/>
      <c r="BJ403" s="138">
        <f>MIN(BJ402,($D$1330*10))</f>
        <v>0</v>
      </c>
    </row>
    <row r="404" spans="1:62" ht="16.8" thickTop="1" thickBot="1" x14ac:dyDescent="0.3">
      <c r="A404" s="117"/>
      <c r="B404" s="139" t="str">
        <f>IF(B400="","","SUPPORTER REVIEW: Prepare for Independent Verifier")</f>
        <v/>
      </c>
      <c r="C404" s="117"/>
      <c r="D404" s="117"/>
      <c r="E404" s="132"/>
      <c r="F404" s="1"/>
      <c r="BJ404" s="140"/>
    </row>
    <row r="405" spans="1:62" ht="14.4" thickTop="1" x14ac:dyDescent="0.25">
      <c r="A405" s="117"/>
      <c r="B405" s="141" t="str">
        <f>IF(B400="","","How many pages?")</f>
        <v/>
      </c>
      <c r="C405" s="142" t="str">
        <f>IF(AJ406&gt;30,"check if URL works, report from list below","")</f>
        <v/>
      </c>
      <c r="D405" s="143" t="str">
        <f>IF(B400="","","Estimated time to verify")</f>
        <v/>
      </c>
      <c r="E405" s="132"/>
      <c r="F405" s="1"/>
      <c r="AP405" s="6" t="s">
        <v>269</v>
      </c>
      <c r="AT405" s="144" t="str">
        <f>IF(AND(AJ406&gt;30,B406&gt;0),"ready","not ready")</f>
        <v>not ready</v>
      </c>
      <c r="AU405" s="144"/>
      <c r="AV405" s="144"/>
      <c r="BB405" s="6"/>
      <c r="BF405" s="113">
        <f>BF395</f>
        <v>0.05</v>
      </c>
      <c r="BG405" s="136">
        <f>BG402*$BF405</f>
        <v>0</v>
      </c>
      <c r="BH405" s="136">
        <f>BH402*$BF405</f>
        <v>0</v>
      </c>
      <c r="BI405" s="136">
        <f>BI402*$BF405</f>
        <v>0</v>
      </c>
      <c r="BJ405" s="136">
        <f>BJ402*$BF405</f>
        <v>0</v>
      </c>
    </row>
    <row r="406" spans="1:62" ht="14.4" thickBot="1" x14ac:dyDescent="0.3">
      <c r="A406" s="117"/>
      <c r="B406" s="163"/>
      <c r="C406" s="146"/>
      <c r="D406" s="147" t="str">
        <f>CONCATENATE(AK406,AL406)</f>
        <v>in estimated hours</v>
      </c>
      <c r="E406" s="132"/>
      <c r="F406" s="1"/>
      <c r="AD406" s="149">
        <f>IF(B400=B$1896,G$1896,AC405)</f>
        <v>0</v>
      </c>
      <c r="AE406" s="150">
        <f>IF(B400=B$1897,G$1897,AD405)</f>
        <v>0</v>
      </c>
      <c r="AF406" s="151">
        <f>IF(B400=B$1898,G$1898,AE405)</f>
        <v>0</v>
      </c>
      <c r="AG406" s="152">
        <f>IF(B400=B$1899,G$1899,AF405)</f>
        <v>0</v>
      </c>
      <c r="AH406" s="9"/>
      <c r="AI406" s="153">
        <f>MAX(AD406:AG406)</f>
        <v>0</v>
      </c>
      <c r="AJ406" s="6">
        <f>LEN(B400)</f>
        <v>0</v>
      </c>
      <c r="AK406" s="154" t="str">
        <f>IF(B406="",$AC$297,B406*AI406)</f>
        <v>in estimated</v>
      </c>
      <c r="AL406" s="6" t="s">
        <v>271</v>
      </c>
      <c r="AN406" s="6">
        <f>B406*AI406</f>
        <v>0</v>
      </c>
      <c r="AP406" s="155" t="str">
        <f>IF($C406=$D$1896,AP$297,"")</f>
        <v/>
      </c>
      <c r="AQ406" s="156" t="str">
        <f>IF($C406=$D$1897,AQ$297,"")</f>
        <v/>
      </c>
      <c r="AR406" s="157" t="str">
        <f>IF($C406=$D$1898,AR$297,"")</f>
        <v/>
      </c>
      <c r="AS406" s="158" t="str">
        <f>IF($C406=$D$1899,AS$297,"")</f>
        <v/>
      </c>
      <c r="AT406" s="159" t="str">
        <f>IF($C406=$D$1900,AT$297,"")</f>
        <v/>
      </c>
      <c r="AU406" s="160">
        <f>MAX(AP406:AS406)</f>
        <v>0</v>
      </c>
      <c r="AV406" s="154"/>
      <c r="AX406" s="112">
        <f>IF(AK406=$AC$297,0,AK406)</f>
        <v>0</v>
      </c>
      <c r="BB406" s="6"/>
      <c r="BG406" s="161">
        <f>BG402*0.95</f>
        <v>0</v>
      </c>
      <c r="BH406" s="161">
        <f>BH402*0.95</f>
        <v>0</v>
      </c>
      <c r="BI406" s="161">
        <f>BI402*0.95</f>
        <v>0</v>
      </c>
      <c r="BJ406" s="161">
        <f>BJ402*0.95</f>
        <v>0</v>
      </c>
    </row>
    <row r="407" spans="1:62" ht="14.4" thickTop="1" x14ac:dyDescent="0.25">
      <c r="A407" s="117"/>
      <c r="B407" s="117"/>
      <c r="C407" s="117"/>
      <c r="D407" s="117"/>
      <c r="E407" s="132"/>
      <c r="F407" s="1"/>
    </row>
    <row r="408" spans="1:62" ht="19.95" customHeight="1" x14ac:dyDescent="0.25">
      <c r="A408" s="114">
        <f>A398+1</f>
        <v>12</v>
      </c>
      <c r="B408" s="114" t="s">
        <v>291</v>
      </c>
      <c r="C408" s="114"/>
      <c r="D408" s="115">
        <f>IF(AN410&gt;0,AN410,0)</f>
        <v>0</v>
      </c>
      <c r="E408" s="132"/>
      <c r="F408" s="1"/>
    </row>
    <row r="409" spans="1:62" ht="18" customHeight="1" x14ac:dyDescent="0.25">
      <c r="A409" s="114"/>
      <c r="B409" s="563" t="s">
        <v>292</v>
      </c>
      <c r="C409" s="563"/>
      <c r="D409" s="563"/>
      <c r="E409" s="132"/>
      <c r="F409" s="1"/>
      <c r="AC409" s="121">
        <v>1</v>
      </c>
      <c r="AD409" s="122">
        <f>AC409-($AC409/5)</f>
        <v>0.8</v>
      </c>
      <c r="AE409" s="123">
        <f>AD409-($AC409/5)</f>
        <v>0.60000000000000009</v>
      </c>
      <c r="AF409" s="124">
        <f>AE409-($AC409/5)</f>
        <v>0.40000000000000008</v>
      </c>
      <c r="AG409" s="125">
        <f>AF409-($AC409/5)</f>
        <v>0.20000000000000007</v>
      </c>
      <c r="AH409" s="126">
        <f>AG409-($AC409/5)</f>
        <v>0</v>
      </c>
      <c r="AI409" s="120"/>
      <c r="AP409" s="120"/>
      <c r="AQ409" s="120"/>
      <c r="AR409" s="120"/>
      <c r="AS409" s="120"/>
      <c r="AT409" s="120"/>
      <c r="AU409" s="120"/>
      <c r="AV409" s="120"/>
      <c r="AW409" s="120"/>
      <c r="AX409" s="120"/>
      <c r="AY409" s="120"/>
      <c r="AZ409" s="120"/>
      <c r="BA409" s="120"/>
      <c r="BB409" s="127" t="s">
        <v>260</v>
      </c>
      <c r="BD409" s="127" t="s">
        <v>261</v>
      </c>
      <c r="BE409" s="120"/>
      <c r="BF409" s="120"/>
      <c r="BG409" s="128" t="s">
        <v>262</v>
      </c>
      <c r="BH409" s="129"/>
      <c r="BI409" s="130" t="s">
        <v>263</v>
      </c>
      <c r="BJ409" s="131"/>
    </row>
    <row r="410" spans="1:62" ht="14.4" x14ac:dyDescent="0.3">
      <c r="A410" s="117"/>
      <c r="B410" s="564"/>
      <c r="C410" s="564"/>
      <c r="D410" s="564"/>
      <c r="E410" s="132"/>
      <c r="F410" s="1"/>
      <c r="AC410" s="112">
        <f t="shared" ref="AC410:AH410" si="14">IF($B410=AC$1896,AC409,0)</f>
        <v>0</v>
      </c>
      <c r="AD410" s="112">
        <f t="shared" si="14"/>
        <v>0</v>
      </c>
      <c r="AE410" s="112">
        <f t="shared" si="14"/>
        <v>0</v>
      </c>
      <c r="AF410" s="112">
        <f t="shared" si="14"/>
        <v>0</v>
      </c>
      <c r="AG410" s="112">
        <f t="shared" si="14"/>
        <v>0</v>
      </c>
      <c r="AH410" s="112">
        <f t="shared" si="14"/>
        <v>0</v>
      </c>
      <c r="AI410" s="164">
        <f>SUM(AC410:AH410)</f>
        <v>0</v>
      </c>
      <c r="AK410" s="550" t="str">
        <f>IF(AI410&gt;0,AI410,"")</f>
        <v/>
      </c>
      <c r="AL410" s="527"/>
      <c r="AN410" s="551">
        <f>(AI410/$AN$297)/2</f>
        <v>0</v>
      </c>
      <c r="AO410" s="552"/>
      <c r="BB410" s="127" t="s">
        <v>265</v>
      </c>
      <c r="BD410" s="127" t="s">
        <v>265</v>
      </c>
      <c r="BG410" s="128" t="s">
        <v>266</v>
      </c>
      <c r="BH410" s="134">
        <f>BH400</f>
        <v>0.1</v>
      </c>
      <c r="BI410" s="130" t="s">
        <v>266</v>
      </c>
      <c r="BJ410" s="135">
        <f>1-BH410</f>
        <v>0.9</v>
      </c>
    </row>
    <row r="411" spans="1:62" ht="14.4" x14ac:dyDescent="0.25">
      <c r="A411" s="117"/>
      <c r="B411" s="565"/>
      <c r="C411" s="565"/>
      <c r="D411" s="565"/>
      <c r="E411" s="132"/>
      <c r="F411" s="1"/>
      <c r="BB411" s="136">
        <f>$AC$1556</f>
        <v>10</v>
      </c>
      <c r="BD411" s="136">
        <f>$AC$1557</f>
        <v>25</v>
      </c>
      <c r="BG411" s="137" t="str">
        <f>BB409</f>
        <v>low</v>
      </c>
      <c r="BH411" s="137" t="str">
        <f>BD409</f>
        <v>high</v>
      </c>
      <c r="BI411" s="137" t="str">
        <f>BB409</f>
        <v>low</v>
      </c>
      <c r="BJ411" s="137" t="str">
        <f>BD409</f>
        <v>high</v>
      </c>
    </row>
    <row r="412" spans="1:62" ht="14.4" thickBot="1" x14ac:dyDescent="0.3">
      <c r="A412" s="117"/>
      <c r="B412" s="165"/>
      <c r="C412" s="165"/>
      <c r="D412" s="165"/>
      <c r="E412" s="132"/>
      <c r="F412" s="1"/>
      <c r="BB412" s="136">
        <f>IF(AK416=$AC$297,0,(BB411*AK416))</f>
        <v>0</v>
      </c>
      <c r="BD412" s="136">
        <f>IF(AK416=$AC$297,0,(BD411*AK416))</f>
        <v>0</v>
      </c>
      <c r="BG412" s="136">
        <f>BB412*BH410</f>
        <v>0</v>
      </c>
      <c r="BH412" s="136">
        <f>BD412*BH410</f>
        <v>0</v>
      </c>
      <c r="BI412" s="136">
        <f>BB412*BJ410</f>
        <v>0</v>
      </c>
      <c r="BJ412" s="136">
        <f>BD412*BJ410</f>
        <v>0</v>
      </c>
    </row>
    <row r="413" spans="1:62" ht="85.05" customHeight="1" thickTop="1" thickBot="1" x14ac:dyDescent="0.3">
      <c r="A413" s="117"/>
      <c r="B413" s="556"/>
      <c r="C413" s="557"/>
      <c r="D413" s="558"/>
      <c r="E413" s="132"/>
      <c r="F413" s="1"/>
      <c r="BJ413" s="138">
        <f>MIN(BJ412,($D$1330*10))</f>
        <v>0</v>
      </c>
    </row>
    <row r="414" spans="1:62" ht="16.8" thickTop="1" thickBot="1" x14ac:dyDescent="0.3">
      <c r="A414" s="117"/>
      <c r="B414" s="139" t="str">
        <f>IF(B410="","","SUPPORTER REVIEW: Prepare for Independent Verifier")</f>
        <v/>
      </c>
      <c r="C414" s="117"/>
      <c r="D414" s="117"/>
      <c r="E414" s="132"/>
      <c r="F414" s="1"/>
      <c r="BJ414" s="140"/>
    </row>
    <row r="415" spans="1:62" ht="15" customHeight="1" thickTop="1" x14ac:dyDescent="0.25">
      <c r="A415" s="117"/>
      <c r="B415" s="141" t="str">
        <f>IF(B410="","","How many pages?")</f>
        <v/>
      </c>
      <c r="C415" s="142" t="str">
        <f>IF(AJ416&gt;30,"check if URL works, report from list below","")</f>
        <v/>
      </c>
      <c r="D415" s="143" t="str">
        <f>IF(B410="","","Estimated time to verify")</f>
        <v/>
      </c>
      <c r="E415" s="132"/>
      <c r="F415" s="1"/>
      <c r="AP415" s="6" t="s">
        <v>269</v>
      </c>
      <c r="AT415" s="144" t="str">
        <f>IF(AND(AJ416&gt;30,B416&gt;0),"ready","not ready")</f>
        <v>not ready</v>
      </c>
      <c r="AU415" s="144"/>
      <c r="AV415" s="144"/>
      <c r="BB415" s="6"/>
      <c r="BF415" s="113">
        <f>BF405</f>
        <v>0.05</v>
      </c>
      <c r="BG415" s="136">
        <f>BG412*$BF415</f>
        <v>0</v>
      </c>
      <c r="BH415" s="136">
        <f>BH412*$BF415</f>
        <v>0</v>
      </c>
      <c r="BI415" s="136">
        <f>BI412*$BF415</f>
        <v>0</v>
      </c>
      <c r="BJ415" s="136">
        <f>BJ412*$BF415</f>
        <v>0</v>
      </c>
    </row>
    <row r="416" spans="1:62" ht="15" customHeight="1" thickBot="1" x14ac:dyDescent="0.3">
      <c r="A416" s="117"/>
      <c r="B416" s="163"/>
      <c r="C416" s="146"/>
      <c r="D416" s="147" t="str">
        <f>CONCATENATE(AK416,AL416)</f>
        <v>in estimated hours</v>
      </c>
      <c r="E416" s="132"/>
      <c r="F416" s="1"/>
      <c r="AD416" s="149">
        <f>IF(B410=B$1896,G$1896,AC415)</f>
        <v>0</v>
      </c>
      <c r="AE416" s="150">
        <f>IF(B410=B$1897,G$1897,AD415)</f>
        <v>0</v>
      </c>
      <c r="AF416" s="151">
        <f>IF(B410=B$1898,G$1898,AE415)</f>
        <v>0</v>
      </c>
      <c r="AG416" s="152">
        <f>IF(B410=B$1899,G$1899,AF415)</f>
        <v>0</v>
      </c>
      <c r="AH416" s="9"/>
      <c r="AI416" s="153">
        <f>MAX(AD416:AG416)</f>
        <v>0</v>
      </c>
      <c r="AJ416" s="6">
        <f>LEN(B410)</f>
        <v>0</v>
      </c>
      <c r="AK416" s="154" t="str">
        <f>IF(B416="",$AC$297,B416*AI416)</f>
        <v>in estimated</v>
      </c>
      <c r="AL416" s="6" t="s">
        <v>271</v>
      </c>
      <c r="AN416" s="6">
        <f>B416*AI416</f>
        <v>0</v>
      </c>
      <c r="AP416" s="155" t="str">
        <f>IF($C416=$D$1896,AP$297,"")</f>
        <v/>
      </c>
      <c r="AQ416" s="156" t="str">
        <f>IF($C416=$D$1897,AQ$297,"")</f>
        <v/>
      </c>
      <c r="AR416" s="157" t="str">
        <f>IF($C416=$D$1898,AR$297,"")</f>
        <v/>
      </c>
      <c r="AS416" s="158" t="str">
        <f>IF($C416=$D$1899,AS$297,"")</f>
        <v/>
      </c>
      <c r="AT416" s="159" t="str">
        <f>IF($C416=$D$1900,AT$297,"")</f>
        <v/>
      </c>
      <c r="AU416" s="160">
        <f>MAX(AP416:AS416)</f>
        <v>0</v>
      </c>
      <c r="AV416" s="154"/>
      <c r="AX416" s="112">
        <f>IF(AK416=$AC$297,0,AK416)</f>
        <v>0</v>
      </c>
      <c r="BB416" s="6"/>
      <c r="BG416" s="161">
        <f>BG412*0.95</f>
        <v>0</v>
      </c>
      <c r="BH416" s="161">
        <f>BH412*0.95</f>
        <v>0</v>
      </c>
      <c r="BI416" s="161">
        <f>BI412*0.95</f>
        <v>0</v>
      </c>
      <c r="BJ416" s="161">
        <f>BJ412*0.95</f>
        <v>0</v>
      </c>
    </row>
    <row r="417" spans="1:62" ht="12" customHeight="1" thickTop="1" x14ac:dyDescent="0.25">
      <c r="A417" s="117"/>
      <c r="B417" s="117"/>
      <c r="C417" s="117"/>
      <c r="D417" s="117"/>
      <c r="E417" s="132"/>
      <c r="F417" s="1"/>
    </row>
    <row r="418" spans="1:62" ht="19.95" customHeight="1" x14ac:dyDescent="0.25">
      <c r="A418" s="114">
        <f>A408+1</f>
        <v>13</v>
      </c>
      <c r="B418" s="114" t="s">
        <v>293</v>
      </c>
      <c r="C418" s="114"/>
      <c r="D418" s="115">
        <f>IF(AN420&gt;0,AN420,0)</f>
        <v>0</v>
      </c>
      <c r="E418" s="132"/>
      <c r="F418" s="1"/>
    </row>
    <row r="419" spans="1:62" ht="18" customHeight="1" x14ac:dyDescent="0.25">
      <c r="A419" s="114"/>
      <c r="B419" s="563"/>
      <c r="C419" s="563"/>
      <c r="D419" s="563"/>
      <c r="E419" s="132"/>
      <c r="F419" s="1"/>
      <c r="AC419" s="121">
        <v>1</v>
      </c>
      <c r="AD419" s="122">
        <f>AC419-($AC419/5)</f>
        <v>0.8</v>
      </c>
      <c r="AE419" s="123">
        <f>AD419-($AC419/5)</f>
        <v>0.60000000000000009</v>
      </c>
      <c r="AF419" s="124">
        <f>AE419-($AC419/5)</f>
        <v>0.40000000000000008</v>
      </c>
      <c r="AG419" s="125">
        <f>AF419-($AC419/5)</f>
        <v>0.20000000000000007</v>
      </c>
      <c r="AH419" s="126">
        <f>AG419-($AC419/5)</f>
        <v>0</v>
      </c>
      <c r="AI419" s="120"/>
      <c r="AP419" s="120"/>
      <c r="AQ419" s="120"/>
      <c r="AR419" s="120"/>
      <c r="AS419" s="120"/>
      <c r="AT419" s="120"/>
      <c r="AU419" s="120"/>
      <c r="AV419" s="120"/>
      <c r="AW419" s="120"/>
      <c r="AX419" s="120"/>
      <c r="AY419" s="120"/>
      <c r="AZ419" s="120"/>
      <c r="BA419" s="120"/>
      <c r="BB419" s="127" t="s">
        <v>260</v>
      </c>
      <c r="BD419" s="127" t="s">
        <v>261</v>
      </c>
      <c r="BE419" s="120"/>
      <c r="BF419" s="120"/>
      <c r="BG419" s="128" t="s">
        <v>262</v>
      </c>
      <c r="BH419" s="129"/>
      <c r="BI419" s="130" t="s">
        <v>263</v>
      </c>
      <c r="BJ419" s="131"/>
    </row>
    <row r="420" spans="1:62" ht="14.4" x14ac:dyDescent="0.3">
      <c r="A420" s="117"/>
      <c r="B420" s="564"/>
      <c r="C420" s="564"/>
      <c r="D420" s="564"/>
      <c r="E420" s="132"/>
      <c r="F420" s="1"/>
      <c r="AC420" s="112">
        <f t="shared" ref="AC420:AH420" si="15">IF($B420=AC$1896,AC419,0)</f>
        <v>0</v>
      </c>
      <c r="AD420" s="112">
        <f t="shared" si="15"/>
        <v>0</v>
      </c>
      <c r="AE420" s="112">
        <f t="shared" si="15"/>
        <v>0</v>
      </c>
      <c r="AF420" s="112">
        <f t="shared" si="15"/>
        <v>0</v>
      </c>
      <c r="AG420" s="112">
        <f t="shared" si="15"/>
        <v>0</v>
      </c>
      <c r="AH420" s="112">
        <f t="shared" si="15"/>
        <v>0</v>
      </c>
      <c r="AI420" s="164">
        <f>SUM(AC420:AH420)</f>
        <v>0</v>
      </c>
      <c r="AK420" s="550" t="str">
        <f>IF(AI420&gt;0,AI420,"")</f>
        <v/>
      </c>
      <c r="AL420" s="527"/>
      <c r="AN420" s="551">
        <f>(AI420/$AN$297)/2</f>
        <v>0</v>
      </c>
      <c r="AO420" s="552"/>
      <c r="BB420" s="127" t="s">
        <v>265</v>
      </c>
      <c r="BD420" s="127" t="s">
        <v>265</v>
      </c>
      <c r="BG420" s="128" t="s">
        <v>266</v>
      </c>
      <c r="BH420" s="134">
        <f>BH410</f>
        <v>0.1</v>
      </c>
      <c r="BI420" s="130" t="s">
        <v>266</v>
      </c>
      <c r="BJ420" s="135">
        <f>1-BH420</f>
        <v>0.9</v>
      </c>
    </row>
    <row r="421" spans="1:62" ht="14.4" x14ac:dyDescent="0.25">
      <c r="A421" s="117"/>
      <c r="B421" s="565"/>
      <c r="C421" s="565"/>
      <c r="D421" s="565"/>
      <c r="E421" s="132"/>
      <c r="F421" s="1"/>
      <c r="BB421" s="136">
        <f>$AC$1556</f>
        <v>10</v>
      </c>
      <c r="BD421" s="136">
        <f>$AC$1557</f>
        <v>25</v>
      </c>
      <c r="BG421" s="137" t="str">
        <f>BB419</f>
        <v>low</v>
      </c>
      <c r="BH421" s="137" t="str">
        <f>BD419</f>
        <v>high</v>
      </c>
      <c r="BI421" s="137" t="str">
        <f>BB419</f>
        <v>low</v>
      </c>
      <c r="BJ421" s="137" t="str">
        <f>BD419</f>
        <v>high</v>
      </c>
    </row>
    <row r="422" spans="1:62" ht="14.4" customHeight="1" thickBot="1" x14ac:dyDescent="0.3">
      <c r="A422" s="117"/>
      <c r="B422" s="165"/>
      <c r="C422" s="165"/>
      <c r="D422" s="165"/>
      <c r="E422" s="132"/>
      <c r="F422" s="1"/>
      <c r="BB422" s="136">
        <f>IF(AK426=$AC$297,0,(BB421*AK426))</f>
        <v>0</v>
      </c>
      <c r="BD422" s="136">
        <f>IF(AK426=$AC$297,0,(BD421*AK426))</f>
        <v>0</v>
      </c>
      <c r="BG422" s="136">
        <f>BB422*BH420</f>
        <v>0</v>
      </c>
      <c r="BH422" s="136">
        <f>BD422*BH420</f>
        <v>0</v>
      </c>
      <c r="BI422" s="136">
        <f>BB422*BJ420</f>
        <v>0</v>
      </c>
      <c r="BJ422" s="136">
        <f>BD422*BJ420</f>
        <v>0</v>
      </c>
    </row>
    <row r="423" spans="1:62" ht="85.05" customHeight="1" thickTop="1" thickBot="1" x14ac:dyDescent="0.3">
      <c r="A423" s="117"/>
      <c r="B423" s="556"/>
      <c r="C423" s="557"/>
      <c r="D423" s="558"/>
      <c r="E423" s="132"/>
      <c r="F423" s="1"/>
      <c r="BJ423" s="138">
        <f>MIN(BJ422,($D$1330*10))</f>
        <v>0</v>
      </c>
    </row>
    <row r="424" spans="1:62" ht="16.8" customHeight="1" thickTop="1" thickBot="1" x14ac:dyDescent="0.3">
      <c r="A424" s="117"/>
      <c r="B424" s="139" t="str">
        <f>IF(B420="","","SUPPORTER REVIEW: Prepare for Independent Verifier")</f>
        <v/>
      </c>
      <c r="C424" s="117"/>
      <c r="D424" s="117"/>
      <c r="E424" s="132"/>
      <c r="F424" s="1"/>
      <c r="BJ424" s="140"/>
    </row>
    <row r="425" spans="1:62" ht="15" customHeight="1" thickTop="1" x14ac:dyDescent="0.25">
      <c r="A425" s="117"/>
      <c r="B425" s="141" t="str">
        <f>IF(B420="","","How many pages?")</f>
        <v/>
      </c>
      <c r="C425" s="142" t="str">
        <f>IF(AJ426&gt;30,"check if URL works, report from list below","")</f>
        <v/>
      </c>
      <c r="D425" s="143" t="str">
        <f>IF(B420="","","Estimated time to verify")</f>
        <v/>
      </c>
      <c r="E425" s="132"/>
      <c r="F425" s="1"/>
      <c r="AP425" s="6" t="s">
        <v>269</v>
      </c>
      <c r="AT425" s="144" t="str">
        <f>IF(AND(AJ426&gt;30,B426&gt;0),"ready","not ready")</f>
        <v>not ready</v>
      </c>
      <c r="AU425" s="144"/>
      <c r="AV425" s="144"/>
      <c r="BB425" s="6"/>
      <c r="BF425" s="113">
        <f>BF415</f>
        <v>0.05</v>
      </c>
      <c r="BG425" s="136">
        <f>BG422*$BF425</f>
        <v>0</v>
      </c>
      <c r="BH425" s="136">
        <f>BH422*$BF425</f>
        <v>0</v>
      </c>
      <c r="BI425" s="136">
        <f>BI422*$BF425</f>
        <v>0</v>
      </c>
      <c r="BJ425" s="136">
        <f>BJ422*$BF425</f>
        <v>0</v>
      </c>
    </row>
    <row r="426" spans="1:62" ht="15" customHeight="1" thickBot="1" x14ac:dyDescent="0.3">
      <c r="A426" s="117"/>
      <c r="B426" s="163">
        <v>5</v>
      </c>
      <c r="C426" s="146"/>
      <c r="D426" s="147" t="str">
        <f>CONCATENATE(AK426,AL426)</f>
        <v>0 hours</v>
      </c>
      <c r="E426" s="132"/>
      <c r="F426" s="1"/>
      <c r="AD426" s="149">
        <f>IF(B420=B$1896,G$1896,AC425)</f>
        <v>0</v>
      </c>
      <c r="AE426" s="150">
        <f>IF(B420=B$1897,G$1897,AD425)</f>
        <v>0</v>
      </c>
      <c r="AF426" s="151">
        <f>IF(B420=B$1898,G$1898,AE425)</f>
        <v>0</v>
      </c>
      <c r="AG426" s="152">
        <f>IF(B420=B$1899,G$1899,AF425)</f>
        <v>0</v>
      </c>
      <c r="AH426" s="9"/>
      <c r="AI426" s="153">
        <f>MAX(AD426:AG426)</f>
        <v>0</v>
      </c>
      <c r="AJ426" s="6">
        <f>LEN(B420)</f>
        <v>0</v>
      </c>
      <c r="AK426" s="154">
        <f>IF(B426="",$AC$297,B426*AI426)</f>
        <v>0</v>
      </c>
      <c r="AL426" s="6" t="s">
        <v>271</v>
      </c>
      <c r="AN426" s="6">
        <f>B426*AI426</f>
        <v>0</v>
      </c>
      <c r="AP426" s="155" t="str">
        <f>IF($C426=$D$1896,AP$297,"")</f>
        <v/>
      </c>
      <c r="AQ426" s="156" t="str">
        <f>IF($C426=$D$1897,AQ$297,"")</f>
        <v/>
      </c>
      <c r="AR426" s="157" t="str">
        <f>IF($C426=$D$1898,AR$297,"")</f>
        <v/>
      </c>
      <c r="AS426" s="158" t="str">
        <f>IF($C426=$D$1899,AS$297,"")</f>
        <v/>
      </c>
      <c r="AT426" s="159" t="str">
        <f>IF($C426=$D$1900,AT$297,"")</f>
        <v/>
      </c>
      <c r="AU426" s="160">
        <f>MAX(AP426:AS426)</f>
        <v>0</v>
      </c>
      <c r="AV426" s="154"/>
      <c r="AX426" s="112">
        <f>IF(AK426=$AC$297,0,AK426)</f>
        <v>0</v>
      </c>
      <c r="BB426" s="6"/>
      <c r="BG426" s="161">
        <f>BG422*0.95</f>
        <v>0</v>
      </c>
      <c r="BH426" s="161">
        <f>BH422*0.95</f>
        <v>0</v>
      </c>
      <c r="BI426" s="161">
        <f>BI422*0.95</f>
        <v>0</v>
      </c>
      <c r="BJ426" s="161">
        <f>BJ422*0.95</f>
        <v>0</v>
      </c>
    </row>
    <row r="427" spans="1:62" ht="14.4" customHeight="1" thickTop="1" x14ac:dyDescent="0.25">
      <c r="A427" s="117"/>
      <c r="B427" s="117"/>
      <c r="C427" s="117"/>
      <c r="D427" s="117"/>
      <c r="E427" s="132"/>
      <c r="F427" s="1"/>
    </row>
    <row r="428" spans="1:62" ht="19.95" customHeight="1" x14ac:dyDescent="0.25">
      <c r="A428" s="114">
        <f>A418+1</f>
        <v>14</v>
      </c>
      <c r="B428" s="114" t="s">
        <v>294</v>
      </c>
      <c r="C428" s="114"/>
      <c r="D428" s="115">
        <f>IF(AN430&gt;0,AN430,0)</f>
        <v>0</v>
      </c>
      <c r="E428" s="132"/>
      <c r="F428" s="1"/>
    </row>
    <row r="429" spans="1:62" ht="18" customHeight="1" x14ac:dyDescent="0.25">
      <c r="A429" s="114"/>
      <c r="B429" s="563" t="s">
        <v>295</v>
      </c>
      <c r="C429" s="563"/>
      <c r="D429" s="563"/>
      <c r="E429" s="132"/>
      <c r="F429" s="1"/>
      <c r="AC429" s="121">
        <v>1</v>
      </c>
      <c r="AD429" s="122">
        <f>AC429-($AC429/5)</f>
        <v>0.8</v>
      </c>
      <c r="AE429" s="123">
        <f>AD429-($AC429/5)</f>
        <v>0.60000000000000009</v>
      </c>
      <c r="AF429" s="124">
        <f>AE429-($AC429/5)</f>
        <v>0.40000000000000008</v>
      </c>
      <c r="AG429" s="125">
        <f>AF429-($AC429/5)</f>
        <v>0.20000000000000007</v>
      </c>
      <c r="AH429" s="126">
        <f>AG429-($AC429/5)</f>
        <v>0</v>
      </c>
      <c r="AI429" s="120"/>
      <c r="AP429" s="120"/>
      <c r="AQ429" s="120"/>
      <c r="AR429" s="120"/>
      <c r="AS429" s="120"/>
      <c r="AT429" s="120"/>
      <c r="AU429" s="120"/>
      <c r="AV429" s="120"/>
      <c r="AW429" s="120"/>
      <c r="AX429" s="120"/>
      <c r="AY429" s="120"/>
      <c r="AZ429" s="120"/>
      <c r="BA429" s="120"/>
      <c r="BB429" s="127" t="s">
        <v>260</v>
      </c>
      <c r="BD429" s="127" t="s">
        <v>261</v>
      </c>
      <c r="BE429" s="120"/>
      <c r="BF429" s="120"/>
      <c r="BG429" s="128" t="s">
        <v>262</v>
      </c>
      <c r="BH429" s="129"/>
      <c r="BI429" s="130" t="s">
        <v>263</v>
      </c>
      <c r="BJ429" s="131"/>
    </row>
    <row r="430" spans="1:62" ht="14.4" x14ac:dyDescent="0.3">
      <c r="A430" s="117"/>
      <c r="B430" s="564"/>
      <c r="C430" s="564"/>
      <c r="D430" s="564"/>
      <c r="E430" s="132"/>
      <c r="F430" s="1"/>
      <c r="AC430" s="112">
        <f t="shared" ref="AC430:AH430" si="16">IF($B430=AC$1896,AC429,0)</f>
        <v>0</v>
      </c>
      <c r="AD430" s="112">
        <f t="shared" si="16"/>
        <v>0</v>
      </c>
      <c r="AE430" s="112">
        <f t="shared" si="16"/>
        <v>0</v>
      </c>
      <c r="AF430" s="112">
        <f t="shared" si="16"/>
        <v>0</v>
      </c>
      <c r="AG430" s="112">
        <f t="shared" si="16"/>
        <v>0</v>
      </c>
      <c r="AH430" s="112">
        <f t="shared" si="16"/>
        <v>0</v>
      </c>
      <c r="AI430" s="164">
        <f>SUM(AC430:AH430)</f>
        <v>0</v>
      </c>
      <c r="AK430" s="550" t="str">
        <f>IF(AI430&gt;0,AI430,"")</f>
        <v/>
      </c>
      <c r="AL430" s="527"/>
      <c r="AN430" s="551">
        <f>(AI430/$AN$297)/2</f>
        <v>0</v>
      </c>
      <c r="AO430" s="552"/>
      <c r="BB430" s="127" t="s">
        <v>265</v>
      </c>
      <c r="BD430" s="127" t="s">
        <v>265</v>
      </c>
      <c r="BG430" s="128" t="s">
        <v>266</v>
      </c>
      <c r="BH430" s="134">
        <f>BH420</f>
        <v>0.1</v>
      </c>
      <c r="BI430" s="130" t="s">
        <v>266</v>
      </c>
      <c r="BJ430" s="135">
        <f>1-BH430</f>
        <v>0.9</v>
      </c>
    </row>
    <row r="431" spans="1:62" ht="14.4" x14ac:dyDescent="0.25">
      <c r="A431" s="117"/>
      <c r="B431" s="565"/>
      <c r="C431" s="565"/>
      <c r="D431" s="565"/>
      <c r="E431" s="132"/>
      <c r="F431" s="1"/>
      <c r="BB431" s="136">
        <f>$AC$1556</f>
        <v>10</v>
      </c>
      <c r="BD431" s="136">
        <f>$AC$1557</f>
        <v>25</v>
      </c>
      <c r="BG431" s="137" t="str">
        <f>BB429</f>
        <v>low</v>
      </c>
      <c r="BH431" s="137" t="str">
        <f>BD429</f>
        <v>high</v>
      </c>
      <c r="BI431" s="137" t="str">
        <f>BB429</f>
        <v>low</v>
      </c>
      <c r="BJ431" s="137" t="str">
        <f>BD429</f>
        <v>high</v>
      </c>
    </row>
    <row r="432" spans="1:62" ht="14.4" customHeight="1" thickBot="1" x14ac:dyDescent="0.3">
      <c r="A432" s="117"/>
      <c r="B432" s="165"/>
      <c r="C432" s="165"/>
      <c r="D432" s="165"/>
      <c r="E432" s="132"/>
      <c r="F432" s="1"/>
      <c r="BB432" s="136">
        <f>IF(AK436=$AC$297,0,(BB431*AK436))</f>
        <v>0</v>
      </c>
      <c r="BD432" s="136">
        <f>IF(AK436=$AC$297,0,(BD431*AK436))</f>
        <v>0</v>
      </c>
      <c r="BG432" s="136">
        <f>BB432*BH430</f>
        <v>0</v>
      </c>
      <c r="BH432" s="136">
        <f>BD432*BH430</f>
        <v>0</v>
      </c>
      <c r="BI432" s="136">
        <f>BB432*BJ430</f>
        <v>0</v>
      </c>
      <c r="BJ432" s="136">
        <f>BD432*BJ430</f>
        <v>0</v>
      </c>
    </row>
    <row r="433" spans="1:62" ht="85.05" customHeight="1" thickTop="1" thickBot="1" x14ac:dyDescent="0.3">
      <c r="A433" s="117"/>
      <c r="B433" s="556"/>
      <c r="C433" s="557"/>
      <c r="D433" s="558"/>
      <c r="E433" s="132"/>
      <c r="F433" s="1"/>
      <c r="BJ433" s="138">
        <f>MIN(BJ432,($D$1330*10))</f>
        <v>0</v>
      </c>
    </row>
    <row r="434" spans="1:62" ht="16.8" customHeight="1" thickTop="1" thickBot="1" x14ac:dyDescent="0.3">
      <c r="A434" s="117"/>
      <c r="B434" s="139" t="str">
        <f>IF(B430="","","SUPPORTER REVIEW: Prepare for Independent Verifier")</f>
        <v/>
      </c>
      <c r="C434" s="117"/>
      <c r="D434" s="117"/>
      <c r="E434" s="132"/>
      <c r="F434" s="1"/>
      <c r="BJ434" s="140"/>
    </row>
    <row r="435" spans="1:62" ht="14.4" thickTop="1" x14ac:dyDescent="0.25">
      <c r="A435" s="117"/>
      <c r="B435" s="141" t="str">
        <f>IF(B430="","","How many pages?")</f>
        <v/>
      </c>
      <c r="C435" s="142" t="str">
        <f>IF(AJ436&gt;30,"check if URL works, report from list below","")</f>
        <v/>
      </c>
      <c r="D435" s="143" t="str">
        <f>IF(B430="","","Estimated time to verify")</f>
        <v/>
      </c>
      <c r="E435" s="132"/>
      <c r="F435" s="1"/>
      <c r="AP435" s="6" t="s">
        <v>269</v>
      </c>
      <c r="AT435" s="144" t="str">
        <f>IF(AND(AJ436&gt;30,B436&gt;0),"ready","not ready")</f>
        <v>not ready</v>
      </c>
      <c r="AU435" s="144"/>
      <c r="AV435" s="144"/>
      <c r="BB435" s="6"/>
      <c r="BF435" s="113">
        <f>BF425</f>
        <v>0.05</v>
      </c>
      <c r="BG435" s="136">
        <f>BG432*$BF435</f>
        <v>0</v>
      </c>
      <c r="BH435" s="136">
        <f>BH432*$BF435</f>
        <v>0</v>
      </c>
      <c r="BI435" s="136">
        <f>BI432*$BF435</f>
        <v>0</v>
      </c>
      <c r="BJ435" s="136">
        <f>BJ432*$BF435</f>
        <v>0</v>
      </c>
    </row>
    <row r="436" spans="1:62" ht="14.4" thickBot="1" x14ac:dyDescent="0.3">
      <c r="A436" s="117"/>
      <c r="B436" s="163"/>
      <c r="C436" s="146"/>
      <c r="D436" s="147" t="str">
        <f>CONCATENATE(AK436,AL436)</f>
        <v>in estimated hours</v>
      </c>
      <c r="E436" s="132"/>
      <c r="F436" s="1"/>
      <c r="AD436" s="149">
        <f>IF(B430=B$1896,G$1896,AC435)</f>
        <v>0</v>
      </c>
      <c r="AE436" s="150">
        <f>IF(B430=B$1897,G$1897,AD435)</f>
        <v>0</v>
      </c>
      <c r="AF436" s="151">
        <f>IF(B430=B$1898,G$1898,AE435)</f>
        <v>0</v>
      </c>
      <c r="AG436" s="152">
        <f>IF(B430=B$1899,G$1899,AF435)</f>
        <v>0</v>
      </c>
      <c r="AH436" s="9"/>
      <c r="AI436" s="153">
        <f>MAX(AD436:AG436)</f>
        <v>0</v>
      </c>
      <c r="AJ436" s="6">
        <f>LEN(B430)</f>
        <v>0</v>
      </c>
      <c r="AK436" s="154" t="str">
        <f>IF(B436="",$AC$297,B436*AI436)</f>
        <v>in estimated</v>
      </c>
      <c r="AL436" s="6" t="s">
        <v>271</v>
      </c>
      <c r="AN436" s="6">
        <f>B436*AI436</f>
        <v>0</v>
      </c>
      <c r="AP436" s="155" t="str">
        <f>IF($C436=$D$1896,AP$297,"")</f>
        <v/>
      </c>
      <c r="AQ436" s="156" t="str">
        <f>IF($C436=$D$1897,AQ$297,"")</f>
        <v/>
      </c>
      <c r="AR436" s="157" t="str">
        <f>IF($C436=$D$1898,AR$297,"")</f>
        <v/>
      </c>
      <c r="AS436" s="158" t="str">
        <f>IF($C436=$D$1899,AS$297,"")</f>
        <v/>
      </c>
      <c r="AT436" s="159" t="str">
        <f>IF($C436=$D$1900,AT$297,"")</f>
        <v/>
      </c>
      <c r="AU436" s="160">
        <f>MAX(AP436:AS436)</f>
        <v>0</v>
      </c>
      <c r="AV436" s="154"/>
      <c r="AX436" s="112">
        <f>IF(AK436=$AC$297,0,AK436)</f>
        <v>0</v>
      </c>
      <c r="BB436" s="6"/>
      <c r="BG436" s="161">
        <f>BG432*0.95</f>
        <v>0</v>
      </c>
      <c r="BH436" s="161">
        <f>BH432*0.95</f>
        <v>0</v>
      </c>
      <c r="BI436" s="161">
        <f>BI432*0.95</f>
        <v>0</v>
      </c>
      <c r="BJ436" s="161">
        <f>BJ432*0.95</f>
        <v>0</v>
      </c>
    </row>
    <row r="437" spans="1:62" ht="14.4" thickTop="1" x14ac:dyDescent="0.25">
      <c r="A437" s="117"/>
      <c r="B437" s="117"/>
      <c r="C437" s="117"/>
      <c r="D437" s="117"/>
      <c r="E437" s="132"/>
      <c r="F437" s="1"/>
    </row>
    <row r="438" spans="1:62" x14ac:dyDescent="0.25">
      <c r="A438" s="117"/>
      <c r="B438" s="117"/>
      <c r="C438" s="117"/>
      <c r="D438" s="117"/>
      <c r="E438" s="132"/>
      <c r="F438" s="1"/>
    </row>
    <row r="439" spans="1:62" ht="25.05" customHeight="1" x14ac:dyDescent="0.25">
      <c r="A439" s="117"/>
      <c r="B439" s="167">
        <f>D298+D308+D318+D328+D338+D348+D358+D368+D378+D388+D398+D408+D418+D428</f>
        <v>0.47142857142857131</v>
      </c>
      <c r="C439" s="168" t="str">
        <f>IF(B439&gt;0,"Baseline score","")</f>
        <v>Baseline score</v>
      </c>
      <c r="D439" s="117"/>
      <c r="E439" s="132"/>
      <c r="F439" s="1"/>
      <c r="BG439" s="169">
        <f>BG302+BG312+BG322+BG332+BG342+BG352++BG362+BG372+BG382+BG392+BG402+BG412+BG422+BG432</f>
        <v>571.6400000000001</v>
      </c>
      <c r="BH439" s="169">
        <f>BH302+BH312+BH322+BH332+BH342+BH352++BH362+BH372+BH382+BH392+BH402+BH412+BH422+BH432</f>
        <v>1429.1000000000004</v>
      </c>
      <c r="BI439" s="169">
        <f>BI302+BI312+BI322+BI332+BI342+BI352++BI362+BI372+BI382+BI392+BI402+BI412+BI422+BI432</f>
        <v>5144.7600000000011</v>
      </c>
      <c r="BJ439" s="169">
        <f>BJ302+BJ312+BJ322+BJ332+BJ342+BJ352++BJ362+BJ372+BJ382+BJ392+BJ402+BJ412+BJ422+BJ432</f>
        <v>12861.900000000001</v>
      </c>
    </row>
    <row r="440" spans="1:62" ht="13.8" customHeight="1" x14ac:dyDescent="0.3">
      <c r="A440" s="117"/>
      <c r="B440" s="117"/>
      <c r="C440" s="117"/>
      <c r="D440" s="117"/>
      <c r="E440" s="132"/>
      <c r="F440" s="1"/>
      <c r="AK440" s="6">
        <f>SUM(AK306:AK436)</f>
        <v>577.24000000000012</v>
      </c>
      <c r="AL440" s="6" t="str">
        <f>AL436</f>
        <v xml:space="preserve"> hours</v>
      </c>
      <c r="AP440" s="6">
        <f>ROUNDUP(AX440,0)</f>
        <v>572</v>
      </c>
      <c r="AX440" s="6">
        <f>AX306+AX316+AX326+AX336+AX346+AX356+AX366+AX376+AX386+AX396+AX406+AX416+AX426+AX436</f>
        <v>571.6400000000001</v>
      </c>
      <c r="BB440" s="566">
        <f>BB302+BB312+BB322+BB332+BB342+BB352+BB362+BB372+BB382+BB392+BB402+BB412+BB422+BB432</f>
        <v>5716.4000000000005</v>
      </c>
      <c r="BC440" s="527"/>
      <c r="BD440" s="566">
        <f>BD302+BD312+BD322+BD332+BD342+BD352+BD362+BD372+BD382+BD392+BD402+BD412+BD422+BD432</f>
        <v>14291</v>
      </c>
      <c r="BE440" s="527"/>
      <c r="BF440" s="171">
        <f>BF435</f>
        <v>0.05</v>
      </c>
      <c r="BG440" s="172">
        <f t="shared" ref="BG440:BJ441" si="17">BG305+BG315++BG325+BG335+BG345+BG355+BG365+BG375+BG385+BG395+BG405+BG415+BG425+BG435</f>
        <v>28.581999999999997</v>
      </c>
      <c r="BH440" s="172">
        <f t="shared" si="17"/>
        <v>71.455000000000027</v>
      </c>
      <c r="BI440" s="172">
        <f t="shared" si="17"/>
        <v>257.238</v>
      </c>
      <c r="BJ440" s="172">
        <f t="shared" si="17"/>
        <v>643.09500000000014</v>
      </c>
    </row>
    <row r="441" spans="1:62" ht="13.8" customHeight="1" x14ac:dyDescent="0.3">
      <c r="A441" s="117"/>
      <c r="B441" s="173" t="s">
        <v>296</v>
      </c>
      <c r="C441" s="174"/>
      <c r="D441" s="174"/>
      <c r="E441" s="132"/>
      <c r="F441" s="1"/>
      <c r="BB441" s="136"/>
      <c r="BC441"/>
      <c r="BD441" s="136"/>
      <c r="BE441"/>
      <c r="BF441" s="175"/>
      <c r="BG441" s="176">
        <f t="shared" si="17"/>
        <v>543.05799999999999</v>
      </c>
      <c r="BH441" s="176">
        <f t="shared" si="17"/>
        <v>1357.645</v>
      </c>
      <c r="BI441" s="176">
        <f t="shared" si="17"/>
        <v>4887.5219999999999</v>
      </c>
      <c r="BJ441" s="176">
        <f>BJ306+BJ316++BJ326+BJ336+BJ346+BJ356+BJ366+BJ376+BJ386+BJ396+BJ406+BJ416+BJ426+BJ436</f>
        <v>12218.804999999998</v>
      </c>
    </row>
    <row r="442" spans="1:62" ht="13.8" customHeight="1" x14ac:dyDescent="0.3">
      <c r="A442" s="117"/>
      <c r="B442" s="117"/>
      <c r="C442" s="117"/>
      <c r="D442" s="117"/>
      <c r="E442" s="132"/>
      <c r="F442" s="1"/>
      <c r="BB442" s="136"/>
      <c r="BC442"/>
      <c r="BD442" s="136"/>
      <c r="BE442"/>
    </row>
    <row r="443" spans="1:62" ht="13.8" customHeight="1" x14ac:dyDescent="0.3">
      <c r="A443" s="117"/>
      <c r="B443" s="177" t="s">
        <v>297</v>
      </c>
      <c r="C443" s="117"/>
      <c r="D443" s="117"/>
      <c r="E443" s="132"/>
      <c r="F443" s="1"/>
      <c r="AI443" s="6">
        <v>2</v>
      </c>
      <c r="AJ443" s="6">
        <f>AI443+2</f>
        <v>4</v>
      </c>
      <c r="AK443" s="6" t="s">
        <v>298</v>
      </c>
      <c r="BB443" s="136"/>
      <c r="BC443"/>
      <c r="BD443" s="136"/>
      <c r="BE443"/>
    </row>
    <row r="444" spans="1:62" s="181" customFormat="1" ht="19.95" customHeight="1" thickBot="1" x14ac:dyDescent="0.3">
      <c r="A444" s="177"/>
      <c r="B444" s="178" t="str">
        <f>IF(AND(AD459&gt;=AI443,AD459&lt;AJ443),AK443,IF(AND(AD459&gt;=AI444,AD459&lt;AJ444),AK444,IF(AND(AD459&gt;=AI445,AD459&lt;AJ445),AK445,AK443)))</f>
        <v>Contact us if you need any help with this process. Let's see what we can do.</v>
      </c>
      <c r="C444" s="177"/>
      <c r="D444" s="177"/>
      <c r="E444" s="179"/>
      <c r="F444" s="1"/>
      <c r="G444" s="180"/>
      <c r="H444" s="180"/>
      <c r="I444" s="180"/>
      <c r="J444" s="180"/>
      <c r="K444" s="180"/>
      <c r="L444" s="180"/>
      <c r="M444" s="180"/>
      <c r="N444" s="180"/>
      <c r="O444" s="180"/>
      <c r="P444" s="180"/>
      <c r="Q444" s="180"/>
      <c r="R444" s="180"/>
      <c r="S444" s="180"/>
      <c r="T444" s="180"/>
      <c r="U444" s="180"/>
      <c r="V444" s="180"/>
      <c r="W444" s="180"/>
      <c r="X444" s="180"/>
      <c r="Y444" s="180"/>
      <c r="Z444" s="180"/>
      <c r="AI444" s="181">
        <f>AJ443</f>
        <v>4</v>
      </c>
      <c r="AJ444" s="6">
        <f>AI444+5</f>
        <v>9</v>
      </c>
      <c r="AK444" s="6" t="s">
        <v>299</v>
      </c>
      <c r="BB444" s="182"/>
      <c r="BD444" s="182"/>
    </row>
    <row r="445" spans="1:62" ht="13.8" customHeight="1" thickTop="1" thickBot="1" x14ac:dyDescent="0.35">
      <c r="A445" s="117"/>
      <c r="B445" s="183" t="s">
        <v>300</v>
      </c>
      <c r="C445" s="184" t="s">
        <v>301</v>
      </c>
      <c r="D445" s="118"/>
      <c r="E445" s="132"/>
      <c r="F445" s="1"/>
      <c r="AD445" s="60">
        <f>SUM(AE445:AG445)</f>
        <v>1</v>
      </c>
      <c r="AE445" s="6">
        <f>IF(B445=AK457,1,0)</f>
        <v>1</v>
      </c>
      <c r="AF445" s="6">
        <f>IF(B445=AK458,2,0)</f>
        <v>0</v>
      </c>
      <c r="AG445" s="6">
        <f>IF(B445=AK459,3,0)</f>
        <v>0</v>
      </c>
      <c r="AI445" s="181">
        <f>AJ444</f>
        <v>9</v>
      </c>
      <c r="AJ445" s="6">
        <f>AI445+3</f>
        <v>12</v>
      </c>
      <c r="AK445" s="6" t="s">
        <v>302</v>
      </c>
      <c r="BB445" s="136"/>
      <c r="BC445"/>
      <c r="BD445" s="136"/>
      <c r="BE445"/>
    </row>
    <row r="446" spans="1:62" ht="4.95" customHeight="1" thickTop="1" thickBot="1" x14ac:dyDescent="0.35">
      <c r="A446" s="118"/>
      <c r="B446" s="118"/>
      <c r="C446" s="184"/>
      <c r="D446" s="118"/>
      <c r="E446" s="132"/>
      <c r="F446" s="1"/>
      <c r="BB446" s="136"/>
      <c r="BC446"/>
      <c r="BD446" s="136"/>
      <c r="BE446"/>
    </row>
    <row r="447" spans="1:62" ht="13.8" customHeight="1" thickTop="1" thickBot="1" x14ac:dyDescent="0.35">
      <c r="A447" s="117"/>
      <c r="B447" s="183" t="s">
        <v>303</v>
      </c>
      <c r="C447" s="184" t="s">
        <v>304</v>
      </c>
      <c r="D447" s="118"/>
      <c r="E447" s="132"/>
      <c r="F447" s="1"/>
      <c r="AD447" s="60">
        <f>SUM(AE447:AG447)</f>
        <v>3</v>
      </c>
      <c r="AE447" s="6">
        <f>IF(B447=AK457,1,0)</f>
        <v>0</v>
      </c>
      <c r="AF447" s="6">
        <f>IF(B447=AK458,2,0)</f>
        <v>0</v>
      </c>
      <c r="AG447" s="6">
        <f>IF(B447=AK459,3,0)</f>
        <v>3</v>
      </c>
      <c r="BB447" s="136"/>
      <c r="BC447"/>
      <c r="BD447" s="136"/>
      <c r="BE447"/>
    </row>
    <row r="448" spans="1:62" ht="4.95" customHeight="1" thickTop="1" thickBot="1" x14ac:dyDescent="0.35">
      <c r="A448" s="118"/>
      <c r="B448" s="118"/>
      <c r="C448" s="184"/>
      <c r="D448" s="118"/>
      <c r="E448" s="132"/>
      <c r="F448" s="1"/>
      <c r="BB448" s="136"/>
      <c r="BC448"/>
      <c r="BD448" s="136"/>
      <c r="BE448"/>
    </row>
    <row r="449" spans="1:60" ht="13.8" hidden="1" customHeight="1" thickTop="1" thickBot="1" x14ac:dyDescent="0.35">
      <c r="A449" s="117"/>
      <c r="B449" s="185"/>
      <c r="C449" s="184"/>
      <c r="D449" s="118"/>
      <c r="E449" s="132"/>
      <c r="F449" s="1"/>
      <c r="AD449" s="60">
        <f>SUM(AE449:AG449)</f>
        <v>6</v>
      </c>
      <c r="AE449" s="6">
        <f>IF(B449=AK461,1,0)</f>
        <v>1</v>
      </c>
      <c r="AF449" s="6">
        <f>IF(B449=AK462,2,0)</f>
        <v>2</v>
      </c>
      <c r="AG449" s="6">
        <f>IF(B449=AK463,3,0)</f>
        <v>3</v>
      </c>
      <c r="BB449" s="136"/>
      <c r="BC449"/>
      <c r="BD449" s="136"/>
      <c r="BE449"/>
    </row>
    <row r="450" spans="1:60" ht="4.95" hidden="1" customHeight="1" thickTop="1" thickBot="1" x14ac:dyDescent="0.35">
      <c r="A450" s="118"/>
      <c r="B450" s="118"/>
      <c r="C450" s="184"/>
      <c r="D450" s="118"/>
      <c r="E450" s="132"/>
      <c r="F450" s="1"/>
      <c r="BB450" s="136"/>
      <c r="BC450"/>
      <c r="BD450" s="136"/>
      <c r="BE450"/>
    </row>
    <row r="451" spans="1:60" ht="13.8" hidden="1" customHeight="1" thickTop="1" thickBot="1" x14ac:dyDescent="0.35">
      <c r="A451" s="117"/>
      <c r="B451" s="185"/>
      <c r="C451" s="184"/>
      <c r="D451" s="118"/>
      <c r="E451" s="132"/>
      <c r="F451" s="1"/>
      <c r="AD451" s="60">
        <f>SUM(AE451:AG451)</f>
        <v>6</v>
      </c>
      <c r="AE451" s="6">
        <f>IF(B451=AK463,1,0)</f>
        <v>1</v>
      </c>
      <c r="AF451" s="6">
        <f>IF(B451=AK464,2,0)</f>
        <v>2</v>
      </c>
      <c r="AG451" s="6">
        <f>IF(B451=AK465,3,0)</f>
        <v>3</v>
      </c>
      <c r="BB451" s="136"/>
      <c r="BC451"/>
      <c r="BD451" s="136"/>
      <c r="BE451"/>
    </row>
    <row r="452" spans="1:60" ht="4.95" hidden="1" customHeight="1" thickTop="1" thickBot="1" x14ac:dyDescent="0.35">
      <c r="A452" s="118"/>
      <c r="B452" s="118"/>
      <c r="C452" s="184"/>
      <c r="D452" s="118"/>
      <c r="E452" s="132"/>
      <c r="F452" s="1"/>
      <c r="BB452" s="136"/>
      <c r="BC452"/>
      <c r="BD452" s="136"/>
      <c r="BE452"/>
    </row>
    <row r="453" spans="1:60" ht="13.8" hidden="1" customHeight="1" thickTop="1" thickBot="1" x14ac:dyDescent="0.35">
      <c r="A453" s="117"/>
      <c r="B453" s="185"/>
      <c r="C453" s="184"/>
      <c r="D453" s="118"/>
      <c r="E453" s="132"/>
      <c r="F453" s="1"/>
      <c r="AD453" s="60">
        <f>SUM(AE453:AG453)</f>
        <v>6</v>
      </c>
      <c r="AE453" s="6">
        <f>IF(B453=AK465,1,0)</f>
        <v>1</v>
      </c>
      <c r="AF453" s="6">
        <f>IF(B453=AK466,2,0)</f>
        <v>2</v>
      </c>
      <c r="AG453" s="6">
        <f>IF(B453=AK467,3,0)</f>
        <v>3</v>
      </c>
      <c r="BB453" s="136"/>
      <c r="BC453"/>
      <c r="BD453" s="136"/>
      <c r="BE453"/>
    </row>
    <row r="454" spans="1:60" ht="4.95" hidden="1" customHeight="1" thickTop="1" thickBot="1" x14ac:dyDescent="0.35">
      <c r="A454" s="118"/>
      <c r="B454" s="118"/>
      <c r="C454" s="184"/>
      <c r="D454" s="118"/>
      <c r="E454" s="132"/>
      <c r="F454" s="1"/>
      <c r="BB454" s="136"/>
      <c r="BC454"/>
      <c r="BD454" s="136"/>
      <c r="BE454"/>
    </row>
    <row r="455" spans="1:60" ht="13.8" hidden="1" customHeight="1" thickTop="1" thickBot="1" x14ac:dyDescent="0.35">
      <c r="A455" s="117"/>
      <c r="B455" s="185"/>
      <c r="C455" s="184"/>
      <c r="D455" s="118"/>
      <c r="E455" s="132"/>
      <c r="F455" s="1"/>
      <c r="AD455" s="60">
        <f>SUM(AE455:AG455)</f>
        <v>6</v>
      </c>
      <c r="AE455" s="6">
        <f>IF(B455=AK467,1,0)</f>
        <v>1</v>
      </c>
      <c r="AF455" s="6">
        <f>IF(B455=AK468,2,0)</f>
        <v>2</v>
      </c>
      <c r="AG455" s="6">
        <f>IF(B455=AK469,3,0)</f>
        <v>3</v>
      </c>
      <c r="BB455" s="136"/>
      <c r="BC455"/>
      <c r="BD455" s="136"/>
      <c r="BE455"/>
    </row>
    <row r="456" spans="1:60" ht="4.95" hidden="1" customHeight="1" thickTop="1" thickBot="1" x14ac:dyDescent="0.35">
      <c r="A456" s="118"/>
      <c r="B456" s="118"/>
      <c r="C456" s="184"/>
      <c r="D456" s="118"/>
      <c r="E456" s="132"/>
      <c r="F456" s="1"/>
      <c r="BB456" s="136"/>
      <c r="BC456"/>
      <c r="BD456" s="136"/>
      <c r="BE456"/>
    </row>
    <row r="457" spans="1:60" ht="13.8" customHeight="1" thickTop="1" thickBot="1" x14ac:dyDescent="0.35">
      <c r="A457" s="117"/>
      <c r="B457" s="183" t="s">
        <v>305</v>
      </c>
      <c r="C457" s="184" t="s">
        <v>306</v>
      </c>
      <c r="D457" s="118"/>
      <c r="E457" s="132"/>
      <c r="F457" s="1"/>
      <c r="AD457" s="60">
        <f>SUM(AE457:AG457)</f>
        <v>2</v>
      </c>
      <c r="AE457" s="6">
        <f>IF(B457=AK457,1,0)</f>
        <v>0</v>
      </c>
      <c r="AF457" s="6">
        <f>IF(B457=AK458,2,0)</f>
        <v>2</v>
      </c>
      <c r="AG457" s="6">
        <f>IF(B457=AK459,3,0)</f>
        <v>0</v>
      </c>
      <c r="AK457" s="6" t="s">
        <v>300</v>
      </c>
      <c r="BB457" s="136"/>
      <c r="BC457"/>
      <c r="BD457" s="136"/>
      <c r="BE457"/>
    </row>
    <row r="458" spans="1:60" ht="4.95" customHeight="1" thickTop="1" x14ac:dyDescent="0.3">
      <c r="A458" s="117"/>
      <c r="B458" s="117"/>
      <c r="C458" s="117"/>
      <c r="D458" s="118"/>
      <c r="E458" s="132"/>
      <c r="F458" s="1"/>
      <c r="AK458" s="6" t="s">
        <v>305</v>
      </c>
      <c r="BB458" s="136"/>
      <c r="BC458"/>
      <c r="BD458" s="136"/>
      <c r="BE458"/>
    </row>
    <row r="459" spans="1:60" ht="13.8" customHeight="1" x14ac:dyDescent="0.3">
      <c r="A459" s="117"/>
      <c r="B459" s="186" t="s">
        <v>307</v>
      </c>
      <c r="C459" s="118"/>
      <c r="D459" s="118"/>
      <c r="E459" s="132"/>
      <c r="F459" s="1"/>
      <c r="AD459" s="187">
        <f>AD445+AD447+AD457</f>
        <v>6</v>
      </c>
      <c r="AK459" s="6" t="s">
        <v>303</v>
      </c>
      <c r="BB459" s="136"/>
      <c r="BC459"/>
      <c r="BD459" s="136"/>
      <c r="BE459"/>
    </row>
    <row r="460" spans="1:60" ht="13.8" customHeight="1" x14ac:dyDescent="0.3">
      <c r="A460" s="117"/>
      <c r="B460" s="186" t="s">
        <v>308</v>
      </c>
      <c r="C460" s="117"/>
      <c r="D460" s="117"/>
      <c r="E460" s="132"/>
      <c r="F460" s="1"/>
      <c r="BB460" s="136"/>
      <c r="BC460"/>
      <c r="BD460" s="136"/>
      <c r="BE460"/>
    </row>
    <row r="461" spans="1:60" ht="13.95" customHeight="1" x14ac:dyDescent="0.25">
      <c r="A461" s="117"/>
      <c r="B461" s="117"/>
      <c r="C461" s="117"/>
      <c r="D461" s="117"/>
      <c r="E461" s="132"/>
      <c r="F461" s="1"/>
    </row>
    <row r="462" spans="1:60" ht="30" customHeight="1" x14ac:dyDescent="0.25">
      <c r="A462" s="188" t="s">
        <v>73</v>
      </c>
      <c r="B462" s="46" t="s">
        <v>309</v>
      </c>
      <c r="C462" s="46"/>
      <c r="D462" s="46"/>
      <c r="E462" s="46"/>
      <c r="F462" s="475" t="s">
        <v>949</v>
      </c>
    </row>
    <row r="463" spans="1:60" s="120" customFormat="1" ht="19.95" customHeight="1" x14ac:dyDescent="0.25">
      <c r="A463" s="108" t="s">
        <v>310</v>
      </c>
      <c r="B463" s="109"/>
      <c r="C463" s="109"/>
      <c r="D463" s="109"/>
      <c r="E463" s="189"/>
      <c r="F463" s="108"/>
      <c r="G463" s="119"/>
      <c r="H463" s="119"/>
      <c r="I463" s="119"/>
      <c r="J463" s="119"/>
      <c r="K463" s="119"/>
      <c r="L463" s="119"/>
      <c r="M463" s="119"/>
      <c r="N463" s="119"/>
      <c r="O463" s="119"/>
      <c r="P463" s="119"/>
      <c r="Q463" s="119"/>
      <c r="R463" s="119"/>
      <c r="S463" s="119"/>
      <c r="T463" s="119"/>
      <c r="U463" s="119"/>
      <c r="V463" s="119"/>
      <c r="W463" s="119"/>
      <c r="X463" s="119"/>
      <c r="Y463" s="119"/>
      <c r="Z463" s="119"/>
      <c r="AA463" s="6"/>
      <c r="AB463" s="190">
        <v>0</v>
      </c>
      <c r="AC463" s="191">
        <f>AD463/2</f>
        <v>1.25</v>
      </c>
      <c r="AD463" s="192">
        <f>AE463/2</f>
        <v>2.5</v>
      </c>
      <c r="AE463" s="193">
        <v>5</v>
      </c>
      <c r="AN463" s="194">
        <f>AE463*-2</f>
        <v>-10</v>
      </c>
      <c r="AO463" s="190">
        <f>AE463*-1</f>
        <v>-5</v>
      </c>
      <c r="AP463" s="190">
        <f>AD463*-1</f>
        <v>-2.5</v>
      </c>
      <c r="AQ463" s="195">
        <f>AE463*-0.1</f>
        <v>-0.5</v>
      </c>
      <c r="AR463" s="195">
        <v>0</v>
      </c>
      <c r="AS463" s="195">
        <f>AE463*0.1</f>
        <v>0.5</v>
      </c>
      <c r="AT463" s="192">
        <f>AD463</f>
        <v>2.5</v>
      </c>
      <c r="AU463" s="193">
        <f>AE463</f>
        <v>5</v>
      </c>
      <c r="AV463" s="196"/>
      <c r="BB463" s="197"/>
      <c r="BG463" s="198">
        <f>B439</f>
        <v>0.47142857142857131</v>
      </c>
      <c r="BH463" s="199"/>
    </row>
    <row r="464" spans="1:60" ht="19.95" customHeight="1" x14ac:dyDescent="0.25">
      <c r="A464" s="200">
        <f>A428+1</f>
        <v>15</v>
      </c>
      <c r="B464" s="200" t="s">
        <v>311</v>
      </c>
      <c r="C464" s="200"/>
      <c r="D464" s="201" t="str">
        <f>IF(B466="","If claimed, explain in white box below.","")</f>
        <v>If claimed, explain in white box below.</v>
      </c>
      <c r="E464" s="200"/>
      <c r="F464" s="1"/>
    </row>
    <row r="465" spans="1:62" ht="30" customHeight="1" x14ac:dyDescent="0.25">
      <c r="A465" s="202"/>
      <c r="B465" s="567" t="s">
        <v>312</v>
      </c>
      <c r="C465" s="568"/>
      <c r="D465" s="569"/>
      <c r="E465" s="203"/>
      <c r="F465" s="1"/>
    </row>
    <row r="466" spans="1:62" ht="220.05" customHeight="1" thickBot="1" x14ac:dyDescent="0.3">
      <c r="A466" s="202"/>
      <c r="B466" s="570"/>
      <c r="C466" s="571"/>
      <c r="D466" s="572"/>
      <c r="E466" s="203"/>
      <c r="F466" s="1"/>
      <c r="BG466" s="60" t="s">
        <v>313</v>
      </c>
    </row>
    <row r="467" spans="1:62" ht="15" customHeight="1" thickTop="1" thickBot="1" x14ac:dyDescent="0.3">
      <c r="A467" s="202"/>
      <c r="B467" s="204" t="str">
        <f>IF(B466="","","Claimed?")</f>
        <v/>
      </c>
      <c r="C467" s="204" t="str">
        <f>IF(B467="","","Verifiable?")</f>
        <v/>
      </c>
      <c r="D467" s="205" t="str">
        <f>IF(C468="","","Independent verification")</f>
        <v/>
      </c>
      <c r="E467" s="573">
        <f>BI468</f>
        <v>0.47142857142857131</v>
      </c>
      <c r="F467" s="574"/>
      <c r="AA467" s="60"/>
      <c r="AB467" s="60" t="s">
        <v>314</v>
      </c>
      <c r="AF467" s="164"/>
      <c r="AG467" s="60" t="s">
        <v>315</v>
      </c>
      <c r="AM467" s="164"/>
      <c r="AN467" s="60" t="s">
        <v>316</v>
      </c>
      <c r="AV467" s="206"/>
      <c r="AX467" s="207" t="s">
        <v>317</v>
      </c>
      <c r="AZ467" s="208" t="s">
        <v>318</v>
      </c>
      <c r="BB467" s="209" t="s">
        <v>319</v>
      </c>
      <c r="BD467" s="208" t="s">
        <v>320</v>
      </c>
      <c r="BG467" s="210" t="s">
        <v>317</v>
      </c>
      <c r="BH467" s="211" t="s">
        <v>318</v>
      </c>
      <c r="BI467" s="210" t="s">
        <v>321</v>
      </c>
      <c r="BJ467" s="211" t="s">
        <v>322</v>
      </c>
    </row>
    <row r="468" spans="1:62" ht="13.8" customHeight="1" thickTop="1" thickBot="1" x14ac:dyDescent="0.3">
      <c r="A468" s="202"/>
      <c r="B468" s="212" t="s">
        <v>323</v>
      </c>
      <c r="C468" s="213"/>
      <c r="D468" s="214"/>
      <c r="E468" s="573">
        <f>BJ468</f>
        <v>0.47142857142857131</v>
      </c>
      <c r="F468" s="574"/>
      <c r="AA468" s="112"/>
      <c r="AB468" s="112">
        <f>IF(B468=$B$1871,$AB$463,0)</f>
        <v>0</v>
      </c>
      <c r="AC468" s="112">
        <f>IF(B468=$B$1872,$AC$463,0)</f>
        <v>0</v>
      </c>
      <c r="AD468" s="112">
        <f>IF(B468=$B$1873,$AD$463,0)</f>
        <v>0</v>
      </c>
      <c r="AE468" s="112">
        <f>IF(B468=$B$1874,$AE$463,0)</f>
        <v>0</v>
      </c>
      <c r="AF468" s="133">
        <f>SUM(AB468:AE468)</f>
        <v>0</v>
      </c>
      <c r="AG468" s="112">
        <f>IF(C468=$B$1877,$E$1877,0)</f>
        <v>0</v>
      </c>
      <c r="AH468" s="112">
        <f>IF(C468=$B$1878,$E$1878,0)</f>
        <v>0</v>
      </c>
      <c r="AI468" s="112">
        <f>IF(C468=$B$1879,$E$1879,0)</f>
        <v>0</v>
      </c>
      <c r="AJ468" s="112">
        <f>IF(C468=$B$1880,$E$1880,0)</f>
        <v>0</v>
      </c>
      <c r="AK468" s="112">
        <f>IF(C468=$B$1881,$E$1881,0)</f>
        <v>0</v>
      </c>
      <c r="AL468" s="112">
        <f>IF(C468=$B$1882,$E$1882,0)</f>
        <v>0</v>
      </c>
      <c r="AM468" s="133">
        <f>SUM(AG468:AL468)</f>
        <v>0</v>
      </c>
      <c r="AN468" s="112">
        <f>IF($D468=$B$1885,AN$463,0)</f>
        <v>0</v>
      </c>
      <c r="AO468" s="112">
        <f>IF($D468=$B$1886,AO$463,0)</f>
        <v>0</v>
      </c>
      <c r="AP468" s="112">
        <f>IF($D468=$B$1887,AP$463,0)</f>
        <v>0</v>
      </c>
      <c r="AQ468" s="112">
        <f>IF($D468=$B$1888,AQ$463,0)</f>
        <v>0</v>
      </c>
      <c r="AR468" s="112">
        <f>IF($D468=$B$1889,AR$463,0)</f>
        <v>0</v>
      </c>
      <c r="AS468" s="112">
        <f>IF($D468=$B$1890,AS$463,0)</f>
        <v>0</v>
      </c>
      <c r="AT468" s="112">
        <f>IF($D468=$B$1891,AT$463,0)</f>
        <v>0</v>
      </c>
      <c r="AU468" s="112">
        <f>IF($D468=$B$1892,AU$463,0)</f>
        <v>0</v>
      </c>
      <c r="AV468" s="215">
        <f>SUM(AN468:AU468)</f>
        <v>0</v>
      </c>
      <c r="AX468" s="216">
        <f>AF468*AM468</f>
        <v>0</v>
      </c>
      <c r="AZ468" s="158">
        <f>AX468+(AV468*AM468)</f>
        <v>0</v>
      </c>
      <c r="BB468" s="217">
        <f>(AF468*AM468)*0.01</f>
        <v>0</v>
      </c>
      <c r="BD468" s="218">
        <f>AZ468*0.01</f>
        <v>0</v>
      </c>
      <c r="BE468" s="199"/>
      <c r="BG468" s="217">
        <f>IF(AF468&gt;0,BG463+BB468,BG463)</f>
        <v>0.47142857142857131</v>
      </c>
      <c r="BH468" s="218">
        <f>IF(AV468&gt;0,BG463+BD468,BG463)</f>
        <v>0.47142857142857131</v>
      </c>
      <c r="BI468" s="217">
        <f>IF(BG468&gt;0.99,0.99,BG468)</f>
        <v>0.47142857142857131</v>
      </c>
      <c r="BJ468" s="218">
        <f>IF(BH468&gt;0.99,0.99,BH468)</f>
        <v>0.47142857142857131</v>
      </c>
    </row>
    <row r="469" spans="1:62" ht="19.95" customHeight="1" thickTop="1" x14ac:dyDescent="0.25">
      <c r="A469" s="200">
        <f>A464+1</f>
        <v>16</v>
      </c>
      <c r="B469" s="200" t="s">
        <v>324</v>
      </c>
      <c r="C469" s="200"/>
      <c r="D469" s="201" t="str">
        <f>IF(B471="","If claimed, explain in white box below.","")</f>
        <v>If claimed, explain in white box below.</v>
      </c>
      <c r="E469" s="203"/>
      <c r="F469" s="1"/>
      <c r="AZ469" s="219">
        <f>IF(AV468=0,0,(AX468+(AV468*AM468)))</f>
        <v>0</v>
      </c>
    </row>
    <row r="470" spans="1:62" ht="45" customHeight="1" x14ac:dyDescent="0.25">
      <c r="A470" s="202"/>
      <c r="B470" s="567" t="s">
        <v>325</v>
      </c>
      <c r="C470" s="568"/>
      <c r="D470" s="569"/>
      <c r="E470" s="203"/>
      <c r="F470" s="1"/>
    </row>
    <row r="471" spans="1:62" ht="220.05" customHeight="1" thickBot="1" x14ac:dyDescent="0.3">
      <c r="A471" s="202"/>
      <c r="B471" s="570"/>
      <c r="C471" s="571"/>
      <c r="D471" s="572"/>
      <c r="E471" s="203"/>
      <c r="F471" s="1"/>
    </row>
    <row r="472" spans="1:62" ht="13.8" customHeight="1" thickTop="1" thickBot="1" x14ac:dyDescent="0.3">
      <c r="A472" s="202"/>
      <c r="B472" s="204" t="str">
        <f>IF(B471="","","Claimed?")</f>
        <v/>
      </c>
      <c r="C472" s="204" t="str">
        <f>IF(B472="","","Verifiable?")</f>
        <v/>
      </c>
      <c r="D472" s="205" t="str">
        <f>IF(C473="","","Independent verification")</f>
        <v/>
      </c>
      <c r="E472" s="573">
        <f>BI473</f>
        <v>0.47142857142857131</v>
      </c>
      <c r="F472" s="574"/>
      <c r="AA472" s="60"/>
      <c r="AB472" s="60" t="s">
        <v>314</v>
      </c>
      <c r="AF472" s="220"/>
      <c r="AG472" s="60" t="s">
        <v>315</v>
      </c>
      <c r="AM472" s="221"/>
      <c r="AN472" s="60" t="s">
        <v>316</v>
      </c>
      <c r="AV472" s="222"/>
      <c r="AX472" s="207" t="s">
        <v>317</v>
      </c>
      <c r="AZ472" s="208" t="s">
        <v>318</v>
      </c>
      <c r="BB472" s="209" t="s">
        <v>319</v>
      </c>
      <c r="BD472" s="208" t="s">
        <v>320</v>
      </c>
      <c r="BG472" s="210" t="s">
        <v>326</v>
      </c>
      <c r="BH472" s="211" t="s">
        <v>327</v>
      </c>
      <c r="BI472" s="210" t="s">
        <v>321</v>
      </c>
      <c r="BJ472" s="211" t="s">
        <v>322</v>
      </c>
    </row>
    <row r="473" spans="1:62" ht="15" thickTop="1" thickBot="1" x14ac:dyDescent="0.3">
      <c r="A473" s="202"/>
      <c r="B473" s="212" t="s">
        <v>323</v>
      </c>
      <c r="C473" s="213"/>
      <c r="D473" s="223"/>
      <c r="E473" s="573">
        <f>BJ473</f>
        <v>0.47142857142857131</v>
      </c>
      <c r="F473" s="574"/>
      <c r="AA473" s="112"/>
      <c r="AB473" s="112">
        <f>IF(B473=$B$1871,$AB$463,0)</f>
        <v>0</v>
      </c>
      <c r="AC473" s="112">
        <f>IF(B473=$B$1872,$AC$463,0)</f>
        <v>0</v>
      </c>
      <c r="AD473" s="112">
        <f>IF(B473=$B$1873,$AD$463,0)</f>
        <v>0</v>
      </c>
      <c r="AE473" s="112">
        <f>IF(B473=$B$1874,$AE$463,0)</f>
        <v>0</v>
      </c>
      <c r="AF473" s="224">
        <f>SUM(AB473:AE473)</f>
        <v>0</v>
      </c>
      <c r="AG473" s="112">
        <f>IF(C473=$B$1877,$E$1877,0)</f>
        <v>0</v>
      </c>
      <c r="AH473" s="112">
        <f>IF(C473=$B$1878,$E$1878,0)</f>
        <v>0</v>
      </c>
      <c r="AI473" s="112">
        <f>IF(C473=$B$1879,$E$1879,0)</f>
        <v>0</v>
      </c>
      <c r="AJ473" s="112">
        <f>IF(C473=$B$1880,$E$1880,0)</f>
        <v>0</v>
      </c>
      <c r="AK473" s="112">
        <f>IF(C473=$B$1881,$E$1881,0)</f>
        <v>0</v>
      </c>
      <c r="AL473" s="112">
        <f>IF(C473=$B$1882,$E$1882,0)</f>
        <v>0</v>
      </c>
      <c r="AM473" s="225">
        <f>SUM(AG473:AL473)</f>
        <v>0</v>
      </c>
      <c r="AN473" s="112">
        <f>IF($D473=$B$1885,AN$463,0)</f>
        <v>0</v>
      </c>
      <c r="AO473" s="112">
        <f>IF($D473=$B$1886,AO$463,0)</f>
        <v>0</v>
      </c>
      <c r="AP473" s="112">
        <f>IF($D473=$B$1887,AP$463,0)</f>
        <v>0</v>
      </c>
      <c r="AQ473" s="112">
        <f>IF($D473=$B$1888,AQ$463,0)</f>
        <v>0</v>
      </c>
      <c r="AR473" s="112">
        <f>IF($D473=$B$1889,AR$463,0)</f>
        <v>0</v>
      </c>
      <c r="AS473" s="112">
        <f>IF($D473=$B$1890,AS$463,0)</f>
        <v>0</v>
      </c>
      <c r="AT473" s="112">
        <f>IF($D473=$B$1891,AT$463,0)</f>
        <v>0</v>
      </c>
      <c r="AU473" s="112">
        <f>IF($D473=$B$1892,AU$463,0)</f>
        <v>0</v>
      </c>
      <c r="AV473" s="226">
        <f>SUM(AN473:AU473)</f>
        <v>0</v>
      </c>
      <c r="AX473" s="216">
        <f>AF473*AM473</f>
        <v>0</v>
      </c>
      <c r="AZ473" s="158">
        <f>AX473+(AV473*AM473)</f>
        <v>0</v>
      </c>
      <c r="BB473" s="217">
        <f>(AF473*AM473)*0.01</f>
        <v>0</v>
      </c>
      <c r="BD473" s="218">
        <f>AZ473*0.01</f>
        <v>0</v>
      </c>
      <c r="BE473" s="199"/>
      <c r="BG473" s="217">
        <f>IF(AF473&gt;0,BG468+BB473,BG468)</f>
        <v>0.47142857142857131</v>
      </c>
      <c r="BH473" s="218">
        <f>IF(AV473&gt;0,BH468+BD473,BH468)</f>
        <v>0.47142857142857131</v>
      </c>
      <c r="BI473" s="217">
        <f>IF(BG473&gt;0.99,0.99,BG473)</f>
        <v>0.47142857142857131</v>
      </c>
      <c r="BJ473" s="218">
        <f>IF(BH473&gt;0.99,0.99,BH473)</f>
        <v>0.47142857142857131</v>
      </c>
    </row>
    <row r="474" spans="1:62" ht="4.95" customHeight="1" thickTop="1" x14ac:dyDescent="0.25">
      <c r="A474" s="203"/>
      <c r="B474" s="203"/>
      <c r="C474" s="203"/>
      <c r="D474" s="203"/>
      <c r="E474" s="203"/>
      <c r="F474" s="1"/>
    </row>
    <row r="475" spans="1:62" ht="19.95" customHeight="1" x14ac:dyDescent="0.25">
      <c r="A475" s="200">
        <f>A469+1</f>
        <v>17</v>
      </c>
      <c r="B475" s="200" t="s">
        <v>328</v>
      </c>
      <c r="C475" s="200"/>
      <c r="D475" s="201" t="str">
        <f>IF(B477="","If claimed, explain in white box below.","")</f>
        <v/>
      </c>
      <c r="E475" s="203"/>
      <c r="F475" s="1"/>
    </row>
    <row r="476" spans="1:62" ht="45" customHeight="1" x14ac:dyDescent="0.25">
      <c r="A476" s="202"/>
      <c r="B476" s="567" t="s">
        <v>329</v>
      </c>
      <c r="C476" s="568"/>
      <c r="D476" s="569"/>
      <c r="E476" s="203"/>
      <c r="F476" s="1"/>
    </row>
    <row r="477" spans="1:62" ht="235.05" customHeight="1" thickBot="1" x14ac:dyDescent="0.3">
      <c r="A477" s="202"/>
      <c r="B477" s="570" t="s">
        <v>330</v>
      </c>
      <c r="C477" s="571"/>
      <c r="D477" s="572"/>
      <c r="E477" s="203"/>
      <c r="F477" s="1"/>
    </row>
    <row r="478" spans="1:62" ht="15" thickTop="1" thickBot="1" x14ac:dyDescent="0.3">
      <c r="A478" s="202"/>
      <c r="B478" s="204" t="str">
        <f>IF(B477="","","Claimed?")</f>
        <v>Claimed?</v>
      </c>
      <c r="C478" s="204" t="str">
        <f>IF(B478="","","Verifiable?")</f>
        <v>Verifiable?</v>
      </c>
      <c r="D478" s="205" t="str">
        <f>IF(C479="","","Independent verification")</f>
        <v>Independent verification</v>
      </c>
      <c r="E478" s="573">
        <f>BI479</f>
        <v>0.49642857142857133</v>
      </c>
      <c r="F478" s="574"/>
      <c r="AA478" s="60"/>
      <c r="AB478" s="60" t="s">
        <v>314</v>
      </c>
      <c r="AF478" s="220"/>
      <c r="AG478" s="60" t="s">
        <v>315</v>
      </c>
      <c r="AM478" s="221"/>
      <c r="AN478" s="60" t="s">
        <v>316</v>
      </c>
      <c r="AV478" s="222"/>
      <c r="AX478" s="207" t="s">
        <v>317</v>
      </c>
      <c r="AZ478" s="208" t="s">
        <v>318</v>
      </c>
      <c r="BB478" s="209" t="s">
        <v>319</v>
      </c>
      <c r="BD478" s="208" t="s">
        <v>320</v>
      </c>
      <c r="BG478" s="210" t="s">
        <v>326</v>
      </c>
      <c r="BH478" s="211" t="s">
        <v>327</v>
      </c>
      <c r="BI478" s="210" t="s">
        <v>321</v>
      </c>
      <c r="BJ478" s="211" t="s">
        <v>322</v>
      </c>
    </row>
    <row r="479" spans="1:62" ht="15" thickTop="1" thickBot="1" x14ac:dyDescent="0.3">
      <c r="A479" s="202"/>
      <c r="B479" s="212" t="s">
        <v>331</v>
      </c>
      <c r="C479" s="213" t="s">
        <v>332</v>
      </c>
      <c r="D479" s="227"/>
      <c r="E479" s="573">
        <f>BJ479</f>
        <v>0.47142857142857131</v>
      </c>
      <c r="F479" s="574"/>
      <c r="AA479" s="112"/>
      <c r="AB479" s="112">
        <f>IF(B479=$B$1871,$AB$463,0)</f>
        <v>0</v>
      </c>
      <c r="AC479" s="112">
        <f>IF(B479=$B$1872,$AC$463,0)</f>
        <v>0</v>
      </c>
      <c r="AD479" s="112">
        <f>IF(B479=$B$1873,$AD$463,0)</f>
        <v>0</v>
      </c>
      <c r="AE479" s="112">
        <f>IF(B479=$B$1874,$AE$463,0)</f>
        <v>5</v>
      </c>
      <c r="AF479" s="224">
        <f>SUM(AB479:AE479)</f>
        <v>5</v>
      </c>
      <c r="AG479" s="112">
        <f>IF(C479=$B$1877,$E$1877,0)</f>
        <v>0</v>
      </c>
      <c r="AH479" s="112">
        <f>IF(C479=$B$1878,$E$1878,0)</f>
        <v>0</v>
      </c>
      <c r="AI479" s="112">
        <f>IF(C479=$B$1879,$E$1879,0)</f>
        <v>0</v>
      </c>
      <c r="AJ479" s="112">
        <f>IF(C479=$B$1880,$E$1880,0)</f>
        <v>0</v>
      </c>
      <c r="AK479" s="112">
        <f>IF(C479=$B$1881,$E$1881,0)</f>
        <v>0</v>
      </c>
      <c r="AL479" s="112">
        <f>IF(C479=$B$1882,$E$1882,0)</f>
        <v>0.5</v>
      </c>
      <c r="AM479" s="225">
        <f>SUM(AG479:AL479)</f>
        <v>0.5</v>
      </c>
      <c r="AN479" s="112">
        <f>IF($D479=$B$1885,AN$463,0)</f>
        <v>0</v>
      </c>
      <c r="AO479" s="112">
        <f>IF($D479=$B$1886,AO$463,0)</f>
        <v>0</v>
      </c>
      <c r="AP479" s="112">
        <f>IF($D479=$B$1887,AP$463,0)</f>
        <v>0</v>
      </c>
      <c r="AQ479" s="112">
        <f>IF($D479=$B$1888,AQ$463,0)</f>
        <v>0</v>
      </c>
      <c r="AR479" s="112">
        <f>IF($D479=$B$1889,AR$463,0)</f>
        <v>0</v>
      </c>
      <c r="AS479" s="112">
        <f>IF($D479=$B$1890,AS$463,0)</f>
        <v>0</v>
      </c>
      <c r="AT479" s="112">
        <f>IF($D479=$B$1891,AT$463,0)</f>
        <v>0</v>
      </c>
      <c r="AU479" s="112">
        <f>IF($D479=$B$1892,AU$463,0)</f>
        <v>0</v>
      </c>
      <c r="AV479" s="226">
        <f>SUM(AN479:AU479)</f>
        <v>0</v>
      </c>
      <c r="AX479" s="216">
        <f>AF479*AM479</f>
        <v>2.5</v>
      </c>
      <c r="AZ479" s="158">
        <f>AX479+(AV479*AM479)</f>
        <v>2.5</v>
      </c>
      <c r="BB479" s="217">
        <f>(AF479*AM479)*0.01</f>
        <v>2.5000000000000001E-2</v>
      </c>
      <c r="BD479" s="218">
        <f>AZ479*0.01</f>
        <v>2.5000000000000001E-2</v>
      </c>
      <c r="BE479" s="199"/>
      <c r="BG479" s="217">
        <f>IF(AF479&gt;0,BG473+BB479,BG473)</f>
        <v>0.49642857142857133</v>
      </c>
      <c r="BH479" s="218">
        <f>IF(AV479&gt;0,BH473+BD479,BH473)</f>
        <v>0.47142857142857131</v>
      </c>
      <c r="BI479" s="217">
        <f>IF(BG479&gt;0.99,0.99,BG479)</f>
        <v>0.49642857142857133</v>
      </c>
      <c r="BJ479" s="218">
        <f>IF(BH479&gt;0.99,0.99,BH479)</f>
        <v>0.47142857142857131</v>
      </c>
    </row>
    <row r="480" spans="1:62" ht="19.95" customHeight="1" thickTop="1" x14ac:dyDescent="0.25">
      <c r="A480" s="200">
        <f>A475+1</f>
        <v>18</v>
      </c>
      <c r="B480" s="200" t="s">
        <v>333</v>
      </c>
      <c r="C480" s="200"/>
      <c r="D480" s="201" t="str">
        <f>IF(B482="","If claimed, explain in white box below.","")</f>
        <v/>
      </c>
      <c r="E480" s="228"/>
      <c r="F480" s="1"/>
    </row>
    <row r="481" spans="1:62" ht="55.05" customHeight="1" x14ac:dyDescent="0.25">
      <c r="A481" s="202"/>
      <c r="B481" s="567" t="s">
        <v>334</v>
      </c>
      <c r="C481" s="568"/>
      <c r="D481" s="569"/>
      <c r="E481" s="203"/>
      <c r="F481" s="1"/>
    </row>
    <row r="482" spans="1:62" ht="235.05" customHeight="1" thickBot="1" x14ac:dyDescent="0.3">
      <c r="A482" s="202"/>
      <c r="B482" s="570" t="s">
        <v>335</v>
      </c>
      <c r="C482" s="571"/>
      <c r="D482" s="572"/>
      <c r="E482" s="203"/>
      <c r="F482" s="1"/>
    </row>
    <row r="483" spans="1:62" ht="15" thickTop="1" thickBot="1" x14ac:dyDescent="0.3">
      <c r="A483" s="202"/>
      <c r="B483" s="204" t="str">
        <f>IF(B482="","","Claimed?")</f>
        <v>Claimed?</v>
      </c>
      <c r="C483" s="204" t="str">
        <f>IF(B483="","","Verifiable?")</f>
        <v>Verifiable?</v>
      </c>
      <c r="D483" s="205" t="str">
        <f>IF(C484="","","Independent verification")</f>
        <v>Independent verification</v>
      </c>
      <c r="E483" s="573">
        <f>BI484</f>
        <v>0.52142857142857135</v>
      </c>
      <c r="F483" s="574"/>
      <c r="AA483" s="60"/>
      <c r="AB483" s="60" t="s">
        <v>314</v>
      </c>
      <c r="AF483" s="220"/>
      <c r="AG483" s="60" t="s">
        <v>315</v>
      </c>
      <c r="AM483" s="221"/>
      <c r="AN483" s="60" t="s">
        <v>316</v>
      </c>
      <c r="AV483" s="222"/>
      <c r="AX483" s="207" t="s">
        <v>317</v>
      </c>
      <c r="AZ483" s="208" t="s">
        <v>318</v>
      </c>
      <c r="BB483" s="209" t="s">
        <v>319</v>
      </c>
      <c r="BD483" s="208" t="s">
        <v>320</v>
      </c>
      <c r="BG483" s="210" t="s">
        <v>326</v>
      </c>
      <c r="BH483" s="211" t="s">
        <v>327</v>
      </c>
      <c r="BI483" s="210" t="s">
        <v>321</v>
      </c>
      <c r="BJ483" s="211" t="s">
        <v>322</v>
      </c>
    </row>
    <row r="484" spans="1:62" ht="15" thickTop="1" thickBot="1" x14ac:dyDescent="0.3">
      <c r="A484" s="202"/>
      <c r="B484" s="212" t="s">
        <v>331</v>
      </c>
      <c r="C484" s="213" t="s">
        <v>332</v>
      </c>
      <c r="D484" s="223"/>
      <c r="E484" s="573">
        <f>BJ484</f>
        <v>0.47142857142857131</v>
      </c>
      <c r="F484" s="574"/>
      <c r="AA484" s="112"/>
      <c r="AB484" s="112">
        <f>IF(B484=$B$1871,$AB$463,0)</f>
        <v>0</v>
      </c>
      <c r="AC484" s="112">
        <f>IF(B484=$B$1872,$AC$463,0)</f>
        <v>0</v>
      </c>
      <c r="AD484" s="112">
        <f>IF(B484=$B$1873,$AD$463,0)</f>
        <v>0</v>
      </c>
      <c r="AE484" s="112">
        <f>IF(B484=$B$1874,$AE$463,0)</f>
        <v>5</v>
      </c>
      <c r="AF484" s="224">
        <f>SUM(AB484:AE484)</f>
        <v>5</v>
      </c>
      <c r="AG484" s="112">
        <f>IF(C484=$B$1877,$E$1877,0)</f>
        <v>0</v>
      </c>
      <c r="AH484" s="112">
        <f>IF(C484=$B$1878,$E$1878,0)</f>
        <v>0</v>
      </c>
      <c r="AI484" s="112">
        <f>IF(C484=$B$1879,$E$1879,0)</f>
        <v>0</v>
      </c>
      <c r="AJ484" s="112">
        <f>IF(C484=$B$1880,$E$1880,0)</f>
        <v>0</v>
      </c>
      <c r="AK484" s="112">
        <f>IF(C484=$B$1881,$E$1881,0)</f>
        <v>0</v>
      </c>
      <c r="AL484" s="112">
        <f>IF(C484=$B$1882,$E$1882,0)</f>
        <v>0.5</v>
      </c>
      <c r="AM484" s="225">
        <f>SUM(AG484:AL484)</f>
        <v>0.5</v>
      </c>
      <c r="AN484" s="112">
        <f>IF($D484=$B$1885,AN$463,0)</f>
        <v>0</v>
      </c>
      <c r="AO484" s="112">
        <f>IF($D484=$B$1886,AO$463,0)</f>
        <v>0</v>
      </c>
      <c r="AP484" s="112">
        <f>IF($D484=$B$1887,AP$463,0)</f>
        <v>0</v>
      </c>
      <c r="AQ484" s="112">
        <f>IF($D484=$B$1888,AQ$463,0)</f>
        <v>0</v>
      </c>
      <c r="AR484" s="112">
        <f>IF($D484=$B$1889,AR$463,0)</f>
        <v>0</v>
      </c>
      <c r="AS484" s="112">
        <f>IF($D484=$B$1890,AS$463,0)</f>
        <v>0</v>
      </c>
      <c r="AT484" s="112">
        <f>IF($D484=$B$1891,AT$463,0)</f>
        <v>0</v>
      </c>
      <c r="AU484" s="112">
        <f>IF($D484=$B$1892,AU$463,0)</f>
        <v>0</v>
      </c>
      <c r="AV484" s="226">
        <f>SUM(AN484:AU484)</f>
        <v>0</v>
      </c>
      <c r="AX484" s="216">
        <f>AF484*AM484</f>
        <v>2.5</v>
      </c>
      <c r="AZ484" s="158">
        <f>AX484+(AV484*AM484)</f>
        <v>2.5</v>
      </c>
      <c r="BB484" s="217">
        <f>(AF484*AM484)*0.01</f>
        <v>2.5000000000000001E-2</v>
      </c>
      <c r="BD484" s="218">
        <f>AZ484*0.01</f>
        <v>2.5000000000000001E-2</v>
      </c>
      <c r="BE484" s="199"/>
      <c r="BG484" s="217">
        <f>IF(AF484&gt;0,BG479+BB484,BG479)</f>
        <v>0.52142857142857135</v>
      </c>
      <c r="BH484" s="218">
        <f>IF(AV484&gt;0,BH479+BD484,BH479)</f>
        <v>0.47142857142857131</v>
      </c>
      <c r="BI484" s="217">
        <f>IF(BG484&gt;0.99,0.99,BG484)</f>
        <v>0.52142857142857135</v>
      </c>
      <c r="BJ484" s="218">
        <f>IF(BH484&gt;0.99,0.99,BH484)</f>
        <v>0.47142857142857131</v>
      </c>
    </row>
    <row r="485" spans="1:62" ht="4.95" customHeight="1" thickTop="1" x14ac:dyDescent="0.25">
      <c r="A485" s="203"/>
      <c r="B485" s="203"/>
      <c r="C485" s="203"/>
      <c r="D485" s="203"/>
      <c r="E485" s="203"/>
      <c r="F485" s="1"/>
    </row>
    <row r="486" spans="1:62" ht="19.95" customHeight="1" x14ac:dyDescent="0.25">
      <c r="A486" s="200">
        <f>A480+1</f>
        <v>19</v>
      </c>
      <c r="B486" s="200" t="s">
        <v>336</v>
      </c>
      <c r="C486" s="200"/>
      <c r="D486" s="201" t="str">
        <f>IF(B488="","If claimed, explain in white box below.","")</f>
        <v>If claimed, explain in white box below.</v>
      </c>
      <c r="E486" s="228"/>
      <c r="F486" s="1"/>
    </row>
    <row r="487" spans="1:62" ht="45" customHeight="1" x14ac:dyDescent="0.25">
      <c r="A487" s="202"/>
      <c r="B487" s="567" t="s">
        <v>337</v>
      </c>
      <c r="C487" s="568"/>
      <c r="D487" s="569"/>
      <c r="E487" s="203"/>
      <c r="F487" s="1"/>
    </row>
    <row r="488" spans="1:62" ht="235.05" customHeight="1" thickBot="1" x14ac:dyDescent="0.3">
      <c r="A488" s="202"/>
      <c r="B488" s="570"/>
      <c r="C488" s="571"/>
      <c r="D488" s="572"/>
      <c r="E488" s="203"/>
      <c r="F488" s="1"/>
    </row>
    <row r="489" spans="1:62" ht="15" thickTop="1" thickBot="1" x14ac:dyDescent="0.3">
      <c r="A489" s="202"/>
      <c r="B489" s="204" t="str">
        <f>IF(B488="","","Claimed?")</f>
        <v/>
      </c>
      <c r="C489" s="204" t="str">
        <f>IF(B489="","","Verifiable?")</f>
        <v/>
      </c>
      <c r="D489" s="205" t="str">
        <f>IF(C490="","","Independent verification")</f>
        <v/>
      </c>
      <c r="E489" s="573">
        <f>BI490</f>
        <v>0.52142857142857135</v>
      </c>
      <c r="F489" s="574"/>
      <c r="AA489" s="60"/>
      <c r="AB489" s="60" t="s">
        <v>314</v>
      </c>
      <c r="AF489" s="220"/>
      <c r="AG489" s="60" t="s">
        <v>315</v>
      </c>
      <c r="AM489" s="221"/>
      <c r="AN489" s="60" t="s">
        <v>316</v>
      </c>
      <c r="AV489" s="222"/>
      <c r="AX489" s="207" t="s">
        <v>317</v>
      </c>
      <c r="AZ489" s="208" t="s">
        <v>318</v>
      </c>
      <c r="BB489" s="209" t="s">
        <v>319</v>
      </c>
      <c r="BD489" s="208" t="s">
        <v>320</v>
      </c>
      <c r="BG489" s="210" t="s">
        <v>326</v>
      </c>
      <c r="BH489" s="211" t="s">
        <v>327</v>
      </c>
      <c r="BI489" s="210" t="s">
        <v>321</v>
      </c>
      <c r="BJ489" s="211" t="s">
        <v>322</v>
      </c>
    </row>
    <row r="490" spans="1:62" ht="15" thickTop="1" thickBot="1" x14ac:dyDescent="0.3">
      <c r="A490" s="202"/>
      <c r="B490" s="212" t="s">
        <v>323</v>
      </c>
      <c r="C490" s="213"/>
      <c r="D490" s="223"/>
      <c r="E490" s="573">
        <f>BJ490</f>
        <v>0.47142857142857131</v>
      </c>
      <c r="F490" s="574"/>
      <c r="AA490" s="112"/>
      <c r="AB490" s="112">
        <f>IF(B490=$B$1871,$AB$463,0)</f>
        <v>0</v>
      </c>
      <c r="AC490" s="112">
        <f>IF(B490=$B$1872,$AC$463,0)</f>
        <v>0</v>
      </c>
      <c r="AD490" s="112">
        <f>IF(B490=$B$1873,$AD$463,0)</f>
        <v>0</v>
      </c>
      <c r="AE490" s="112">
        <f>IF(B490=$B$1874,$AE$463,0)</f>
        <v>0</v>
      </c>
      <c r="AF490" s="224">
        <f>SUM(AB490:AE490)</f>
        <v>0</v>
      </c>
      <c r="AG490" s="112">
        <f>IF(C490=$B$1877,$E$1877,0)</f>
        <v>0</v>
      </c>
      <c r="AH490" s="112">
        <f>IF(C490=$B$1878,$E$1878,0)</f>
        <v>0</v>
      </c>
      <c r="AI490" s="112">
        <f>IF(C490=$B$1879,$E$1879,0)</f>
        <v>0</v>
      </c>
      <c r="AJ490" s="112">
        <f>IF(C490=$B$1880,$E$1880,0)</f>
        <v>0</v>
      </c>
      <c r="AK490" s="112">
        <f>IF(C490=$B$1881,$E$1881,0)</f>
        <v>0</v>
      </c>
      <c r="AL490" s="112">
        <f>IF(C490=$B$1882,$E$1882,0)</f>
        <v>0</v>
      </c>
      <c r="AM490" s="225">
        <f>SUM(AG490:AL490)</f>
        <v>0</v>
      </c>
      <c r="AN490" s="112">
        <f>IF($D490=$B$1885,AN$463,0)</f>
        <v>0</v>
      </c>
      <c r="AO490" s="112">
        <f>IF($D490=$B$1886,AO$463,0)</f>
        <v>0</v>
      </c>
      <c r="AP490" s="112">
        <f>IF($D490=$B$1887,AP$463,0)</f>
        <v>0</v>
      </c>
      <c r="AQ490" s="112">
        <f>IF($D490=$B$1888,AQ$463,0)</f>
        <v>0</v>
      </c>
      <c r="AR490" s="112">
        <f>IF($D490=$B$1889,AR$463,0)</f>
        <v>0</v>
      </c>
      <c r="AS490" s="112">
        <f>IF($D490=$B$1890,AS$463,0)</f>
        <v>0</v>
      </c>
      <c r="AT490" s="112">
        <f>IF($D490=$B$1891,AT$463,0)</f>
        <v>0</v>
      </c>
      <c r="AU490" s="112">
        <f>IF($D490=$B$1892,AU$463,0)</f>
        <v>0</v>
      </c>
      <c r="AV490" s="226">
        <f>SUM(AN490:AU490)</f>
        <v>0</v>
      </c>
      <c r="AX490" s="216">
        <f>AF490*AM490</f>
        <v>0</v>
      </c>
      <c r="AZ490" s="158">
        <f>AX490+(AV490*AM490)</f>
        <v>0</v>
      </c>
      <c r="BB490" s="217">
        <f>(AF490*AM490)*0.01</f>
        <v>0</v>
      </c>
      <c r="BD490" s="218">
        <f>AZ490*0.01</f>
        <v>0</v>
      </c>
      <c r="BE490" s="199"/>
      <c r="BG490" s="217">
        <f>IF(AF490&gt;0,BG484+BB490,BG484)</f>
        <v>0.52142857142857135</v>
      </c>
      <c r="BH490" s="218">
        <f>IF(AV490&gt;0,BH484+BD490,BH484)</f>
        <v>0.47142857142857131</v>
      </c>
      <c r="BI490" s="217">
        <f>IF(BG490&gt;0.99,0.99,BG490)</f>
        <v>0.52142857142857135</v>
      </c>
      <c r="BJ490" s="218">
        <f>IF(BH490&gt;0.99,0.99,BH490)</f>
        <v>0.47142857142857131</v>
      </c>
    </row>
    <row r="491" spans="1:62" ht="19.95" customHeight="1" thickTop="1" x14ac:dyDescent="0.25">
      <c r="A491" s="200">
        <f>A486+1</f>
        <v>20</v>
      </c>
      <c r="B491" s="200" t="s">
        <v>338</v>
      </c>
      <c r="C491" s="200"/>
      <c r="D491" s="201" t="str">
        <f>IF(B493="","If claimed, explain in white box below.","")</f>
        <v>If claimed, explain in white box below.</v>
      </c>
      <c r="E491" s="228"/>
      <c r="F491" s="1"/>
      <c r="BC491" s="16"/>
    </row>
    <row r="492" spans="1:62" ht="45" customHeight="1" x14ac:dyDescent="0.25">
      <c r="A492" s="202"/>
      <c r="B492" s="567" t="s">
        <v>339</v>
      </c>
      <c r="C492" s="568"/>
      <c r="D492" s="569"/>
      <c r="E492" s="203"/>
      <c r="F492" s="1"/>
    </row>
    <row r="493" spans="1:62" ht="235.05" customHeight="1" thickBot="1" x14ac:dyDescent="0.3">
      <c r="A493" s="202"/>
      <c r="B493" s="570"/>
      <c r="C493" s="571"/>
      <c r="D493" s="572"/>
      <c r="E493" s="203"/>
      <c r="F493" s="1"/>
    </row>
    <row r="494" spans="1:62" ht="15" thickTop="1" thickBot="1" x14ac:dyDescent="0.3">
      <c r="A494" s="202"/>
      <c r="B494" s="204" t="str">
        <f>IF(B493="","","Claimed?")</f>
        <v/>
      </c>
      <c r="C494" s="204" t="str">
        <f>IF(B494="","","Verifiable?")</f>
        <v/>
      </c>
      <c r="D494" s="205" t="str">
        <f>IF(C495="","","Independent verification")</f>
        <v/>
      </c>
      <c r="E494" s="573">
        <f>BI495</f>
        <v>0.52142857142857135</v>
      </c>
      <c r="F494" s="574"/>
      <c r="AA494" s="60"/>
      <c r="AB494" s="60" t="s">
        <v>314</v>
      </c>
      <c r="AF494" s="220"/>
      <c r="AG494" s="60" t="s">
        <v>315</v>
      </c>
      <c r="AM494" s="221"/>
      <c r="AN494" s="60" t="s">
        <v>316</v>
      </c>
      <c r="AV494" s="222"/>
      <c r="AX494" s="207" t="s">
        <v>317</v>
      </c>
      <c r="AZ494" s="208" t="s">
        <v>318</v>
      </c>
      <c r="BB494" s="209" t="s">
        <v>319</v>
      </c>
      <c r="BD494" s="208" t="s">
        <v>320</v>
      </c>
      <c r="BG494" s="210" t="s">
        <v>326</v>
      </c>
      <c r="BH494" s="211" t="s">
        <v>327</v>
      </c>
      <c r="BI494" s="210" t="s">
        <v>321</v>
      </c>
      <c r="BJ494" s="211" t="s">
        <v>322</v>
      </c>
    </row>
    <row r="495" spans="1:62" ht="15" thickTop="1" thickBot="1" x14ac:dyDescent="0.3">
      <c r="A495" s="202"/>
      <c r="B495" s="212" t="s">
        <v>340</v>
      </c>
      <c r="C495" s="213"/>
      <c r="D495" s="223" t="s">
        <v>341</v>
      </c>
      <c r="E495" s="573">
        <f>BJ495</f>
        <v>0.47142857142857131</v>
      </c>
      <c r="F495" s="574"/>
      <c r="AA495" s="112"/>
      <c r="AB495" s="112">
        <f>IF(B495=$B$1871,$AB$463,0)</f>
        <v>0</v>
      </c>
      <c r="AC495" s="112">
        <f>IF(B495=$B$1872,$AC$463,0)</f>
        <v>1.25</v>
      </c>
      <c r="AD495" s="112">
        <f>IF(B495=$B$1873,$AD$463,0)</f>
        <v>0</v>
      </c>
      <c r="AE495" s="112">
        <f>IF(B495=$B$1874,$AE$463,0)</f>
        <v>0</v>
      </c>
      <c r="AF495" s="224">
        <f>SUM(AB495:AE495)</f>
        <v>1.25</v>
      </c>
      <c r="AG495" s="112">
        <f>IF(C495=$B$1877,$E$1877,0)</f>
        <v>0</v>
      </c>
      <c r="AH495" s="112">
        <f>IF(C495=$B$1878,$E$1878,0)</f>
        <v>0</v>
      </c>
      <c r="AI495" s="112">
        <f>IF(C495=$B$1879,$E$1879,0)</f>
        <v>0</v>
      </c>
      <c r="AJ495" s="112">
        <f>IF(C495=$B$1880,$E$1880,0)</f>
        <v>0</v>
      </c>
      <c r="AK495" s="112">
        <f>IF(C495=$B$1881,$E$1881,0)</f>
        <v>0</v>
      </c>
      <c r="AL495" s="112">
        <f>IF(C495=$B$1882,$E$1882,0)</f>
        <v>0</v>
      </c>
      <c r="AM495" s="225">
        <f>SUM(AG495:AL495)</f>
        <v>0</v>
      </c>
      <c r="AN495" s="112">
        <f>IF($D495=$B$1885,AN$463,0)</f>
        <v>0</v>
      </c>
      <c r="AO495" s="112">
        <f>IF($D495=$B$1886,AO$463,0)</f>
        <v>0</v>
      </c>
      <c r="AP495" s="112">
        <f>IF($D495=$B$1887,AP$463,0)</f>
        <v>0</v>
      </c>
      <c r="AQ495" s="112">
        <f>IF($D495=$B$1888,AQ$463,0)</f>
        <v>0</v>
      </c>
      <c r="AR495" s="112">
        <f>IF($D495=$B$1889,AR$463,0)</f>
        <v>0</v>
      </c>
      <c r="AS495" s="112">
        <f>IF($D495=$B$1890,AS$463,0)</f>
        <v>0</v>
      </c>
      <c r="AT495" s="112">
        <f>IF($D495=$B$1891,AT$463,0)</f>
        <v>0</v>
      </c>
      <c r="AU495" s="112">
        <f>IF($D495=$B$1892,AU$463,0)</f>
        <v>5</v>
      </c>
      <c r="AV495" s="226">
        <f>SUM(AN495:AU495)</f>
        <v>5</v>
      </c>
      <c r="AX495" s="216">
        <f>AF495*AM495</f>
        <v>0</v>
      </c>
      <c r="AZ495" s="158">
        <f>AX495+(AV495*AM495)</f>
        <v>0</v>
      </c>
      <c r="BB495" s="217">
        <f>(AF495*AM495)*0.01</f>
        <v>0</v>
      </c>
      <c r="BD495" s="218">
        <f>AZ495*0.01</f>
        <v>0</v>
      </c>
      <c r="BE495" s="199"/>
      <c r="BG495" s="217">
        <f>IF(AF495&gt;0,BG490+BB495,BG490)</f>
        <v>0.52142857142857135</v>
      </c>
      <c r="BH495" s="218">
        <f>IF(AV495&gt;0,BH490+BD495,BH490)</f>
        <v>0.47142857142857131</v>
      </c>
      <c r="BI495" s="217">
        <f>IF(BG495&gt;0.99,0.99,BG495)</f>
        <v>0.52142857142857135</v>
      </c>
      <c r="BJ495" s="218">
        <f>IF(BH495&gt;0.99,0.99,BH495)</f>
        <v>0.47142857142857131</v>
      </c>
    </row>
    <row r="496" spans="1:62" ht="14.4" thickTop="1" x14ac:dyDescent="0.25">
      <c r="A496" s="202"/>
      <c r="B496" s="203"/>
      <c r="C496" s="203"/>
      <c r="D496" s="203"/>
      <c r="E496" s="203"/>
      <c r="F496" s="1"/>
    </row>
    <row r="497" spans="1:62" ht="30" customHeight="1" x14ac:dyDescent="0.25">
      <c r="A497" s="188" t="s">
        <v>75</v>
      </c>
      <c r="B497" s="46" t="s">
        <v>342</v>
      </c>
      <c r="C497" s="46"/>
      <c r="D497" s="46"/>
      <c r="E497" s="46"/>
      <c r="F497" s="475" t="s">
        <v>949</v>
      </c>
    </row>
    <row r="498" spans="1:62" ht="19.95" customHeight="1" x14ac:dyDescent="0.25">
      <c r="A498" s="108" t="s">
        <v>343</v>
      </c>
      <c r="B498" s="109"/>
      <c r="C498" s="109"/>
      <c r="D498" s="109"/>
      <c r="E498" s="110"/>
      <c r="F498" s="108"/>
      <c r="AA498" s="190"/>
      <c r="AB498" s="190">
        <v>0</v>
      </c>
      <c r="AC498" s="191">
        <f>AD498/2</f>
        <v>1</v>
      </c>
      <c r="AD498" s="192">
        <f>AE498/2</f>
        <v>2</v>
      </c>
      <c r="AE498" s="193">
        <v>4</v>
      </c>
      <c r="AF498" s="120"/>
      <c r="AG498" s="120"/>
      <c r="AH498" s="120"/>
      <c r="AI498" s="120"/>
      <c r="AJ498" s="120"/>
      <c r="AK498" s="120"/>
      <c r="AL498" s="120"/>
      <c r="AM498" s="120"/>
      <c r="AN498" s="194">
        <f>AE498*-2</f>
        <v>-8</v>
      </c>
      <c r="AO498" s="190">
        <f>AE498*-1</f>
        <v>-4</v>
      </c>
      <c r="AP498" s="190">
        <f>AD498*-1</f>
        <v>-2</v>
      </c>
      <c r="AQ498" s="195">
        <f>AE498*-0.1</f>
        <v>-0.4</v>
      </c>
      <c r="AR498" s="195">
        <v>0</v>
      </c>
      <c r="AS498" s="195">
        <f>AE498*0.1</f>
        <v>0.4</v>
      </c>
      <c r="AT498" s="192">
        <f>AD498</f>
        <v>2</v>
      </c>
      <c r="AU498" s="193">
        <f>AE498</f>
        <v>4</v>
      </c>
      <c r="AV498" s="196"/>
      <c r="AW498" s="120"/>
      <c r="AX498" s="120"/>
      <c r="AY498" s="120"/>
      <c r="AZ498" s="120"/>
      <c r="BA498" s="120"/>
      <c r="BB498" s="197"/>
      <c r="BC498" s="120"/>
      <c r="BD498" s="120"/>
      <c r="BE498" s="120"/>
      <c r="BF498" s="120"/>
      <c r="BG498" s="229">
        <f>BG463</f>
        <v>0.47142857142857131</v>
      </c>
      <c r="BH498" s="199"/>
      <c r="BI498" s="120"/>
    </row>
    <row r="499" spans="1:62" ht="15.6" x14ac:dyDescent="0.25">
      <c r="A499" s="200">
        <f>A491+1</f>
        <v>21</v>
      </c>
      <c r="B499" s="200" t="s">
        <v>344</v>
      </c>
      <c r="C499" s="200"/>
      <c r="D499" s="201" t="str">
        <f>IF(B501="","If claimed, explain in white box below.","")</f>
        <v/>
      </c>
      <c r="E499" s="203"/>
      <c r="F499" s="1"/>
    </row>
    <row r="500" spans="1:62" x14ac:dyDescent="0.25">
      <c r="A500" s="202"/>
      <c r="B500" s="567" t="s">
        <v>345</v>
      </c>
      <c r="C500" s="568"/>
      <c r="D500" s="569"/>
      <c r="E500" s="203"/>
      <c r="F500" s="1"/>
    </row>
    <row r="501" spans="1:62" ht="147" customHeight="1" thickBot="1" x14ac:dyDescent="0.3">
      <c r="A501" s="202"/>
      <c r="B501" s="570" t="s">
        <v>346</v>
      </c>
      <c r="C501" s="571"/>
      <c r="D501" s="572"/>
      <c r="E501" s="203"/>
      <c r="F501" s="1"/>
    </row>
    <row r="502" spans="1:62" ht="15" thickTop="1" thickBot="1" x14ac:dyDescent="0.3">
      <c r="A502" s="202"/>
      <c r="B502" s="204" t="str">
        <f>IF(B501="","","Claimed?")</f>
        <v>Claimed?</v>
      </c>
      <c r="C502" s="204" t="str">
        <f>IF(B502="","","Verifiable?")</f>
        <v>Verifiable?</v>
      </c>
      <c r="D502" s="205" t="str">
        <f>IF(C503="","","Independent verification")</f>
        <v>Independent verification</v>
      </c>
      <c r="E502" s="573">
        <f>BI503</f>
        <v>0.54392857142857132</v>
      </c>
      <c r="F502" s="574"/>
      <c r="AA502" s="60"/>
      <c r="AB502" s="60" t="s">
        <v>314</v>
      </c>
      <c r="AF502" s="220"/>
      <c r="AG502" s="60" t="s">
        <v>315</v>
      </c>
      <c r="AM502" s="221"/>
      <c r="AN502" s="60" t="s">
        <v>316</v>
      </c>
      <c r="AV502" s="222"/>
      <c r="AX502" s="207" t="s">
        <v>317</v>
      </c>
      <c r="AZ502" s="208" t="s">
        <v>318</v>
      </c>
      <c r="BB502" s="209" t="s">
        <v>319</v>
      </c>
      <c r="BD502" s="208" t="s">
        <v>320</v>
      </c>
      <c r="BG502" s="210" t="s">
        <v>326</v>
      </c>
      <c r="BH502" s="211" t="s">
        <v>327</v>
      </c>
      <c r="BI502" s="210" t="s">
        <v>321</v>
      </c>
      <c r="BJ502" s="211" t="s">
        <v>322</v>
      </c>
    </row>
    <row r="503" spans="1:62" ht="15" thickTop="1" thickBot="1" x14ac:dyDescent="0.3">
      <c r="A503" s="202"/>
      <c r="B503" s="212" t="s">
        <v>331</v>
      </c>
      <c r="C503" s="213" t="s">
        <v>347</v>
      </c>
      <c r="D503" s="223"/>
      <c r="E503" s="573">
        <f>BJ503</f>
        <v>0.47142857142857131</v>
      </c>
      <c r="F503" s="574"/>
      <c r="AA503" s="112"/>
      <c r="AB503" s="112">
        <f>IF(B503=$B$1871,$AB$463,0)</f>
        <v>0</v>
      </c>
      <c r="AC503" s="112">
        <f>IF(B503=$B$1872,$AC$463,0)</f>
        <v>0</v>
      </c>
      <c r="AD503" s="112">
        <f>IF(B503=$B$1873,$AD$463,0)</f>
        <v>0</v>
      </c>
      <c r="AE503" s="112">
        <f>IF(B503=$B$1874,$AE$463,0)</f>
        <v>5</v>
      </c>
      <c r="AF503" s="224">
        <f>SUM(AB503:AE503)</f>
        <v>5</v>
      </c>
      <c r="AG503" s="112">
        <f>IF(C503=$B$1877,$E$1877,0)</f>
        <v>0</v>
      </c>
      <c r="AH503" s="112">
        <f>IF(C503=$B$1878,$E$1878,0)</f>
        <v>0</v>
      </c>
      <c r="AI503" s="112">
        <f>IF(C503=$B$1879,$E$1879,0)</f>
        <v>0</v>
      </c>
      <c r="AJ503" s="112">
        <f>IF(C503=$B$1880,$E$1880,0)</f>
        <v>0</v>
      </c>
      <c r="AK503" s="112">
        <f>IF(C503=$B$1881,$E$1881,0)</f>
        <v>0.45</v>
      </c>
      <c r="AL503" s="112">
        <f>IF(C503=$B$1882,$E$1882,0)</f>
        <v>0</v>
      </c>
      <c r="AM503" s="225">
        <f>SUM(AG503:AL503)</f>
        <v>0.45</v>
      </c>
      <c r="AN503" s="112">
        <f>IF($D503=$B$1885,AN$463,0)</f>
        <v>0</v>
      </c>
      <c r="AO503" s="112">
        <f>IF($D503=$B$1886,AO$463,0)</f>
        <v>0</v>
      </c>
      <c r="AP503" s="112">
        <f>IF($D503=$B$1887,AP$463,0)</f>
        <v>0</v>
      </c>
      <c r="AQ503" s="112">
        <f>IF($D503=$B$1888,AQ$463,0)</f>
        <v>0</v>
      </c>
      <c r="AR503" s="112">
        <f>IF($D503=$B$1889,AR$463,0)</f>
        <v>0</v>
      </c>
      <c r="AS503" s="112">
        <f>IF($D503=$B$1890,AS$463,0)</f>
        <v>0</v>
      </c>
      <c r="AT503" s="112">
        <f>IF($D503=$B$1891,AT$463,0)</f>
        <v>0</v>
      </c>
      <c r="AU503" s="112">
        <f>IF($D503=$B$1892,AU$463,0)</f>
        <v>0</v>
      </c>
      <c r="AV503" s="226">
        <f>SUM(AN503:AU503)</f>
        <v>0</v>
      </c>
      <c r="AX503" s="216">
        <f>AF503*AM503</f>
        <v>2.25</v>
      </c>
      <c r="AZ503" s="158">
        <f>AX503+(AV503*AM503)</f>
        <v>2.25</v>
      </c>
      <c r="BB503" s="217">
        <f>(AF503*AM503)*0.01</f>
        <v>2.2499999999999999E-2</v>
      </c>
      <c r="BD503" s="218">
        <f>AZ503*0.01</f>
        <v>2.2499999999999999E-2</v>
      </c>
      <c r="BE503" s="199"/>
      <c r="BG503" s="217">
        <f>IF(AF503&gt;0,BG495+BB503,BG495)</f>
        <v>0.54392857142857132</v>
      </c>
      <c r="BH503" s="218">
        <f>IF(AV503&gt;0,BH495+BD503,BH495)</f>
        <v>0.47142857142857131</v>
      </c>
      <c r="BI503" s="217">
        <f>IF(BG503&gt;0.99,0.99,BG503)</f>
        <v>0.54392857142857132</v>
      </c>
      <c r="BJ503" s="218">
        <f>IF(BH503&gt;0.99,0.99,BH503)</f>
        <v>0.47142857142857131</v>
      </c>
    </row>
    <row r="504" spans="1:62" ht="16.2" thickTop="1" x14ac:dyDescent="0.25">
      <c r="A504" s="200">
        <f>A499+1</f>
        <v>22</v>
      </c>
      <c r="B504" s="200" t="s">
        <v>348</v>
      </c>
      <c r="C504" s="200"/>
      <c r="D504" s="201" t="str">
        <f>IF(B506="","If claimed, explain in white box below.","")</f>
        <v/>
      </c>
      <c r="E504" s="203"/>
      <c r="F504" s="1"/>
    </row>
    <row r="505" spans="1:62" x14ac:dyDescent="0.25">
      <c r="A505" s="202"/>
      <c r="B505" s="567" t="s">
        <v>349</v>
      </c>
      <c r="C505" s="568"/>
      <c r="D505" s="569"/>
      <c r="E505" s="203"/>
      <c r="F505" s="1"/>
    </row>
    <row r="506" spans="1:62" ht="147" customHeight="1" thickBot="1" x14ac:dyDescent="0.3">
      <c r="A506" s="202"/>
      <c r="B506" s="570" t="s">
        <v>350</v>
      </c>
      <c r="C506" s="571"/>
      <c r="D506" s="572"/>
      <c r="E506" s="203"/>
      <c r="F506" s="1"/>
    </row>
    <row r="507" spans="1:62" ht="15" thickTop="1" thickBot="1" x14ac:dyDescent="0.3">
      <c r="A507" s="202"/>
      <c r="B507" s="204" t="str">
        <f>IF(B506="","","Claimed?")</f>
        <v>Claimed?</v>
      </c>
      <c r="C507" s="204" t="str">
        <f>IF(B507="","","Verifiable?")</f>
        <v>Verifiable?</v>
      </c>
      <c r="D507" s="205" t="str">
        <f>IF(C508="","","Independent verification")</f>
        <v>Independent verification</v>
      </c>
      <c r="E507" s="573">
        <f>BI508</f>
        <v>0.55892857142857133</v>
      </c>
      <c r="F507" s="574"/>
      <c r="AA507" s="60"/>
      <c r="AB507" s="60" t="s">
        <v>314</v>
      </c>
      <c r="AF507" s="220"/>
      <c r="AG507" s="60" t="s">
        <v>315</v>
      </c>
      <c r="AM507" s="221"/>
      <c r="AN507" s="60" t="s">
        <v>316</v>
      </c>
      <c r="AV507" s="222"/>
      <c r="AX507" s="207" t="s">
        <v>317</v>
      </c>
      <c r="AZ507" s="208" t="s">
        <v>318</v>
      </c>
      <c r="BB507" s="209" t="s">
        <v>319</v>
      </c>
      <c r="BD507" s="208" t="s">
        <v>320</v>
      </c>
      <c r="BG507" s="210" t="s">
        <v>326</v>
      </c>
      <c r="BH507" s="211" t="s">
        <v>327</v>
      </c>
      <c r="BI507" s="210" t="s">
        <v>321</v>
      </c>
      <c r="BJ507" s="211" t="s">
        <v>322</v>
      </c>
    </row>
    <row r="508" spans="1:62" ht="15" thickTop="1" thickBot="1" x14ac:dyDescent="0.3">
      <c r="A508" s="202"/>
      <c r="B508" s="212" t="s">
        <v>331</v>
      </c>
      <c r="C508" s="213" t="s">
        <v>351</v>
      </c>
      <c r="D508" s="223"/>
      <c r="E508" s="573">
        <f>BJ508</f>
        <v>0.47142857142857131</v>
      </c>
      <c r="F508" s="574"/>
      <c r="AA508" s="112"/>
      <c r="AB508" s="112">
        <f>IF(B508=$B$1871,$AB$463,0)</f>
        <v>0</v>
      </c>
      <c r="AC508" s="112">
        <f>IF(B508=$B$1872,$AC$463,0)</f>
        <v>0</v>
      </c>
      <c r="AD508" s="112">
        <f>IF(B508=$B$1873,$AD$463,0)</f>
        <v>0</v>
      </c>
      <c r="AE508" s="112">
        <f>IF(B508=$B$1874,$AE$463,0)</f>
        <v>5</v>
      </c>
      <c r="AF508" s="224">
        <f>SUM(AB508:AE508)</f>
        <v>5</v>
      </c>
      <c r="AG508" s="112">
        <f>IF(C508=$B$1877,$E$1877,0)</f>
        <v>0</v>
      </c>
      <c r="AH508" s="112">
        <f>IF(C508=$B$1878,$E$1878,0)</f>
        <v>0.30000000000000004</v>
      </c>
      <c r="AI508" s="112">
        <f>IF(C508=$B$1879,$E$1879,0)</f>
        <v>0</v>
      </c>
      <c r="AJ508" s="112">
        <f>IF(C508=$B$1880,$E$1880,0)</f>
        <v>0</v>
      </c>
      <c r="AK508" s="112">
        <f>IF(C508=$B$1881,$E$1881,0)</f>
        <v>0</v>
      </c>
      <c r="AL508" s="112">
        <f>IF(C508=$B$1882,$E$1882,0)</f>
        <v>0</v>
      </c>
      <c r="AM508" s="225">
        <f>SUM(AG508:AL508)</f>
        <v>0.30000000000000004</v>
      </c>
      <c r="AN508" s="112">
        <f>IF($D508=$B$1885,AN$463,0)</f>
        <v>0</v>
      </c>
      <c r="AO508" s="112">
        <f>IF($D508=$B$1886,AO$463,0)</f>
        <v>0</v>
      </c>
      <c r="AP508" s="112">
        <f>IF($D508=$B$1887,AP$463,0)</f>
        <v>0</v>
      </c>
      <c r="AQ508" s="112">
        <f>IF($D508=$B$1888,AQ$463,0)</f>
        <v>0</v>
      </c>
      <c r="AR508" s="112">
        <f>IF($D508=$B$1889,AR$463,0)</f>
        <v>0</v>
      </c>
      <c r="AS508" s="112">
        <f>IF($D508=$B$1890,AS$463,0)</f>
        <v>0</v>
      </c>
      <c r="AT508" s="112">
        <f>IF($D508=$B$1891,AT$463,0)</f>
        <v>0</v>
      </c>
      <c r="AU508" s="112">
        <f>IF($D508=$B$1892,AU$463,0)</f>
        <v>0</v>
      </c>
      <c r="AV508" s="226">
        <f>SUM(AN508:AU508)</f>
        <v>0</v>
      </c>
      <c r="AX508" s="216">
        <f>AF508*AM508</f>
        <v>1.5000000000000002</v>
      </c>
      <c r="AZ508" s="158">
        <f>AX508+(AV508*AM508)</f>
        <v>1.5000000000000002</v>
      </c>
      <c r="BB508" s="217">
        <f>(AF508*AM508)*0.01</f>
        <v>1.5000000000000003E-2</v>
      </c>
      <c r="BD508" s="218">
        <f>AZ508*0.01</f>
        <v>1.5000000000000003E-2</v>
      </c>
      <c r="BE508" s="199"/>
      <c r="BG508" s="217">
        <f>IF(AF508&gt;0,BG503+BB508,BG503)</f>
        <v>0.55892857142857133</v>
      </c>
      <c r="BH508" s="218">
        <f>IF(AV508&gt;0,BH503+BD508,BH503)</f>
        <v>0.47142857142857131</v>
      </c>
      <c r="BI508" s="217">
        <f>IF(BG508&gt;0.99,0.99,BG508)</f>
        <v>0.55892857142857133</v>
      </c>
      <c r="BJ508" s="218">
        <f>IF(BH508&gt;0.99,0.99,BH508)</f>
        <v>0.47142857142857131</v>
      </c>
    </row>
    <row r="509" spans="1:62" ht="16.2" thickTop="1" x14ac:dyDescent="0.25">
      <c r="A509" s="200">
        <f>A504+1</f>
        <v>23</v>
      </c>
      <c r="B509" s="200" t="s">
        <v>352</v>
      </c>
      <c r="C509" s="200"/>
      <c r="D509" s="201" t="str">
        <f>IF(B511="","If claimed, explain in white box below.","")</f>
        <v/>
      </c>
      <c r="E509" s="203"/>
      <c r="F509" s="1"/>
    </row>
    <row r="510" spans="1:62" x14ac:dyDescent="0.25">
      <c r="A510" s="202"/>
      <c r="B510" s="567" t="s">
        <v>353</v>
      </c>
      <c r="C510" s="568"/>
      <c r="D510" s="569"/>
      <c r="E510" s="203"/>
      <c r="F510" s="1"/>
    </row>
    <row r="511" spans="1:62" ht="147" customHeight="1" thickBot="1" x14ac:dyDescent="0.3">
      <c r="A511" s="202"/>
      <c r="B511" s="570" t="s">
        <v>354</v>
      </c>
      <c r="C511" s="571"/>
      <c r="D511" s="572"/>
      <c r="E511" s="203"/>
      <c r="F511" s="1"/>
    </row>
    <row r="512" spans="1:62" ht="15" thickTop="1" thickBot="1" x14ac:dyDescent="0.3">
      <c r="A512" s="202"/>
      <c r="B512" s="204" t="str">
        <f>IF(B511="","","Claimed?")</f>
        <v>Claimed?</v>
      </c>
      <c r="C512" s="204" t="str">
        <f>IF(B512="","","Verifiable?")</f>
        <v>Verifiable?</v>
      </c>
      <c r="D512" s="205" t="str">
        <f>IF(C513="","","Independent verification")</f>
        <v>Independent verification</v>
      </c>
      <c r="E512" s="573">
        <f>BI513</f>
        <v>0.58392857142857135</v>
      </c>
      <c r="F512" s="574"/>
      <c r="AA512" s="60"/>
      <c r="AB512" s="60" t="s">
        <v>314</v>
      </c>
      <c r="AF512" s="220"/>
      <c r="AG512" s="60" t="s">
        <v>315</v>
      </c>
      <c r="AM512" s="221"/>
      <c r="AN512" s="60" t="s">
        <v>316</v>
      </c>
      <c r="AV512" s="222"/>
      <c r="AX512" s="207" t="s">
        <v>317</v>
      </c>
      <c r="AZ512" s="208" t="s">
        <v>318</v>
      </c>
      <c r="BB512" s="209" t="s">
        <v>319</v>
      </c>
      <c r="BD512" s="208" t="s">
        <v>320</v>
      </c>
      <c r="BG512" s="210" t="s">
        <v>326</v>
      </c>
      <c r="BH512" s="211" t="s">
        <v>327</v>
      </c>
      <c r="BI512" s="210" t="s">
        <v>321</v>
      </c>
      <c r="BJ512" s="211" t="s">
        <v>322</v>
      </c>
    </row>
    <row r="513" spans="1:62" ht="15" thickTop="1" thickBot="1" x14ac:dyDescent="0.3">
      <c r="A513" s="202"/>
      <c r="B513" s="212" t="s">
        <v>331</v>
      </c>
      <c r="C513" s="213" t="s">
        <v>332</v>
      </c>
      <c r="D513" s="223"/>
      <c r="E513" s="573">
        <f>BJ513</f>
        <v>0.47142857142857131</v>
      </c>
      <c r="F513" s="574"/>
      <c r="AA513" s="112"/>
      <c r="AB513" s="112">
        <f>IF(B513=$B$1871,$AB$463,0)</f>
        <v>0</v>
      </c>
      <c r="AC513" s="112">
        <f>IF(B513=$B$1872,$AC$463,0)</f>
        <v>0</v>
      </c>
      <c r="AD513" s="112">
        <f>IF(B513=$B$1873,$AD$463,0)</f>
        <v>0</v>
      </c>
      <c r="AE513" s="112">
        <f>IF(B513=$B$1874,$AE$463,0)</f>
        <v>5</v>
      </c>
      <c r="AF513" s="224">
        <f>SUM(AB513:AE513)</f>
        <v>5</v>
      </c>
      <c r="AG513" s="112">
        <f>IF(C513=$B$1877,$E$1877,0)</f>
        <v>0</v>
      </c>
      <c r="AH513" s="112">
        <f>IF(C513=$B$1878,$E$1878,0)</f>
        <v>0</v>
      </c>
      <c r="AI513" s="112">
        <f>IF(C513=$B$1879,$E$1879,0)</f>
        <v>0</v>
      </c>
      <c r="AJ513" s="112">
        <f>IF(C513=$B$1880,$E$1880,0)</f>
        <v>0</v>
      </c>
      <c r="AK513" s="112">
        <f>IF(C513=$B$1881,$E$1881,0)</f>
        <v>0</v>
      </c>
      <c r="AL513" s="112">
        <f>IF(C513=$B$1882,$E$1882,0)</f>
        <v>0.5</v>
      </c>
      <c r="AM513" s="225">
        <f>SUM(AG513:AL513)</f>
        <v>0.5</v>
      </c>
      <c r="AN513" s="112">
        <f>IF($D513=$B$1885,AN$463,0)</f>
        <v>0</v>
      </c>
      <c r="AO513" s="112">
        <f>IF($D513=$B$1886,AO$463,0)</f>
        <v>0</v>
      </c>
      <c r="AP513" s="112">
        <f>IF($D513=$B$1887,AP$463,0)</f>
        <v>0</v>
      </c>
      <c r="AQ513" s="112">
        <f>IF($D513=$B$1888,AQ$463,0)</f>
        <v>0</v>
      </c>
      <c r="AR513" s="112">
        <f>IF($D513=$B$1889,AR$463,0)</f>
        <v>0</v>
      </c>
      <c r="AS513" s="112">
        <f>IF($D513=$B$1890,AS$463,0)</f>
        <v>0</v>
      </c>
      <c r="AT513" s="112">
        <f>IF($D513=$B$1891,AT$463,0)</f>
        <v>0</v>
      </c>
      <c r="AU513" s="112">
        <f>IF($D513=$B$1892,AU$463,0)</f>
        <v>0</v>
      </c>
      <c r="AV513" s="226">
        <f>SUM(AN513:AU513)</f>
        <v>0</v>
      </c>
      <c r="AX513" s="216">
        <f>AF513*AM513</f>
        <v>2.5</v>
      </c>
      <c r="AZ513" s="158">
        <f>AX513+(AV513*AM513)</f>
        <v>2.5</v>
      </c>
      <c r="BB513" s="217">
        <f>(AF513*AM513)*0.01</f>
        <v>2.5000000000000001E-2</v>
      </c>
      <c r="BD513" s="218">
        <f>AZ513*0.01</f>
        <v>2.5000000000000001E-2</v>
      </c>
      <c r="BE513" s="199"/>
      <c r="BG513" s="217">
        <f>IF(AF513&gt;0,BG508+BB513,BG508)</f>
        <v>0.58392857142857135</v>
      </c>
      <c r="BH513" s="218">
        <f>IF(AV513&gt;0,BH508+BD513,BH508)</f>
        <v>0.47142857142857131</v>
      </c>
      <c r="BI513" s="217">
        <f>IF(BG513&gt;0.99,0.99,BG513)</f>
        <v>0.58392857142857135</v>
      </c>
      <c r="BJ513" s="218">
        <f>IF(BH513&gt;0.99,0.99,BH513)</f>
        <v>0.47142857142857131</v>
      </c>
    </row>
    <row r="514" spans="1:62" ht="4.95" customHeight="1" thickTop="1" x14ac:dyDescent="0.25">
      <c r="A514" s="203"/>
      <c r="B514" s="203"/>
      <c r="C514" s="203"/>
      <c r="D514" s="203"/>
      <c r="E514" s="203"/>
      <c r="F514" s="1"/>
    </row>
    <row r="515" spans="1:62" ht="15.6" x14ac:dyDescent="0.25">
      <c r="A515" s="200">
        <f>A509+1</f>
        <v>24</v>
      </c>
      <c r="B515" s="200" t="s">
        <v>355</v>
      </c>
      <c r="C515" s="200"/>
      <c r="D515" s="201" t="str">
        <f>IF(B517="","If claimed, explain in white box below.","")</f>
        <v/>
      </c>
      <c r="E515" s="203"/>
      <c r="F515" s="1"/>
    </row>
    <row r="516" spans="1:62" x14ac:dyDescent="0.25">
      <c r="A516" s="202"/>
      <c r="B516" s="567" t="s">
        <v>356</v>
      </c>
      <c r="C516" s="568"/>
      <c r="D516" s="569"/>
      <c r="E516" s="203"/>
      <c r="F516" s="1"/>
    </row>
    <row r="517" spans="1:62" ht="160.05000000000001" customHeight="1" thickBot="1" x14ac:dyDescent="0.3">
      <c r="A517" s="202"/>
      <c r="B517" s="570" t="s">
        <v>357</v>
      </c>
      <c r="C517" s="571"/>
      <c r="D517" s="572"/>
      <c r="E517" s="203"/>
      <c r="F517" s="1"/>
    </row>
    <row r="518" spans="1:62" ht="15" thickTop="1" thickBot="1" x14ac:dyDescent="0.3">
      <c r="A518" s="202"/>
      <c r="B518" s="204" t="str">
        <f>IF(B517="","","Claimed?")</f>
        <v>Claimed?</v>
      </c>
      <c r="C518" s="204" t="str">
        <f>IF(B518="","","Verifiable?")</f>
        <v>Verifiable?</v>
      </c>
      <c r="D518" s="205" t="str">
        <f>IF(C519="","","Independent verification")</f>
        <v>Independent verification</v>
      </c>
      <c r="E518" s="573">
        <f>BI519</f>
        <v>0.60142857142857131</v>
      </c>
      <c r="F518" s="574"/>
      <c r="AA518" s="60"/>
      <c r="AB518" s="60" t="s">
        <v>314</v>
      </c>
      <c r="AF518" s="220"/>
      <c r="AG518" s="60" t="s">
        <v>315</v>
      </c>
      <c r="AM518" s="221"/>
      <c r="AN518" s="60" t="s">
        <v>316</v>
      </c>
      <c r="AV518" s="222"/>
      <c r="AX518" s="207" t="s">
        <v>317</v>
      </c>
      <c r="AZ518" s="208" t="s">
        <v>318</v>
      </c>
      <c r="BB518" s="209" t="s">
        <v>319</v>
      </c>
      <c r="BD518" s="208" t="s">
        <v>320</v>
      </c>
      <c r="BG518" s="210" t="s">
        <v>326</v>
      </c>
      <c r="BH518" s="211" t="s">
        <v>327</v>
      </c>
      <c r="BI518" s="210" t="s">
        <v>321</v>
      </c>
      <c r="BJ518" s="211" t="s">
        <v>322</v>
      </c>
    </row>
    <row r="519" spans="1:62" ht="15" thickTop="1" thickBot="1" x14ac:dyDescent="0.3">
      <c r="A519" s="202"/>
      <c r="B519" s="212" t="s">
        <v>331</v>
      </c>
      <c r="C519" s="213" t="s">
        <v>358</v>
      </c>
      <c r="D519" s="223"/>
      <c r="E519" s="573">
        <f>BJ519</f>
        <v>0.47142857142857131</v>
      </c>
      <c r="F519" s="574"/>
      <c r="AA519" s="112"/>
      <c r="AB519" s="112">
        <f>IF(B519=$B$1871,$AB$463,0)</f>
        <v>0</v>
      </c>
      <c r="AC519" s="112">
        <f>IF(B519=$B$1872,$AC$463,0)</f>
        <v>0</v>
      </c>
      <c r="AD519" s="112">
        <f>IF(B519=$B$1873,$AD$463,0)</f>
        <v>0</v>
      </c>
      <c r="AE519" s="112">
        <f>IF(B519=$B$1874,$AE$463,0)</f>
        <v>5</v>
      </c>
      <c r="AF519" s="224">
        <f>SUM(AB519:AE519)</f>
        <v>5</v>
      </c>
      <c r="AG519" s="112">
        <f>IF(C519=$B$1877,$E$1877,0)</f>
        <v>0</v>
      </c>
      <c r="AH519" s="112">
        <f>IF(C519=$B$1878,$E$1878,0)</f>
        <v>0</v>
      </c>
      <c r="AI519" s="112">
        <f>IF(C519=$B$1879,$E$1879,0)</f>
        <v>0.35000000000000003</v>
      </c>
      <c r="AJ519" s="112">
        <f>IF(C519=$B$1880,$E$1880,0)</f>
        <v>0</v>
      </c>
      <c r="AK519" s="112">
        <f>IF(C519=$B$1881,$E$1881,0)</f>
        <v>0</v>
      </c>
      <c r="AL519" s="112">
        <f>IF(C519=$B$1882,$E$1882,0)</f>
        <v>0</v>
      </c>
      <c r="AM519" s="225">
        <f>SUM(AG519:AL519)</f>
        <v>0.35000000000000003</v>
      </c>
      <c r="AN519" s="112">
        <f>IF($D519=$B$1885,AN$463,0)</f>
        <v>0</v>
      </c>
      <c r="AO519" s="112">
        <f>IF($D519=$B$1886,AO$463,0)</f>
        <v>0</v>
      </c>
      <c r="AP519" s="112">
        <f>IF($D519=$B$1887,AP$463,0)</f>
        <v>0</v>
      </c>
      <c r="AQ519" s="112">
        <f>IF($D519=$B$1888,AQ$463,0)</f>
        <v>0</v>
      </c>
      <c r="AR519" s="112">
        <f>IF($D519=$B$1889,AR$463,0)</f>
        <v>0</v>
      </c>
      <c r="AS519" s="112">
        <f>IF($D519=$B$1890,AS$463,0)</f>
        <v>0</v>
      </c>
      <c r="AT519" s="112">
        <f>IF($D519=$B$1891,AT$463,0)</f>
        <v>0</v>
      </c>
      <c r="AU519" s="112">
        <f>IF($D519=$B$1892,AU$463,0)</f>
        <v>0</v>
      </c>
      <c r="AV519" s="226">
        <f>SUM(AN519:AU519)</f>
        <v>0</v>
      </c>
      <c r="AX519" s="216">
        <f>AF519*AM519</f>
        <v>1.7500000000000002</v>
      </c>
      <c r="AZ519" s="158">
        <f>AX519+(AV519*AM519)</f>
        <v>1.7500000000000002</v>
      </c>
      <c r="BB519" s="217">
        <f>(AF519*AM519)*0.01</f>
        <v>1.7500000000000002E-2</v>
      </c>
      <c r="BD519" s="218">
        <f>AZ519*0.01</f>
        <v>1.7500000000000002E-2</v>
      </c>
      <c r="BE519" s="199"/>
      <c r="BG519" s="217">
        <f>IF(AF519&gt;0,BG513+BB519,BG513)</f>
        <v>0.60142857142857131</v>
      </c>
      <c r="BH519" s="218">
        <f>IF(AV519&gt;0,BH513+BD519,BH513)</f>
        <v>0.47142857142857131</v>
      </c>
      <c r="BI519" s="217">
        <f>IF(BG519&gt;0.99,0.99,BG519)</f>
        <v>0.60142857142857131</v>
      </c>
      <c r="BJ519" s="218">
        <f>IF(BH519&gt;0.99,0.99,BH519)</f>
        <v>0.47142857142857131</v>
      </c>
    </row>
    <row r="520" spans="1:62" ht="16.2" thickTop="1" x14ac:dyDescent="0.25">
      <c r="A520" s="200">
        <f>A515+1</f>
        <v>25</v>
      </c>
      <c r="B520" s="200" t="s">
        <v>359</v>
      </c>
      <c r="C520" s="200"/>
      <c r="D520" s="201" t="str">
        <f>IF(B522="","If claimed, explain in white box below.","")</f>
        <v/>
      </c>
      <c r="E520" s="203"/>
      <c r="F520" s="1"/>
    </row>
    <row r="521" spans="1:62" x14ac:dyDescent="0.25">
      <c r="A521" s="202"/>
      <c r="B521" s="567" t="s">
        <v>360</v>
      </c>
      <c r="C521" s="568"/>
      <c r="D521" s="569"/>
      <c r="E521" s="203"/>
      <c r="F521" s="1"/>
    </row>
    <row r="522" spans="1:62" ht="160.05000000000001" customHeight="1" thickBot="1" x14ac:dyDescent="0.3">
      <c r="A522" s="202"/>
      <c r="B522" s="570" t="s">
        <v>361</v>
      </c>
      <c r="C522" s="571"/>
      <c r="D522" s="572"/>
      <c r="E522" s="203"/>
      <c r="F522" s="1"/>
    </row>
    <row r="523" spans="1:62" ht="15" thickTop="1" thickBot="1" x14ac:dyDescent="0.3">
      <c r="A523" s="202"/>
      <c r="B523" s="204" t="str">
        <f>IF(B522="","","Claimed?")</f>
        <v>Claimed?</v>
      </c>
      <c r="C523" s="204" t="str">
        <f>IF(B523="","","Verifiable?")</f>
        <v>Verifiable?</v>
      </c>
      <c r="D523" s="205" t="str">
        <f>IF(C524="","","Independent verification")</f>
        <v>Independent verification</v>
      </c>
      <c r="E523" s="573">
        <f>BI524</f>
        <v>0.62642857142857133</v>
      </c>
      <c r="F523" s="574"/>
      <c r="AA523" s="60"/>
      <c r="AB523" s="60" t="s">
        <v>314</v>
      </c>
      <c r="AF523" s="220"/>
      <c r="AG523" s="60" t="s">
        <v>315</v>
      </c>
      <c r="AM523" s="221"/>
      <c r="AN523" s="60" t="s">
        <v>316</v>
      </c>
      <c r="AV523" s="222"/>
      <c r="AX523" s="207" t="s">
        <v>317</v>
      </c>
      <c r="AZ523" s="208" t="s">
        <v>318</v>
      </c>
      <c r="BB523" s="209" t="s">
        <v>319</v>
      </c>
      <c r="BD523" s="208" t="s">
        <v>320</v>
      </c>
      <c r="BG523" s="210" t="s">
        <v>326</v>
      </c>
      <c r="BH523" s="211" t="s">
        <v>327</v>
      </c>
      <c r="BI523" s="210" t="s">
        <v>321</v>
      </c>
      <c r="BJ523" s="211" t="s">
        <v>322</v>
      </c>
    </row>
    <row r="524" spans="1:62" ht="15" thickTop="1" thickBot="1" x14ac:dyDescent="0.3">
      <c r="A524" s="202"/>
      <c r="B524" s="212" t="s">
        <v>331</v>
      </c>
      <c r="C524" s="213" t="s">
        <v>332</v>
      </c>
      <c r="D524" s="223"/>
      <c r="E524" s="573">
        <f>BJ524</f>
        <v>0.47142857142857131</v>
      </c>
      <c r="F524" s="574"/>
      <c r="AA524" s="112"/>
      <c r="AB524" s="112">
        <f>IF(B524=$B$1871,$AB$463,0)</f>
        <v>0</v>
      </c>
      <c r="AC524" s="112">
        <f>IF(B524=$B$1872,$AC$463,0)</f>
        <v>0</v>
      </c>
      <c r="AD524" s="112">
        <f>IF(B524=$B$1873,$AD$463,0)</f>
        <v>0</v>
      </c>
      <c r="AE524" s="112">
        <f>IF(B524=$B$1874,$AE$463,0)</f>
        <v>5</v>
      </c>
      <c r="AF524" s="224">
        <f>SUM(AB524:AE524)</f>
        <v>5</v>
      </c>
      <c r="AG524" s="112">
        <f>IF(C524=$B$1877,$E$1877,0)</f>
        <v>0</v>
      </c>
      <c r="AH524" s="112">
        <f>IF(C524=$B$1878,$E$1878,0)</f>
        <v>0</v>
      </c>
      <c r="AI524" s="112">
        <f>IF(C524=$B$1879,$E$1879,0)</f>
        <v>0</v>
      </c>
      <c r="AJ524" s="112">
        <f>IF(C524=$B$1880,$E$1880,0)</f>
        <v>0</v>
      </c>
      <c r="AK524" s="112">
        <f>IF(C524=$B$1881,$E$1881,0)</f>
        <v>0</v>
      </c>
      <c r="AL524" s="112">
        <f>IF(C524=$B$1882,$E$1882,0)</f>
        <v>0.5</v>
      </c>
      <c r="AM524" s="225">
        <f>SUM(AG524:AL524)</f>
        <v>0.5</v>
      </c>
      <c r="AN524" s="112">
        <f>IF($D524=$B$1885,AN$463,0)</f>
        <v>0</v>
      </c>
      <c r="AO524" s="112">
        <f>IF($D524=$B$1886,AO$463,0)</f>
        <v>0</v>
      </c>
      <c r="AP524" s="112">
        <f>IF($D524=$B$1887,AP$463,0)</f>
        <v>0</v>
      </c>
      <c r="AQ524" s="112">
        <f>IF($D524=$B$1888,AQ$463,0)</f>
        <v>0</v>
      </c>
      <c r="AR524" s="112">
        <f>IF($D524=$B$1889,AR$463,0)</f>
        <v>0</v>
      </c>
      <c r="AS524" s="112">
        <f>IF($D524=$B$1890,AS$463,0)</f>
        <v>0</v>
      </c>
      <c r="AT524" s="112">
        <f>IF($D524=$B$1891,AT$463,0)</f>
        <v>0</v>
      </c>
      <c r="AU524" s="112">
        <f>IF($D524=$B$1892,AU$463,0)</f>
        <v>0</v>
      </c>
      <c r="AV524" s="226">
        <f>SUM(AN524:AU524)</f>
        <v>0</v>
      </c>
      <c r="AX524" s="216">
        <f>AF524*AM524</f>
        <v>2.5</v>
      </c>
      <c r="AZ524" s="158">
        <f>AX524+(AV524*AM524)</f>
        <v>2.5</v>
      </c>
      <c r="BB524" s="217">
        <f>(AF524*AM524)*0.01</f>
        <v>2.5000000000000001E-2</v>
      </c>
      <c r="BD524" s="218">
        <f>AZ524*0.01</f>
        <v>2.5000000000000001E-2</v>
      </c>
      <c r="BE524" s="199"/>
      <c r="BG524" s="217">
        <f>IF(AF524&gt;0,BG519+BB524,BG519)</f>
        <v>0.62642857142857133</v>
      </c>
      <c r="BH524" s="218">
        <f>IF(AV524&gt;0,BH519+BD524,BH519)</f>
        <v>0.47142857142857131</v>
      </c>
      <c r="BI524" s="217">
        <f>IF(BG524&gt;0.99,0.99,BG524)</f>
        <v>0.62642857142857133</v>
      </c>
      <c r="BJ524" s="218">
        <f>IF(BH524&gt;0.99,0.99,BH524)</f>
        <v>0.47142857142857131</v>
      </c>
    </row>
    <row r="525" spans="1:62" ht="16.2" thickTop="1" x14ac:dyDescent="0.25">
      <c r="A525" s="200">
        <f>A520+1</f>
        <v>26</v>
      </c>
      <c r="B525" s="200" t="s">
        <v>362</v>
      </c>
      <c r="C525" s="200"/>
      <c r="D525" s="201" t="str">
        <f>IF(B527="","If claimed, explain in white box below.","")</f>
        <v/>
      </c>
      <c r="E525" s="203"/>
      <c r="F525" s="1"/>
    </row>
    <row r="526" spans="1:62" x14ac:dyDescent="0.25">
      <c r="A526" s="202"/>
      <c r="B526" s="567" t="s">
        <v>363</v>
      </c>
      <c r="C526" s="568"/>
      <c r="D526" s="569"/>
      <c r="E526" s="203"/>
      <c r="F526" s="1"/>
    </row>
    <row r="527" spans="1:62" ht="160.05000000000001" customHeight="1" thickBot="1" x14ac:dyDescent="0.3">
      <c r="A527" s="202"/>
      <c r="B527" s="570" t="s">
        <v>364</v>
      </c>
      <c r="C527" s="571"/>
      <c r="D527" s="572"/>
      <c r="E527" s="203"/>
      <c r="F527" s="1"/>
    </row>
    <row r="528" spans="1:62" ht="15" thickTop="1" thickBot="1" x14ac:dyDescent="0.3">
      <c r="A528" s="202"/>
      <c r="B528" s="204" t="str">
        <f>IF(B527="","","Claimed?")</f>
        <v>Claimed?</v>
      </c>
      <c r="C528" s="204" t="str">
        <f>IF(B528="","","Verifiable?")</f>
        <v>Verifiable?</v>
      </c>
      <c r="D528" s="205" t="str">
        <f>IF(C529="","","Independent verification")</f>
        <v>Independent verification</v>
      </c>
      <c r="E528" s="573">
        <f>BI529</f>
        <v>0.65142857142857136</v>
      </c>
      <c r="F528" s="574"/>
      <c r="AA528" s="60"/>
      <c r="AB528" s="60" t="s">
        <v>314</v>
      </c>
      <c r="AF528" s="220"/>
      <c r="AG528" s="60" t="s">
        <v>315</v>
      </c>
      <c r="AM528" s="221"/>
      <c r="AN528" s="60" t="s">
        <v>316</v>
      </c>
      <c r="AV528" s="222"/>
      <c r="AX528" s="207" t="s">
        <v>317</v>
      </c>
      <c r="AZ528" s="208" t="s">
        <v>318</v>
      </c>
      <c r="BB528" s="209" t="s">
        <v>319</v>
      </c>
      <c r="BD528" s="208" t="s">
        <v>320</v>
      </c>
      <c r="BG528" s="210" t="s">
        <v>326</v>
      </c>
      <c r="BH528" s="211" t="s">
        <v>327</v>
      </c>
      <c r="BI528" s="210" t="s">
        <v>321</v>
      </c>
      <c r="BJ528" s="211" t="s">
        <v>322</v>
      </c>
    </row>
    <row r="529" spans="1:62" ht="15" thickTop="1" thickBot="1" x14ac:dyDescent="0.3">
      <c r="A529" s="202"/>
      <c r="B529" s="212" t="s">
        <v>331</v>
      </c>
      <c r="C529" s="213" t="s">
        <v>332</v>
      </c>
      <c r="D529" s="223"/>
      <c r="E529" s="573">
        <f>BJ529</f>
        <v>0.47142857142857131</v>
      </c>
      <c r="F529" s="574"/>
      <c r="AA529" s="112"/>
      <c r="AB529" s="112">
        <f>IF(B529=$B$1871,$AB$463,0)</f>
        <v>0</v>
      </c>
      <c r="AC529" s="112">
        <f>IF(B529=$B$1872,$AC$463,0)</f>
        <v>0</v>
      </c>
      <c r="AD529" s="112">
        <f>IF(B529=$B$1873,$AD$463,0)</f>
        <v>0</v>
      </c>
      <c r="AE529" s="112">
        <f>IF(B529=$B$1874,$AE$463,0)</f>
        <v>5</v>
      </c>
      <c r="AF529" s="224">
        <f>SUM(AB529:AE529)</f>
        <v>5</v>
      </c>
      <c r="AG529" s="112">
        <f>IF(C529=$B$1877,$E$1877,0)</f>
        <v>0</v>
      </c>
      <c r="AH529" s="112">
        <f>IF(C529=$B$1878,$E$1878,0)</f>
        <v>0</v>
      </c>
      <c r="AI529" s="112">
        <f>IF(C529=$B$1879,$E$1879,0)</f>
        <v>0</v>
      </c>
      <c r="AJ529" s="112">
        <f>IF(C529=$B$1880,$E$1880,0)</f>
        <v>0</v>
      </c>
      <c r="AK529" s="112">
        <f>IF(C529=$B$1881,$E$1881,0)</f>
        <v>0</v>
      </c>
      <c r="AL529" s="112">
        <f>IF(C529=$B$1882,$E$1882,0)</f>
        <v>0.5</v>
      </c>
      <c r="AM529" s="225">
        <f>SUM(AG529:AL529)</f>
        <v>0.5</v>
      </c>
      <c r="AN529" s="112">
        <f>IF($D529=$B$1885,AN$463,0)</f>
        <v>0</v>
      </c>
      <c r="AO529" s="112">
        <f>IF($D529=$B$1886,AO$463,0)</f>
        <v>0</v>
      </c>
      <c r="AP529" s="112">
        <f>IF($D529=$B$1887,AP$463,0)</f>
        <v>0</v>
      </c>
      <c r="AQ529" s="112">
        <f>IF($D529=$B$1888,AQ$463,0)</f>
        <v>0</v>
      </c>
      <c r="AR529" s="112">
        <f>IF($D529=$B$1889,AR$463,0)</f>
        <v>0</v>
      </c>
      <c r="AS529" s="112">
        <f>IF($D529=$B$1890,AS$463,0)</f>
        <v>0</v>
      </c>
      <c r="AT529" s="112">
        <f>IF($D529=$B$1891,AT$463,0)</f>
        <v>0</v>
      </c>
      <c r="AU529" s="112">
        <f>IF($D529=$B$1892,AU$463,0)</f>
        <v>0</v>
      </c>
      <c r="AV529" s="226">
        <f>SUM(AN529:AU529)</f>
        <v>0</v>
      </c>
      <c r="AX529" s="216">
        <f>AF529*AM529</f>
        <v>2.5</v>
      </c>
      <c r="AZ529" s="158">
        <f>AX529+(AV529*AM529)</f>
        <v>2.5</v>
      </c>
      <c r="BB529" s="217">
        <f>(AF529*AM529)*0.01</f>
        <v>2.5000000000000001E-2</v>
      </c>
      <c r="BD529" s="218">
        <f>AZ529*0.01</f>
        <v>2.5000000000000001E-2</v>
      </c>
      <c r="BE529" s="199"/>
      <c r="BG529" s="217">
        <f>IF(AF529&gt;0,BG524+BB529,BG524)</f>
        <v>0.65142857142857136</v>
      </c>
      <c r="BH529" s="218">
        <f>IF(AV529&gt;0,BH524+BD529,BH524)</f>
        <v>0.47142857142857131</v>
      </c>
      <c r="BI529" s="217">
        <f>IF(BG529&gt;0.99,0.99,BG529)</f>
        <v>0.65142857142857136</v>
      </c>
      <c r="BJ529" s="218">
        <f>IF(BH529&gt;0.99,0.99,BH529)</f>
        <v>0.47142857142857131</v>
      </c>
    </row>
    <row r="530" spans="1:62" ht="14.4" thickTop="1" x14ac:dyDescent="0.25">
      <c r="A530" s="202"/>
      <c r="B530" s="203"/>
      <c r="C530" s="203"/>
      <c r="D530" s="203"/>
      <c r="E530" s="203"/>
      <c r="F530" s="1"/>
    </row>
    <row r="531" spans="1:62" ht="30" customHeight="1" x14ac:dyDescent="0.25">
      <c r="A531" s="188" t="s">
        <v>77</v>
      </c>
      <c r="B531" s="46" t="s">
        <v>365</v>
      </c>
      <c r="C531" s="46"/>
      <c r="D531" s="46"/>
      <c r="E531" s="46"/>
      <c r="F531" s="475" t="s">
        <v>949</v>
      </c>
    </row>
    <row r="532" spans="1:62" ht="19.95" customHeight="1" x14ac:dyDescent="0.25">
      <c r="A532" s="108" t="s">
        <v>366</v>
      </c>
      <c r="B532" s="109"/>
      <c r="C532" s="109"/>
      <c r="D532" s="109"/>
      <c r="E532" s="110"/>
      <c r="F532" s="108"/>
      <c r="AA532" s="190"/>
      <c r="AB532" s="190">
        <v>0</v>
      </c>
      <c r="AC532" s="191">
        <f>AD532/2</f>
        <v>0.75</v>
      </c>
      <c r="AD532" s="192">
        <f>AE532/2</f>
        <v>1.5</v>
      </c>
      <c r="AE532" s="193">
        <v>3</v>
      </c>
      <c r="AF532" s="120"/>
      <c r="AG532" s="120"/>
      <c r="AH532" s="120"/>
      <c r="AI532" s="120"/>
      <c r="AJ532" s="120"/>
      <c r="AK532" s="120"/>
      <c r="AL532" s="120"/>
      <c r="AM532" s="120"/>
      <c r="AN532" s="194">
        <f>AE532*-2</f>
        <v>-6</v>
      </c>
      <c r="AO532" s="190">
        <f>AE532*-1</f>
        <v>-3</v>
      </c>
      <c r="AP532" s="190">
        <f>AD532*-1</f>
        <v>-1.5</v>
      </c>
      <c r="AQ532" s="195">
        <f>AE532*-0.1</f>
        <v>-0.30000000000000004</v>
      </c>
      <c r="AR532" s="195">
        <v>0</v>
      </c>
      <c r="AS532" s="195">
        <f>AE532*0.1</f>
        <v>0.30000000000000004</v>
      </c>
      <c r="AT532" s="192">
        <f>AD532</f>
        <v>1.5</v>
      </c>
      <c r="AU532" s="193">
        <f>AE532</f>
        <v>3</v>
      </c>
      <c r="AV532" s="196"/>
      <c r="AW532" s="120"/>
      <c r="AX532" s="120"/>
      <c r="AY532" s="120"/>
      <c r="AZ532" s="120"/>
      <c r="BA532" s="120"/>
      <c r="BB532" s="197"/>
      <c r="BC532" s="120"/>
      <c r="BD532" s="120"/>
      <c r="BE532" s="120"/>
      <c r="BF532" s="120"/>
      <c r="BG532" s="229">
        <f>BG498</f>
        <v>0.47142857142857131</v>
      </c>
    </row>
    <row r="533" spans="1:62" ht="15.6" x14ac:dyDescent="0.25">
      <c r="A533" s="200">
        <f>A525+1</f>
        <v>27</v>
      </c>
      <c r="B533" s="200" t="s">
        <v>367</v>
      </c>
      <c r="C533" s="200"/>
      <c r="D533" s="201" t="str">
        <f>IF(B535="","If claimed, explain in white box below.","")</f>
        <v/>
      </c>
      <c r="E533" s="203"/>
      <c r="F533" s="1"/>
    </row>
    <row r="534" spans="1:62" x14ac:dyDescent="0.25">
      <c r="A534" s="202"/>
      <c r="B534" s="567" t="s">
        <v>368</v>
      </c>
      <c r="C534" s="568"/>
      <c r="D534" s="569"/>
      <c r="E534" s="203"/>
      <c r="F534" s="1"/>
    </row>
    <row r="535" spans="1:62" ht="136.94999999999999" customHeight="1" thickBot="1" x14ac:dyDescent="0.3">
      <c r="A535" s="202"/>
      <c r="B535" s="570" t="s">
        <v>369</v>
      </c>
      <c r="C535" s="571"/>
      <c r="D535" s="572"/>
      <c r="E535" s="203"/>
      <c r="F535" s="1"/>
    </row>
    <row r="536" spans="1:62" ht="15" thickTop="1" thickBot="1" x14ac:dyDescent="0.3">
      <c r="A536" s="202"/>
      <c r="B536" s="204" t="str">
        <f>IF(B535="","","Claimed?")</f>
        <v>Claimed?</v>
      </c>
      <c r="C536" s="204" t="str">
        <f>IF(B536="","","Verifiable?")</f>
        <v>Verifiable?</v>
      </c>
      <c r="D536" s="205" t="str">
        <f>IF(C537="","","Independent verification")</f>
        <v>Independent verification</v>
      </c>
      <c r="E536" s="573">
        <f>BI537</f>
        <v>0.66642857142857137</v>
      </c>
      <c r="F536" s="574"/>
      <c r="AA536" s="60"/>
      <c r="AB536" s="60" t="s">
        <v>314</v>
      </c>
      <c r="AF536" s="220"/>
      <c r="AG536" s="60" t="s">
        <v>315</v>
      </c>
      <c r="AM536" s="221"/>
      <c r="AN536" s="60" t="s">
        <v>316</v>
      </c>
      <c r="AV536" s="222"/>
      <c r="AX536" s="207" t="s">
        <v>317</v>
      </c>
      <c r="AZ536" s="208" t="s">
        <v>318</v>
      </c>
      <c r="BB536" s="209" t="s">
        <v>319</v>
      </c>
      <c r="BD536" s="208" t="s">
        <v>320</v>
      </c>
      <c r="BG536" s="210" t="s">
        <v>326</v>
      </c>
      <c r="BH536" s="211" t="s">
        <v>327</v>
      </c>
      <c r="BI536" s="210" t="s">
        <v>321</v>
      </c>
      <c r="BJ536" s="211" t="s">
        <v>322</v>
      </c>
    </row>
    <row r="537" spans="1:62" ht="15" thickTop="1" thickBot="1" x14ac:dyDescent="0.3">
      <c r="A537" s="202"/>
      <c r="B537" s="212" t="s">
        <v>331</v>
      </c>
      <c r="C537" s="213" t="s">
        <v>351</v>
      </c>
      <c r="D537" s="223"/>
      <c r="E537" s="573">
        <f>BJ537</f>
        <v>0.47142857142857131</v>
      </c>
      <c r="F537" s="574"/>
      <c r="AA537" s="112"/>
      <c r="AB537" s="112">
        <f>IF(B537=$B$1871,$AB$463,0)</f>
        <v>0</v>
      </c>
      <c r="AC537" s="112">
        <f>IF(B537=$B$1872,$AC$463,0)</f>
        <v>0</v>
      </c>
      <c r="AD537" s="112">
        <f>IF(B537=$B$1873,$AD$463,0)</f>
        <v>0</v>
      </c>
      <c r="AE537" s="112">
        <f>IF(B537=$B$1874,$AE$463,0)</f>
        <v>5</v>
      </c>
      <c r="AF537" s="224">
        <f>SUM(AB537:AE537)</f>
        <v>5</v>
      </c>
      <c r="AG537" s="112">
        <f>IF(C537=$B$1877,$E$1877,0)</f>
        <v>0</v>
      </c>
      <c r="AH537" s="112">
        <f>IF(C537=$B$1878,$E$1878,0)</f>
        <v>0.30000000000000004</v>
      </c>
      <c r="AI537" s="112">
        <f>IF(C537=$B$1879,$E$1879,0)</f>
        <v>0</v>
      </c>
      <c r="AJ537" s="112">
        <f>IF(C537=$B$1880,$E$1880,0)</f>
        <v>0</v>
      </c>
      <c r="AK537" s="112">
        <f>IF(C537=$B$1881,$E$1881,0)</f>
        <v>0</v>
      </c>
      <c r="AL537" s="112">
        <f>IF(C537=$B$1882,$E$1882,0)</f>
        <v>0</v>
      </c>
      <c r="AM537" s="225">
        <f>SUM(AG537:AL537)</f>
        <v>0.30000000000000004</v>
      </c>
      <c r="AN537" s="112">
        <f>IF($D537=$B$1885,AN$463,0)</f>
        <v>0</v>
      </c>
      <c r="AO537" s="112">
        <f>IF($D537=$B$1886,AO$463,0)</f>
        <v>0</v>
      </c>
      <c r="AP537" s="112">
        <f>IF($D537=$B$1887,AP$463,0)</f>
        <v>0</v>
      </c>
      <c r="AQ537" s="112">
        <f>IF($D537=$B$1888,AQ$463,0)</f>
        <v>0</v>
      </c>
      <c r="AR537" s="112">
        <f>IF($D537=$B$1889,AR$463,0)</f>
        <v>0</v>
      </c>
      <c r="AS537" s="112">
        <f>IF($D537=$B$1890,AS$463,0)</f>
        <v>0</v>
      </c>
      <c r="AT537" s="112">
        <f>IF($D537=$B$1891,AT$463,0)</f>
        <v>0</v>
      </c>
      <c r="AU537" s="112">
        <f>IF($D537=$B$1892,AU$463,0)</f>
        <v>0</v>
      </c>
      <c r="AV537" s="226">
        <f>SUM(AN537:AU537)</f>
        <v>0</v>
      </c>
      <c r="AX537" s="216">
        <f>AF537*AM537</f>
        <v>1.5000000000000002</v>
      </c>
      <c r="AZ537" s="158">
        <f>AX537+(AV537*AM537)</f>
        <v>1.5000000000000002</v>
      </c>
      <c r="BB537" s="217">
        <f>(AF537*AM537)*0.01</f>
        <v>1.5000000000000003E-2</v>
      </c>
      <c r="BD537" s="218">
        <f>AZ537*0.01</f>
        <v>1.5000000000000003E-2</v>
      </c>
      <c r="BE537" s="199"/>
      <c r="BG537" s="217">
        <f>IF(AF537&gt;0,BG529+BB537,BG529)</f>
        <v>0.66642857142857137</v>
      </c>
      <c r="BH537" s="218">
        <f>IF(AV537&gt;0,BH529+BD537,BH529)</f>
        <v>0.47142857142857131</v>
      </c>
      <c r="BI537" s="217">
        <f>IF(BG537&gt;0.99,0.99,BG537)</f>
        <v>0.66642857142857137</v>
      </c>
      <c r="BJ537" s="218">
        <f>IF(BH537&gt;0.99,0.99,BH537)</f>
        <v>0.47142857142857131</v>
      </c>
    </row>
    <row r="538" spans="1:62" ht="16.2" thickTop="1" x14ac:dyDescent="0.25">
      <c r="A538" s="200">
        <f>A533+1</f>
        <v>28</v>
      </c>
      <c r="B538" s="200" t="s">
        <v>370</v>
      </c>
      <c r="C538" s="230"/>
      <c r="D538" s="201" t="str">
        <f>IF(B540="","If claimed, explain in white box below.","")</f>
        <v/>
      </c>
      <c r="E538" s="203"/>
      <c r="F538" s="1"/>
    </row>
    <row r="539" spans="1:62" x14ac:dyDescent="0.25">
      <c r="A539" s="202"/>
      <c r="B539" s="567" t="s">
        <v>371</v>
      </c>
      <c r="C539" s="568"/>
      <c r="D539" s="569"/>
      <c r="E539" s="203"/>
      <c r="F539" s="1"/>
    </row>
    <row r="540" spans="1:62" ht="136.94999999999999" customHeight="1" thickBot="1" x14ac:dyDescent="0.3">
      <c r="A540" s="202"/>
      <c r="B540" s="570" t="s">
        <v>372</v>
      </c>
      <c r="C540" s="571"/>
      <c r="D540" s="572"/>
      <c r="E540" s="203"/>
      <c r="F540" s="1"/>
    </row>
    <row r="541" spans="1:62" ht="15" thickTop="1" thickBot="1" x14ac:dyDescent="0.3">
      <c r="A541" s="202"/>
      <c r="B541" s="204" t="str">
        <f>IF(B540="","","Claimed?")</f>
        <v>Claimed?</v>
      </c>
      <c r="C541" s="204" t="str">
        <f>IF(B541="","","Verifiable?")</f>
        <v>Verifiable?</v>
      </c>
      <c r="D541" s="205" t="str">
        <f>IF(C542="","","Independent verification")</f>
        <v>Independent verification</v>
      </c>
      <c r="E541" s="573">
        <f>BI542</f>
        <v>0.67892857142857133</v>
      </c>
      <c r="F541" s="574"/>
      <c r="AA541" s="60"/>
      <c r="AB541" s="60" t="s">
        <v>314</v>
      </c>
      <c r="AF541" s="220"/>
      <c r="AG541" s="60" t="s">
        <v>315</v>
      </c>
      <c r="AM541" s="221"/>
      <c r="AN541" s="60" t="s">
        <v>316</v>
      </c>
      <c r="AV541" s="222"/>
      <c r="AX541" s="207" t="s">
        <v>317</v>
      </c>
      <c r="AZ541" s="208" t="s">
        <v>318</v>
      </c>
      <c r="BB541" s="209" t="s">
        <v>319</v>
      </c>
      <c r="BD541" s="208" t="s">
        <v>320</v>
      </c>
      <c r="BG541" s="210" t="s">
        <v>326</v>
      </c>
      <c r="BH541" s="211" t="s">
        <v>327</v>
      </c>
      <c r="BI541" s="210" t="s">
        <v>321</v>
      </c>
      <c r="BJ541" s="211" t="s">
        <v>322</v>
      </c>
    </row>
    <row r="542" spans="1:62" ht="15" thickTop="1" thickBot="1" x14ac:dyDescent="0.3">
      <c r="A542" s="202"/>
      <c r="B542" s="212" t="s">
        <v>373</v>
      </c>
      <c r="C542" s="213" t="s">
        <v>332</v>
      </c>
      <c r="D542" s="223"/>
      <c r="E542" s="573">
        <f>BJ542</f>
        <v>0.47142857142857131</v>
      </c>
      <c r="F542" s="574"/>
      <c r="AA542" s="112"/>
      <c r="AB542" s="112">
        <f>IF(B542=$B$1871,$AB$463,0)</f>
        <v>0</v>
      </c>
      <c r="AC542" s="112">
        <f>IF(B542=$B$1872,$AC$463,0)</f>
        <v>0</v>
      </c>
      <c r="AD542" s="112">
        <f>IF(B542=$B$1873,$AD$463,0)</f>
        <v>2.5</v>
      </c>
      <c r="AE542" s="112">
        <f>IF(B542=$B$1874,$AE$463,0)</f>
        <v>0</v>
      </c>
      <c r="AF542" s="224">
        <f>SUM(AB542:AE542)</f>
        <v>2.5</v>
      </c>
      <c r="AG542" s="112">
        <f>IF(C542=$B$1877,$E$1877,0)</f>
        <v>0</v>
      </c>
      <c r="AH542" s="112">
        <f>IF(C542=$B$1878,$E$1878,0)</f>
        <v>0</v>
      </c>
      <c r="AI542" s="112">
        <f>IF(C542=$B$1879,$E$1879,0)</f>
        <v>0</v>
      </c>
      <c r="AJ542" s="112">
        <f>IF(C542=$B$1880,$E$1880,0)</f>
        <v>0</v>
      </c>
      <c r="AK542" s="112">
        <f>IF(C542=$B$1881,$E$1881,0)</f>
        <v>0</v>
      </c>
      <c r="AL542" s="112">
        <f>IF(C542=$B$1882,$E$1882,0)</f>
        <v>0.5</v>
      </c>
      <c r="AM542" s="225">
        <f>SUM(AG542:AL542)</f>
        <v>0.5</v>
      </c>
      <c r="AN542" s="112">
        <f>IF($D542=$B$1885,AN$463,0)</f>
        <v>0</v>
      </c>
      <c r="AO542" s="112">
        <f>IF($D542=$B$1886,AO$463,0)</f>
        <v>0</v>
      </c>
      <c r="AP542" s="112">
        <f>IF($D542=$B$1887,AP$463,0)</f>
        <v>0</v>
      </c>
      <c r="AQ542" s="112">
        <f>IF($D542=$B$1888,AQ$463,0)</f>
        <v>0</v>
      </c>
      <c r="AR542" s="112">
        <f>IF($D542=$B$1889,AR$463,0)</f>
        <v>0</v>
      </c>
      <c r="AS542" s="112">
        <f>IF($D542=$B$1890,AS$463,0)</f>
        <v>0</v>
      </c>
      <c r="AT542" s="112">
        <f>IF($D542=$B$1891,AT$463,0)</f>
        <v>0</v>
      </c>
      <c r="AU542" s="112">
        <f>IF($D542=$B$1892,AU$463,0)</f>
        <v>0</v>
      </c>
      <c r="AV542" s="226">
        <f>SUM(AN542:AU542)</f>
        <v>0</v>
      </c>
      <c r="AX542" s="216">
        <f>AF542*AM542</f>
        <v>1.25</v>
      </c>
      <c r="AZ542" s="158">
        <f>AX542+(AV542*AM542)</f>
        <v>1.25</v>
      </c>
      <c r="BB542" s="217">
        <f>(AF542*AM542)*0.01</f>
        <v>1.2500000000000001E-2</v>
      </c>
      <c r="BD542" s="218">
        <f>AZ542*0.01</f>
        <v>1.2500000000000001E-2</v>
      </c>
      <c r="BE542" s="199"/>
      <c r="BG542" s="217">
        <f>IF(AF542&gt;0,BG537+BB542,BG537)</f>
        <v>0.67892857142857133</v>
      </c>
      <c r="BH542" s="218">
        <f>IF(AV542&gt;0,BH537+BD542,BH537)</f>
        <v>0.47142857142857131</v>
      </c>
      <c r="BI542" s="217">
        <f>IF(BG542&gt;0.99,0.99,BG542)</f>
        <v>0.67892857142857133</v>
      </c>
      <c r="BJ542" s="218">
        <f>IF(BH542&gt;0.99,0.99,BH542)</f>
        <v>0.47142857142857131</v>
      </c>
    </row>
    <row r="543" spans="1:62" ht="16.2" thickTop="1" x14ac:dyDescent="0.25">
      <c r="A543" s="200">
        <f>A538+1</f>
        <v>29</v>
      </c>
      <c r="B543" s="200" t="s">
        <v>374</v>
      </c>
      <c r="C543" s="200"/>
      <c r="D543" s="201" t="str">
        <f>IF(B545="","If claimed, explain in white box below.","")</f>
        <v>If claimed, explain in white box below.</v>
      </c>
      <c r="E543" s="203"/>
      <c r="F543" s="1"/>
    </row>
    <row r="544" spans="1:62" ht="45" customHeight="1" x14ac:dyDescent="0.25">
      <c r="A544" s="202"/>
      <c r="B544" s="567" t="s">
        <v>375</v>
      </c>
      <c r="C544" s="568"/>
      <c r="D544" s="569"/>
      <c r="E544" s="203"/>
      <c r="F544" s="1"/>
    </row>
    <row r="545" spans="1:62" ht="136.94999999999999" customHeight="1" thickBot="1" x14ac:dyDescent="0.3">
      <c r="A545" s="202"/>
      <c r="B545" s="570"/>
      <c r="C545" s="571"/>
      <c r="D545" s="572"/>
      <c r="E545" s="203"/>
      <c r="F545" s="1"/>
    </row>
    <row r="546" spans="1:62" ht="15" thickTop="1" thickBot="1" x14ac:dyDescent="0.3">
      <c r="A546" s="202"/>
      <c r="B546" s="204" t="str">
        <f>IF(B545="","","Claimed?")</f>
        <v/>
      </c>
      <c r="C546" s="204" t="str">
        <f>IF(B546="","","Verifiable?")</f>
        <v/>
      </c>
      <c r="D546" s="205" t="str">
        <f>IF(C547="","","Independent verification")</f>
        <v/>
      </c>
      <c r="E546" s="573">
        <f>BI547</f>
        <v>0.67892857142857133</v>
      </c>
      <c r="F546" s="574"/>
      <c r="AA546" s="60"/>
      <c r="AB546" s="60" t="s">
        <v>314</v>
      </c>
      <c r="AF546" s="220"/>
      <c r="AG546" s="60" t="s">
        <v>315</v>
      </c>
      <c r="AM546" s="221"/>
      <c r="AN546" s="60" t="s">
        <v>316</v>
      </c>
      <c r="AV546" s="222"/>
      <c r="AX546" s="207" t="s">
        <v>317</v>
      </c>
      <c r="AZ546" s="208" t="s">
        <v>318</v>
      </c>
      <c r="BB546" s="209" t="s">
        <v>319</v>
      </c>
      <c r="BD546" s="208" t="s">
        <v>320</v>
      </c>
      <c r="BG546" s="210" t="s">
        <v>326</v>
      </c>
      <c r="BH546" s="211" t="s">
        <v>327</v>
      </c>
      <c r="BI546" s="210" t="s">
        <v>321</v>
      </c>
      <c r="BJ546" s="211" t="s">
        <v>322</v>
      </c>
    </row>
    <row r="547" spans="1:62" ht="15" thickTop="1" thickBot="1" x14ac:dyDescent="0.3">
      <c r="A547" s="202"/>
      <c r="B547" s="212"/>
      <c r="C547" s="213"/>
      <c r="D547" s="223"/>
      <c r="E547" s="573">
        <f>BJ547</f>
        <v>0.47142857142857131</v>
      </c>
      <c r="F547" s="574"/>
      <c r="AA547" s="112"/>
      <c r="AB547" s="112">
        <f>IF(B547=$B$1871,$AB$463,0)</f>
        <v>0</v>
      </c>
      <c r="AC547" s="112">
        <f>IF(B547=$B$1872,$AC$463,0)</f>
        <v>0</v>
      </c>
      <c r="AD547" s="112">
        <f>IF(B547=$B$1873,$AD$463,0)</f>
        <v>0</v>
      </c>
      <c r="AE547" s="112">
        <f>IF(B547=$B$1874,$AE$463,0)</f>
        <v>0</v>
      </c>
      <c r="AF547" s="224">
        <f>SUM(AB547:AE547)</f>
        <v>0</v>
      </c>
      <c r="AG547" s="112">
        <f>IF(C547=$B$1877,$E$1877,0)</f>
        <v>0</v>
      </c>
      <c r="AH547" s="112">
        <f>IF(C547=$B$1878,$E$1878,0)</f>
        <v>0</v>
      </c>
      <c r="AI547" s="112">
        <f>IF(C547=$B$1879,$E$1879,0)</f>
        <v>0</v>
      </c>
      <c r="AJ547" s="112">
        <f>IF(C547=$B$1880,$E$1880,0)</f>
        <v>0</v>
      </c>
      <c r="AK547" s="112">
        <f>IF(C547=$B$1881,$E$1881,0)</f>
        <v>0</v>
      </c>
      <c r="AL547" s="112">
        <f>IF(C547=$B$1882,$E$1882,0)</f>
        <v>0</v>
      </c>
      <c r="AM547" s="225">
        <f>SUM(AG547:AL547)</f>
        <v>0</v>
      </c>
      <c r="AN547" s="112">
        <f>IF($D547=$B$1885,AN$463,0)</f>
        <v>0</v>
      </c>
      <c r="AO547" s="112">
        <f>IF($D547=$B$1886,AO$463,0)</f>
        <v>0</v>
      </c>
      <c r="AP547" s="112">
        <f>IF($D547=$B$1887,AP$463,0)</f>
        <v>0</v>
      </c>
      <c r="AQ547" s="112">
        <f>IF($D547=$B$1888,AQ$463,0)</f>
        <v>0</v>
      </c>
      <c r="AR547" s="112">
        <f>IF($D547=$B$1889,AR$463,0)</f>
        <v>0</v>
      </c>
      <c r="AS547" s="112">
        <f>IF($D547=$B$1890,AS$463,0)</f>
        <v>0</v>
      </c>
      <c r="AT547" s="112">
        <f>IF($D547=$B$1891,AT$463,0)</f>
        <v>0</v>
      </c>
      <c r="AU547" s="112">
        <f>IF($D547=$B$1892,AU$463,0)</f>
        <v>0</v>
      </c>
      <c r="AV547" s="226">
        <f>SUM(AN547:AU547)</f>
        <v>0</v>
      </c>
      <c r="AX547" s="216">
        <f>AF547*AM547</f>
        <v>0</v>
      </c>
      <c r="AZ547" s="158">
        <f>AX547+(AV547*AM547)</f>
        <v>0</v>
      </c>
      <c r="BB547" s="217">
        <f>(AF547*AM547)*0.01</f>
        <v>0</v>
      </c>
      <c r="BD547" s="218">
        <f>AZ547*0.01</f>
        <v>0</v>
      </c>
      <c r="BE547" s="199"/>
      <c r="BG547" s="217">
        <f>IF(AF547&gt;0,BG542+BB547,BG542)</f>
        <v>0.67892857142857133</v>
      </c>
      <c r="BH547" s="218">
        <f>IF(AV547&gt;0,BH542+BD547,BH542)</f>
        <v>0.47142857142857131</v>
      </c>
      <c r="BI547" s="217">
        <f>IF(BG547&gt;0.99,0.99,BG547)</f>
        <v>0.67892857142857133</v>
      </c>
      <c r="BJ547" s="218">
        <f>IF(BH547&gt;0.99,0.99,BH547)</f>
        <v>0.47142857142857131</v>
      </c>
    </row>
    <row r="548" spans="1:62" ht="4.95" customHeight="1" thickTop="1" x14ac:dyDescent="0.25">
      <c r="A548" s="203"/>
      <c r="B548" s="203"/>
      <c r="C548" s="203"/>
      <c r="D548" s="203"/>
      <c r="E548" s="203"/>
      <c r="F548" s="1"/>
    </row>
    <row r="549" spans="1:62" ht="15.6" x14ac:dyDescent="0.25">
      <c r="A549" s="200">
        <f>A543+1</f>
        <v>30</v>
      </c>
      <c r="B549" s="200" t="s">
        <v>376</v>
      </c>
      <c r="C549" s="200"/>
      <c r="D549" s="201" t="str">
        <f>IF(B551="","If claimed, explain in white box below.","")</f>
        <v>If claimed, explain in white box below.</v>
      </c>
      <c r="E549" s="203"/>
      <c r="F549" s="1"/>
    </row>
    <row r="550" spans="1:62" x14ac:dyDescent="0.25">
      <c r="A550" s="202"/>
      <c r="B550" s="567" t="s">
        <v>377</v>
      </c>
      <c r="C550" s="568"/>
      <c r="D550" s="569"/>
      <c r="E550" s="203"/>
      <c r="F550" s="1"/>
    </row>
    <row r="551" spans="1:62" ht="150" customHeight="1" thickBot="1" x14ac:dyDescent="0.3">
      <c r="A551" s="202"/>
      <c r="B551" s="570"/>
      <c r="C551" s="571"/>
      <c r="D551" s="572"/>
      <c r="E551" s="203"/>
      <c r="F551" s="1"/>
    </row>
    <row r="552" spans="1:62" ht="15" thickTop="1" thickBot="1" x14ac:dyDescent="0.3">
      <c r="A552" s="202"/>
      <c r="B552" s="204" t="str">
        <f>IF(B551="","","Claimed?")</f>
        <v/>
      </c>
      <c r="C552" s="204" t="str">
        <f>IF(B552="","","Verifiable?")</f>
        <v/>
      </c>
      <c r="D552" s="205" t="str">
        <f>IF(C553="","","Independent verification")</f>
        <v/>
      </c>
      <c r="E552" s="573">
        <f>BI553</f>
        <v>0.67892857142857133</v>
      </c>
      <c r="F552" s="574"/>
      <c r="AA552" s="60"/>
      <c r="AB552" s="60" t="s">
        <v>314</v>
      </c>
      <c r="AF552" s="220"/>
      <c r="AG552" s="60" t="s">
        <v>315</v>
      </c>
      <c r="AM552" s="221"/>
      <c r="AN552" s="60" t="s">
        <v>316</v>
      </c>
      <c r="AV552" s="222"/>
      <c r="AX552" s="207" t="s">
        <v>317</v>
      </c>
      <c r="AZ552" s="208" t="s">
        <v>318</v>
      </c>
      <c r="BB552" s="209" t="s">
        <v>319</v>
      </c>
      <c r="BD552" s="208" t="s">
        <v>320</v>
      </c>
      <c r="BG552" s="210" t="s">
        <v>326</v>
      </c>
      <c r="BH552" s="211" t="s">
        <v>327</v>
      </c>
      <c r="BI552" s="210" t="s">
        <v>321</v>
      </c>
      <c r="BJ552" s="211" t="s">
        <v>322</v>
      </c>
    </row>
    <row r="553" spans="1:62" ht="15" thickTop="1" thickBot="1" x14ac:dyDescent="0.3">
      <c r="A553" s="202"/>
      <c r="B553" s="212" t="s">
        <v>323</v>
      </c>
      <c r="C553" s="213"/>
      <c r="D553" s="223"/>
      <c r="E553" s="573">
        <f>BJ553</f>
        <v>0.47142857142857131</v>
      </c>
      <c r="F553" s="574"/>
      <c r="AA553" s="112"/>
      <c r="AB553" s="112">
        <f>IF(B553=$B$1871,$AB$463,0)</f>
        <v>0</v>
      </c>
      <c r="AC553" s="112">
        <f>IF(B553=$B$1872,$AC$463,0)</f>
        <v>0</v>
      </c>
      <c r="AD553" s="112">
        <f>IF(B553=$B$1873,$AD$463,0)</f>
        <v>0</v>
      </c>
      <c r="AE553" s="112">
        <f>IF(B553=$B$1874,$AE$463,0)</f>
        <v>0</v>
      </c>
      <c r="AF553" s="224">
        <f>SUM(AB553:AE553)</f>
        <v>0</v>
      </c>
      <c r="AG553" s="112">
        <f>IF(C553=$B$1877,$E$1877,0)</f>
        <v>0</v>
      </c>
      <c r="AH553" s="112">
        <f>IF(C553=$B$1878,$E$1878,0)</f>
        <v>0</v>
      </c>
      <c r="AI553" s="112">
        <f>IF(C553=$B$1879,$E$1879,0)</f>
        <v>0</v>
      </c>
      <c r="AJ553" s="112">
        <f>IF(C553=$B$1880,$E$1880,0)</f>
        <v>0</v>
      </c>
      <c r="AK553" s="112">
        <f>IF(C553=$B$1881,$E$1881,0)</f>
        <v>0</v>
      </c>
      <c r="AL553" s="112">
        <f>IF(C553=$B$1882,$E$1882,0)</f>
        <v>0</v>
      </c>
      <c r="AM553" s="225">
        <f>SUM(AG553:AL553)</f>
        <v>0</v>
      </c>
      <c r="AN553" s="112">
        <f>IF($D553=$B$1885,AN$463,0)</f>
        <v>0</v>
      </c>
      <c r="AO553" s="112">
        <f>IF($D553=$B$1886,AO$463,0)</f>
        <v>0</v>
      </c>
      <c r="AP553" s="112">
        <f>IF($D553=$B$1887,AP$463,0)</f>
        <v>0</v>
      </c>
      <c r="AQ553" s="112">
        <f>IF($D553=$B$1888,AQ$463,0)</f>
        <v>0</v>
      </c>
      <c r="AR553" s="112">
        <f>IF($D553=$B$1889,AR$463,0)</f>
        <v>0</v>
      </c>
      <c r="AS553" s="112">
        <f>IF($D553=$B$1890,AS$463,0)</f>
        <v>0</v>
      </c>
      <c r="AT553" s="112">
        <f>IF($D553=$B$1891,AT$463,0)</f>
        <v>0</v>
      </c>
      <c r="AU553" s="112">
        <f>IF($D553=$B$1892,AU$463,0)</f>
        <v>0</v>
      </c>
      <c r="AV553" s="226">
        <f>SUM(AN553:AU553)</f>
        <v>0</v>
      </c>
      <c r="AX553" s="216">
        <f>AF553*AM553</f>
        <v>0</v>
      </c>
      <c r="AZ553" s="158">
        <f>AX553+(AV553*AM553)</f>
        <v>0</v>
      </c>
      <c r="BB553" s="217">
        <f>(AF553*AM553)*0.01</f>
        <v>0</v>
      </c>
      <c r="BD553" s="218">
        <f>AZ553*0.01</f>
        <v>0</v>
      </c>
      <c r="BE553" s="199"/>
      <c r="BG553" s="217">
        <f>IF(AF553&gt;0,BG547+BB553,BG547)</f>
        <v>0.67892857142857133</v>
      </c>
      <c r="BH553" s="218">
        <f>IF(AV553&gt;0,BH547+BD553,BH547)</f>
        <v>0.47142857142857131</v>
      </c>
      <c r="BI553" s="217">
        <f>IF(BG553&gt;0.99,0.99,BG553)</f>
        <v>0.67892857142857133</v>
      </c>
      <c r="BJ553" s="218">
        <f>IF(BH553&gt;0.99,0.99,BH553)</f>
        <v>0.47142857142857131</v>
      </c>
    </row>
    <row r="554" spans="1:62" ht="16.2" thickTop="1" x14ac:dyDescent="0.25">
      <c r="A554" s="200">
        <f>A549+1</f>
        <v>31</v>
      </c>
      <c r="B554" s="200" t="s">
        <v>378</v>
      </c>
      <c r="C554" s="200"/>
      <c r="D554" s="201" t="str">
        <f>IF(B556="","If claimed, explain in white box below.","")</f>
        <v>If claimed, explain in white box below.</v>
      </c>
      <c r="E554" s="203"/>
      <c r="F554" s="1"/>
    </row>
    <row r="555" spans="1:62" ht="28.05" customHeight="1" x14ac:dyDescent="0.25">
      <c r="A555" s="202"/>
      <c r="B555" s="567" t="s">
        <v>379</v>
      </c>
      <c r="C555" s="568"/>
      <c r="D555" s="569"/>
      <c r="E555" s="203"/>
      <c r="F555" s="1"/>
    </row>
    <row r="556" spans="1:62" ht="150" customHeight="1" thickBot="1" x14ac:dyDescent="0.3">
      <c r="A556" s="202"/>
      <c r="B556" s="570"/>
      <c r="C556" s="571"/>
      <c r="D556" s="572"/>
      <c r="E556" s="203"/>
      <c r="F556" s="1"/>
    </row>
    <row r="557" spans="1:62" ht="15" thickTop="1" thickBot="1" x14ac:dyDescent="0.3">
      <c r="A557" s="202"/>
      <c r="B557" s="204" t="str">
        <f>IF(B556="","","Claimed?")</f>
        <v/>
      </c>
      <c r="C557" s="204" t="str">
        <f>IF(B557="","","Verifiable?")</f>
        <v/>
      </c>
      <c r="D557" s="205" t="str">
        <f>IF(C558="","","Independent verification")</f>
        <v/>
      </c>
      <c r="E557" s="573">
        <f>BI558</f>
        <v>0.67892857142857133</v>
      </c>
      <c r="F557" s="574"/>
      <c r="AA557" s="60"/>
      <c r="AB557" s="60" t="s">
        <v>314</v>
      </c>
      <c r="AF557" s="220"/>
      <c r="AG557" s="60" t="s">
        <v>315</v>
      </c>
      <c r="AM557" s="221"/>
      <c r="AN557" s="60" t="s">
        <v>316</v>
      </c>
      <c r="AV557" s="222"/>
      <c r="AX557" s="207" t="s">
        <v>317</v>
      </c>
      <c r="AZ557" s="208" t="s">
        <v>318</v>
      </c>
      <c r="BB557" s="209" t="s">
        <v>319</v>
      </c>
      <c r="BD557" s="208" t="s">
        <v>320</v>
      </c>
      <c r="BG557" s="210" t="s">
        <v>326</v>
      </c>
      <c r="BH557" s="211" t="s">
        <v>327</v>
      </c>
      <c r="BI557" s="210" t="s">
        <v>321</v>
      </c>
      <c r="BJ557" s="211" t="s">
        <v>322</v>
      </c>
    </row>
    <row r="558" spans="1:62" ht="15" thickTop="1" thickBot="1" x14ac:dyDescent="0.3">
      <c r="A558" s="202"/>
      <c r="B558" s="212" t="s">
        <v>323</v>
      </c>
      <c r="C558" s="213"/>
      <c r="D558" s="223"/>
      <c r="E558" s="573">
        <f>BJ558</f>
        <v>0.47142857142857131</v>
      </c>
      <c r="F558" s="574"/>
      <c r="AA558" s="112"/>
      <c r="AB558" s="112">
        <f>IF(B558=$B$1871,$AB$463,0)</f>
        <v>0</v>
      </c>
      <c r="AC558" s="112">
        <f>IF(B558=$B$1872,$AC$463,0)</f>
        <v>0</v>
      </c>
      <c r="AD558" s="112">
        <f>IF(B558=$B$1873,$AD$463,0)</f>
        <v>0</v>
      </c>
      <c r="AE558" s="112">
        <f>IF(B558=$B$1874,$AE$463,0)</f>
        <v>0</v>
      </c>
      <c r="AF558" s="224">
        <f>SUM(AB558:AE558)</f>
        <v>0</v>
      </c>
      <c r="AG558" s="112">
        <f>IF(C558=$B$1877,$E$1877,0)</f>
        <v>0</v>
      </c>
      <c r="AH558" s="112">
        <f>IF(C558=$B$1878,$E$1878,0)</f>
        <v>0</v>
      </c>
      <c r="AI558" s="112">
        <f>IF(C558=$B$1879,$E$1879,0)</f>
        <v>0</v>
      </c>
      <c r="AJ558" s="112">
        <f>IF(C558=$B$1880,$E$1880,0)</f>
        <v>0</v>
      </c>
      <c r="AK558" s="112">
        <f>IF(C558=$B$1881,$E$1881,0)</f>
        <v>0</v>
      </c>
      <c r="AL558" s="112">
        <f>IF(C558=$B$1882,$E$1882,0)</f>
        <v>0</v>
      </c>
      <c r="AM558" s="225">
        <f>SUM(AG558:AL558)</f>
        <v>0</v>
      </c>
      <c r="AN558" s="112">
        <f>IF($D558=$B$1885,AN$463,0)</f>
        <v>0</v>
      </c>
      <c r="AO558" s="112">
        <f>IF($D558=$B$1886,AO$463,0)</f>
        <v>0</v>
      </c>
      <c r="AP558" s="112">
        <f>IF($D558=$B$1887,AP$463,0)</f>
        <v>0</v>
      </c>
      <c r="AQ558" s="112">
        <f>IF($D558=$B$1888,AQ$463,0)</f>
        <v>0</v>
      </c>
      <c r="AR558" s="112">
        <f>IF($D558=$B$1889,AR$463,0)</f>
        <v>0</v>
      </c>
      <c r="AS558" s="112">
        <f>IF($D558=$B$1890,AS$463,0)</f>
        <v>0</v>
      </c>
      <c r="AT558" s="112">
        <f>IF($D558=$B$1891,AT$463,0)</f>
        <v>0</v>
      </c>
      <c r="AU558" s="112">
        <f>IF($D558=$B$1892,AU$463,0)</f>
        <v>0</v>
      </c>
      <c r="AV558" s="226">
        <f>SUM(AN558:AU558)</f>
        <v>0</v>
      </c>
      <c r="AX558" s="216">
        <f>AF558*AM558</f>
        <v>0</v>
      </c>
      <c r="AZ558" s="158">
        <f>AX558+(AV558*AM558)</f>
        <v>0</v>
      </c>
      <c r="BB558" s="217">
        <f>(AF558*AM558)*0.01</f>
        <v>0</v>
      </c>
      <c r="BD558" s="218">
        <f>AZ558*0.01</f>
        <v>0</v>
      </c>
      <c r="BE558" s="199"/>
      <c r="BG558" s="217">
        <f>IF(AF558&gt;0,BG553+BB558,BG553)</f>
        <v>0.67892857142857133</v>
      </c>
      <c r="BH558" s="218">
        <f>IF(AV558&gt;0,BH553+BD558,BH553)</f>
        <v>0.47142857142857131</v>
      </c>
      <c r="BI558" s="217">
        <f>IF(BG558&gt;0.99,0.99,BG558)</f>
        <v>0.67892857142857133</v>
      </c>
      <c r="BJ558" s="218">
        <f>IF(BH558&gt;0.99,0.99,BH558)</f>
        <v>0.47142857142857131</v>
      </c>
    </row>
    <row r="559" spans="1:62" ht="16.2" thickTop="1" x14ac:dyDescent="0.25">
      <c r="A559" s="200">
        <f>A554+1</f>
        <v>32</v>
      </c>
      <c r="B559" s="200" t="s">
        <v>380</v>
      </c>
      <c r="C559" s="200"/>
      <c r="D559" s="231" t="str">
        <f>IF(B561="","If claimed, explain in white box below.","")</f>
        <v/>
      </c>
      <c r="E559" s="203"/>
      <c r="F559" s="1"/>
    </row>
    <row r="560" spans="1:62" x14ac:dyDescent="0.25">
      <c r="A560" s="202"/>
      <c r="B560" s="567" t="s">
        <v>381</v>
      </c>
      <c r="C560" s="568"/>
      <c r="D560" s="569"/>
      <c r="E560" s="203"/>
      <c r="F560" s="1"/>
    </row>
    <row r="561" spans="1:62" ht="150" customHeight="1" thickBot="1" x14ac:dyDescent="0.3">
      <c r="A561" s="202"/>
      <c r="B561" s="570" t="s">
        <v>382</v>
      </c>
      <c r="C561" s="571"/>
      <c r="D561" s="572"/>
      <c r="E561" s="203"/>
      <c r="F561" s="1"/>
    </row>
    <row r="562" spans="1:62" ht="15" thickTop="1" thickBot="1" x14ac:dyDescent="0.3">
      <c r="A562" s="202"/>
      <c r="B562" s="204" t="str">
        <f>IF(B561="","","Claimed?")</f>
        <v>Claimed?</v>
      </c>
      <c r="C562" s="204" t="str">
        <f>IF(B562="","","Verifiable?")</f>
        <v>Verifiable?</v>
      </c>
      <c r="D562" s="205" t="str">
        <f>IF(C563="","","Independent verification")</f>
        <v>Independent verification</v>
      </c>
      <c r="E562" s="573">
        <f>BI563</f>
        <v>0.69642857142857129</v>
      </c>
      <c r="F562" s="574"/>
      <c r="AA562" s="60"/>
      <c r="AB562" s="60" t="s">
        <v>314</v>
      </c>
      <c r="AF562" s="220"/>
      <c r="AG562" s="60" t="s">
        <v>315</v>
      </c>
      <c r="AM562" s="221"/>
      <c r="AN562" s="60" t="s">
        <v>316</v>
      </c>
      <c r="AV562" s="222"/>
      <c r="AX562" s="207" t="s">
        <v>317</v>
      </c>
      <c r="AZ562" s="208" t="s">
        <v>318</v>
      </c>
      <c r="BB562" s="209" t="s">
        <v>319</v>
      </c>
      <c r="BD562" s="208" t="s">
        <v>320</v>
      </c>
      <c r="BG562" s="210" t="s">
        <v>326</v>
      </c>
      <c r="BH562" s="211" t="s">
        <v>327</v>
      </c>
      <c r="BI562" s="210" t="s">
        <v>321</v>
      </c>
      <c r="BJ562" s="211" t="s">
        <v>322</v>
      </c>
    </row>
    <row r="563" spans="1:62" ht="15" thickTop="1" thickBot="1" x14ac:dyDescent="0.3">
      <c r="A563" s="202"/>
      <c r="B563" s="212" t="s">
        <v>331</v>
      </c>
      <c r="C563" s="213" t="s">
        <v>358</v>
      </c>
      <c r="D563" s="223"/>
      <c r="E563" s="573">
        <f>BJ563</f>
        <v>0.47142857142857131</v>
      </c>
      <c r="F563" s="574"/>
      <c r="AA563" s="112"/>
      <c r="AB563" s="112">
        <f>IF(B563=$B$1871,$AB$463,0)</f>
        <v>0</v>
      </c>
      <c r="AC563" s="112">
        <f>IF(B563=$B$1872,$AC$463,0)</f>
        <v>0</v>
      </c>
      <c r="AD563" s="112">
        <f>IF(B563=$B$1873,$AD$463,0)</f>
        <v>0</v>
      </c>
      <c r="AE563" s="112">
        <f>IF(B563=$B$1874,$AE$463,0)</f>
        <v>5</v>
      </c>
      <c r="AF563" s="224">
        <f>SUM(AB563:AE563)</f>
        <v>5</v>
      </c>
      <c r="AG563" s="112">
        <f>IF(C563=$B$1877,$E$1877,0)</f>
        <v>0</v>
      </c>
      <c r="AH563" s="112">
        <f>IF(C563=$B$1878,$E$1878,0)</f>
        <v>0</v>
      </c>
      <c r="AI563" s="112">
        <f>IF(C563=$B$1879,$E$1879,0)</f>
        <v>0.35000000000000003</v>
      </c>
      <c r="AJ563" s="112">
        <f>IF(C563=$B$1880,$E$1880,0)</f>
        <v>0</v>
      </c>
      <c r="AK563" s="112">
        <f>IF(C563=$B$1881,$E$1881,0)</f>
        <v>0</v>
      </c>
      <c r="AL563" s="112">
        <f>IF(C563=$B$1882,$E$1882,0)</f>
        <v>0</v>
      </c>
      <c r="AM563" s="225">
        <f>SUM(AG563:AL563)</f>
        <v>0.35000000000000003</v>
      </c>
      <c r="AN563" s="112">
        <f>IF($D563=$B$1885,AN$463,0)</f>
        <v>0</v>
      </c>
      <c r="AO563" s="112">
        <f>IF($D563=$B$1886,AO$463,0)</f>
        <v>0</v>
      </c>
      <c r="AP563" s="112">
        <f>IF($D563=$B$1887,AP$463,0)</f>
        <v>0</v>
      </c>
      <c r="AQ563" s="112">
        <f>IF($D563=$B$1888,AQ$463,0)</f>
        <v>0</v>
      </c>
      <c r="AR563" s="112">
        <f>IF($D563=$B$1889,AR$463,0)</f>
        <v>0</v>
      </c>
      <c r="AS563" s="112">
        <f>IF($D563=$B$1890,AS$463,0)</f>
        <v>0</v>
      </c>
      <c r="AT563" s="112">
        <f>IF($D563=$B$1891,AT$463,0)</f>
        <v>0</v>
      </c>
      <c r="AU563" s="112">
        <f>IF($D563=$B$1892,AU$463,0)</f>
        <v>0</v>
      </c>
      <c r="AV563" s="226">
        <f>SUM(AN563:AU563)</f>
        <v>0</v>
      </c>
      <c r="AX563" s="216">
        <f>AF563*AM563</f>
        <v>1.7500000000000002</v>
      </c>
      <c r="AZ563" s="158">
        <f>AX563+(AV563*AM563)</f>
        <v>1.7500000000000002</v>
      </c>
      <c r="BB563" s="217">
        <f>(AF563*AM563)*0.01</f>
        <v>1.7500000000000002E-2</v>
      </c>
      <c r="BD563" s="218">
        <f>AZ563*0.01</f>
        <v>1.7500000000000002E-2</v>
      </c>
      <c r="BE563" s="199"/>
      <c r="BG563" s="217">
        <f>IF(AF563&gt;0,BG558+BB563,BG558)</f>
        <v>0.69642857142857129</v>
      </c>
      <c r="BH563" s="218">
        <f>IF(AV563&gt;0,BH558+BD563,BH558)</f>
        <v>0.47142857142857131</v>
      </c>
      <c r="BI563" s="217">
        <f>IF(BG563&gt;0.99,0.99,BG563)</f>
        <v>0.69642857142857129</v>
      </c>
      <c r="BJ563" s="218">
        <f>IF(BH563&gt;0.99,0.99,BH563)</f>
        <v>0.47142857142857131</v>
      </c>
    </row>
    <row r="564" spans="1:62" ht="14.4" thickTop="1" x14ac:dyDescent="0.25">
      <c r="A564" s="202"/>
      <c r="B564" s="203"/>
      <c r="C564" s="203"/>
      <c r="D564" s="203"/>
      <c r="E564" s="203"/>
      <c r="F564" s="1"/>
    </row>
    <row r="565" spans="1:62" ht="30" customHeight="1" x14ac:dyDescent="0.25">
      <c r="A565" s="188" t="s">
        <v>79</v>
      </c>
      <c r="B565" s="46" t="s">
        <v>383</v>
      </c>
      <c r="C565" s="46"/>
      <c r="D565" s="46"/>
      <c r="E565" s="46"/>
      <c r="F565" s="475" t="s">
        <v>949</v>
      </c>
      <c r="AE565" s="16"/>
    </row>
    <row r="566" spans="1:62" ht="19.95" customHeight="1" x14ac:dyDescent="0.25">
      <c r="A566" s="108" t="s">
        <v>384</v>
      </c>
      <c r="B566" s="109"/>
      <c r="C566" s="109"/>
      <c r="D566" s="109"/>
      <c r="E566" s="110"/>
      <c r="F566" s="108"/>
      <c r="AA566" s="190"/>
      <c r="AB566" s="190">
        <v>0</v>
      </c>
      <c r="AC566" s="191">
        <f>AD566/2</f>
        <v>0.5</v>
      </c>
      <c r="AD566" s="192">
        <f>AE566/2</f>
        <v>1</v>
      </c>
      <c r="AE566" s="193">
        <v>2</v>
      </c>
      <c r="AF566" s="120"/>
      <c r="AG566" s="120"/>
      <c r="AH566" s="120"/>
      <c r="AI566" s="120"/>
      <c r="AJ566" s="120"/>
      <c r="AK566" s="120"/>
      <c r="AL566" s="120"/>
      <c r="AM566" s="120"/>
      <c r="AN566" s="194">
        <f>AE566*-2</f>
        <v>-4</v>
      </c>
      <c r="AO566" s="190">
        <f>AE566*-1</f>
        <v>-2</v>
      </c>
      <c r="AP566" s="190">
        <f>AD566*-1</f>
        <v>-1</v>
      </c>
      <c r="AQ566" s="195">
        <f>AE566*-0.1</f>
        <v>-0.2</v>
      </c>
      <c r="AR566" s="195">
        <v>0</v>
      </c>
      <c r="AS566" s="195">
        <f>AE566*0.1</f>
        <v>0.2</v>
      </c>
      <c r="AT566" s="192">
        <f>AD566</f>
        <v>1</v>
      </c>
      <c r="AU566" s="193">
        <f>AE566</f>
        <v>2</v>
      </c>
      <c r="AV566" s="196"/>
      <c r="AW566" s="120"/>
      <c r="AX566" s="120"/>
      <c r="AY566" s="120"/>
      <c r="AZ566" s="120"/>
      <c r="BA566" s="120"/>
      <c r="BB566" s="197"/>
      <c r="BC566" s="120"/>
      <c r="BD566" s="120"/>
      <c r="BE566" s="120"/>
      <c r="BF566" s="120"/>
      <c r="BG566" s="229">
        <f>BG532</f>
        <v>0.47142857142857131</v>
      </c>
    </row>
    <row r="567" spans="1:62" ht="15.6" x14ac:dyDescent="0.25">
      <c r="A567" s="200">
        <f>A559+1</f>
        <v>33</v>
      </c>
      <c r="B567" s="200" t="s">
        <v>385</v>
      </c>
      <c r="C567" s="200"/>
      <c r="D567" s="201" t="str">
        <f>IF(B569="","If claimed, explain in white box below.","")</f>
        <v/>
      </c>
      <c r="E567" s="203"/>
      <c r="F567" s="1"/>
    </row>
    <row r="568" spans="1:62" ht="28.05" customHeight="1" x14ac:dyDescent="0.25">
      <c r="A568" s="202"/>
      <c r="B568" s="567" t="s">
        <v>386</v>
      </c>
      <c r="C568" s="568"/>
      <c r="D568" s="569"/>
      <c r="E568" s="203"/>
      <c r="F568" s="1"/>
    </row>
    <row r="569" spans="1:62" ht="136.94999999999999" customHeight="1" thickBot="1" x14ac:dyDescent="0.3">
      <c r="A569" s="202"/>
      <c r="B569" s="570" t="s">
        <v>387</v>
      </c>
      <c r="C569" s="571"/>
      <c r="D569" s="572"/>
      <c r="E569" s="203"/>
      <c r="F569" s="1"/>
    </row>
    <row r="570" spans="1:62" ht="15" thickTop="1" thickBot="1" x14ac:dyDescent="0.3">
      <c r="A570" s="202"/>
      <c r="B570" s="204" t="str">
        <f>IF(B569="","","Claimed?")</f>
        <v>Claimed?</v>
      </c>
      <c r="C570" s="204" t="str">
        <f>IF(B570="","","Verifiable?")</f>
        <v>Verifiable?</v>
      </c>
      <c r="D570" s="205" t="str">
        <f>IF(C571="","","Independent verification")</f>
        <v>Independent verification</v>
      </c>
      <c r="E570" s="573">
        <f>BI571</f>
        <v>0.69955357142857133</v>
      </c>
      <c r="F570" s="574"/>
      <c r="AA570" s="60"/>
      <c r="AB570" s="60" t="s">
        <v>314</v>
      </c>
      <c r="AF570" s="220"/>
      <c r="AG570" s="60" t="s">
        <v>315</v>
      </c>
      <c r="AM570" s="221"/>
      <c r="AN570" s="60" t="s">
        <v>316</v>
      </c>
      <c r="AV570" s="222"/>
      <c r="AX570" s="207" t="s">
        <v>317</v>
      </c>
      <c r="AZ570" s="208" t="s">
        <v>318</v>
      </c>
      <c r="BB570" s="209" t="s">
        <v>319</v>
      </c>
      <c r="BD570" s="208" t="s">
        <v>320</v>
      </c>
      <c r="BG570" s="210" t="s">
        <v>326</v>
      </c>
      <c r="BH570" s="211" t="s">
        <v>327</v>
      </c>
      <c r="BI570" s="210" t="s">
        <v>321</v>
      </c>
      <c r="BJ570" s="211" t="s">
        <v>322</v>
      </c>
    </row>
    <row r="571" spans="1:62" ht="15" thickTop="1" thickBot="1" x14ac:dyDescent="0.3">
      <c r="A571" s="202"/>
      <c r="B571" s="212" t="s">
        <v>340</v>
      </c>
      <c r="C571" s="213" t="s">
        <v>388</v>
      </c>
      <c r="D571" s="223"/>
      <c r="E571" s="573">
        <f>BJ571</f>
        <v>0.47142857142857131</v>
      </c>
      <c r="F571" s="574"/>
      <c r="AA571" s="112"/>
      <c r="AB571" s="112">
        <f>IF(B571=$B$1871,$AB$463,0)</f>
        <v>0</v>
      </c>
      <c r="AC571" s="112">
        <f>IF(B571=$B$1872,$AC$463,0)</f>
        <v>1.25</v>
      </c>
      <c r="AD571" s="112">
        <f>IF(B571=$B$1873,$AD$463,0)</f>
        <v>0</v>
      </c>
      <c r="AE571" s="112">
        <f>IF(B571=$B$1874,$AE$463,0)</f>
        <v>0</v>
      </c>
      <c r="AF571" s="224">
        <f>SUM(AB571:AE571)</f>
        <v>1.25</v>
      </c>
      <c r="AG571" s="112">
        <f>IF(C571=$B$1877,$E$1877,0)</f>
        <v>0.25000000000000006</v>
      </c>
      <c r="AH571" s="112">
        <f>IF(C571=$B$1878,$E$1878,0)</f>
        <v>0</v>
      </c>
      <c r="AI571" s="112">
        <f>IF(C571=$B$1879,$E$1879,0)</f>
        <v>0</v>
      </c>
      <c r="AJ571" s="112">
        <f>IF(C571=$B$1880,$E$1880,0)</f>
        <v>0</v>
      </c>
      <c r="AK571" s="112">
        <f>IF(C571=$B$1881,$E$1881,0)</f>
        <v>0</v>
      </c>
      <c r="AL571" s="112">
        <f>IF(C571=$B$1882,$E$1882,0)</f>
        <v>0</v>
      </c>
      <c r="AM571" s="225">
        <f>SUM(AG571:AL571)</f>
        <v>0.25000000000000006</v>
      </c>
      <c r="AN571" s="112">
        <f>IF($D571=$B$1885,AN$463,0)</f>
        <v>0</v>
      </c>
      <c r="AO571" s="112">
        <f>IF($D571=$B$1886,AO$463,0)</f>
        <v>0</v>
      </c>
      <c r="AP571" s="112">
        <f>IF($D571=$B$1887,AP$463,0)</f>
        <v>0</v>
      </c>
      <c r="AQ571" s="112">
        <f>IF($D571=$B$1888,AQ$463,0)</f>
        <v>0</v>
      </c>
      <c r="AR571" s="112">
        <f>IF($D571=$B$1889,AR$463,0)</f>
        <v>0</v>
      </c>
      <c r="AS571" s="112">
        <f>IF($D571=$B$1890,AS$463,0)</f>
        <v>0</v>
      </c>
      <c r="AT571" s="112">
        <f>IF($D571=$B$1891,AT$463,0)</f>
        <v>0</v>
      </c>
      <c r="AU571" s="112">
        <f>IF($D571=$B$1892,AU$463,0)</f>
        <v>0</v>
      </c>
      <c r="AV571" s="226">
        <f>SUM(AN571:AU571)</f>
        <v>0</v>
      </c>
      <c r="AX571" s="216">
        <f>AF571*AM571</f>
        <v>0.31250000000000006</v>
      </c>
      <c r="AZ571" s="158">
        <f>AX571+(AV571*AM571)</f>
        <v>0.31250000000000006</v>
      </c>
      <c r="BB571" s="217">
        <f>(AF571*AM571)*0.01</f>
        <v>3.1250000000000006E-3</v>
      </c>
      <c r="BD571" s="218">
        <f>AZ571*0.01</f>
        <v>3.1250000000000006E-3</v>
      </c>
      <c r="BE571" s="199"/>
      <c r="BG571" s="217">
        <f>IF(AF571&gt;0,BG563+BB571,BG563)</f>
        <v>0.69955357142857133</v>
      </c>
      <c r="BH571" s="218">
        <f>IF(AV571&gt;0,BH563+BD571,BH563)</f>
        <v>0.47142857142857131</v>
      </c>
      <c r="BI571" s="217">
        <f>IF(BG571&gt;0.99,0.99,BG571)</f>
        <v>0.69955357142857133</v>
      </c>
      <c r="BJ571" s="218">
        <f>IF(BH571&gt;0.99,0.99,BH571)</f>
        <v>0.47142857142857131</v>
      </c>
    </row>
    <row r="572" spans="1:62" ht="16.2" thickTop="1" x14ac:dyDescent="0.25">
      <c r="A572" s="200">
        <f>A567+1</f>
        <v>34</v>
      </c>
      <c r="B572" s="200" t="s">
        <v>389</v>
      </c>
      <c r="C572" s="200"/>
      <c r="D572" s="201" t="str">
        <f>IF(B574="","If claimed, explain in white box below.","")</f>
        <v/>
      </c>
      <c r="E572" s="203"/>
      <c r="F572" s="1"/>
    </row>
    <row r="573" spans="1:62" ht="28.05" customHeight="1" x14ac:dyDescent="0.25">
      <c r="A573" s="202"/>
      <c r="B573" s="567" t="s">
        <v>390</v>
      </c>
      <c r="C573" s="568"/>
      <c r="D573" s="569"/>
      <c r="E573" s="203"/>
      <c r="F573" s="1"/>
    </row>
    <row r="574" spans="1:62" ht="136.94999999999999" customHeight="1" thickBot="1" x14ac:dyDescent="0.3">
      <c r="A574" s="202"/>
      <c r="B574" s="570" t="s">
        <v>391</v>
      </c>
      <c r="C574" s="571"/>
      <c r="D574" s="572"/>
      <c r="E574" s="203"/>
      <c r="F574" s="1"/>
    </row>
    <row r="575" spans="1:62" ht="15" thickTop="1" thickBot="1" x14ac:dyDescent="0.3">
      <c r="A575" s="202"/>
      <c r="B575" s="204" t="str">
        <f>IF(B574="","","Claimed?")</f>
        <v>Claimed?</v>
      </c>
      <c r="C575" s="204" t="str">
        <f>IF(B575="","","Verifiable?")</f>
        <v>Verifiable?</v>
      </c>
      <c r="D575" s="205" t="str">
        <f>IF(C576="","","Independent verification")</f>
        <v>Independent verification</v>
      </c>
      <c r="E575" s="573">
        <f>BI576</f>
        <v>0.70580357142857131</v>
      </c>
      <c r="F575" s="574"/>
      <c r="AA575" s="60"/>
      <c r="AB575" s="60" t="s">
        <v>314</v>
      </c>
      <c r="AF575" s="220"/>
      <c r="AG575" s="60" t="s">
        <v>315</v>
      </c>
      <c r="AM575" s="221"/>
      <c r="AN575" s="60" t="s">
        <v>316</v>
      </c>
      <c r="AV575" s="222"/>
      <c r="AX575" s="207" t="s">
        <v>317</v>
      </c>
      <c r="AZ575" s="208" t="s">
        <v>318</v>
      </c>
      <c r="BB575" s="209" t="s">
        <v>319</v>
      </c>
      <c r="BD575" s="208" t="s">
        <v>320</v>
      </c>
      <c r="BG575" s="210" t="s">
        <v>326</v>
      </c>
      <c r="BH575" s="211" t="s">
        <v>327</v>
      </c>
      <c r="BI575" s="210" t="s">
        <v>321</v>
      </c>
      <c r="BJ575" s="211" t="s">
        <v>322</v>
      </c>
    </row>
    <row r="576" spans="1:62" ht="15" thickTop="1" thickBot="1" x14ac:dyDescent="0.3">
      <c r="A576" s="202"/>
      <c r="B576" s="212" t="s">
        <v>373</v>
      </c>
      <c r="C576" s="213" t="s">
        <v>388</v>
      </c>
      <c r="D576" s="223"/>
      <c r="E576" s="573">
        <f>BJ576</f>
        <v>0.47142857142857131</v>
      </c>
      <c r="F576" s="574"/>
      <c r="AA576" s="112"/>
      <c r="AB576" s="112">
        <f>IF(B576=$B$1871,$AB$463,0)</f>
        <v>0</v>
      </c>
      <c r="AC576" s="112">
        <f>IF(B576=$B$1872,$AC$463,0)</f>
        <v>0</v>
      </c>
      <c r="AD576" s="112">
        <f>IF(B576=$B$1873,$AD$463,0)</f>
        <v>2.5</v>
      </c>
      <c r="AE576" s="112">
        <f>IF(B576=$B$1874,$AE$463,0)</f>
        <v>0</v>
      </c>
      <c r="AF576" s="224">
        <f>SUM(AB576:AE576)</f>
        <v>2.5</v>
      </c>
      <c r="AG576" s="112">
        <f>IF(C576=$B$1877,$E$1877,0)</f>
        <v>0.25000000000000006</v>
      </c>
      <c r="AH576" s="112">
        <f>IF(C576=$B$1878,$E$1878,0)</f>
        <v>0</v>
      </c>
      <c r="AI576" s="112">
        <f>IF(C576=$B$1879,$E$1879,0)</f>
        <v>0</v>
      </c>
      <c r="AJ576" s="112">
        <f>IF(C576=$B$1880,$E$1880,0)</f>
        <v>0</v>
      </c>
      <c r="AK576" s="112">
        <f>IF(C576=$B$1881,$E$1881,0)</f>
        <v>0</v>
      </c>
      <c r="AL576" s="112">
        <f>IF(C576=$B$1882,$E$1882,0)</f>
        <v>0</v>
      </c>
      <c r="AM576" s="225">
        <f>SUM(AG576:AL576)</f>
        <v>0.25000000000000006</v>
      </c>
      <c r="AN576" s="112">
        <f>IF($D576=$B$1885,AN$463,0)</f>
        <v>0</v>
      </c>
      <c r="AO576" s="112">
        <f>IF($D576=$B$1886,AO$463,0)</f>
        <v>0</v>
      </c>
      <c r="AP576" s="112">
        <f>IF($D576=$B$1887,AP$463,0)</f>
        <v>0</v>
      </c>
      <c r="AQ576" s="112">
        <f>IF($D576=$B$1888,AQ$463,0)</f>
        <v>0</v>
      </c>
      <c r="AR576" s="112">
        <f>IF($D576=$B$1889,AR$463,0)</f>
        <v>0</v>
      </c>
      <c r="AS576" s="112">
        <f>IF($D576=$B$1890,AS$463,0)</f>
        <v>0</v>
      </c>
      <c r="AT576" s="112">
        <f>IF($D576=$B$1891,AT$463,0)</f>
        <v>0</v>
      </c>
      <c r="AU576" s="112">
        <f>IF($D576=$B$1892,AU$463,0)</f>
        <v>0</v>
      </c>
      <c r="AV576" s="226">
        <f>SUM(AN576:AU576)</f>
        <v>0</v>
      </c>
      <c r="AX576" s="216">
        <f>AF576*AM576</f>
        <v>0.62500000000000011</v>
      </c>
      <c r="AZ576" s="158">
        <f>AX576+(AV576*AM576)</f>
        <v>0.62500000000000011</v>
      </c>
      <c r="BB576" s="217">
        <f>(AF576*AM576)*0.01</f>
        <v>6.2500000000000012E-3</v>
      </c>
      <c r="BD576" s="218">
        <f>AZ576*0.01</f>
        <v>6.2500000000000012E-3</v>
      </c>
      <c r="BE576" s="199"/>
      <c r="BG576" s="217">
        <f>IF(AF576&gt;0,BG571+BB576,BG571)</f>
        <v>0.70580357142857131</v>
      </c>
      <c r="BH576" s="218">
        <f>IF(AV576&gt;0,BH571+BD576,BH571)</f>
        <v>0.47142857142857131</v>
      </c>
      <c r="BI576" s="217">
        <f>IF(BG576&gt;0.99,0.99,BG576)</f>
        <v>0.70580357142857131</v>
      </c>
      <c r="BJ576" s="218">
        <f>IF(BH576&gt;0.99,0.99,BH576)</f>
        <v>0.47142857142857131</v>
      </c>
    </row>
    <row r="577" spans="1:62" ht="16.2" thickTop="1" x14ac:dyDescent="0.25">
      <c r="A577" s="200">
        <f>A572+1</f>
        <v>35</v>
      </c>
      <c r="B577" s="200" t="s">
        <v>392</v>
      </c>
      <c r="C577" s="200"/>
      <c r="D577" s="201" t="str">
        <f>IF(B579="","If claimed, explain in white box below.","")</f>
        <v/>
      </c>
      <c r="E577" s="203"/>
      <c r="F577" s="1"/>
    </row>
    <row r="578" spans="1:62" x14ac:dyDescent="0.25">
      <c r="A578" s="202"/>
      <c r="B578" s="567" t="s">
        <v>393</v>
      </c>
      <c r="C578" s="568"/>
      <c r="D578" s="569"/>
      <c r="E578" s="203"/>
      <c r="F578" s="1"/>
    </row>
    <row r="579" spans="1:62" ht="136.94999999999999" customHeight="1" thickBot="1" x14ac:dyDescent="0.3">
      <c r="A579" s="202"/>
      <c r="B579" s="570" t="s">
        <v>394</v>
      </c>
      <c r="C579" s="571"/>
      <c r="D579" s="572"/>
      <c r="E579" s="203"/>
      <c r="F579" s="1"/>
    </row>
    <row r="580" spans="1:62" ht="15" thickTop="1" thickBot="1" x14ac:dyDescent="0.3">
      <c r="A580" s="202"/>
      <c r="B580" s="204" t="str">
        <f>IF(B579="","","Claimed?")</f>
        <v>Claimed?</v>
      </c>
      <c r="C580" s="204" t="str">
        <f>IF(B580="","","Verifiable?")</f>
        <v>Verifiable?</v>
      </c>
      <c r="D580" s="205" t="str">
        <f>IF(C581="","","Independent verification")</f>
        <v>Independent verification</v>
      </c>
      <c r="E580" s="573">
        <f>BI581</f>
        <v>0.72830357142857127</v>
      </c>
      <c r="F580" s="574"/>
      <c r="AA580" s="60"/>
      <c r="AB580" s="60" t="s">
        <v>314</v>
      </c>
      <c r="AF580" s="220"/>
      <c r="AG580" s="60" t="s">
        <v>315</v>
      </c>
      <c r="AM580" s="221"/>
      <c r="AN580" s="60" t="s">
        <v>316</v>
      </c>
      <c r="AV580" s="222"/>
      <c r="AX580" s="207" t="s">
        <v>317</v>
      </c>
      <c r="AZ580" s="208" t="s">
        <v>318</v>
      </c>
      <c r="BB580" s="209" t="s">
        <v>319</v>
      </c>
      <c r="BD580" s="208" t="s">
        <v>320</v>
      </c>
      <c r="BG580" s="210" t="s">
        <v>326</v>
      </c>
      <c r="BH580" s="211" t="s">
        <v>327</v>
      </c>
      <c r="BI580" s="210" t="s">
        <v>321</v>
      </c>
      <c r="BJ580" s="211" t="s">
        <v>322</v>
      </c>
    </row>
    <row r="581" spans="1:62" ht="15" thickTop="1" thickBot="1" x14ac:dyDescent="0.3">
      <c r="A581" s="202"/>
      <c r="B581" s="212" t="s">
        <v>331</v>
      </c>
      <c r="C581" s="213" t="s">
        <v>347</v>
      </c>
      <c r="D581" s="223"/>
      <c r="E581" s="573">
        <f>BJ581</f>
        <v>0.47142857142857131</v>
      </c>
      <c r="F581" s="574"/>
      <c r="AA581" s="112"/>
      <c r="AB581" s="112">
        <f>IF(B581=$B$1871,$AB$463,0)</f>
        <v>0</v>
      </c>
      <c r="AC581" s="112">
        <f>IF(B581=$B$1872,$AC$463,0)</f>
        <v>0</v>
      </c>
      <c r="AD581" s="112">
        <f>IF(B581=$B$1873,$AD$463,0)</f>
        <v>0</v>
      </c>
      <c r="AE581" s="112">
        <f>IF(B581=$B$1874,$AE$463,0)</f>
        <v>5</v>
      </c>
      <c r="AF581" s="224">
        <f>SUM(AB581:AE581)</f>
        <v>5</v>
      </c>
      <c r="AG581" s="112">
        <f>IF(C581=$B$1877,$E$1877,0)</f>
        <v>0</v>
      </c>
      <c r="AH581" s="112">
        <f>IF(C581=$B$1878,$E$1878,0)</f>
        <v>0</v>
      </c>
      <c r="AI581" s="112">
        <f>IF(C581=$B$1879,$E$1879,0)</f>
        <v>0</v>
      </c>
      <c r="AJ581" s="112">
        <f>IF(C581=$B$1880,$E$1880,0)</f>
        <v>0</v>
      </c>
      <c r="AK581" s="112">
        <f>IF(C581=$B$1881,$E$1881,0)</f>
        <v>0.45</v>
      </c>
      <c r="AL581" s="112">
        <f>IF(C581=$B$1882,$E$1882,0)</f>
        <v>0</v>
      </c>
      <c r="AM581" s="225">
        <f>SUM(AG581:AL581)</f>
        <v>0.45</v>
      </c>
      <c r="AN581" s="112">
        <f>IF($D581=$B$1885,AN$463,0)</f>
        <v>0</v>
      </c>
      <c r="AO581" s="112">
        <f>IF($D581=$B$1886,AO$463,0)</f>
        <v>0</v>
      </c>
      <c r="AP581" s="112">
        <f>IF($D581=$B$1887,AP$463,0)</f>
        <v>0</v>
      </c>
      <c r="AQ581" s="112">
        <f>IF($D581=$B$1888,AQ$463,0)</f>
        <v>0</v>
      </c>
      <c r="AR581" s="112">
        <f>IF($D581=$B$1889,AR$463,0)</f>
        <v>0</v>
      </c>
      <c r="AS581" s="112">
        <f>IF($D581=$B$1890,AS$463,0)</f>
        <v>0</v>
      </c>
      <c r="AT581" s="112">
        <f>IF($D581=$B$1891,AT$463,0)</f>
        <v>0</v>
      </c>
      <c r="AU581" s="112">
        <f>IF($D581=$B$1892,AU$463,0)</f>
        <v>0</v>
      </c>
      <c r="AV581" s="226">
        <f>SUM(AN581:AU581)</f>
        <v>0</v>
      </c>
      <c r="AX581" s="216">
        <f>AF581*AM581</f>
        <v>2.25</v>
      </c>
      <c r="AZ581" s="158">
        <f>AX581+(AV581*AM581)</f>
        <v>2.25</v>
      </c>
      <c r="BB581" s="217">
        <f>(AF581*AM581)*0.01</f>
        <v>2.2499999999999999E-2</v>
      </c>
      <c r="BD581" s="218">
        <f>AZ581*0.01</f>
        <v>2.2499999999999999E-2</v>
      </c>
      <c r="BE581" s="199"/>
      <c r="BG581" s="217">
        <f>IF(AF581&gt;0,BG576+BB581,BG576)</f>
        <v>0.72830357142857127</v>
      </c>
      <c r="BH581" s="218">
        <f>IF(AV581&gt;0,BH576+BD581,BH576)</f>
        <v>0.47142857142857131</v>
      </c>
      <c r="BI581" s="217">
        <f>IF(BG581&gt;0.99,0.99,BG581)</f>
        <v>0.72830357142857127</v>
      </c>
      <c r="BJ581" s="218">
        <f>IF(BH581&gt;0.99,0.99,BH581)</f>
        <v>0.47142857142857131</v>
      </c>
    </row>
    <row r="582" spans="1:62" ht="4.95" customHeight="1" thickTop="1" x14ac:dyDescent="0.25">
      <c r="A582" s="203"/>
      <c r="B582" s="203"/>
      <c r="C582" s="203"/>
      <c r="D582" s="203"/>
      <c r="E582" s="203"/>
      <c r="F582" s="1"/>
    </row>
    <row r="583" spans="1:62" ht="15.6" x14ac:dyDescent="0.25">
      <c r="A583" s="200">
        <f>A577+1</f>
        <v>36</v>
      </c>
      <c r="B583" s="200" t="s">
        <v>395</v>
      </c>
      <c r="C583" s="200"/>
      <c r="D583" s="201" t="str">
        <f>IF(B585="","If claimed, explain in white box below.","")</f>
        <v/>
      </c>
      <c r="E583" s="203"/>
      <c r="F583" s="1"/>
    </row>
    <row r="584" spans="1:62" ht="28.05" customHeight="1" x14ac:dyDescent="0.25">
      <c r="A584" s="202"/>
      <c r="B584" s="567" t="s">
        <v>396</v>
      </c>
      <c r="C584" s="568"/>
      <c r="D584" s="569"/>
      <c r="E584" s="203"/>
      <c r="F584" s="1"/>
    </row>
    <row r="585" spans="1:62" ht="150" customHeight="1" thickBot="1" x14ac:dyDescent="0.3">
      <c r="A585" s="202"/>
      <c r="B585" s="570" t="s">
        <v>397</v>
      </c>
      <c r="C585" s="571"/>
      <c r="D585" s="572"/>
      <c r="E585" s="203"/>
      <c r="F585" s="1"/>
    </row>
    <row r="586" spans="1:62" ht="15" thickTop="1" thickBot="1" x14ac:dyDescent="0.3">
      <c r="A586" s="202"/>
      <c r="B586" s="204" t="str">
        <f>IF(B585="","","Claimed?")</f>
        <v>Claimed?</v>
      </c>
      <c r="C586" s="204" t="str">
        <f>IF(B586="","","Verifiable?")</f>
        <v>Verifiable?</v>
      </c>
      <c r="D586" s="205" t="str">
        <f>IF(C587="","","Independent verification")</f>
        <v>Independent verification</v>
      </c>
      <c r="E586" s="573">
        <f>BI587</f>
        <v>0.73580357142857122</v>
      </c>
      <c r="F586" s="574"/>
      <c r="AA586" s="60"/>
      <c r="AB586" s="60" t="s">
        <v>314</v>
      </c>
      <c r="AF586" s="220"/>
      <c r="AG586" s="60" t="s">
        <v>315</v>
      </c>
      <c r="AM586" s="221"/>
      <c r="AN586" s="60" t="s">
        <v>316</v>
      </c>
      <c r="AV586" s="222"/>
      <c r="AX586" s="207" t="s">
        <v>317</v>
      </c>
      <c r="AZ586" s="208" t="s">
        <v>318</v>
      </c>
      <c r="BB586" s="209" t="s">
        <v>319</v>
      </c>
      <c r="BD586" s="208" t="s">
        <v>320</v>
      </c>
      <c r="BG586" s="210" t="s">
        <v>326</v>
      </c>
      <c r="BH586" s="211" t="s">
        <v>327</v>
      </c>
      <c r="BI586" s="210" t="s">
        <v>321</v>
      </c>
      <c r="BJ586" s="211" t="s">
        <v>322</v>
      </c>
    </row>
    <row r="587" spans="1:62" ht="15" thickTop="1" thickBot="1" x14ac:dyDescent="0.3">
      <c r="A587" s="202"/>
      <c r="B587" s="212" t="s">
        <v>373</v>
      </c>
      <c r="C587" s="213" t="s">
        <v>351</v>
      </c>
      <c r="D587" s="223"/>
      <c r="E587" s="573">
        <f>BJ587</f>
        <v>0.47142857142857131</v>
      </c>
      <c r="F587" s="574"/>
      <c r="AA587" s="112"/>
      <c r="AB587" s="112">
        <f>IF(B587=$B$1871,$AB$463,0)</f>
        <v>0</v>
      </c>
      <c r="AC587" s="112">
        <f>IF(B587=$B$1872,$AC$463,0)</f>
        <v>0</v>
      </c>
      <c r="AD587" s="112">
        <f>IF(B587=$B$1873,$AD$463,0)</f>
        <v>2.5</v>
      </c>
      <c r="AE587" s="112">
        <f>IF(B587=$B$1874,$AE$463,0)</f>
        <v>0</v>
      </c>
      <c r="AF587" s="224">
        <f>SUM(AB587:AE587)</f>
        <v>2.5</v>
      </c>
      <c r="AG587" s="112">
        <f>IF(C587=$B$1877,$E$1877,0)</f>
        <v>0</v>
      </c>
      <c r="AH587" s="112">
        <f>IF(C587=$B$1878,$E$1878,0)</f>
        <v>0.30000000000000004</v>
      </c>
      <c r="AI587" s="112">
        <f>IF(C587=$B$1879,$E$1879,0)</f>
        <v>0</v>
      </c>
      <c r="AJ587" s="112">
        <f>IF(C587=$B$1880,$E$1880,0)</f>
        <v>0</v>
      </c>
      <c r="AK587" s="112">
        <f>IF(C587=$B$1881,$E$1881,0)</f>
        <v>0</v>
      </c>
      <c r="AL587" s="112">
        <f>IF(C587=$B$1882,$E$1882,0)</f>
        <v>0</v>
      </c>
      <c r="AM587" s="225">
        <f>SUM(AG587:AL587)</f>
        <v>0.30000000000000004</v>
      </c>
      <c r="AN587" s="112">
        <f>IF($D587=$B$1885,AN$463,0)</f>
        <v>0</v>
      </c>
      <c r="AO587" s="112">
        <f>IF($D587=$B$1886,AO$463,0)</f>
        <v>0</v>
      </c>
      <c r="AP587" s="112">
        <f>IF($D587=$B$1887,AP$463,0)</f>
        <v>0</v>
      </c>
      <c r="AQ587" s="112">
        <f>IF($D587=$B$1888,AQ$463,0)</f>
        <v>0</v>
      </c>
      <c r="AR587" s="112">
        <f>IF($D587=$B$1889,AR$463,0)</f>
        <v>0</v>
      </c>
      <c r="AS587" s="112">
        <f>IF($D587=$B$1890,AS$463,0)</f>
        <v>0</v>
      </c>
      <c r="AT587" s="112">
        <f>IF($D587=$B$1891,AT$463,0)</f>
        <v>0</v>
      </c>
      <c r="AU587" s="112">
        <f>IF($D587=$B$1892,AU$463,0)</f>
        <v>0</v>
      </c>
      <c r="AV587" s="226">
        <f>SUM(AN587:AU587)</f>
        <v>0</v>
      </c>
      <c r="AX587" s="216">
        <f>AF587*AM587</f>
        <v>0.75000000000000011</v>
      </c>
      <c r="AZ587" s="158">
        <f>AX587+(AV587*AM587)</f>
        <v>0.75000000000000011</v>
      </c>
      <c r="BB587" s="217">
        <f>(AF587*AM587)*0.01</f>
        <v>7.5000000000000015E-3</v>
      </c>
      <c r="BD587" s="218">
        <f>AZ587*0.01</f>
        <v>7.5000000000000015E-3</v>
      </c>
      <c r="BE587" s="199"/>
      <c r="BG587" s="217">
        <f>IF(AF587&gt;0,BG581+BB587,BG581)</f>
        <v>0.73580357142857122</v>
      </c>
      <c r="BH587" s="218">
        <f>IF(AV587&gt;0,BH581+BD587,BH581)</f>
        <v>0.47142857142857131</v>
      </c>
      <c r="BI587" s="217">
        <f>IF(BG587&gt;0.99,0.99,BG587)</f>
        <v>0.73580357142857122</v>
      </c>
      <c r="BJ587" s="218">
        <f>IF(BH587&gt;0.99,0.99,BH587)</f>
        <v>0.47142857142857131</v>
      </c>
    </row>
    <row r="588" spans="1:62" ht="16.2" thickTop="1" x14ac:dyDescent="0.25">
      <c r="A588" s="200">
        <f>A583+1</f>
        <v>37</v>
      </c>
      <c r="B588" s="200" t="s">
        <v>398</v>
      </c>
      <c r="C588" s="200"/>
      <c r="D588" s="201" t="str">
        <f>IF(B590="","If claimed, explain in white box below.","")</f>
        <v/>
      </c>
      <c r="E588" s="203"/>
      <c r="F588" s="1"/>
    </row>
    <row r="589" spans="1:62" ht="28.05" customHeight="1" x14ac:dyDescent="0.25">
      <c r="A589" s="202"/>
      <c r="B589" s="567" t="s">
        <v>399</v>
      </c>
      <c r="C589" s="568"/>
      <c r="D589" s="569"/>
      <c r="E589" s="203"/>
      <c r="F589" s="1"/>
    </row>
    <row r="590" spans="1:62" ht="150" customHeight="1" thickBot="1" x14ac:dyDescent="0.3">
      <c r="A590" s="202"/>
      <c r="B590" s="570" t="s">
        <v>400</v>
      </c>
      <c r="C590" s="571"/>
      <c r="D590" s="572"/>
      <c r="E590" s="203"/>
      <c r="F590" s="1"/>
    </row>
    <row r="591" spans="1:62" ht="15" thickTop="1" thickBot="1" x14ac:dyDescent="0.3">
      <c r="A591" s="202"/>
      <c r="B591" s="204" t="str">
        <f>IF(B590="","","Claimed?")</f>
        <v>Claimed?</v>
      </c>
      <c r="C591" s="204" t="str">
        <f>IF(B591="","","Verifiable?")</f>
        <v>Verifiable?</v>
      </c>
      <c r="D591" s="205" t="str">
        <f>IF(C592="","","Independent verification")</f>
        <v>Independent verification</v>
      </c>
      <c r="E591" s="573">
        <f>BI592</f>
        <v>0.7420535714285712</v>
      </c>
      <c r="F591" s="574"/>
      <c r="AA591" s="60"/>
      <c r="AB591" s="60" t="s">
        <v>314</v>
      </c>
      <c r="AF591" s="220"/>
      <c r="AG591" s="60" t="s">
        <v>315</v>
      </c>
      <c r="AM591" s="221"/>
      <c r="AN591" s="60" t="s">
        <v>316</v>
      </c>
      <c r="AV591" s="222"/>
      <c r="AX591" s="207" t="s">
        <v>317</v>
      </c>
      <c r="AZ591" s="208" t="s">
        <v>318</v>
      </c>
      <c r="BB591" s="209" t="s">
        <v>319</v>
      </c>
      <c r="BD591" s="208" t="s">
        <v>320</v>
      </c>
      <c r="BG591" s="210" t="s">
        <v>326</v>
      </c>
      <c r="BH591" s="211" t="s">
        <v>327</v>
      </c>
      <c r="BI591" s="210" t="s">
        <v>321</v>
      </c>
      <c r="BJ591" s="211" t="s">
        <v>322</v>
      </c>
    </row>
    <row r="592" spans="1:62" ht="15" thickTop="1" thickBot="1" x14ac:dyDescent="0.3">
      <c r="A592" s="202"/>
      <c r="B592" s="212" t="s">
        <v>373</v>
      </c>
      <c r="C592" s="213" t="s">
        <v>388</v>
      </c>
      <c r="D592" s="223"/>
      <c r="E592" s="573">
        <f>BJ592</f>
        <v>0.47142857142857131</v>
      </c>
      <c r="F592" s="574"/>
      <c r="AA592" s="112"/>
      <c r="AB592" s="112">
        <f>IF(B592=$B$1871,$AB$463,0)</f>
        <v>0</v>
      </c>
      <c r="AC592" s="112">
        <f>IF(B592=$B$1872,$AC$463,0)</f>
        <v>0</v>
      </c>
      <c r="AD592" s="112">
        <f>IF(B592=$B$1873,$AD$463,0)</f>
        <v>2.5</v>
      </c>
      <c r="AE592" s="112">
        <f>IF(B592=$B$1874,$AE$463,0)</f>
        <v>0</v>
      </c>
      <c r="AF592" s="224">
        <f>SUM(AB592:AE592)</f>
        <v>2.5</v>
      </c>
      <c r="AG592" s="112">
        <f>IF(C592=$B$1877,$E$1877,0)</f>
        <v>0.25000000000000006</v>
      </c>
      <c r="AH592" s="112">
        <f>IF(C592=$B$1878,$E$1878,0)</f>
        <v>0</v>
      </c>
      <c r="AI592" s="112">
        <f>IF(C592=$B$1879,$E$1879,0)</f>
        <v>0</v>
      </c>
      <c r="AJ592" s="112">
        <f>IF(C592=$B$1880,$E$1880,0)</f>
        <v>0</v>
      </c>
      <c r="AK592" s="112">
        <f>IF(C592=$B$1881,$E$1881,0)</f>
        <v>0</v>
      </c>
      <c r="AL592" s="112">
        <f>IF(C592=$B$1882,$E$1882,0)</f>
        <v>0</v>
      </c>
      <c r="AM592" s="225">
        <f>SUM(AG592:AL592)</f>
        <v>0.25000000000000006</v>
      </c>
      <c r="AN592" s="112">
        <f>IF($D592=$B$1885,AN$463,0)</f>
        <v>0</v>
      </c>
      <c r="AO592" s="112">
        <f>IF($D592=$B$1886,AO$463,0)</f>
        <v>0</v>
      </c>
      <c r="AP592" s="112">
        <f>IF($D592=$B$1887,AP$463,0)</f>
        <v>0</v>
      </c>
      <c r="AQ592" s="112">
        <f>IF($D592=$B$1888,AQ$463,0)</f>
        <v>0</v>
      </c>
      <c r="AR592" s="112">
        <f>IF($D592=$B$1889,AR$463,0)</f>
        <v>0</v>
      </c>
      <c r="AS592" s="112">
        <f>IF($D592=$B$1890,AS$463,0)</f>
        <v>0</v>
      </c>
      <c r="AT592" s="112">
        <f>IF($D592=$B$1891,AT$463,0)</f>
        <v>0</v>
      </c>
      <c r="AU592" s="112">
        <f>IF($D592=$B$1892,AU$463,0)</f>
        <v>0</v>
      </c>
      <c r="AV592" s="226">
        <f>SUM(AN592:AU592)</f>
        <v>0</v>
      </c>
      <c r="AX592" s="216">
        <f>AF592*AM592</f>
        <v>0.62500000000000011</v>
      </c>
      <c r="AZ592" s="158">
        <f>AX592+(AV592*AM592)</f>
        <v>0.62500000000000011</v>
      </c>
      <c r="BB592" s="217">
        <f>(AF592*AM592)*0.01</f>
        <v>6.2500000000000012E-3</v>
      </c>
      <c r="BD592" s="218">
        <f>AZ592*0.01</f>
        <v>6.2500000000000012E-3</v>
      </c>
      <c r="BE592" s="199"/>
      <c r="BG592" s="217">
        <f>IF(AF592&gt;0,BG587+BB592,BG587)</f>
        <v>0.7420535714285712</v>
      </c>
      <c r="BH592" s="218">
        <f>IF(AV592&gt;0,BH587+BD592,BH587)</f>
        <v>0.47142857142857131</v>
      </c>
      <c r="BI592" s="217">
        <f>IF(BG592&gt;0.99,0.99,BG592)</f>
        <v>0.7420535714285712</v>
      </c>
      <c r="BJ592" s="218">
        <f>IF(BH592&gt;0.99,0.99,BH592)</f>
        <v>0.47142857142857131</v>
      </c>
    </row>
    <row r="593" spans="1:62" ht="16.2" thickTop="1" x14ac:dyDescent="0.25">
      <c r="A593" s="200">
        <f>A588+1</f>
        <v>38</v>
      </c>
      <c r="B593" s="200" t="s">
        <v>401</v>
      </c>
      <c r="C593" s="200"/>
      <c r="D593" s="201" t="str">
        <f>IF(B595="","If claimed, explain in white box below.","")</f>
        <v/>
      </c>
      <c r="E593" s="203"/>
      <c r="F593" s="1"/>
    </row>
    <row r="594" spans="1:62" x14ac:dyDescent="0.25">
      <c r="A594" s="202"/>
      <c r="B594" s="567" t="s">
        <v>402</v>
      </c>
      <c r="C594" s="568"/>
      <c r="D594" s="569"/>
      <c r="E594" s="203"/>
      <c r="F594" s="1"/>
    </row>
    <row r="595" spans="1:62" ht="150" customHeight="1" thickBot="1" x14ac:dyDescent="0.3">
      <c r="A595" s="202"/>
      <c r="B595" s="570" t="s">
        <v>403</v>
      </c>
      <c r="C595" s="571"/>
      <c r="D595" s="572"/>
      <c r="E595" s="203"/>
      <c r="F595" s="1"/>
    </row>
    <row r="596" spans="1:62" ht="15" thickTop="1" thickBot="1" x14ac:dyDescent="0.3">
      <c r="A596" s="202"/>
      <c r="B596" s="204" t="str">
        <f>IF(B595="","","Claimed?")</f>
        <v>Claimed?</v>
      </c>
      <c r="C596" s="204" t="str">
        <f>IF(B596="","","Verifiable?")</f>
        <v>Verifiable?</v>
      </c>
      <c r="D596" s="205" t="str">
        <f>IF(C597="","","Independent verification")</f>
        <v>Independent verification</v>
      </c>
      <c r="E596" s="573">
        <f>BI597</f>
        <v>0.75955357142857116</v>
      </c>
      <c r="F596" s="574"/>
      <c r="AA596" s="60"/>
      <c r="AB596" s="60" t="s">
        <v>314</v>
      </c>
      <c r="AF596" s="220"/>
      <c r="AG596" s="60" t="s">
        <v>315</v>
      </c>
      <c r="AM596" s="221"/>
      <c r="AN596" s="60" t="s">
        <v>316</v>
      </c>
      <c r="AV596" s="222"/>
      <c r="AX596" s="207" t="s">
        <v>317</v>
      </c>
      <c r="AZ596" s="208" t="s">
        <v>318</v>
      </c>
      <c r="BB596" s="209" t="s">
        <v>319</v>
      </c>
      <c r="BD596" s="208" t="s">
        <v>320</v>
      </c>
      <c r="BG596" s="210" t="s">
        <v>326</v>
      </c>
      <c r="BH596" s="211" t="s">
        <v>327</v>
      </c>
      <c r="BI596" s="210" t="s">
        <v>321</v>
      </c>
      <c r="BJ596" s="211" t="s">
        <v>322</v>
      </c>
    </row>
    <row r="597" spans="1:62" ht="15" thickTop="1" thickBot="1" x14ac:dyDescent="0.3">
      <c r="A597" s="202"/>
      <c r="B597" s="212" t="s">
        <v>331</v>
      </c>
      <c r="C597" s="213" t="s">
        <v>358</v>
      </c>
      <c r="D597" s="223"/>
      <c r="E597" s="573">
        <f>BJ597</f>
        <v>0.47142857142857131</v>
      </c>
      <c r="F597" s="574"/>
      <c r="AA597" s="112"/>
      <c r="AB597" s="112">
        <f>IF(B597=$B$1871,$AB$463,0)</f>
        <v>0</v>
      </c>
      <c r="AC597" s="112">
        <f>IF(B597=$B$1872,$AC$463,0)</f>
        <v>0</v>
      </c>
      <c r="AD597" s="112">
        <f>IF(B597=$B$1873,$AD$463,0)</f>
        <v>0</v>
      </c>
      <c r="AE597" s="112">
        <f>IF(B597=$B$1874,$AE$463,0)</f>
        <v>5</v>
      </c>
      <c r="AF597" s="224">
        <f>SUM(AB597:AE597)</f>
        <v>5</v>
      </c>
      <c r="AG597" s="112">
        <f>IF(C597=$B$1877,$E$1877,0)</f>
        <v>0</v>
      </c>
      <c r="AH597" s="112">
        <f>IF(C597=$B$1878,$E$1878,0)</f>
        <v>0</v>
      </c>
      <c r="AI597" s="112">
        <f>IF(C597=$B$1879,$E$1879,0)</f>
        <v>0.35000000000000003</v>
      </c>
      <c r="AJ597" s="112">
        <f>IF(C597=$B$1880,$E$1880,0)</f>
        <v>0</v>
      </c>
      <c r="AK597" s="112">
        <f>IF(C597=$B$1881,$E$1881,0)</f>
        <v>0</v>
      </c>
      <c r="AL597" s="112">
        <f>IF(C597=$B$1882,$E$1882,0)</f>
        <v>0</v>
      </c>
      <c r="AM597" s="225">
        <f>SUM(AG597:AL597)</f>
        <v>0.35000000000000003</v>
      </c>
      <c r="AN597" s="112">
        <f>IF($D597=$B$1885,AN$463,0)</f>
        <v>0</v>
      </c>
      <c r="AO597" s="112">
        <f>IF($D597=$B$1886,AO$463,0)</f>
        <v>0</v>
      </c>
      <c r="AP597" s="112">
        <f>IF($D597=$B$1887,AP$463,0)</f>
        <v>0</v>
      </c>
      <c r="AQ597" s="112">
        <f>IF($D597=$B$1888,AQ$463,0)</f>
        <v>0</v>
      </c>
      <c r="AR597" s="112">
        <f>IF($D597=$B$1889,AR$463,0)</f>
        <v>0</v>
      </c>
      <c r="AS597" s="112">
        <f>IF($D597=$B$1890,AS$463,0)</f>
        <v>0</v>
      </c>
      <c r="AT597" s="112">
        <f>IF($D597=$B$1891,AT$463,0)</f>
        <v>0</v>
      </c>
      <c r="AU597" s="112">
        <f>IF($D597=$B$1892,AU$463,0)</f>
        <v>0</v>
      </c>
      <c r="AV597" s="226">
        <f>SUM(AN597:AU597)</f>
        <v>0</v>
      </c>
      <c r="AX597" s="216">
        <f>AF597*AM597</f>
        <v>1.7500000000000002</v>
      </c>
      <c r="AZ597" s="158">
        <f>AX597+(AV597*AM597)</f>
        <v>1.7500000000000002</v>
      </c>
      <c r="BB597" s="217">
        <f>(AF597*AM597)*0.01</f>
        <v>1.7500000000000002E-2</v>
      </c>
      <c r="BD597" s="218">
        <f>AZ597*0.01</f>
        <v>1.7500000000000002E-2</v>
      </c>
      <c r="BE597" s="199"/>
      <c r="BG597" s="217">
        <f>IF(AF597&gt;0,BG592+BB597,BG592)</f>
        <v>0.75955357142857116</v>
      </c>
      <c r="BH597" s="218">
        <f>IF(AV597&gt;0,BH592+BD597,BH592)</f>
        <v>0.47142857142857131</v>
      </c>
      <c r="BI597" s="217">
        <f>IF(BG597&gt;0.99,0.99,BG597)</f>
        <v>0.75955357142857116</v>
      </c>
      <c r="BJ597" s="218">
        <f>IF(BH597&gt;0.99,0.99,BH597)</f>
        <v>0.47142857142857131</v>
      </c>
    </row>
    <row r="598" spans="1:62" ht="14.4" thickTop="1" x14ac:dyDescent="0.25">
      <c r="A598" s="202"/>
      <c r="B598" s="203"/>
      <c r="C598" s="203"/>
      <c r="D598" s="203"/>
      <c r="E598" s="203"/>
      <c r="F598" s="1"/>
    </row>
    <row r="599" spans="1:62" ht="30" customHeight="1" x14ac:dyDescent="0.25">
      <c r="A599" s="188" t="s">
        <v>81</v>
      </c>
      <c r="B599" s="46" t="s">
        <v>404</v>
      </c>
      <c r="C599" s="46"/>
      <c r="D599" s="46"/>
      <c r="E599" s="46"/>
      <c r="F599" s="475" t="s">
        <v>949</v>
      </c>
    </row>
    <row r="600" spans="1:62" ht="19.95" customHeight="1" x14ac:dyDescent="0.25">
      <c r="A600" s="108" t="s">
        <v>405</v>
      </c>
      <c r="B600" s="109"/>
      <c r="C600" s="109"/>
      <c r="D600" s="109"/>
      <c r="E600" s="110"/>
      <c r="F600" s="108"/>
      <c r="AA600" s="190"/>
      <c r="AB600" s="190">
        <v>0</v>
      </c>
      <c r="AC600" s="191">
        <f>AD600/2</f>
        <v>0.25</v>
      </c>
      <c r="AD600" s="192">
        <f>AE600/2</f>
        <v>0.5</v>
      </c>
      <c r="AE600" s="193">
        <v>1</v>
      </c>
      <c r="AF600" s="120"/>
      <c r="AG600" s="120"/>
      <c r="AH600" s="120"/>
      <c r="AI600" s="120"/>
      <c r="AJ600" s="120"/>
      <c r="AK600" s="120"/>
      <c r="AL600" s="120"/>
      <c r="AM600" s="120"/>
      <c r="AN600" s="194">
        <f>AE600*-2</f>
        <v>-2</v>
      </c>
      <c r="AO600" s="190">
        <f>AE600*-1</f>
        <v>-1</v>
      </c>
      <c r="AP600" s="190">
        <f>AD600*-1</f>
        <v>-0.5</v>
      </c>
      <c r="AQ600" s="195">
        <f>AE600*-0.1</f>
        <v>-0.1</v>
      </c>
      <c r="AR600" s="195">
        <v>0</v>
      </c>
      <c r="AS600" s="195">
        <f>AE600*0.1</f>
        <v>0.1</v>
      </c>
      <c r="AT600" s="192">
        <f>AD600</f>
        <v>0.5</v>
      </c>
      <c r="AU600" s="193">
        <f>AE600</f>
        <v>1</v>
      </c>
      <c r="AV600" s="196"/>
      <c r="AW600" s="120"/>
      <c r="AX600" s="120"/>
      <c r="AY600" s="120"/>
      <c r="AZ600" s="120"/>
      <c r="BA600" s="120"/>
      <c r="BB600" s="197"/>
      <c r="BC600" s="120"/>
      <c r="BD600" s="120"/>
      <c r="BE600" s="120"/>
      <c r="BF600" s="120"/>
      <c r="BG600" s="229">
        <f>BG566</f>
        <v>0.47142857142857131</v>
      </c>
    </row>
    <row r="601" spans="1:62" ht="15.6" x14ac:dyDescent="0.25">
      <c r="A601" s="200">
        <f>A593+1</f>
        <v>39</v>
      </c>
      <c r="B601" s="200" t="s">
        <v>406</v>
      </c>
      <c r="C601" s="200"/>
      <c r="D601" s="201" t="str">
        <f>IF(B603="","If claimed, explain in white box below.","")</f>
        <v/>
      </c>
      <c r="E601" s="203"/>
      <c r="F601" s="1"/>
    </row>
    <row r="602" spans="1:62" ht="28.05" customHeight="1" x14ac:dyDescent="0.25">
      <c r="A602" s="202"/>
      <c r="B602" s="567" t="s">
        <v>407</v>
      </c>
      <c r="C602" s="568"/>
      <c r="D602" s="569"/>
      <c r="E602" s="203"/>
      <c r="F602" s="1"/>
    </row>
    <row r="603" spans="1:62" ht="138" customHeight="1" thickBot="1" x14ac:dyDescent="0.3">
      <c r="A603" s="202"/>
      <c r="B603" s="570" t="s">
        <v>408</v>
      </c>
      <c r="C603" s="571"/>
      <c r="D603" s="572"/>
      <c r="E603" s="203"/>
      <c r="F603" s="1"/>
    </row>
    <row r="604" spans="1:62" ht="15" thickTop="1" thickBot="1" x14ac:dyDescent="0.3">
      <c r="A604" s="202"/>
      <c r="B604" s="204" t="str">
        <f>IF(B603="","","Claimed?")</f>
        <v>Claimed?</v>
      </c>
      <c r="C604" s="204" t="str">
        <f>IF(B604="","","Verifiable?")</f>
        <v>Verifiable?</v>
      </c>
      <c r="D604" s="205" t="str">
        <f>IF(C605="","","Independent verification")</f>
        <v>Independent verification</v>
      </c>
      <c r="E604" s="573">
        <f>BI605</f>
        <v>0.78205357142857113</v>
      </c>
      <c r="F604" s="574"/>
      <c r="AA604" s="60"/>
      <c r="AB604" s="60" t="s">
        <v>314</v>
      </c>
      <c r="AF604" s="220"/>
      <c r="AG604" s="60" t="s">
        <v>315</v>
      </c>
      <c r="AM604" s="221"/>
      <c r="AN604" s="60" t="s">
        <v>316</v>
      </c>
      <c r="AV604" s="222"/>
      <c r="AX604" s="207" t="s">
        <v>317</v>
      </c>
      <c r="AZ604" s="208" t="s">
        <v>318</v>
      </c>
      <c r="BB604" s="209" t="s">
        <v>319</v>
      </c>
      <c r="BD604" s="208" t="s">
        <v>320</v>
      </c>
      <c r="BG604" s="210" t="s">
        <v>326</v>
      </c>
      <c r="BH604" s="211" t="s">
        <v>327</v>
      </c>
      <c r="BI604" s="210" t="s">
        <v>321</v>
      </c>
      <c r="BJ604" s="211" t="s">
        <v>322</v>
      </c>
    </row>
    <row r="605" spans="1:62" ht="15" thickTop="1" thickBot="1" x14ac:dyDescent="0.3">
      <c r="A605" s="202"/>
      <c r="B605" s="212" t="s">
        <v>331</v>
      </c>
      <c r="C605" s="213" t="s">
        <v>347</v>
      </c>
      <c r="D605" s="223"/>
      <c r="E605" s="573">
        <f>BJ605</f>
        <v>0.47142857142857131</v>
      </c>
      <c r="F605" s="574"/>
      <c r="AA605" s="112"/>
      <c r="AB605" s="112">
        <f>IF(B605=$B$1871,$AB$463,0)</f>
        <v>0</v>
      </c>
      <c r="AC605" s="112">
        <f>IF(B605=$B$1872,$AC$463,0)</f>
        <v>0</v>
      </c>
      <c r="AD605" s="112">
        <f>IF(B605=$B$1873,$AD$463,0)</f>
        <v>0</v>
      </c>
      <c r="AE605" s="112">
        <f>IF(B605=$B$1874,$AE$463,0)</f>
        <v>5</v>
      </c>
      <c r="AF605" s="224">
        <f>SUM(AB605:AE605)</f>
        <v>5</v>
      </c>
      <c r="AG605" s="112">
        <f>IF(C605=$B$1877,$E$1877,0)</f>
        <v>0</v>
      </c>
      <c r="AH605" s="112">
        <f>IF(C605=$B$1878,$E$1878,0)</f>
        <v>0</v>
      </c>
      <c r="AI605" s="112">
        <f>IF(C605=$B$1879,$E$1879,0)</f>
        <v>0</v>
      </c>
      <c r="AJ605" s="112">
        <f>IF(C605=$B$1880,$E$1880,0)</f>
        <v>0</v>
      </c>
      <c r="AK605" s="112">
        <f>IF(C605=$B$1881,$E$1881,0)</f>
        <v>0.45</v>
      </c>
      <c r="AL605" s="112">
        <f>IF(C605=$B$1882,$E$1882,0)</f>
        <v>0</v>
      </c>
      <c r="AM605" s="225">
        <f>SUM(AG605:AL605)</f>
        <v>0.45</v>
      </c>
      <c r="AN605" s="112">
        <f>IF($D605=$B$1885,AN$463,0)</f>
        <v>0</v>
      </c>
      <c r="AO605" s="112">
        <f>IF($D605=$B$1886,AO$463,0)</f>
        <v>0</v>
      </c>
      <c r="AP605" s="112">
        <f>IF($D605=$B$1887,AP$463,0)</f>
        <v>0</v>
      </c>
      <c r="AQ605" s="112">
        <f>IF($D605=$B$1888,AQ$463,0)</f>
        <v>0</v>
      </c>
      <c r="AR605" s="112">
        <f>IF($D605=$B$1889,AR$463,0)</f>
        <v>0</v>
      </c>
      <c r="AS605" s="112">
        <f>IF($D605=$B$1890,AS$463,0)</f>
        <v>0</v>
      </c>
      <c r="AT605" s="112">
        <f>IF($D605=$B$1891,AT$463,0)</f>
        <v>0</v>
      </c>
      <c r="AU605" s="112">
        <f>IF($D605=$B$1892,AU$463,0)</f>
        <v>0</v>
      </c>
      <c r="AV605" s="226">
        <f>SUM(AN605:AU605)</f>
        <v>0</v>
      </c>
      <c r="AX605" s="216">
        <f>AF605*AM605</f>
        <v>2.25</v>
      </c>
      <c r="AZ605" s="158">
        <f>AX605+(AV605*AM605)</f>
        <v>2.25</v>
      </c>
      <c r="BB605" s="217">
        <f>(AF605*AM605)*0.01</f>
        <v>2.2499999999999999E-2</v>
      </c>
      <c r="BD605" s="218">
        <f>AZ605*0.01</f>
        <v>2.2499999999999999E-2</v>
      </c>
      <c r="BE605" s="199"/>
      <c r="BG605" s="217">
        <f>IF(AF605&gt;0,BG597+BB605,BG597)</f>
        <v>0.78205357142857113</v>
      </c>
      <c r="BH605" s="218">
        <f>IF(AV605&gt;0,BH597+BD605,BH597)</f>
        <v>0.47142857142857131</v>
      </c>
      <c r="BI605" s="217">
        <f>IF(BG605&gt;0.99,0.99,BG605)</f>
        <v>0.78205357142857113</v>
      </c>
      <c r="BJ605" s="218">
        <f>IF(BH605&gt;0.99,0.99,BH605)</f>
        <v>0.47142857142857131</v>
      </c>
    </row>
    <row r="606" spans="1:62" ht="16.2" thickTop="1" x14ac:dyDescent="0.25">
      <c r="A606" s="200">
        <f>A601+1</f>
        <v>40</v>
      </c>
      <c r="B606" s="200" t="s">
        <v>171</v>
      </c>
      <c r="C606" s="200"/>
      <c r="D606" s="201" t="str">
        <f>IF(B608="","If claimed, explain in white box below.","")</f>
        <v/>
      </c>
      <c r="E606" s="203"/>
      <c r="F606" s="1"/>
    </row>
    <row r="607" spans="1:62" x14ac:dyDescent="0.25">
      <c r="A607" s="202"/>
      <c r="B607" s="567" t="s">
        <v>409</v>
      </c>
      <c r="C607" s="568"/>
      <c r="D607" s="569"/>
      <c r="E607" s="203"/>
      <c r="F607" s="1"/>
    </row>
    <row r="608" spans="1:62" ht="138" customHeight="1" thickBot="1" x14ac:dyDescent="0.3">
      <c r="A608" s="202"/>
      <c r="B608" s="570" t="s">
        <v>410</v>
      </c>
      <c r="C608" s="571"/>
      <c r="D608" s="572"/>
      <c r="E608" s="203"/>
      <c r="F608" s="1"/>
    </row>
    <row r="609" spans="1:62" ht="15" thickTop="1" thickBot="1" x14ac:dyDescent="0.3">
      <c r="A609" s="202"/>
      <c r="B609" s="204" t="str">
        <f>IF(B608="","","Claimed?")</f>
        <v>Claimed?</v>
      </c>
      <c r="C609" s="204" t="str">
        <f>IF(B609="","","Verifiable?")</f>
        <v>Verifiable?</v>
      </c>
      <c r="D609" s="205" t="str">
        <f>IF(C610="","","Independent verification")</f>
        <v/>
      </c>
      <c r="E609" s="573">
        <f>BI610</f>
        <v>0.78205357142857113</v>
      </c>
      <c r="F609" s="574"/>
      <c r="AA609" s="60"/>
      <c r="AB609" s="60" t="s">
        <v>314</v>
      </c>
      <c r="AF609" s="220"/>
      <c r="AG609" s="60" t="s">
        <v>315</v>
      </c>
      <c r="AM609" s="221"/>
      <c r="AN609" s="60" t="s">
        <v>316</v>
      </c>
      <c r="AV609" s="222"/>
      <c r="AX609" s="207" t="s">
        <v>317</v>
      </c>
      <c r="AZ609" s="208" t="s">
        <v>318</v>
      </c>
      <c r="BB609" s="209" t="s">
        <v>319</v>
      </c>
      <c r="BD609" s="208" t="s">
        <v>320</v>
      </c>
      <c r="BG609" s="210" t="s">
        <v>326</v>
      </c>
      <c r="BH609" s="211" t="s">
        <v>327</v>
      </c>
      <c r="BI609" s="210" t="s">
        <v>321</v>
      </c>
      <c r="BJ609" s="211" t="s">
        <v>322</v>
      </c>
    </row>
    <row r="610" spans="1:62" ht="15" thickTop="1" thickBot="1" x14ac:dyDescent="0.3">
      <c r="A610" s="202"/>
      <c r="B610" s="212" t="s">
        <v>323</v>
      </c>
      <c r="C610" s="213"/>
      <c r="D610" s="223"/>
      <c r="E610" s="573">
        <f>BJ610</f>
        <v>0.47142857142857131</v>
      </c>
      <c r="F610" s="574"/>
      <c r="AA610" s="112"/>
      <c r="AB610" s="112">
        <f>IF(B610=$B$1871,$AB$463,0)</f>
        <v>0</v>
      </c>
      <c r="AC610" s="112">
        <f>IF(B610=$B$1872,$AC$463,0)</f>
        <v>0</v>
      </c>
      <c r="AD610" s="112">
        <f>IF(B610=$B$1873,$AD$463,0)</f>
        <v>0</v>
      </c>
      <c r="AE610" s="112">
        <f>IF(B610=$B$1874,$AE$463,0)</f>
        <v>0</v>
      </c>
      <c r="AF610" s="224">
        <f>SUM(AB610:AE610)</f>
        <v>0</v>
      </c>
      <c r="AG610" s="112">
        <f>IF(C610=$B$1877,$E$1877,0)</f>
        <v>0</v>
      </c>
      <c r="AH610" s="112">
        <f>IF(C610=$B$1878,$E$1878,0)</f>
        <v>0</v>
      </c>
      <c r="AI610" s="112">
        <f>IF(C610=$B$1879,$E$1879,0)</f>
        <v>0</v>
      </c>
      <c r="AJ610" s="112">
        <f>IF(C610=$B$1880,$E$1880,0)</f>
        <v>0</v>
      </c>
      <c r="AK610" s="112">
        <f>IF(C610=$B$1881,$E$1881,0)</f>
        <v>0</v>
      </c>
      <c r="AL610" s="112">
        <f>IF(C610=$B$1882,$E$1882,0)</f>
        <v>0</v>
      </c>
      <c r="AM610" s="225">
        <f>SUM(AG610:AL610)</f>
        <v>0</v>
      </c>
      <c r="AN610" s="112">
        <f>IF($D610=$B$1885,AN$463,0)</f>
        <v>0</v>
      </c>
      <c r="AO610" s="112">
        <f>IF($D610=$B$1886,AO$463,0)</f>
        <v>0</v>
      </c>
      <c r="AP610" s="112">
        <f>IF($D610=$B$1887,AP$463,0)</f>
        <v>0</v>
      </c>
      <c r="AQ610" s="112">
        <f>IF($D610=$B$1888,AQ$463,0)</f>
        <v>0</v>
      </c>
      <c r="AR610" s="112">
        <f>IF($D610=$B$1889,AR$463,0)</f>
        <v>0</v>
      </c>
      <c r="AS610" s="112">
        <f>IF($D610=$B$1890,AS$463,0)</f>
        <v>0</v>
      </c>
      <c r="AT610" s="112">
        <f>IF($D610=$B$1891,AT$463,0)</f>
        <v>0</v>
      </c>
      <c r="AU610" s="112">
        <f>IF($D610=$B$1892,AU$463,0)</f>
        <v>0</v>
      </c>
      <c r="AV610" s="226">
        <f>SUM(AN610:AU610)</f>
        <v>0</v>
      </c>
      <c r="AX610" s="216">
        <f>AF610*AM610</f>
        <v>0</v>
      </c>
      <c r="AZ610" s="158">
        <f>AX610+(AV610*AM610)</f>
        <v>0</v>
      </c>
      <c r="BB610" s="217">
        <f>(AF610*AM610)*0.01</f>
        <v>0</v>
      </c>
      <c r="BD610" s="218">
        <f>AZ610*0.01</f>
        <v>0</v>
      </c>
      <c r="BE610" s="199"/>
      <c r="BG610" s="217">
        <f>IF(AF610&gt;0,BG605+BB610,BG605)</f>
        <v>0.78205357142857113</v>
      </c>
      <c r="BH610" s="218">
        <f>IF(AV610&gt;0,BH605+BD610,BH605)</f>
        <v>0.47142857142857131</v>
      </c>
      <c r="BI610" s="217">
        <f>IF(BG610&gt;0.99,0.99,BG610)</f>
        <v>0.78205357142857113</v>
      </c>
      <c r="BJ610" s="218">
        <f>IF(BH610&gt;0.99,0.99,BH610)</f>
        <v>0.47142857142857131</v>
      </c>
    </row>
    <row r="611" spans="1:62" ht="16.2" thickTop="1" x14ac:dyDescent="0.25">
      <c r="A611" s="200">
        <f>A606+1</f>
        <v>41</v>
      </c>
      <c r="B611" s="200" t="s">
        <v>411</v>
      </c>
      <c r="C611" s="200"/>
      <c r="D611" s="201" t="str">
        <f>IF(B613="","If claimed, explain in white box below.","")</f>
        <v/>
      </c>
      <c r="E611" s="203"/>
      <c r="F611" s="1"/>
    </row>
    <row r="612" spans="1:62" ht="28.05" customHeight="1" x14ac:dyDescent="0.25">
      <c r="A612" s="202"/>
      <c r="B612" s="567" t="s">
        <v>412</v>
      </c>
      <c r="C612" s="568"/>
      <c r="D612" s="569"/>
      <c r="E612" s="203"/>
      <c r="F612" s="1"/>
    </row>
    <row r="613" spans="1:62" ht="138" customHeight="1" thickBot="1" x14ac:dyDescent="0.3">
      <c r="A613" s="202"/>
      <c r="B613" s="570" t="s">
        <v>413</v>
      </c>
      <c r="C613" s="571"/>
      <c r="D613" s="572"/>
      <c r="E613" s="203"/>
      <c r="F613" s="1"/>
    </row>
    <row r="614" spans="1:62" ht="15" thickTop="1" thickBot="1" x14ac:dyDescent="0.3">
      <c r="A614" s="202"/>
      <c r="B614" s="204" t="str">
        <f>IF(B613="","","Claimed?")</f>
        <v>Claimed?</v>
      </c>
      <c r="C614" s="204" t="str">
        <f>IF(B614="","","Verifiable?")</f>
        <v>Verifiable?</v>
      </c>
      <c r="D614" s="205" t="str">
        <f>IF(C615="","","Independent verification")</f>
        <v>Independent verification</v>
      </c>
      <c r="E614" s="573">
        <f>BI615</f>
        <v>0.79330357142857111</v>
      </c>
      <c r="F614" s="574"/>
      <c r="AA614" s="60"/>
      <c r="AB614" s="60" t="s">
        <v>314</v>
      </c>
      <c r="AF614" s="220"/>
      <c r="AG614" s="60" t="s">
        <v>315</v>
      </c>
      <c r="AM614" s="221"/>
      <c r="AN614" s="60" t="s">
        <v>316</v>
      </c>
      <c r="AV614" s="222"/>
      <c r="AX614" s="207" t="s">
        <v>317</v>
      </c>
      <c r="AZ614" s="208" t="s">
        <v>318</v>
      </c>
      <c r="BB614" s="209" t="s">
        <v>319</v>
      </c>
      <c r="BD614" s="208" t="s">
        <v>320</v>
      </c>
      <c r="BG614" s="210" t="s">
        <v>326</v>
      </c>
      <c r="BH614" s="211" t="s">
        <v>327</v>
      </c>
      <c r="BI614" s="210" t="s">
        <v>321</v>
      </c>
      <c r="BJ614" s="211" t="s">
        <v>322</v>
      </c>
    </row>
    <row r="615" spans="1:62" ht="15" thickTop="1" thickBot="1" x14ac:dyDescent="0.3">
      <c r="A615" s="202"/>
      <c r="B615" s="212" t="s">
        <v>373</v>
      </c>
      <c r="C615" s="213" t="s">
        <v>347</v>
      </c>
      <c r="D615" s="223"/>
      <c r="E615" s="573">
        <f>BJ615</f>
        <v>0.47142857142857131</v>
      </c>
      <c r="F615" s="574"/>
      <c r="AA615" s="112"/>
      <c r="AB615" s="112">
        <f>IF(B615=$B$1871,$AB$463,0)</f>
        <v>0</v>
      </c>
      <c r="AC615" s="112">
        <f>IF(B615=$B$1872,$AC$463,0)</f>
        <v>0</v>
      </c>
      <c r="AD615" s="112">
        <f>IF(B615=$B$1873,$AD$463,0)</f>
        <v>2.5</v>
      </c>
      <c r="AE615" s="112">
        <f>IF(B615=$B$1874,$AE$463,0)</f>
        <v>0</v>
      </c>
      <c r="AF615" s="224">
        <f>SUM(AB615:AE615)</f>
        <v>2.5</v>
      </c>
      <c r="AG615" s="112">
        <f>IF(C615=$B$1877,$E$1877,0)</f>
        <v>0</v>
      </c>
      <c r="AH615" s="112">
        <f>IF(C615=$B$1878,$E$1878,0)</f>
        <v>0</v>
      </c>
      <c r="AI615" s="112">
        <f>IF(C615=$B$1879,$E$1879,0)</f>
        <v>0</v>
      </c>
      <c r="AJ615" s="112">
        <f>IF(C615=$B$1880,$E$1880,0)</f>
        <v>0</v>
      </c>
      <c r="AK615" s="112">
        <f>IF(C615=$B$1881,$E$1881,0)</f>
        <v>0.45</v>
      </c>
      <c r="AL615" s="112">
        <f>IF(C615=$B$1882,$E$1882,0)</f>
        <v>0</v>
      </c>
      <c r="AM615" s="225">
        <f>SUM(AG615:AL615)</f>
        <v>0.45</v>
      </c>
      <c r="AN615" s="112">
        <f>IF($D615=$B$1885,AN$463,0)</f>
        <v>0</v>
      </c>
      <c r="AO615" s="112">
        <f>IF($D615=$B$1886,AO$463,0)</f>
        <v>0</v>
      </c>
      <c r="AP615" s="112">
        <f>IF($D615=$B$1887,AP$463,0)</f>
        <v>0</v>
      </c>
      <c r="AQ615" s="112">
        <f>IF($D615=$B$1888,AQ$463,0)</f>
        <v>0</v>
      </c>
      <c r="AR615" s="112">
        <f>IF($D615=$B$1889,AR$463,0)</f>
        <v>0</v>
      </c>
      <c r="AS615" s="112">
        <f>IF($D615=$B$1890,AS$463,0)</f>
        <v>0</v>
      </c>
      <c r="AT615" s="112">
        <f>IF($D615=$B$1891,AT$463,0)</f>
        <v>0</v>
      </c>
      <c r="AU615" s="112">
        <f>IF($D615=$B$1892,AU$463,0)</f>
        <v>0</v>
      </c>
      <c r="AV615" s="226">
        <f>SUM(AN615:AU615)</f>
        <v>0</v>
      </c>
      <c r="AX615" s="216">
        <f>AF615*AM615</f>
        <v>1.125</v>
      </c>
      <c r="AZ615" s="158">
        <f>AX615+(AV615*AM615)</f>
        <v>1.125</v>
      </c>
      <c r="BB615" s="217">
        <f>(AF615*AM615)*0.01</f>
        <v>1.125E-2</v>
      </c>
      <c r="BD615" s="218">
        <f>AZ615*0.01</f>
        <v>1.125E-2</v>
      </c>
      <c r="BE615" s="199"/>
      <c r="BG615" s="217">
        <f>IF(AF615&gt;0,BG610+BB615,BG610)</f>
        <v>0.79330357142857111</v>
      </c>
      <c r="BH615" s="218">
        <f>IF(AV615&gt;0,BH610+BD615,BH610)</f>
        <v>0.47142857142857131</v>
      </c>
      <c r="BI615" s="217">
        <f>IF(BG615&gt;0.99,0.99,BG615)</f>
        <v>0.79330357142857111</v>
      </c>
      <c r="BJ615" s="218">
        <f>IF(BH615&gt;0.99,0.99,BH615)</f>
        <v>0.47142857142857131</v>
      </c>
    </row>
    <row r="616" spans="1:62" ht="4.95" customHeight="1" thickTop="1" x14ac:dyDescent="0.25">
      <c r="A616" s="203"/>
      <c r="B616" s="203"/>
      <c r="C616" s="203"/>
      <c r="D616" s="203"/>
      <c r="E616" s="203"/>
      <c r="F616" s="1"/>
    </row>
    <row r="617" spans="1:62" ht="15.6" x14ac:dyDescent="0.25">
      <c r="A617" s="200">
        <f>A611+1</f>
        <v>42</v>
      </c>
      <c r="B617" s="200" t="s">
        <v>414</v>
      </c>
      <c r="C617" s="200"/>
      <c r="D617" s="201" t="str">
        <f>IF(B619="","If claimed, explain in white box below.","")</f>
        <v/>
      </c>
      <c r="E617" s="203"/>
      <c r="F617" s="1"/>
    </row>
    <row r="618" spans="1:62" ht="28.05" customHeight="1" x14ac:dyDescent="0.25">
      <c r="A618" s="202"/>
      <c r="B618" s="567" t="s">
        <v>415</v>
      </c>
      <c r="C618" s="568"/>
      <c r="D618" s="569"/>
      <c r="E618" s="203"/>
      <c r="F618" s="1"/>
    </row>
    <row r="619" spans="1:62" ht="157.94999999999999" customHeight="1" thickBot="1" x14ac:dyDescent="0.3">
      <c r="A619" s="202"/>
      <c r="B619" s="570" t="s">
        <v>416</v>
      </c>
      <c r="C619" s="571"/>
      <c r="D619" s="572"/>
      <c r="E619" s="203"/>
      <c r="F619" s="1"/>
    </row>
    <row r="620" spans="1:62" ht="15" thickTop="1" thickBot="1" x14ac:dyDescent="0.3">
      <c r="A620" s="202"/>
      <c r="B620" s="204" t="str">
        <f>IF(B619="","","Claimed?")</f>
        <v>Claimed?</v>
      </c>
      <c r="C620" s="204" t="str">
        <f>IF(B620="","","Verifiable?")</f>
        <v>Verifiable?</v>
      </c>
      <c r="D620" s="205" t="str">
        <f>IF(C621="","","Independent verification")</f>
        <v>Independent verification</v>
      </c>
      <c r="E620" s="573">
        <f>BI621</f>
        <v>0.80455357142857109</v>
      </c>
      <c r="F620" s="574"/>
      <c r="AA620" s="60"/>
      <c r="AB620" s="60" t="s">
        <v>314</v>
      </c>
      <c r="AF620" s="220"/>
      <c r="AG620" s="60" t="s">
        <v>315</v>
      </c>
      <c r="AM620" s="221"/>
      <c r="AN620" s="60" t="s">
        <v>316</v>
      </c>
      <c r="AV620" s="222"/>
      <c r="AX620" s="207" t="s">
        <v>317</v>
      </c>
      <c r="AZ620" s="208" t="s">
        <v>318</v>
      </c>
      <c r="BB620" s="209" t="s">
        <v>319</v>
      </c>
      <c r="BD620" s="208" t="s">
        <v>320</v>
      </c>
      <c r="BG620" s="210" t="s">
        <v>326</v>
      </c>
      <c r="BH620" s="211" t="s">
        <v>327</v>
      </c>
      <c r="BI620" s="210" t="s">
        <v>321</v>
      </c>
      <c r="BJ620" s="211" t="s">
        <v>322</v>
      </c>
    </row>
    <row r="621" spans="1:62" ht="15" thickTop="1" thickBot="1" x14ac:dyDescent="0.3">
      <c r="A621" s="202"/>
      <c r="B621" s="212" t="s">
        <v>373</v>
      </c>
      <c r="C621" s="213" t="s">
        <v>347</v>
      </c>
      <c r="D621" s="223"/>
      <c r="E621" s="573">
        <f>BJ621</f>
        <v>0.47142857142857131</v>
      </c>
      <c r="F621" s="574"/>
      <c r="AA621" s="112"/>
      <c r="AB621" s="112">
        <f>IF(B621=$B$1871,$AB$463,0)</f>
        <v>0</v>
      </c>
      <c r="AC621" s="112">
        <f>IF(B621=$B$1872,$AC$463,0)</f>
        <v>0</v>
      </c>
      <c r="AD621" s="112">
        <f>IF(B621=$B$1873,$AD$463,0)</f>
        <v>2.5</v>
      </c>
      <c r="AE621" s="112">
        <f>IF(B621=$B$1874,$AE$463,0)</f>
        <v>0</v>
      </c>
      <c r="AF621" s="232">
        <f>SUM(AB621:AE621)</f>
        <v>2.5</v>
      </c>
      <c r="AG621" s="112">
        <f>IF(C621=$B$1877,$E$1877,0)</f>
        <v>0</v>
      </c>
      <c r="AH621" s="112">
        <f>IF(C621=$B$1878,$E$1878,0)</f>
        <v>0</v>
      </c>
      <c r="AI621" s="112">
        <f>IF(C621=$B$1879,$E$1879,0)</f>
        <v>0</v>
      </c>
      <c r="AJ621" s="112">
        <f>IF(C621=$B$1880,$E$1880,0)</f>
        <v>0</v>
      </c>
      <c r="AK621" s="112">
        <f>IF(C621=$B$1881,$E$1881,0)</f>
        <v>0.45</v>
      </c>
      <c r="AL621" s="112">
        <f>IF(C621=$B$1882,$E$1882,0)</f>
        <v>0</v>
      </c>
      <c r="AM621" s="225">
        <f>SUM(AG621:AL621)</f>
        <v>0.45</v>
      </c>
      <c r="AN621" s="112">
        <f>IF($D621=$B$1885,AN$463,0)</f>
        <v>0</v>
      </c>
      <c r="AO621" s="112">
        <f>IF($D621=$B$1886,AO$463,0)</f>
        <v>0</v>
      </c>
      <c r="AP621" s="112">
        <f>IF($D621=$B$1887,AP$463,0)</f>
        <v>0</v>
      </c>
      <c r="AQ621" s="112">
        <f>IF($D621=$B$1888,AQ$463,0)</f>
        <v>0</v>
      </c>
      <c r="AR621" s="112">
        <f>IF($D621=$B$1889,AR$463,0)</f>
        <v>0</v>
      </c>
      <c r="AS621" s="112">
        <f>IF($D621=$B$1890,AS$463,0)</f>
        <v>0</v>
      </c>
      <c r="AT621" s="112">
        <f>IF($D621=$B$1891,AT$463,0)</f>
        <v>0</v>
      </c>
      <c r="AU621" s="112">
        <f>IF($D621=$B$1892,AU$463,0)</f>
        <v>0</v>
      </c>
      <c r="AV621" s="226">
        <f>SUM(AN621:AU621)</f>
        <v>0</v>
      </c>
      <c r="AX621" s="216">
        <f>AF621*AM621</f>
        <v>1.125</v>
      </c>
      <c r="AZ621" s="158">
        <f>AX621+(AV621*AM621)</f>
        <v>1.125</v>
      </c>
      <c r="BB621" s="217">
        <f>(AF621*AM621)*0.01</f>
        <v>1.125E-2</v>
      </c>
      <c r="BD621" s="218">
        <f>AZ621*0.01</f>
        <v>1.125E-2</v>
      </c>
      <c r="BE621" s="199"/>
      <c r="BG621" s="217">
        <f>IF(AF621&gt;0,BG615+BB621,BG615)</f>
        <v>0.80455357142857109</v>
      </c>
      <c r="BH621" s="218">
        <f>IF(AV621&gt;0,BH615+BD621,BH615)</f>
        <v>0.47142857142857131</v>
      </c>
      <c r="BI621" s="217">
        <f>IF(BG621&gt;0.99,0.99,BG621)</f>
        <v>0.80455357142857109</v>
      </c>
      <c r="BJ621" s="218">
        <f>IF(BH621&gt;0.99,0.99,BH621)</f>
        <v>0.47142857142857131</v>
      </c>
    </row>
    <row r="622" spans="1:62" ht="16.2" thickTop="1" x14ac:dyDescent="0.25">
      <c r="A622" s="200">
        <f>A617+1</f>
        <v>43</v>
      </c>
      <c r="B622" s="200" t="s">
        <v>417</v>
      </c>
      <c r="C622" s="200"/>
      <c r="D622" s="201" t="str">
        <f>IF(B624="","If claimed, explain in white box below.","")</f>
        <v/>
      </c>
      <c r="E622" s="203"/>
      <c r="F622" s="1"/>
    </row>
    <row r="623" spans="1:62" x14ac:dyDescent="0.25">
      <c r="A623" s="202"/>
      <c r="B623" s="567" t="s">
        <v>418</v>
      </c>
      <c r="C623" s="568"/>
      <c r="D623" s="569"/>
      <c r="E623" s="203"/>
      <c r="F623" s="1"/>
    </row>
    <row r="624" spans="1:62" ht="157.94999999999999" customHeight="1" thickBot="1" x14ac:dyDescent="0.3">
      <c r="A624" s="202"/>
      <c r="B624" s="570" t="s">
        <v>419</v>
      </c>
      <c r="C624" s="571"/>
      <c r="D624" s="572"/>
      <c r="E624" s="203"/>
      <c r="F624" s="1"/>
    </row>
    <row r="625" spans="1:62" ht="15" thickTop="1" thickBot="1" x14ac:dyDescent="0.3">
      <c r="A625" s="202"/>
      <c r="B625" s="204" t="str">
        <f>IF(B624="","","Claimed?")</f>
        <v>Claimed?</v>
      </c>
      <c r="C625" s="204" t="str">
        <f>IF(B625="","","Verifiable?")</f>
        <v>Verifiable?</v>
      </c>
      <c r="D625" s="205" t="str">
        <f>IF(C626="","","Independent verification")</f>
        <v>Independent verification</v>
      </c>
      <c r="E625" s="573">
        <f>BI626</f>
        <v>0.81080357142857107</v>
      </c>
      <c r="F625" s="574"/>
      <c r="AA625" s="60"/>
      <c r="AB625" s="60" t="s">
        <v>314</v>
      </c>
      <c r="AF625" s="220"/>
      <c r="AG625" s="60" t="s">
        <v>315</v>
      </c>
      <c r="AM625" s="221"/>
      <c r="AN625" s="60" t="s">
        <v>316</v>
      </c>
      <c r="AV625" s="222"/>
      <c r="AX625" s="207" t="s">
        <v>317</v>
      </c>
      <c r="AZ625" s="208" t="s">
        <v>318</v>
      </c>
      <c r="BB625" s="209" t="s">
        <v>319</v>
      </c>
      <c r="BD625" s="208" t="s">
        <v>320</v>
      </c>
      <c r="BG625" s="210" t="s">
        <v>326</v>
      </c>
      <c r="BH625" s="211" t="s">
        <v>327</v>
      </c>
      <c r="BI625" s="210" t="s">
        <v>321</v>
      </c>
      <c r="BJ625" s="211" t="s">
        <v>322</v>
      </c>
    </row>
    <row r="626" spans="1:62" ht="15" thickTop="1" thickBot="1" x14ac:dyDescent="0.3">
      <c r="A626" s="202"/>
      <c r="B626" s="212" t="s">
        <v>373</v>
      </c>
      <c r="C626" s="213" t="s">
        <v>388</v>
      </c>
      <c r="D626" s="223"/>
      <c r="E626" s="573">
        <f>BJ626</f>
        <v>0.47142857142857131</v>
      </c>
      <c r="F626" s="574"/>
      <c r="AA626" s="112"/>
      <c r="AB626" s="112">
        <f>IF(B626=$B$1871,$AB$463,0)</f>
        <v>0</v>
      </c>
      <c r="AC626" s="112">
        <f>IF(B626=$B$1872,$AC$463,0)</f>
        <v>0</v>
      </c>
      <c r="AD626" s="112">
        <f>IF(B626=$B$1873,$AD$463,0)</f>
        <v>2.5</v>
      </c>
      <c r="AE626" s="112">
        <f>IF(B626=$B$1874,$AE$463,0)</f>
        <v>0</v>
      </c>
      <c r="AF626" s="224">
        <f>SUM(AB626:AE626)</f>
        <v>2.5</v>
      </c>
      <c r="AG626" s="112">
        <f>IF(C626=$B$1877,$E$1877,0)</f>
        <v>0.25000000000000006</v>
      </c>
      <c r="AH626" s="112">
        <f>IF(C626=$B$1878,$E$1878,0)</f>
        <v>0</v>
      </c>
      <c r="AI626" s="112">
        <f>IF(C626=$B$1879,$E$1879,0)</f>
        <v>0</v>
      </c>
      <c r="AJ626" s="112">
        <f>IF(C626=$B$1880,$E$1880,0)</f>
        <v>0</v>
      </c>
      <c r="AK626" s="112">
        <f>IF(C626=$B$1881,$E$1881,0)</f>
        <v>0</v>
      </c>
      <c r="AL626" s="112">
        <f>IF(C626=$B$1882,$E$1882,0)</f>
        <v>0</v>
      </c>
      <c r="AM626" s="225">
        <f>SUM(AG626:AL626)</f>
        <v>0.25000000000000006</v>
      </c>
      <c r="AN626" s="112">
        <f>IF($D626=$B$1885,AN$463,0)</f>
        <v>0</v>
      </c>
      <c r="AO626" s="112">
        <f>IF($D626=$B$1886,AO$463,0)</f>
        <v>0</v>
      </c>
      <c r="AP626" s="112">
        <f>IF($D626=$B$1887,AP$463,0)</f>
        <v>0</v>
      </c>
      <c r="AQ626" s="112">
        <f>IF($D626=$B$1888,AQ$463,0)</f>
        <v>0</v>
      </c>
      <c r="AR626" s="112">
        <f>IF($D626=$B$1889,AR$463,0)</f>
        <v>0</v>
      </c>
      <c r="AS626" s="112">
        <f>IF($D626=$B$1890,AS$463,0)</f>
        <v>0</v>
      </c>
      <c r="AT626" s="112">
        <f>IF($D626=$B$1891,AT$463,0)</f>
        <v>0</v>
      </c>
      <c r="AU626" s="112">
        <f>IF($D626=$B$1892,AU$463,0)</f>
        <v>0</v>
      </c>
      <c r="AV626" s="226">
        <f>SUM(AN626:AU626)</f>
        <v>0</v>
      </c>
      <c r="AX626" s="216">
        <f>AF626*AM626</f>
        <v>0.62500000000000011</v>
      </c>
      <c r="AZ626" s="158">
        <f>AX626+(AV626*AM626)</f>
        <v>0.62500000000000011</v>
      </c>
      <c r="BB626" s="217">
        <f>(AF626*AM626)*0.01</f>
        <v>6.2500000000000012E-3</v>
      </c>
      <c r="BD626" s="218">
        <f>AZ626*0.01</f>
        <v>6.2500000000000012E-3</v>
      </c>
      <c r="BE626" s="199"/>
      <c r="BG626" s="217">
        <f>IF(AF626&gt;0,BG621+BB626,BG621)</f>
        <v>0.81080357142857107</v>
      </c>
      <c r="BH626" s="218">
        <f>IF(AV626&gt;0,BH621+BD626,BH621)</f>
        <v>0.47142857142857131</v>
      </c>
      <c r="BI626" s="217">
        <f>IF(BG626&gt;0.99,0.99,BG626)</f>
        <v>0.81080357142857107</v>
      </c>
      <c r="BJ626" s="218">
        <f>IF(BH626&gt;0.99,0.99,BH626)</f>
        <v>0.47142857142857131</v>
      </c>
    </row>
    <row r="627" spans="1:62" ht="16.2" thickTop="1" x14ac:dyDescent="0.25">
      <c r="A627" s="200">
        <f>A622+1</f>
        <v>44</v>
      </c>
      <c r="B627" s="200" t="s">
        <v>420</v>
      </c>
      <c r="C627" s="200"/>
      <c r="D627" s="201" t="str">
        <f>IF(B629="","If claimed, explain in white box below.","")</f>
        <v/>
      </c>
      <c r="E627" s="203"/>
      <c r="F627" s="1"/>
    </row>
    <row r="628" spans="1:62" x14ac:dyDescent="0.25">
      <c r="A628" s="202"/>
      <c r="B628" s="567" t="s">
        <v>421</v>
      </c>
      <c r="C628" s="568"/>
      <c r="D628" s="569"/>
      <c r="E628" s="203"/>
      <c r="F628" s="1"/>
    </row>
    <row r="629" spans="1:62" ht="157.94999999999999" customHeight="1" thickBot="1" x14ac:dyDescent="0.3">
      <c r="A629" s="202"/>
      <c r="B629" s="570" t="s">
        <v>422</v>
      </c>
      <c r="C629" s="571"/>
      <c r="D629" s="572"/>
      <c r="E629" s="203"/>
      <c r="F629" s="1"/>
    </row>
    <row r="630" spans="1:62" ht="15" thickTop="1" thickBot="1" x14ac:dyDescent="0.3">
      <c r="A630" s="202"/>
      <c r="B630" s="204" t="str">
        <f>IF(B629="","","Claimed?")</f>
        <v>Claimed?</v>
      </c>
      <c r="C630" s="204" t="str">
        <f>IF(B630="","","Verifiable?")</f>
        <v>Verifiable?</v>
      </c>
      <c r="D630" s="205" t="str">
        <f>IF(C631="","","Independent verification")</f>
        <v>Independent verification</v>
      </c>
      <c r="E630" s="573">
        <f>BI631</f>
        <v>0.83080357142857109</v>
      </c>
      <c r="F630" s="574"/>
      <c r="AA630" s="60"/>
      <c r="AB630" s="60" t="s">
        <v>314</v>
      </c>
      <c r="AF630" s="220"/>
      <c r="AG630" s="60" t="s">
        <v>315</v>
      </c>
      <c r="AM630" s="221"/>
      <c r="AN630" s="60" t="s">
        <v>316</v>
      </c>
      <c r="AV630" s="222"/>
      <c r="AX630" s="207" t="s">
        <v>317</v>
      </c>
      <c r="AZ630" s="208" t="s">
        <v>318</v>
      </c>
      <c r="BB630" s="209" t="s">
        <v>319</v>
      </c>
      <c r="BD630" s="208" t="s">
        <v>320</v>
      </c>
      <c r="BG630" s="210" t="s">
        <v>326</v>
      </c>
      <c r="BH630" s="211" t="s">
        <v>327</v>
      </c>
      <c r="BI630" s="210" t="s">
        <v>321</v>
      </c>
      <c r="BJ630" s="211" t="s">
        <v>322</v>
      </c>
    </row>
    <row r="631" spans="1:62" ht="15" thickTop="1" thickBot="1" x14ac:dyDescent="0.3">
      <c r="A631" s="202"/>
      <c r="B631" s="212" t="s">
        <v>331</v>
      </c>
      <c r="C631" s="213" t="s">
        <v>423</v>
      </c>
      <c r="D631" s="223"/>
      <c r="E631" s="573">
        <f>BJ631</f>
        <v>0.47142857142857131</v>
      </c>
      <c r="F631" s="574"/>
      <c r="AA631" s="112"/>
      <c r="AB631" s="112">
        <f>IF(B631=$B$1871,$AB$463,0)</f>
        <v>0</v>
      </c>
      <c r="AC631" s="112">
        <f>IF(B631=$B$1872,$AC$463,0)</f>
        <v>0</v>
      </c>
      <c r="AD631" s="112">
        <f>IF(B631=$B$1873,$AD$463,0)</f>
        <v>0</v>
      </c>
      <c r="AE631" s="112">
        <f>IF(B631=$B$1874,$AE$463,0)</f>
        <v>5</v>
      </c>
      <c r="AF631" s="224">
        <f>SUM(AB631:AE631)</f>
        <v>5</v>
      </c>
      <c r="AG631" s="112">
        <f>IF(C631=$B$1877,$E$1877,0)</f>
        <v>0</v>
      </c>
      <c r="AH631" s="112">
        <f>IF(C631=$B$1878,$E$1878,0)</f>
        <v>0</v>
      </c>
      <c r="AI631" s="112">
        <f>IF(C631=$B$1879,$E$1879,0)</f>
        <v>0</v>
      </c>
      <c r="AJ631" s="112">
        <f>IF(C631=$B$1880,$E$1880,0)</f>
        <v>0.4</v>
      </c>
      <c r="AK631" s="112">
        <f>IF(C631=$B$1881,$E$1881,0)</f>
        <v>0</v>
      </c>
      <c r="AL631" s="112">
        <f>IF(C631=$B$1882,$E$1882,0)</f>
        <v>0</v>
      </c>
      <c r="AM631" s="225">
        <f>SUM(AG631:AL631)</f>
        <v>0.4</v>
      </c>
      <c r="AN631" s="112">
        <f>IF($D631=$B$1885,AN$463,0)</f>
        <v>0</v>
      </c>
      <c r="AO631" s="112">
        <f>IF($D631=$B$1886,AO$463,0)</f>
        <v>0</v>
      </c>
      <c r="AP631" s="112">
        <f>IF($D631=$B$1887,AP$463,0)</f>
        <v>0</v>
      </c>
      <c r="AQ631" s="112">
        <f>IF($D631=$B$1888,AQ$463,0)</f>
        <v>0</v>
      </c>
      <c r="AR631" s="112">
        <f>IF($D631=$B$1889,AR$463,0)</f>
        <v>0</v>
      </c>
      <c r="AS631" s="112">
        <f>IF($D631=$B$1890,AS$463,0)</f>
        <v>0</v>
      </c>
      <c r="AT631" s="112">
        <f>IF($D631=$B$1891,AT$463,0)</f>
        <v>0</v>
      </c>
      <c r="AU631" s="112">
        <f>IF($D631=$B$1892,AU$463,0)</f>
        <v>0</v>
      </c>
      <c r="AV631" s="226">
        <f>SUM(AN631:AU631)</f>
        <v>0</v>
      </c>
      <c r="AX631" s="216">
        <f>AF631*AM631</f>
        <v>2</v>
      </c>
      <c r="AZ631" s="158">
        <f>AX631+(AV631*AM631)</f>
        <v>2</v>
      </c>
      <c r="BB631" s="217">
        <f>(AF631*AM631)*0.01</f>
        <v>0.02</v>
      </c>
      <c r="BD631" s="218">
        <f>AZ631*0.01</f>
        <v>0.02</v>
      </c>
      <c r="BE631" s="199"/>
      <c r="BG631" s="217">
        <f>IF(AF631&gt;0,BG626+BB631,BG626)</f>
        <v>0.83080357142857109</v>
      </c>
      <c r="BH631" s="218">
        <f>IF(AV631&gt;0,BH626+BD631,BH626)</f>
        <v>0.47142857142857131</v>
      </c>
      <c r="BI631" s="217">
        <f>IF(BG631&gt;0.99,0.99,BG631)</f>
        <v>0.83080357142857109</v>
      </c>
      <c r="BJ631" s="218">
        <f>IF(BH631&gt;0.99,0.99,BH631)</f>
        <v>0.47142857142857131</v>
      </c>
    </row>
    <row r="632" spans="1:62" ht="4.95" customHeight="1" thickTop="1" x14ac:dyDescent="0.25">
      <c r="A632" s="203"/>
      <c r="B632" s="203"/>
      <c r="C632" s="203"/>
      <c r="D632" s="203"/>
      <c r="E632" s="203"/>
      <c r="F632" s="1"/>
      <c r="AA632" s="112"/>
      <c r="AB632" s="112"/>
      <c r="AC632" s="112"/>
      <c r="AD632" s="112"/>
      <c r="AE632" s="112"/>
      <c r="AF632" s="224"/>
      <c r="AG632" s="112"/>
      <c r="AH632" s="112"/>
      <c r="AI632" s="112"/>
      <c r="AJ632" s="112"/>
      <c r="AK632" s="112"/>
      <c r="AL632" s="112"/>
      <c r="AM632" s="225"/>
      <c r="AN632" s="112"/>
      <c r="AO632" s="112"/>
      <c r="AP632" s="112"/>
      <c r="AQ632" s="112"/>
      <c r="AR632" s="112"/>
      <c r="AS632" s="112"/>
      <c r="AT632" s="112"/>
      <c r="AU632" s="112"/>
      <c r="AV632" s="226"/>
      <c r="AX632" s="216"/>
      <c r="AZ632" s="158"/>
      <c r="BB632" s="217"/>
      <c r="BD632" s="218"/>
      <c r="BE632" s="199"/>
      <c r="BG632" s="217"/>
      <c r="BH632" s="218"/>
      <c r="BI632" s="217"/>
      <c r="BJ632" s="218"/>
    </row>
    <row r="633" spans="1:62" ht="15.6" x14ac:dyDescent="0.25">
      <c r="A633" s="200">
        <f>A627+1</f>
        <v>45</v>
      </c>
      <c r="B633" s="200" t="s">
        <v>424</v>
      </c>
      <c r="C633" s="200"/>
      <c r="D633" s="201" t="str">
        <f>IF(B635="","If claimed, explain in white box below.","")</f>
        <v/>
      </c>
      <c r="E633" s="203"/>
      <c r="F633" s="1"/>
    </row>
    <row r="634" spans="1:62" x14ac:dyDescent="0.25">
      <c r="A634" s="202"/>
      <c r="B634" s="567" t="s">
        <v>425</v>
      </c>
      <c r="C634" s="568"/>
      <c r="D634" s="569"/>
      <c r="E634" s="203"/>
      <c r="F634" s="1"/>
    </row>
    <row r="635" spans="1:62" ht="180" customHeight="1" thickBot="1" x14ac:dyDescent="0.3">
      <c r="A635" s="202"/>
      <c r="B635" s="570" t="s">
        <v>426</v>
      </c>
      <c r="C635" s="571"/>
      <c r="D635" s="572"/>
      <c r="E635" s="203"/>
      <c r="F635" s="1"/>
    </row>
    <row r="636" spans="1:62" ht="15" thickTop="1" thickBot="1" x14ac:dyDescent="0.3">
      <c r="A636" s="202"/>
      <c r="B636" s="204" t="str">
        <f>IF(B635="","","Claimed?")</f>
        <v>Claimed?</v>
      </c>
      <c r="C636" s="204" t="str">
        <f>IF(B636="","","Verifiable?")</f>
        <v>Verifiable?</v>
      </c>
      <c r="D636" s="205" t="str">
        <f>IF(C637="","","Independent verification")</f>
        <v>Independent verification</v>
      </c>
      <c r="E636" s="573">
        <f>BI637</f>
        <v>0.83830357142857104</v>
      </c>
      <c r="F636" s="574"/>
      <c r="AA636" s="60"/>
      <c r="AB636" s="60" t="s">
        <v>314</v>
      </c>
      <c r="AF636" s="220"/>
      <c r="AG636" s="60" t="s">
        <v>315</v>
      </c>
      <c r="AM636" s="221"/>
      <c r="AN636" s="60" t="s">
        <v>316</v>
      </c>
      <c r="AV636" s="222"/>
      <c r="AX636" s="207" t="s">
        <v>317</v>
      </c>
      <c r="AZ636" s="208" t="s">
        <v>318</v>
      </c>
      <c r="BB636" s="209" t="s">
        <v>319</v>
      </c>
      <c r="BD636" s="208" t="s">
        <v>320</v>
      </c>
      <c r="BG636" s="210" t="s">
        <v>326</v>
      </c>
      <c r="BH636" s="211" t="s">
        <v>327</v>
      </c>
      <c r="BI636" s="210" t="s">
        <v>321</v>
      </c>
      <c r="BJ636" s="211" t="s">
        <v>322</v>
      </c>
    </row>
    <row r="637" spans="1:62" ht="15" thickTop="1" thickBot="1" x14ac:dyDescent="0.3">
      <c r="A637" s="202"/>
      <c r="B637" s="212" t="s">
        <v>373</v>
      </c>
      <c r="C637" s="213" t="s">
        <v>351</v>
      </c>
      <c r="D637" s="223"/>
      <c r="E637" s="573">
        <f>BJ637</f>
        <v>0.47142857142857131</v>
      </c>
      <c r="F637" s="574"/>
      <c r="AA637" s="112"/>
      <c r="AB637" s="112">
        <f>IF(B637=$B$1871,$AB$463,0)</f>
        <v>0</v>
      </c>
      <c r="AC637" s="112">
        <f>IF(B637=$B$1872,$AC$463,0)</f>
        <v>0</v>
      </c>
      <c r="AD637" s="112">
        <f>IF(B637=$B$1873,$AD$463,0)</f>
        <v>2.5</v>
      </c>
      <c r="AE637" s="112">
        <f>IF(B637=$B$1874,$AE$463,0)</f>
        <v>0</v>
      </c>
      <c r="AF637" s="224">
        <f>SUM(AB637:AE637)</f>
        <v>2.5</v>
      </c>
      <c r="AG637" s="112">
        <f>IF(C637=$B$1877,$E$1877,0)</f>
        <v>0</v>
      </c>
      <c r="AH637" s="112">
        <f>IF(C637=$B$1878,$E$1878,0)</f>
        <v>0.30000000000000004</v>
      </c>
      <c r="AI637" s="112">
        <f>IF(C637=$B$1879,$E$1879,0)</f>
        <v>0</v>
      </c>
      <c r="AJ637" s="112">
        <f>IF(C637=$B$1880,$E$1880,0)</f>
        <v>0</v>
      </c>
      <c r="AK637" s="112">
        <f>IF(C637=$B$1881,$E$1881,0)</f>
        <v>0</v>
      </c>
      <c r="AL637" s="112">
        <f>IF(C637=$B$1882,$E$1882,0)</f>
        <v>0</v>
      </c>
      <c r="AM637" s="225">
        <f>SUM(AG637:AL637)</f>
        <v>0.30000000000000004</v>
      </c>
      <c r="AN637" s="112">
        <f>IF($D637=$B$1885,AN$463,0)</f>
        <v>0</v>
      </c>
      <c r="AO637" s="112">
        <f>IF($D637=$B$1886,AO$463,0)</f>
        <v>0</v>
      </c>
      <c r="AP637" s="112">
        <f>IF($D637=$B$1887,AP$463,0)</f>
        <v>0</v>
      </c>
      <c r="AQ637" s="112">
        <f>IF($D637=$B$1888,AQ$463,0)</f>
        <v>0</v>
      </c>
      <c r="AR637" s="112">
        <f>IF($D637=$B$1889,AR$463,0)</f>
        <v>0</v>
      </c>
      <c r="AS637" s="112">
        <f>IF($D637=$B$1890,AS$463,0)</f>
        <v>0</v>
      </c>
      <c r="AT637" s="112">
        <f>IF($D637=$B$1891,AT$463,0)</f>
        <v>0</v>
      </c>
      <c r="AU637" s="112">
        <f>IF($D637=$B$1892,AU$463,0)</f>
        <v>0</v>
      </c>
      <c r="AV637" s="226">
        <f>SUM(AN637:AU637)</f>
        <v>0</v>
      </c>
      <c r="AX637" s="216">
        <f>AF637*AM637</f>
        <v>0.75000000000000011</v>
      </c>
      <c r="AZ637" s="158">
        <f>AX637+(AV637*AM637)</f>
        <v>0.75000000000000011</v>
      </c>
      <c r="BB637" s="217">
        <f>(AF637*AM637)*0.01</f>
        <v>7.5000000000000015E-3</v>
      </c>
      <c r="BD637" s="218">
        <f>AZ637*0.01</f>
        <v>7.5000000000000015E-3</v>
      </c>
      <c r="BE637" s="199"/>
      <c r="BG637" s="217">
        <f>IF(AF637&gt;0,BG631+BB637,BG631)</f>
        <v>0.83830357142857104</v>
      </c>
      <c r="BH637" s="218">
        <f>IF(AV637&gt;0,BH631+BD637,BH631)</f>
        <v>0.47142857142857131</v>
      </c>
      <c r="BI637" s="217">
        <f>IF(BG637&gt;0.99,0.99,BG637)</f>
        <v>0.83830357142857104</v>
      </c>
      <c r="BJ637" s="218">
        <f>IF(BH637&gt;0.99,0.99,BH637)</f>
        <v>0.47142857142857131</v>
      </c>
    </row>
    <row r="638" spans="1:62" ht="15" thickTop="1" thickBot="1" x14ac:dyDescent="0.3">
      <c r="A638" s="202"/>
      <c r="B638" s="233"/>
      <c r="C638" s="233"/>
      <c r="D638" s="233"/>
      <c r="E638" s="203"/>
      <c r="F638" s="1"/>
    </row>
    <row r="639" spans="1:62" ht="14.4" thickBot="1" x14ac:dyDescent="0.3">
      <c r="A639" s="202"/>
      <c r="B639" s="203"/>
      <c r="C639" s="203"/>
      <c r="D639" s="203"/>
      <c r="E639" s="203"/>
      <c r="F639" s="1"/>
    </row>
    <row r="640" spans="1:62" ht="390" customHeight="1" thickTop="1" thickBot="1" x14ac:dyDescent="0.3">
      <c r="A640" s="202"/>
      <c r="B640" s="575"/>
      <c r="C640" s="576"/>
      <c r="D640" s="577"/>
      <c r="E640" s="203"/>
      <c r="F640" s="1"/>
    </row>
    <row r="641" spans="1:62" ht="14.4" thickTop="1" x14ac:dyDescent="0.25">
      <c r="A641" s="202"/>
      <c r="B641" s="203"/>
      <c r="C641" s="203"/>
      <c r="D641" s="203"/>
      <c r="E641" s="203"/>
      <c r="F641" s="1"/>
    </row>
    <row r="642" spans="1:62" ht="30" customHeight="1" x14ac:dyDescent="0.25">
      <c r="A642" s="188" t="s">
        <v>83</v>
      </c>
      <c r="B642" s="46" t="s">
        <v>427</v>
      </c>
      <c r="C642" s="46"/>
      <c r="D642" s="46"/>
      <c r="E642" s="46"/>
      <c r="F642" s="475" t="s">
        <v>949</v>
      </c>
    </row>
    <row r="643" spans="1:62" ht="19.95" customHeight="1" x14ac:dyDescent="0.25">
      <c r="A643" s="108" t="s">
        <v>428</v>
      </c>
      <c r="B643" s="109"/>
      <c r="C643" s="109"/>
      <c r="D643" s="109"/>
      <c r="E643" s="110"/>
      <c r="F643" s="108"/>
      <c r="AA643" s="190"/>
      <c r="AB643" s="190">
        <v>0</v>
      </c>
      <c r="AC643" s="191">
        <f>AD643/2</f>
        <v>0.25</v>
      </c>
      <c r="AD643" s="192">
        <f>AE643/2</f>
        <v>0.5</v>
      </c>
      <c r="AE643" s="193">
        <v>1</v>
      </c>
      <c r="AF643" s="120"/>
      <c r="AG643" s="120"/>
      <c r="AH643" s="120"/>
      <c r="AI643" s="120"/>
      <c r="AJ643" s="120"/>
      <c r="AK643" s="120"/>
      <c r="AL643" s="120"/>
      <c r="AM643" s="120"/>
      <c r="AN643" s="194">
        <f>AE643*-2</f>
        <v>-2</v>
      </c>
      <c r="AO643" s="190">
        <f>AE643*-1</f>
        <v>-1</v>
      </c>
      <c r="AP643" s="190">
        <f>AD643*-1</f>
        <v>-0.5</v>
      </c>
      <c r="AQ643" s="195">
        <f>AE643*-0.1</f>
        <v>-0.1</v>
      </c>
      <c r="AR643" s="195">
        <v>0</v>
      </c>
      <c r="AS643" s="195">
        <f>AE643*0.1</f>
        <v>0.1</v>
      </c>
      <c r="AT643" s="192">
        <f>AD643</f>
        <v>0.5</v>
      </c>
      <c r="AU643" s="193">
        <f>AE643</f>
        <v>1</v>
      </c>
      <c r="AV643" s="196"/>
      <c r="AW643" s="120"/>
      <c r="AX643" s="120"/>
      <c r="AY643" s="120"/>
      <c r="AZ643" s="120"/>
      <c r="BA643" s="120"/>
      <c r="BB643" s="197"/>
      <c r="BC643" s="120"/>
      <c r="BD643" s="120"/>
      <c r="BE643" s="120"/>
      <c r="BF643" s="120"/>
      <c r="BG643" s="229">
        <f>BG600</f>
        <v>0.47142857142857131</v>
      </c>
    </row>
    <row r="644" spans="1:62" ht="15.6" x14ac:dyDescent="0.25">
      <c r="A644" s="200">
        <f>A633+1</f>
        <v>46</v>
      </c>
      <c r="B644" s="200" t="s">
        <v>429</v>
      </c>
      <c r="C644" s="200"/>
      <c r="D644" s="201" t="str">
        <f>IF(B646="","If claimed, explain in white box below.","")</f>
        <v/>
      </c>
      <c r="E644" s="203"/>
      <c r="F644" s="1"/>
    </row>
    <row r="645" spans="1:62" x14ac:dyDescent="0.25">
      <c r="A645" s="202"/>
      <c r="B645" s="567" t="s">
        <v>430</v>
      </c>
      <c r="C645" s="568"/>
      <c r="D645" s="569"/>
      <c r="E645" s="203"/>
      <c r="F645" s="1"/>
    </row>
    <row r="646" spans="1:62" ht="145.05000000000001" customHeight="1" thickBot="1" x14ac:dyDescent="0.3">
      <c r="A646" s="202"/>
      <c r="B646" s="570" t="s">
        <v>431</v>
      </c>
      <c r="C646" s="571"/>
      <c r="D646" s="572"/>
      <c r="E646" s="203"/>
      <c r="F646" s="1"/>
    </row>
    <row r="647" spans="1:62" ht="15" thickTop="1" thickBot="1" x14ac:dyDescent="0.3">
      <c r="A647" s="202"/>
      <c r="B647" s="204" t="str">
        <f>IF(B646="","","Claimed?")</f>
        <v>Claimed?</v>
      </c>
      <c r="C647" s="204" t="str">
        <f>IF(B647="","","Verifiable?")</f>
        <v>Verifiable?</v>
      </c>
      <c r="D647" s="205" t="str">
        <f>IF(C648="","","Independent verification")</f>
        <v>Independent verification</v>
      </c>
      <c r="E647" s="573">
        <f>BI648</f>
        <v>0.85080357142857099</v>
      </c>
      <c r="F647" s="574"/>
      <c r="AA647" s="60"/>
      <c r="AB647" s="60" t="s">
        <v>314</v>
      </c>
      <c r="AF647" s="220"/>
      <c r="AG647" s="60" t="s">
        <v>315</v>
      </c>
      <c r="AM647" s="221"/>
      <c r="AN647" s="60" t="s">
        <v>316</v>
      </c>
      <c r="AV647" s="222"/>
      <c r="AX647" s="207" t="s">
        <v>317</v>
      </c>
      <c r="AZ647" s="208" t="s">
        <v>318</v>
      </c>
      <c r="BB647" s="209" t="s">
        <v>319</v>
      </c>
      <c r="BD647" s="208" t="s">
        <v>320</v>
      </c>
      <c r="BG647" s="210" t="s">
        <v>326</v>
      </c>
      <c r="BH647" s="211" t="s">
        <v>327</v>
      </c>
      <c r="BI647" s="210" t="s">
        <v>321</v>
      </c>
      <c r="BJ647" s="211" t="s">
        <v>322</v>
      </c>
    </row>
    <row r="648" spans="1:62" ht="15" thickTop="1" thickBot="1" x14ac:dyDescent="0.3">
      <c r="A648" s="202"/>
      <c r="B648" s="212" t="s">
        <v>373</v>
      </c>
      <c r="C648" s="213" t="s">
        <v>332</v>
      </c>
      <c r="D648" s="223"/>
      <c r="E648" s="573">
        <f>BJ648</f>
        <v>0.47142857142857131</v>
      </c>
      <c r="F648" s="574"/>
      <c r="AA648" s="112"/>
      <c r="AB648" s="112">
        <f>IF(B648=$B$1871,$AB$463,0)</f>
        <v>0</v>
      </c>
      <c r="AC648" s="112">
        <f>IF(B648=$B$1872,$AC$463,0)</f>
        <v>0</v>
      </c>
      <c r="AD648" s="112">
        <f>IF(B648=$B$1873,$AD$463,0)</f>
        <v>2.5</v>
      </c>
      <c r="AE648" s="112">
        <f>IF(B648=$B$1874,$AE$463,0)</f>
        <v>0</v>
      </c>
      <c r="AF648" s="224">
        <f>SUM(AB648:AE648)</f>
        <v>2.5</v>
      </c>
      <c r="AG648" s="112">
        <f>IF(C648=$B$1877,$E$1877,0)</f>
        <v>0</v>
      </c>
      <c r="AH648" s="112">
        <f>IF(C648=$B$1878,$E$1878,0)</f>
        <v>0</v>
      </c>
      <c r="AI648" s="112">
        <f>IF(C648=$B$1879,$E$1879,0)</f>
        <v>0</v>
      </c>
      <c r="AJ648" s="112">
        <f>IF(C648=$B$1880,$E$1880,0)</f>
        <v>0</v>
      </c>
      <c r="AK648" s="112">
        <f>IF(C648=$B$1881,$E$1881,0)</f>
        <v>0</v>
      </c>
      <c r="AL648" s="112">
        <f>IF(C648=$B$1882,$E$1882,0)</f>
        <v>0.5</v>
      </c>
      <c r="AM648" s="225">
        <f>SUM(AG648:AL648)</f>
        <v>0.5</v>
      </c>
      <c r="AN648" s="112">
        <f>IF($D648=$B$1885,AN$463,0)</f>
        <v>0</v>
      </c>
      <c r="AO648" s="112">
        <f>IF($D648=$B$1886,AO$463,0)</f>
        <v>0</v>
      </c>
      <c r="AP648" s="112">
        <f>IF($D648=$B$1887,AP$463,0)</f>
        <v>0</v>
      </c>
      <c r="AQ648" s="112">
        <f>IF($D648=$B$1888,AQ$463,0)</f>
        <v>0</v>
      </c>
      <c r="AR648" s="112">
        <f>IF($D648=$B$1889,AR$463,0)</f>
        <v>0</v>
      </c>
      <c r="AS648" s="112">
        <f>IF($D648=$B$1890,AS$463,0)</f>
        <v>0</v>
      </c>
      <c r="AT648" s="112">
        <f>IF($D648=$B$1891,AT$463,0)</f>
        <v>0</v>
      </c>
      <c r="AU648" s="112">
        <f>IF($D648=$B$1892,AU$463,0)</f>
        <v>0</v>
      </c>
      <c r="AV648" s="226">
        <f>SUM(AN648:AU648)</f>
        <v>0</v>
      </c>
      <c r="AX648" s="216">
        <f>AF648*AM648</f>
        <v>1.25</v>
      </c>
      <c r="AZ648" s="158">
        <f>AX648+(AV648*AM648)</f>
        <v>1.25</v>
      </c>
      <c r="BB648" s="217">
        <f>(AF648*AM648)*0.01</f>
        <v>1.2500000000000001E-2</v>
      </c>
      <c r="BD648" s="218">
        <f>AZ648*0.01</f>
        <v>1.2500000000000001E-2</v>
      </c>
      <c r="BE648" s="199"/>
      <c r="BG648" s="217">
        <f>IF(AF648&gt;0,BG637+BB648,BG637)</f>
        <v>0.85080357142857099</v>
      </c>
      <c r="BH648" s="218">
        <f>IF(AV648&gt;0,BH637+BD648,BH637)</f>
        <v>0.47142857142857131</v>
      </c>
      <c r="BI648" s="217">
        <f>IF(BG648&gt;0.99,0.99,BG648)</f>
        <v>0.85080357142857099</v>
      </c>
      <c r="BJ648" s="218">
        <f>IF(BH648&gt;0.99,0.99,BH648)</f>
        <v>0.47142857142857131</v>
      </c>
    </row>
    <row r="649" spans="1:62" ht="16.2" thickTop="1" x14ac:dyDescent="0.25">
      <c r="A649" s="200">
        <f>A644+1</f>
        <v>47</v>
      </c>
      <c r="B649" s="200" t="s">
        <v>432</v>
      </c>
      <c r="C649" s="200"/>
      <c r="D649" s="201" t="str">
        <f>IF(B651="","If claimed, explain in white box below.","")</f>
        <v/>
      </c>
      <c r="E649" s="203"/>
      <c r="F649" s="1"/>
    </row>
    <row r="650" spans="1:62" x14ac:dyDescent="0.25">
      <c r="A650" s="202"/>
      <c r="B650" s="567" t="s">
        <v>433</v>
      </c>
      <c r="C650" s="568"/>
      <c r="D650" s="569"/>
      <c r="E650" s="203"/>
      <c r="F650" s="1"/>
    </row>
    <row r="651" spans="1:62" ht="145.05000000000001" customHeight="1" thickBot="1" x14ac:dyDescent="0.3">
      <c r="A651" s="202"/>
      <c r="B651" s="570" t="s">
        <v>434</v>
      </c>
      <c r="C651" s="571"/>
      <c r="D651" s="572"/>
      <c r="E651" s="203"/>
      <c r="F651" s="1"/>
    </row>
    <row r="652" spans="1:62" ht="15" thickTop="1" thickBot="1" x14ac:dyDescent="0.3">
      <c r="A652" s="202"/>
      <c r="B652" s="204" t="str">
        <f>IF(B651="","","Claimed?")</f>
        <v>Claimed?</v>
      </c>
      <c r="C652" s="204" t="str">
        <f>IF(B652="","","Verifiable?")</f>
        <v>Verifiable?</v>
      </c>
      <c r="D652" s="205" t="str">
        <f>IF(C653="","","Independent verification")</f>
        <v>Independent verification</v>
      </c>
      <c r="E652" s="573">
        <f>BI653</f>
        <v>0.85705357142857097</v>
      </c>
      <c r="F652" s="574"/>
      <c r="AA652" s="60"/>
      <c r="AB652" s="60" t="s">
        <v>314</v>
      </c>
      <c r="AF652" s="220"/>
      <c r="AG652" s="60" t="s">
        <v>315</v>
      </c>
      <c r="AM652" s="221"/>
      <c r="AN652" s="60" t="s">
        <v>316</v>
      </c>
      <c r="AV652" s="222"/>
      <c r="AX652" s="207" t="s">
        <v>317</v>
      </c>
      <c r="AZ652" s="208" t="s">
        <v>318</v>
      </c>
      <c r="BB652" s="209" t="s">
        <v>319</v>
      </c>
      <c r="BD652" s="208" t="s">
        <v>320</v>
      </c>
      <c r="BG652" s="210" t="s">
        <v>326</v>
      </c>
      <c r="BH652" s="211" t="s">
        <v>327</v>
      </c>
      <c r="BI652" s="210" t="s">
        <v>321</v>
      </c>
      <c r="BJ652" s="211" t="s">
        <v>322</v>
      </c>
    </row>
    <row r="653" spans="1:62" ht="15" thickTop="1" thickBot="1" x14ac:dyDescent="0.3">
      <c r="A653" s="202"/>
      <c r="B653" s="212" t="s">
        <v>340</v>
      </c>
      <c r="C653" s="213" t="s">
        <v>332</v>
      </c>
      <c r="D653" s="223"/>
      <c r="E653" s="573">
        <f>BJ653</f>
        <v>0.47142857142857131</v>
      </c>
      <c r="F653" s="574"/>
      <c r="AA653" s="112"/>
      <c r="AB653" s="112">
        <f>IF(B653=$B$1871,$AB$463,0)</f>
        <v>0</v>
      </c>
      <c r="AC653" s="112">
        <f>IF(B653=$B$1872,$AC$463,0)</f>
        <v>1.25</v>
      </c>
      <c r="AD653" s="112">
        <f>IF(B653=$B$1873,$AD$463,0)</f>
        <v>0</v>
      </c>
      <c r="AE653" s="112">
        <f>IF(B653=$B$1874,$AE$463,0)</f>
        <v>0</v>
      </c>
      <c r="AF653" s="224">
        <f>SUM(AB653:AE653)</f>
        <v>1.25</v>
      </c>
      <c r="AG653" s="112">
        <f>IF(C653=$B$1877,$E$1877,0)</f>
        <v>0</v>
      </c>
      <c r="AH653" s="112">
        <f>IF(C653=$B$1878,$E$1878,0)</f>
        <v>0</v>
      </c>
      <c r="AI653" s="112">
        <f>IF(C653=$B$1879,$E$1879,0)</f>
        <v>0</v>
      </c>
      <c r="AJ653" s="112">
        <f>IF(C653=$B$1880,$E$1880,0)</f>
        <v>0</v>
      </c>
      <c r="AK653" s="112">
        <f>IF(C653=$B$1881,$E$1881,0)</f>
        <v>0</v>
      </c>
      <c r="AL653" s="112">
        <f>IF(C653=$B$1882,$E$1882,0)</f>
        <v>0.5</v>
      </c>
      <c r="AM653" s="225">
        <f>SUM(AG653:AL653)</f>
        <v>0.5</v>
      </c>
      <c r="AN653" s="112">
        <f>IF($D653=$B$1885,AN$463,0)</f>
        <v>0</v>
      </c>
      <c r="AO653" s="112">
        <f>IF($D653=$B$1886,AO$463,0)</f>
        <v>0</v>
      </c>
      <c r="AP653" s="112">
        <f>IF($D653=$B$1887,AP$463,0)</f>
        <v>0</v>
      </c>
      <c r="AQ653" s="112">
        <f>IF($D653=$B$1888,AQ$463,0)</f>
        <v>0</v>
      </c>
      <c r="AR653" s="112">
        <f>IF($D653=$B$1889,AR$463,0)</f>
        <v>0</v>
      </c>
      <c r="AS653" s="112">
        <f>IF($D653=$B$1890,AS$463,0)</f>
        <v>0</v>
      </c>
      <c r="AT653" s="112">
        <f>IF($D653=$B$1891,AT$463,0)</f>
        <v>0</v>
      </c>
      <c r="AU653" s="112">
        <f>IF($D653=$B$1892,AU$463,0)</f>
        <v>0</v>
      </c>
      <c r="AV653" s="226">
        <f>SUM(AN653:AU653)</f>
        <v>0</v>
      </c>
      <c r="AX653" s="216">
        <f>AF653*AM653</f>
        <v>0.625</v>
      </c>
      <c r="AZ653" s="158">
        <f>AX653+(AV653*AM653)</f>
        <v>0.625</v>
      </c>
      <c r="BB653" s="217">
        <f>(AF653*AM653)*0.01</f>
        <v>6.2500000000000003E-3</v>
      </c>
      <c r="BD653" s="218">
        <f>AZ653*0.01</f>
        <v>6.2500000000000003E-3</v>
      </c>
      <c r="BE653" s="199"/>
      <c r="BG653" s="217">
        <f>IF(AF653&gt;0,BG648+BB653,BG648)</f>
        <v>0.85705357142857097</v>
      </c>
      <c r="BH653" s="218">
        <f>IF(AV653&gt;0,BH648+BD653,BH648)</f>
        <v>0.47142857142857131</v>
      </c>
      <c r="BI653" s="217">
        <f>IF(BG653&gt;0.99,0.99,BG653)</f>
        <v>0.85705357142857097</v>
      </c>
      <c r="BJ653" s="218">
        <f>IF(BH653&gt;0.99,0.99,BH653)</f>
        <v>0.47142857142857131</v>
      </c>
    </row>
    <row r="654" spans="1:62" ht="16.2" thickTop="1" x14ac:dyDescent="0.25">
      <c r="A654" s="200">
        <f>A649+1</f>
        <v>48</v>
      </c>
      <c r="B654" s="200" t="s">
        <v>435</v>
      </c>
      <c r="C654" s="200"/>
      <c r="D654" s="201" t="str">
        <f>IF(B656="","If claimed, explain in white box below.","")</f>
        <v>If claimed, explain in white box below.</v>
      </c>
      <c r="E654" s="203"/>
      <c r="F654" s="1"/>
    </row>
    <row r="655" spans="1:62" x14ac:dyDescent="0.25">
      <c r="A655" s="202"/>
      <c r="B655" s="567" t="s">
        <v>436</v>
      </c>
      <c r="C655" s="568"/>
      <c r="D655" s="569"/>
      <c r="E655" s="203"/>
      <c r="F655" s="1"/>
    </row>
    <row r="656" spans="1:62" ht="145.05000000000001" customHeight="1" thickBot="1" x14ac:dyDescent="0.3">
      <c r="A656" s="202"/>
      <c r="B656" s="570"/>
      <c r="C656" s="571"/>
      <c r="D656" s="572"/>
      <c r="E656" s="203"/>
      <c r="F656" s="1"/>
    </row>
    <row r="657" spans="1:62" ht="15" thickTop="1" thickBot="1" x14ac:dyDescent="0.3">
      <c r="A657" s="202"/>
      <c r="B657" s="204" t="str">
        <f>IF(B656="","","Claimed?")</f>
        <v/>
      </c>
      <c r="C657" s="204" t="str">
        <f>IF(B657="","","Verifiable?")</f>
        <v/>
      </c>
      <c r="D657" s="205" t="str">
        <f>IF(C658="","","Independent verification")</f>
        <v/>
      </c>
      <c r="E657" s="573">
        <f>BI658</f>
        <v>0.85705357142857097</v>
      </c>
      <c r="F657" s="574"/>
      <c r="AA657" s="60"/>
      <c r="AB657" s="60" t="s">
        <v>314</v>
      </c>
      <c r="AF657" s="220"/>
      <c r="AG657" s="60" t="s">
        <v>315</v>
      </c>
      <c r="AM657" s="221"/>
      <c r="AN657" s="60" t="s">
        <v>316</v>
      </c>
      <c r="AV657" s="222"/>
      <c r="AX657" s="207" t="s">
        <v>317</v>
      </c>
      <c r="AZ657" s="208" t="s">
        <v>318</v>
      </c>
      <c r="BB657" s="209" t="s">
        <v>319</v>
      </c>
      <c r="BD657" s="208" t="s">
        <v>320</v>
      </c>
      <c r="BG657" s="210" t="s">
        <v>326</v>
      </c>
      <c r="BH657" s="211" t="s">
        <v>327</v>
      </c>
      <c r="BI657" s="210" t="s">
        <v>321</v>
      </c>
      <c r="BJ657" s="211" t="s">
        <v>322</v>
      </c>
    </row>
    <row r="658" spans="1:62" ht="15" thickTop="1" thickBot="1" x14ac:dyDescent="0.3">
      <c r="A658" s="202"/>
      <c r="B658" s="212"/>
      <c r="C658" s="213"/>
      <c r="D658" s="223"/>
      <c r="E658" s="573">
        <f>BJ658</f>
        <v>0.47142857142857131</v>
      </c>
      <c r="F658" s="574"/>
      <c r="AA658" s="112"/>
      <c r="AB658" s="112">
        <f>IF(B658=$B$1871,$AB$463,0)</f>
        <v>0</v>
      </c>
      <c r="AC658" s="112">
        <f>IF(B658=$B$1872,$AC$463,0)</f>
        <v>0</v>
      </c>
      <c r="AD658" s="112">
        <f>IF(B658=$B$1873,$AD$463,0)</f>
        <v>0</v>
      </c>
      <c r="AE658" s="112">
        <f>IF(B658=$B$1874,$AE$463,0)</f>
        <v>0</v>
      </c>
      <c r="AF658" s="224">
        <f>SUM(AB658:AE658)</f>
        <v>0</v>
      </c>
      <c r="AG658" s="112">
        <f>IF(C658=$B$1877,$E$1877,0)</f>
        <v>0</v>
      </c>
      <c r="AH658" s="112">
        <f>IF(C658=$B$1878,$E$1878,0)</f>
        <v>0</v>
      </c>
      <c r="AI658" s="112">
        <f>IF(C658=$B$1879,$E$1879,0)</f>
        <v>0</v>
      </c>
      <c r="AJ658" s="112">
        <f>IF(C658=$B$1880,$E$1880,0)</f>
        <v>0</v>
      </c>
      <c r="AK658" s="112">
        <f>IF(C658=$B$1881,$E$1881,0)</f>
        <v>0</v>
      </c>
      <c r="AL658" s="112">
        <f>IF(C658=$B$1882,$E$1882,0)</f>
        <v>0</v>
      </c>
      <c r="AM658" s="225">
        <f>SUM(AG658:AL658)</f>
        <v>0</v>
      </c>
      <c r="AN658" s="112">
        <f>IF($D658=$B$1885,AN$463,0)</f>
        <v>0</v>
      </c>
      <c r="AO658" s="112">
        <f>IF($D658=$B$1886,AO$463,0)</f>
        <v>0</v>
      </c>
      <c r="AP658" s="112">
        <f>IF($D658=$B$1887,AP$463,0)</f>
        <v>0</v>
      </c>
      <c r="AQ658" s="112">
        <f>IF($D658=$B$1888,AQ$463,0)</f>
        <v>0</v>
      </c>
      <c r="AR658" s="112">
        <f>IF($D658=$B$1889,AR$463,0)</f>
        <v>0</v>
      </c>
      <c r="AS658" s="112">
        <f>IF($D658=$B$1890,AS$463,0)</f>
        <v>0</v>
      </c>
      <c r="AT658" s="112">
        <f>IF($D658=$B$1891,AT$463,0)</f>
        <v>0</v>
      </c>
      <c r="AU658" s="112">
        <f>IF($D658=$B$1892,AU$463,0)</f>
        <v>0</v>
      </c>
      <c r="AV658" s="226">
        <f>SUM(AN658:AU658)</f>
        <v>0</v>
      </c>
      <c r="AX658" s="216">
        <f>AF658*AM658</f>
        <v>0</v>
      </c>
      <c r="AZ658" s="158">
        <f>AX658+(AV658*AM658)</f>
        <v>0</v>
      </c>
      <c r="BB658" s="217">
        <f>(AF658*AM658)*0.01</f>
        <v>0</v>
      </c>
      <c r="BD658" s="218">
        <f>AZ658*0.01</f>
        <v>0</v>
      </c>
      <c r="BE658" s="199"/>
      <c r="BG658" s="217">
        <f>IF(AF658&gt;0,BG653+BB658,BG653)</f>
        <v>0.85705357142857097</v>
      </c>
      <c r="BH658" s="218">
        <f>IF(AV658&gt;0,BH653+BD658,BH653)</f>
        <v>0.47142857142857131</v>
      </c>
      <c r="BI658" s="217">
        <f>IF(BG658&gt;0.99,0.99,BG658)</f>
        <v>0.85705357142857097</v>
      </c>
      <c r="BJ658" s="218">
        <f>IF(BH658&gt;0.99,0.99,BH658)</f>
        <v>0.47142857142857131</v>
      </c>
    </row>
    <row r="659" spans="1:62" ht="4.95" customHeight="1" thickTop="1" x14ac:dyDescent="0.25">
      <c r="A659" s="202"/>
      <c r="B659" s="202"/>
      <c r="C659" s="202"/>
      <c r="D659" s="202"/>
      <c r="E659" s="202"/>
      <c r="F659" s="1"/>
      <c r="AA659" s="112"/>
      <c r="AB659" s="112"/>
      <c r="AC659" s="112"/>
      <c r="AD659" s="112"/>
      <c r="AE659" s="112"/>
      <c r="AF659" s="224"/>
      <c r="AG659" s="112"/>
      <c r="AH659" s="112"/>
      <c r="AI659" s="112"/>
      <c r="AJ659" s="112"/>
      <c r="AK659" s="112"/>
      <c r="AL659" s="112"/>
      <c r="AM659" s="225"/>
      <c r="AN659" s="112"/>
      <c r="AO659" s="112"/>
      <c r="AP659" s="112"/>
      <c r="AQ659" s="112"/>
      <c r="AR659" s="112"/>
      <c r="AS659" s="112"/>
      <c r="AT659" s="112"/>
      <c r="AU659" s="112"/>
      <c r="AV659" s="226"/>
      <c r="AX659" s="216"/>
      <c r="AZ659" s="158"/>
      <c r="BB659" s="217"/>
      <c r="BD659" s="218"/>
      <c r="BE659" s="199"/>
      <c r="BG659" s="217"/>
      <c r="BH659" s="218"/>
      <c r="BI659" s="217"/>
      <c r="BJ659" s="218"/>
    </row>
    <row r="660" spans="1:62" ht="15.6" x14ac:dyDescent="0.25">
      <c r="A660" s="200">
        <f>A654+1</f>
        <v>49</v>
      </c>
      <c r="B660" s="200" t="s">
        <v>437</v>
      </c>
      <c r="C660" s="200"/>
      <c r="D660" s="201" t="str">
        <f>IF(B662="","If claimed, explain in white box below.","")</f>
        <v>If claimed, explain in white box below.</v>
      </c>
      <c r="E660" s="203"/>
      <c r="F660" s="1"/>
    </row>
    <row r="661" spans="1:62" x14ac:dyDescent="0.25">
      <c r="A661" s="202"/>
      <c r="B661" s="567" t="s">
        <v>438</v>
      </c>
      <c r="C661" s="568"/>
      <c r="D661" s="569"/>
      <c r="E661" s="203"/>
      <c r="F661" s="1"/>
    </row>
    <row r="662" spans="1:62" ht="100.05" customHeight="1" thickBot="1" x14ac:dyDescent="0.3">
      <c r="A662" s="202"/>
      <c r="B662" s="570"/>
      <c r="C662" s="571"/>
      <c r="D662" s="572"/>
      <c r="E662" s="203"/>
      <c r="F662" s="1"/>
    </row>
    <row r="663" spans="1:62" ht="15" thickTop="1" thickBot="1" x14ac:dyDescent="0.3">
      <c r="A663" s="202"/>
      <c r="B663" s="204" t="str">
        <f>IF(B662="","","Claimed?")</f>
        <v/>
      </c>
      <c r="C663" s="204" t="str">
        <f>IF(B663="","","Verifiable?")</f>
        <v/>
      </c>
      <c r="D663" s="205" t="str">
        <f>IF(C664="","","Independent verification")</f>
        <v/>
      </c>
      <c r="E663" s="573">
        <f>BI664</f>
        <v>0.85705357142857097</v>
      </c>
      <c r="F663" s="574"/>
      <c r="AA663" s="60"/>
      <c r="AB663" s="60" t="s">
        <v>314</v>
      </c>
      <c r="AF663" s="220"/>
      <c r="AG663" s="60" t="s">
        <v>315</v>
      </c>
      <c r="AM663" s="221"/>
      <c r="AN663" s="60" t="s">
        <v>316</v>
      </c>
      <c r="AV663" s="222"/>
      <c r="AX663" s="207" t="s">
        <v>317</v>
      </c>
      <c r="AZ663" s="208" t="s">
        <v>318</v>
      </c>
      <c r="BB663" s="209" t="s">
        <v>319</v>
      </c>
      <c r="BD663" s="208" t="s">
        <v>320</v>
      </c>
      <c r="BG663" s="210" t="s">
        <v>326</v>
      </c>
      <c r="BH663" s="211" t="s">
        <v>327</v>
      </c>
      <c r="BI663" s="210" t="s">
        <v>321</v>
      </c>
      <c r="BJ663" s="211" t="s">
        <v>322</v>
      </c>
    </row>
    <row r="664" spans="1:62" ht="15" thickTop="1" thickBot="1" x14ac:dyDescent="0.3">
      <c r="A664" s="202"/>
      <c r="B664" s="212"/>
      <c r="C664" s="213"/>
      <c r="D664" s="223"/>
      <c r="E664" s="573">
        <f>BJ664</f>
        <v>0.47142857142857131</v>
      </c>
      <c r="F664" s="574"/>
      <c r="AA664" s="112"/>
      <c r="AB664" s="112">
        <f>IF(B664=$B$1871,$AB$463,0)</f>
        <v>0</v>
      </c>
      <c r="AC664" s="112">
        <f>IF(B664=$B$1872,$AC$463,0)</f>
        <v>0</v>
      </c>
      <c r="AD664" s="112">
        <f>IF(B664=$B$1873,$AD$463,0)</f>
        <v>0</v>
      </c>
      <c r="AE664" s="112">
        <f>IF(B664=$B$1874,$AE$463,0)</f>
        <v>0</v>
      </c>
      <c r="AF664" s="224">
        <f>SUM(AB664:AE664)</f>
        <v>0</v>
      </c>
      <c r="AG664" s="112">
        <f>IF(C664=$B$1877,$E$1877,0)</f>
        <v>0</v>
      </c>
      <c r="AH664" s="112">
        <f>IF(C664=$B$1878,$E$1878,0)</f>
        <v>0</v>
      </c>
      <c r="AI664" s="112">
        <f>IF(C664=$B$1879,$E$1879,0)</f>
        <v>0</v>
      </c>
      <c r="AJ664" s="112">
        <f>IF(C664=$B$1880,$E$1880,0)</f>
        <v>0</v>
      </c>
      <c r="AK664" s="112">
        <f>IF(C664=$B$1881,$E$1881,0)</f>
        <v>0</v>
      </c>
      <c r="AL664" s="112">
        <f>IF(C664=$B$1882,$E$1882,0)</f>
        <v>0</v>
      </c>
      <c r="AM664" s="225">
        <f>SUM(AG664:AL664)</f>
        <v>0</v>
      </c>
      <c r="AN664" s="112">
        <f>IF($D664=$B$1885,AN$463,0)</f>
        <v>0</v>
      </c>
      <c r="AO664" s="112">
        <f>IF($D664=$B$1886,AO$463,0)</f>
        <v>0</v>
      </c>
      <c r="AP664" s="112">
        <f>IF($D664=$B$1887,AP$463,0)</f>
        <v>0</v>
      </c>
      <c r="AQ664" s="112">
        <f>IF($D664=$B$1888,AQ$463,0)</f>
        <v>0</v>
      </c>
      <c r="AR664" s="112">
        <f>IF($D664=$B$1889,AR$463,0)</f>
        <v>0</v>
      </c>
      <c r="AS664" s="112">
        <f>IF($D664=$B$1890,AS$463,0)</f>
        <v>0</v>
      </c>
      <c r="AT664" s="112">
        <f>IF($D664=$B$1891,AT$463,0)</f>
        <v>0</v>
      </c>
      <c r="AU664" s="112">
        <f>IF($D664=$B$1892,AU$463,0)</f>
        <v>0</v>
      </c>
      <c r="AV664" s="226">
        <f>SUM(AN664:AU664)</f>
        <v>0</v>
      </c>
      <c r="AX664" s="216">
        <f>AF664*AM664</f>
        <v>0</v>
      </c>
      <c r="AZ664" s="158">
        <f>AX664+(AV664*AM664)</f>
        <v>0</v>
      </c>
      <c r="BB664" s="217">
        <f>(AF664*AM664)*0.01</f>
        <v>0</v>
      </c>
      <c r="BD664" s="218">
        <f>AZ664*0.01</f>
        <v>0</v>
      </c>
      <c r="BE664" s="199"/>
      <c r="BG664" s="217">
        <f>IF(AF664&gt;0,BG658+BB664,BG658)</f>
        <v>0.85705357142857097</v>
      </c>
      <c r="BH664" s="218">
        <f>IF(AV664&gt;0,BH658+BD664,BH658)</f>
        <v>0.47142857142857131</v>
      </c>
      <c r="BI664" s="217">
        <f>IF(BG664&gt;0.99,0.99,BG664)</f>
        <v>0.85705357142857097</v>
      </c>
      <c r="BJ664" s="218">
        <f>IF(BH664&gt;0.99,0.99,BH664)</f>
        <v>0.47142857142857131</v>
      </c>
    </row>
    <row r="665" spans="1:62" ht="16.2" thickTop="1" x14ac:dyDescent="0.25">
      <c r="A665" s="200">
        <f>A660+1</f>
        <v>50</v>
      </c>
      <c r="B665" s="200" t="s">
        <v>439</v>
      </c>
      <c r="C665" s="200"/>
      <c r="D665" s="201" t="str">
        <f>IF(B667="","If claimed, explain in white box below.","")</f>
        <v>If claimed, explain in white box below.</v>
      </c>
      <c r="E665" s="203"/>
      <c r="F665" s="1"/>
    </row>
    <row r="666" spans="1:62" x14ac:dyDescent="0.25">
      <c r="A666" s="202"/>
      <c r="B666" s="567" t="s">
        <v>440</v>
      </c>
      <c r="C666" s="568"/>
      <c r="D666" s="569"/>
      <c r="E666" s="203"/>
      <c r="F666" s="1"/>
    </row>
    <row r="667" spans="1:62" ht="100.05" customHeight="1" thickBot="1" x14ac:dyDescent="0.3">
      <c r="A667" s="202"/>
      <c r="B667" s="570"/>
      <c r="C667" s="571"/>
      <c r="D667" s="572"/>
      <c r="E667" s="203"/>
      <c r="F667" s="1"/>
    </row>
    <row r="668" spans="1:62" ht="15" thickTop="1" thickBot="1" x14ac:dyDescent="0.3">
      <c r="A668" s="202"/>
      <c r="B668" s="204" t="str">
        <f>IF(B667="","","Claimed?")</f>
        <v/>
      </c>
      <c r="C668" s="204" t="str">
        <f>IF(B668="","","Verifiable?")</f>
        <v/>
      </c>
      <c r="D668" s="205" t="str">
        <f>IF(C669="","","Independent verification")</f>
        <v/>
      </c>
      <c r="E668" s="573">
        <f>BI669</f>
        <v>0.85705357142857097</v>
      </c>
      <c r="F668" s="574"/>
      <c r="AA668" s="60"/>
      <c r="AB668" s="60" t="s">
        <v>314</v>
      </c>
      <c r="AF668" s="220"/>
      <c r="AG668" s="60" t="s">
        <v>315</v>
      </c>
      <c r="AM668" s="221"/>
      <c r="AN668" s="60" t="s">
        <v>316</v>
      </c>
      <c r="AV668" s="222"/>
      <c r="AX668" s="207" t="s">
        <v>317</v>
      </c>
      <c r="AZ668" s="208" t="s">
        <v>318</v>
      </c>
      <c r="BB668" s="209" t="s">
        <v>319</v>
      </c>
      <c r="BD668" s="208" t="s">
        <v>320</v>
      </c>
      <c r="BG668" s="210" t="s">
        <v>326</v>
      </c>
      <c r="BH668" s="211" t="s">
        <v>327</v>
      </c>
      <c r="BI668" s="210" t="s">
        <v>321</v>
      </c>
      <c r="BJ668" s="211" t="s">
        <v>322</v>
      </c>
    </row>
    <row r="669" spans="1:62" ht="15" thickTop="1" thickBot="1" x14ac:dyDescent="0.3">
      <c r="A669" s="202"/>
      <c r="B669" s="212"/>
      <c r="C669" s="213"/>
      <c r="D669" s="223"/>
      <c r="E669" s="573">
        <f>BJ669</f>
        <v>0.47142857142857131</v>
      </c>
      <c r="F669" s="574"/>
      <c r="AA669" s="112"/>
      <c r="AB669" s="112">
        <f>IF(B669=$B$1871,$AB$463,0)</f>
        <v>0</v>
      </c>
      <c r="AC669" s="112">
        <f>IF(B669=$B$1872,$AC$463,0)</f>
        <v>0</v>
      </c>
      <c r="AD669" s="112">
        <f>IF(B669=$B$1873,$AD$463,0)</f>
        <v>0</v>
      </c>
      <c r="AE669" s="112">
        <f>IF(B669=$B$1874,$AE$463,0)</f>
        <v>0</v>
      </c>
      <c r="AF669" s="224">
        <f>SUM(AB669:AE669)</f>
        <v>0</v>
      </c>
      <c r="AG669" s="112">
        <f>IF(C669=$B$1877,$E$1877,0)</f>
        <v>0</v>
      </c>
      <c r="AH669" s="112">
        <f>IF(C669=$B$1878,$E$1878,0)</f>
        <v>0</v>
      </c>
      <c r="AI669" s="112">
        <f>IF(C669=$B$1879,$E$1879,0)</f>
        <v>0</v>
      </c>
      <c r="AJ669" s="112">
        <f>IF(C669=$B$1880,$E$1880,0)</f>
        <v>0</v>
      </c>
      <c r="AK669" s="112">
        <f>IF(C669=$B$1881,$E$1881,0)</f>
        <v>0</v>
      </c>
      <c r="AL669" s="112">
        <f>IF(C669=$B$1882,$E$1882,0)</f>
        <v>0</v>
      </c>
      <c r="AM669" s="225">
        <f>SUM(AG669:AL669)</f>
        <v>0</v>
      </c>
      <c r="AN669" s="112">
        <f>IF($D669=$B$1885,AN$463,0)</f>
        <v>0</v>
      </c>
      <c r="AO669" s="112">
        <f>IF($D669=$B$1886,AO$463,0)</f>
        <v>0</v>
      </c>
      <c r="AP669" s="112">
        <f>IF($D669=$B$1887,AP$463,0)</f>
        <v>0</v>
      </c>
      <c r="AQ669" s="112">
        <f>IF($D669=$B$1888,AQ$463,0)</f>
        <v>0</v>
      </c>
      <c r="AR669" s="112">
        <f>IF($D669=$B$1889,AR$463,0)</f>
        <v>0</v>
      </c>
      <c r="AS669" s="112">
        <f>IF($D669=$B$1890,AS$463,0)</f>
        <v>0</v>
      </c>
      <c r="AT669" s="112">
        <f>IF($D669=$B$1891,AT$463,0)</f>
        <v>0</v>
      </c>
      <c r="AU669" s="112">
        <f>IF($D669=$B$1892,AU$463,0)</f>
        <v>0</v>
      </c>
      <c r="AV669" s="226">
        <f>SUM(AN669:AU669)</f>
        <v>0</v>
      </c>
      <c r="AX669" s="216">
        <f>AF669*AM669</f>
        <v>0</v>
      </c>
      <c r="AZ669" s="158">
        <f>AX669+(AV669*AM669)</f>
        <v>0</v>
      </c>
      <c r="BB669" s="217">
        <f>(AF669*AM669)*0.01</f>
        <v>0</v>
      </c>
      <c r="BD669" s="218">
        <f>AZ669*0.01</f>
        <v>0</v>
      </c>
      <c r="BE669" s="199"/>
      <c r="BG669" s="217">
        <f>IF(AF669&gt;0,BG664+BB669,BG664)</f>
        <v>0.85705357142857097</v>
      </c>
      <c r="BH669" s="218">
        <f>IF(AV669&gt;0,BH664+BD669,BH664)</f>
        <v>0.47142857142857131</v>
      </c>
      <c r="BI669" s="217">
        <f>IF(BG669&gt;0.99,0.99,BG669)</f>
        <v>0.85705357142857097</v>
      </c>
      <c r="BJ669" s="218">
        <f>IF(BH669&gt;0.99,0.99,BH669)</f>
        <v>0.47142857142857131</v>
      </c>
    </row>
    <row r="670" spans="1:62" ht="16.2" thickTop="1" x14ac:dyDescent="0.25">
      <c r="A670" s="200">
        <f>A665+1</f>
        <v>51</v>
      </c>
      <c r="B670" s="200" t="s">
        <v>441</v>
      </c>
      <c r="C670" s="200"/>
      <c r="D670" s="201" t="str">
        <f>IF(B672="","If claimed, explain in white box below.","")</f>
        <v/>
      </c>
      <c r="E670" s="203"/>
      <c r="F670" s="1"/>
    </row>
    <row r="671" spans="1:62" x14ac:dyDescent="0.25">
      <c r="A671" s="202"/>
      <c r="B671" s="567" t="s">
        <v>442</v>
      </c>
      <c r="C671" s="568"/>
      <c r="D671" s="569"/>
      <c r="E671" s="203"/>
      <c r="F671" s="1"/>
    </row>
    <row r="672" spans="1:62" ht="100.05" customHeight="1" thickBot="1" x14ac:dyDescent="0.3">
      <c r="A672" s="202"/>
      <c r="B672" s="570" t="s">
        <v>443</v>
      </c>
      <c r="C672" s="571"/>
      <c r="D672" s="572"/>
      <c r="E672" s="203"/>
      <c r="F672" s="1"/>
    </row>
    <row r="673" spans="1:62" ht="15" thickTop="1" thickBot="1" x14ac:dyDescent="0.3">
      <c r="A673" s="202"/>
      <c r="B673" s="204" t="str">
        <f>IF(B672="","","Claimed?")</f>
        <v>Claimed?</v>
      </c>
      <c r="C673" s="204" t="str">
        <f>IF(B673="","","Verifiable?")</f>
        <v>Verifiable?</v>
      </c>
      <c r="D673" s="205" t="str">
        <f>IF(C674="","","Independent verification")</f>
        <v>Independent verification</v>
      </c>
      <c r="E673" s="573">
        <f>BI674</f>
        <v>0.86580357142857101</v>
      </c>
      <c r="F673" s="574"/>
      <c r="AA673" s="60"/>
      <c r="AB673" s="60" t="s">
        <v>314</v>
      </c>
      <c r="AF673" s="220"/>
      <c r="AG673" s="60" t="s">
        <v>315</v>
      </c>
      <c r="AM673" s="221"/>
      <c r="AN673" s="60" t="s">
        <v>316</v>
      </c>
      <c r="AV673" s="222"/>
      <c r="AX673" s="207" t="s">
        <v>317</v>
      </c>
      <c r="AZ673" s="208" t="s">
        <v>318</v>
      </c>
      <c r="BB673" s="209" t="s">
        <v>319</v>
      </c>
      <c r="BD673" s="208" t="s">
        <v>320</v>
      </c>
      <c r="BG673" s="210" t="s">
        <v>326</v>
      </c>
      <c r="BH673" s="211" t="s">
        <v>327</v>
      </c>
      <c r="BI673" s="210" t="s">
        <v>321</v>
      </c>
      <c r="BJ673" s="211" t="s">
        <v>322</v>
      </c>
    </row>
    <row r="674" spans="1:62" ht="15" thickTop="1" thickBot="1" x14ac:dyDescent="0.3">
      <c r="A674" s="202"/>
      <c r="B674" s="212" t="s">
        <v>373</v>
      </c>
      <c r="C674" s="213" t="s">
        <v>358</v>
      </c>
      <c r="D674" s="223"/>
      <c r="E674" s="573">
        <f>BJ674</f>
        <v>0.47142857142857131</v>
      </c>
      <c r="F674" s="574"/>
      <c r="AA674" s="112"/>
      <c r="AB674" s="112">
        <f>IF(B674=$B$1871,$AB$463,0)</f>
        <v>0</v>
      </c>
      <c r="AC674" s="112">
        <f>IF(B674=$B$1872,$AC$463,0)</f>
        <v>0</v>
      </c>
      <c r="AD674" s="112">
        <f>IF(B674=$B$1873,$AD$463,0)</f>
        <v>2.5</v>
      </c>
      <c r="AE674" s="112">
        <f>IF(B674=$B$1874,$AE$463,0)</f>
        <v>0</v>
      </c>
      <c r="AF674" s="224">
        <f>SUM(AB674:AE674)</f>
        <v>2.5</v>
      </c>
      <c r="AG674" s="112">
        <f>IF(C674=$B$1877,$E$1877,0)</f>
        <v>0</v>
      </c>
      <c r="AH674" s="112">
        <f>IF(C674=$B$1878,$E$1878,0)</f>
        <v>0</v>
      </c>
      <c r="AI674" s="112">
        <f>IF(C674=$B$1879,$E$1879,0)</f>
        <v>0.35000000000000003</v>
      </c>
      <c r="AJ674" s="112">
        <f>IF(C674=$B$1880,$E$1880,0)</f>
        <v>0</v>
      </c>
      <c r="AK674" s="112">
        <f>IF(C674=$B$1881,$E$1881,0)</f>
        <v>0</v>
      </c>
      <c r="AL674" s="112">
        <f>IF(C674=$B$1882,$E$1882,0)</f>
        <v>0</v>
      </c>
      <c r="AM674" s="225">
        <f>SUM(AG674:AL674)</f>
        <v>0.35000000000000003</v>
      </c>
      <c r="AN674" s="112">
        <f>IF($D674=$B$1885,AN$463,0)</f>
        <v>0</v>
      </c>
      <c r="AO674" s="112">
        <f>IF($D674=$B$1886,AO$463,0)</f>
        <v>0</v>
      </c>
      <c r="AP674" s="112">
        <f>IF($D674=$B$1887,AP$463,0)</f>
        <v>0</v>
      </c>
      <c r="AQ674" s="112">
        <f>IF($D674=$B$1888,AQ$463,0)</f>
        <v>0</v>
      </c>
      <c r="AR674" s="112">
        <f>IF($D674=$B$1889,AR$463,0)</f>
        <v>0</v>
      </c>
      <c r="AS674" s="112">
        <f>IF($D674=$B$1890,AS$463,0)</f>
        <v>0</v>
      </c>
      <c r="AT674" s="112">
        <f>IF($D674=$B$1891,AT$463,0)</f>
        <v>0</v>
      </c>
      <c r="AU674" s="112">
        <f>IF($D674=$B$1892,AU$463,0)</f>
        <v>0</v>
      </c>
      <c r="AV674" s="226">
        <f>SUM(AN674:AU674)</f>
        <v>0</v>
      </c>
      <c r="AX674" s="216">
        <f>AF674*AM674</f>
        <v>0.87500000000000011</v>
      </c>
      <c r="AZ674" s="158">
        <f>AX674+(AV674*AM674)</f>
        <v>0.87500000000000011</v>
      </c>
      <c r="BB674" s="217">
        <f>(AF674*AM674)*0.01</f>
        <v>8.7500000000000008E-3</v>
      </c>
      <c r="BD674" s="218">
        <f>AZ674*0.01</f>
        <v>8.7500000000000008E-3</v>
      </c>
      <c r="BE674" s="199"/>
      <c r="BG674" s="217">
        <f>IF(AF674&gt;0,BG669+BB674,BG669)</f>
        <v>0.86580357142857101</v>
      </c>
      <c r="BH674" s="218">
        <f>IF(AV674&gt;0,BH669+BD674,BH669)</f>
        <v>0.47142857142857131</v>
      </c>
      <c r="BI674" s="217">
        <f>IF(BG674&gt;0.99,0.99,BG674)</f>
        <v>0.86580357142857101</v>
      </c>
      <c r="BJ674" s="218">
        <f>IF(BH674&gt;0.99,0.99,BH674)</f>
        <v>0.47142857142857131</v>
      </c>
    </row>
    <row r="675" spans="1:62" ht="16.2" thickTop="1" x14ac:dyDescent="0.25">
      <c r="A675" s="200">
        <f>A670+1</f>
        <v>52</v>
      </c>
      <c r="B675" s="200" t="s">
        <v>444</v>
      </c>
      <c r="C675" s="200"/>
      <c r="D675" s="201" t="str">
        <f>IF(B677="","If claimed, explain in white box below.","")</f>
        <v>If claimed, explain in white box below.</v>
      </c>
      <c r="E675" s="203"/>
      <c r="F675" s="1"/>
    </row>
    <row r="676" spans="1:62" x14ac:dyDescent="0.25">
      <c r="A676" s="202"/>
      <c r="B676" s="567" t="s">
        <v>445</v>
      </c>
      <c r="C676" s="568"/>
      <c r="D676" s="569"/>
      <c r="E676" s="203"/>
      <c r="F676" s="1"/>
    </row>
    <row r="677" spans="1:62" ht="100.05" customHeight="1" thickBot="1" x14ac:dyDescent="0.3">
      <c r="A677" s="202"/>
      <c r="B677" s="570"/>
      <c r="C677" s="571"/>
      <c r="D677" s="572"/>
      <c r="E677" s="203"/>
      <c r="F677" s="1"/>
    </row>
    <row r="678" spans="1:62" ht="15" thickTop="1" thickBot="1" x14ac:dyDescent="0.3">
      <c r="A678" s="202"/>
      <c r="B678" s="204" t="str">
        <f>IF(B677="","","Claimed?")</f>
        <v/>
      </c>
      <c r="C678" s="204" t="str">
        <f>IF(B678="","","Verifiable?")</f>
        <v/>
      </c>
      <c r="D678" s="205" t="str">
        <f>IF(C679="","","Independent verification")</f>
        <v/>
      </c>
      <c r="E678" s="573">
        <f>BI679</f>
        <v>0.86580357142857101</v>
      </c>
      <c r="F678" s="574"/>
      <c r="AA678" s="60"/>
      <c r="AB678" s="60" t="s">
        <v>314</v>
      </c>
      <c r="AF678" s="220"/>
      <c r="AG678" s="60" t="s">
        <v>315</v>
      </c>
      <c r="AM678" s="221"/>
      <c r="AN678" s="60" t="s">
        <v>316</v>
      </c>
      <c r="AV678" s="222"/>
      <c r="AX678" s="207" t="s">
        <v>317</v>
      </c>
      <c r="AZ678" s="208" t="s">
        <v>318</v>
      </c>
      <c r="BB678" s="209" t="s">
        <v>319</v>
      </c>
      <c r="BD678" s="208" t="s">
        <v>320</v>
      </c>
      <c r="BG678" s="210" t="s">
        <v>326</v>
      </c>
      <c r="BH678" s="211" t="s">
        <v>327</v>
      </c>
      <c r="BI678" s="210" t="s">
        <v>321</v>
      </c>
      <c r="BJ678" s="211" t="s">
        <v>322</v>
      </c>
    </row>
    <row r="679" spans="1:62" ht="15" thickTop="1" thickBot="1" x14ac:dyDescent="0.3">
      <c r="A679" s="202"/>
      <c r="B679" s="212"/>
      <c r="C679" s="213"/>
      <c r="D679" s="223"/>
      <c r="E679" s="573">
        <f>BJ679</f>
        <v>0.47142857142857131</v>
      </c>
      <c r="F679" s="574"/>
      <c r="AA679" s="112"/>
      <c r="AB679" s="112">
        <f>IF(B679=$B$1871,$AB$463,0)</f>
        <v>0</v>
      </c>
      <c r="AC679" s="112">
        <f>IF(B679=$B$1872,$AC$463,0)</f>
        <v>0</v>
      </c>
      <c r="AD679" s="112">
        <f>IF(B679=$B$1873,$AD$463,0)</f>
        <v>0</v>
      </c>
      <c r="AE679" s="112">
        <f>IF(B679=$B$1874,$AE$463,0)</f>
        <v>0</v>
      </c>
      <c r="AF679" s="224">
        <f>SUM(AB679:AE679)</f>
        <v>0</v>
      </c>
      <c r="AG679" s="112">
        <f>IF(C679=$B$1877,$E$1877,0)</f>
        <v>0</v>
      </c>
      <c r="AH679" s="112">
        <f>IF(C679=$B$1878,$E$1878,0)</f>
        <v>0</v>
      </c>
      <c r="AI679" s="112">
        <f>IF(C679=$B$1879,$E$1879,0)</f>
        <v>0</v>
      </c>
      <c r="AJ679" s="112">
        <f>IF(C679=$B$1880,$E$1880,0)</f>
        <v>0</v>
      </c>
      <c r="AK679" s="112">
        <f>IF(C679=$B$1881,$E$1881,0)</f>
        <v>0</v>
      </c>
      <c r="AL679" s="112">
        <f>IF(C679=$B$1882,$E$1882,0)</f>
        <v>0</v>
      </c>
      <c r="AM679" s="225">
        <f>SUM(AG679:AL679)</f>
        <v>0</v>
      </c>
      <c r="AN679" s="112">
        <f>IF($D679=$B$1885,AN$463,0)</f>
        <v>0</v>
      </c>
      <c r="AO679" s="112">
        <f>IF($D679=$B$1886,AO$463,0)</f>
        <v>0</v>
      </c>
      <c r="AP679" s="112">
        <f>IF($D679=$B$1887,AP$463,0)</f>
        <v>0</v>
      </c>
      <c r="AQ679" s="112">
        <f>IF($D679=$B$1888,AQ$463,0)</f>
        <v>0</v>
      </c>
      <c r="AR679" s="112">
        <f>IF($D679=$B$1889,AR$463,0)</f>
        <v>0</v>
      </c>
      <c r="AS679" s="112">
        <f>IF($D679=$B$1890,AS$463,0)</f>
        <v>0</v>
      </c>
      <c r="AT679" s="112">
        <f>IF($D679=$B$1891,AT$463,0)</f>
        <v>0</v>
      </c>
      <c r="AU679" s="112">
        <f>IF($D679=$B$1892,AU$463,0)</f>
        <v>0</v>
      </c>
      <c r="AV679" s="226">
        <f>SUM(AN679:AU679)</f>
        <v>0</v>
      </c>
      <c r="AX679" s="216">
        <f>AF679*AM679</f>
        <v>0</v>
      </c>
      <c r="AZ679" s="158">
        <f>AX679+(AV679*AM679)</f>
        <v>0</v>
      </c>
      <c r="BB679" s="217">
        <f>(AF679*AM679)*0.01</f>
        <v>0</v>
      </c>
      <c r="BD679" s="218">
        <f>AZ679*0.01</f>
        <v>0</v>
      </c>
      <c r="BE679" s="199"/>
      <c r="BG679" s="217">
        <f>IF(AF679&gt;0,BG674+BB679,BG674)</f>
        <v>0.86580357142857101</v>
      </c>
      <c r="BH679" s="218">
        <f>IF(AV679&gt;0,BH674+BD679,BH674)</f>
        <v>0.47142857142857131</v>
      </c>
      <c r="BI679" s="217">
        <f>IF(BG679&gt;0.99,0.99,BG679)</f>
        <v>0.86580357142857101</v>
      </c>
      <c r="BJ679" s="218">
        <f>IF(BH679&gt;0.99,0.99,BH679)</f>
        <v>0.47142857142857131</v>
      </c>
    </row>
    <row r="680" spans="1:62" ht="14.4" thickTop="1" x14ac:dyDescent="0.25">
      <c r="A680" s="202"/>
      <c r="B680" s="203"/>
      <c r="C680" s="203"/>
      <c r="D680" s="203"/>
      <c r="E680" s="203"/>
      <c r="F680" s="1"/>
    </row>
    <row r="681" spans="1:62" ht="30" customHeight="1" x14ac:dyDescent="0.25">
      <c r="A681" s="188" t="s">
        <v>85</v>
      </c>
      <c r="B681" s="46" t="s">
        <v>446</v>
      </c>
      <c r="C681" s="46"/>
      <c r="D681" s="46"/>
      <c r="E681" s="46"/>
      <c r="F681" s="475" t="s">
        <v>949</v>
      </c>
    </row>
    <row r="682" spans="1:62" ht="19.95" customHeight="1" x14ac:dyDescent="0.25">
      <c r="A682" s="108"/>
      <c r="B682" s="109" t="s">
        <v>447</v>
      </c>
      <c r="C682" s="109"/>
      <c r="D682" s="109"/>
      <c r="E682" s="110"/>
      <c r="F682" s="108"/>
      <c r="AA682" s="190"/>
      <c r="AB682" s="190">
        <v>0</v>
      </c>
      <c r="AC682" s="191">
        <f>AD682/2</f>
        <v>0.25</v>
      </c>
      <c r="AD682" s="192">
        <f>AE682/2</f>
        <v>0.5</v>
      </c>
      <c r="AE682" s="193">
        <v>1</v>
      </c>
      <c r="AF682" s="120"/>
      <c r="AG682" s="120"/>
      <c r="AH682" s="120"/>
      <c r="AI682" s="120"/>
      <c r="AJ682" s="120"/>
      <c r="AK682" s="120"/>
      <c r="AL682" s="120"/>
      <c r="AM682" s="120"/>
      <c r="AN682" s="194">
        <f>AE682*-2</f>
        <v>-2</v>
      </c>
      <c r="AO682" s="190">
        <f>AE682*-1</f>
        <v>-1</v>
      </c>
      <c r="AP682" s="190">
        <f>AD682*-1</f>
        <v>-0.5</v>
      </c>
      <c r="AQ682" s="195">
        <f>AE682*-0.1</f>
        <v>-0.1</v>
      </c>
      <c r="AR682" s="195">
        <v>0</v>
      </c>
      <c r="AS682" s="195">
        <f>AE682*0.1</f>
        <v>0.1</v>
      </c>
      <c r="AT682" s="192">
        <f>AD682</f>
        <v>0.5</v>
      </c>
      <c r="AU682" s="193">
        <f>AE682</f>
        <v>1</v>
      </c>
      <c r="AV682" s="196"/>
      <c r="AW682" s="120"/>
      <c r="AX682" s="120"/>
      <c r="AY682" s="120"/>
      <c r="AZ682" s="120"/>
      <c r="BA682" s="120"/>
      <c r="BB682" s="197"/>
      <c r="BC682" s="120"/>
      <c r="BD682" s="120"/>
      <c r="BE682" s="120"/>
      <c r="BF682" s="120"/>
      <c r="BG682" s="229">
        <f>BG643</f>
        <v>0.47142857142857131</v>
      </c>
    </row>
    <row r="683" spans="1:62" ht="15.6" x14ac:dyDescent="0.25">
      <c r="A683" s="200">
        <f>A675+1</f>
        <v>53</v>
      </c>
      <c r="B683" s="200" t="s">
        <v>448</v>
      </c>
      <c r="C683" s="200"/>
      <c r="D683" s="201" t="str">
        <f>IF(B685="","If claimed, explain in white box below.","")</f>
        <v/>
      </c>
      <c r="E683" s="203"/>
      <c r="F683" s="1"/>
    </row>
    <row r="684" spans="1:62" ht="28.05" customHeight="1" x14ac:dyDescent="0.25">
      <c r="A684" s="202"/>
      <c r="B684" s="567" t="s">
        <v>449</v>
      </c>
      <c r="C684" s="568"/>
      <c r="D684" s="569"/>
      <c r="E684" s="203"/>
      <c r="F684" s="1"/>
    </row>
    <row r="685" spans="1:62" ht="150" customHeight="1" thickBot="1" x14ac:dyDescent="0.3">
      <c r="A685" s="202"/>
      <c r="B685" s="570" t="s">
        <v>450</v>
      </c>
      <c r="C685" s="571"/>
      <c r="D685" s="572"/>
      <c r="E685" s="203"/>
      <c r="F685" s="1"/>
    </row>
    <row r="686" spans="1:62" ht="15" thickTop="1" thickBot="1" x14ac:dyDescent="0.3">
      <c r="A686" s="202"/>
      <c r="B686" s="204" t="str">
        <f>IF(B685="","","Claimed?")</f>
        <v>Claimed?</v>
      </c>
      <c r="C686" s="204" t="str">
        <f>IF(B686="","","Verifiable?")</f>
        <v>Verifiable?</v>
      </c>
      <c r="D686" s="205" t="str">
        <f>IF(C687="","","Independent verification")</f>
        <v>Independent verification</v>
      </c>
      <c r="E686" s="573">
        <f>BI687</f>
        <v>0.87205357142857098</v>
      </c>
      <c r="F686" s="574"/>
      <c r="AA686" s="60"/>
      <c r="AB686" s="60" t="s">
        <v>314</v>
      </c>
      <c r="AF686" s="220"/>
      <c r="AG686" s="60" t="s">
        <v>315</v>
      </c>
      <c r="AM686" s="221"/>
      <c r="AN686" s="60" t="s">
        <v>316</v>
      </c>
      <c r="AV686" s="222"/>
      <c r="AX686" s="207" t="s">
        <v>317</v>
      </c>
      <c r="AZ686" s="208" t="s">
        <v>318</v>
      </c>
      <c r="BB686" s="209" t="s">
        <v>319</v>
      </c>
      <c r="BD686" s="208" t="s">
        <v>320</v>
      </c>
      <c r="BG686" s="210" t="s">
        <v>326</v>
      </c>
      <c r="BH686" s="211" t="s">
        <v>327</v>
      </c>
      <c r="BI686" s="210" t="s">
        <v>321</v>
      </c>
      <c r="BJ686" s="211" t="s">
        <v>322</v>
      </c>
    </row>
    <row r="687" spans="1:62" ht="15" thickTop="1" thickBot="1" x14ac:dyDescent="0.3">
      <c r="A687" s="202"/>
      <c r="B687" s="212" t="s">
        <v>373</v>
      </c>
      <c r="C687" s="213" t="s">
        <v>388</v>
      </c>
      <c r="D687" s="223"/>
      <c r="E687" s="573">
        <f>BJ687</f>
        <v>0.47142857142857131</v>
      </c>
      <c r="F687" s="574"/>
      <c r="AA687" s="112"/>
      <c r="AB687" s="112">
        <f>IF(B687=$B$1871,$AB$463,0)</f>
        <v>0</v>
      </c>
      <c r="AC687" s="112">
        <f>IF(B687=$B$1872,$AC$463,0)</f>
        <v>0</v>
      </c>
      <c r="AD687" s="112">
        <f>IF(B687=$B$1873,$AD$463,0)</f>
        <v>2.5</v>
      </c>
      <c r="AE687" s="112">
        <f>IF(B687=$B$1874,$AE$463,0)</f>
        <v>0</v>
      </c>
      <c r="AF687" s="224">
        <f>SUM(AB687:AE687)</f>
        <v>2.5</v>
      </c>
      <c r="AG687" s="112">
        <f>IF(C687=$B$1877,$E$1877,0)</f>
        <v>0.25000000000000006</v>
      </c>
      <c r="AH687" s="112">
        <f>IF(C687=$B$1878,$E$1878,0)</f>
        <v>0</v>
      </c>
      <c r="AI687" s="112">
        <f>IF(C687=$B$1879,$E$1879,0)</f>
        <v>0</v>
      </c>
      <c r="AJ687" s="112">
        <f>IF(C687=$B$1880,$E$1880,0)</f>
        <v>0</v>
      </c>
      <c r="AK687" s="112">
        <f>IF(C687=$B$1881,$E$1881,0)</f>
        <v>0</v>
      </c>
      <c r="AL687" s="112">
        <f>IF(C687=$B$1882,$E$1882,0)</f>
        <v>0</v>
      </c>
      <c r="AM687" s="225">
        <f>SUM(AG687:AL687)</f>
        <v>0.25000000000000006</v>
      </c>
      <c r="AN687" s="112">
        <f>IF($D687=$B$1885,AN$463,0)</f>
        <v>0</v>
      </c>
      <c r="AO687" s="112">
        <f>IF($D687=$B$1886,AO$463,0)</f>
        <v>0</v>
      </c>
      <c r="AP687" s="112">
        <f>IF($D687=$B$1887,AP$463,0)</f>
        <v>0</v>
      </c>
      <c r="AQ687" s="112">
        <f>IF($D687=$B$1888,AQ$463,0)</f>
        <v>0</v>
      </c>
      <c r="AR687" s="112">
        <f>IF($D687=$B$1889,AR$463,0)</f>
        <v>0</v>
      </c>
      <c r="AS687" s="112">
        <f>IF($D687=$B$1890,AS$463,0)</f>
        <v>0</v>
      </c>
      <c r="AT687" s="112">
        <f>IF($D687=$B$1891,AT$463,0)</f>
        <v>0</v>
      </c>
      <c r="AU687" s="112">
        <f>IF($D687=$B$1892,AU$463,0)</f>
        <v>0</v>
      </c>
      <c r="AV687" s="226">
        <f>SUM(AN687:AU687)</f>
        <v>0</v>
      </c>
      <c r="AX687" s="216">
        <f>AF687*AM687</f>
        <v>0.62500000000000011</v>
      </c>
      <c r="AZ687" s="158">
        <f>AX687+(AV687*AM687)</f>
        <v>0.62500000000000011</v>
      </c>
      <c r="BB687" s="217">
        <f>(AF687*AM687)*0.01</f>
        <v>6.2500000000000012E-3</v>
      </c>
      <c r="BD687" s="218">
        <f>AZ687*0.01</f>
        <v>6.2500000000000012E-3</v>
      </c>
      <c r="BE687" s="199"/>
      <c r="BG687" s="217">
        <f>IF(AF687&gt;0,BG679+BB687,BG679)</f>
        <v>0.87205357142857098</v>
      </c>
      <c r="BH687" s="218">
        <f>IF(AV687&gt;0,BH679+BD687,BH679)</f>
        <v>0.47142857142857131</v>
      </c>
      <c r="BI687" s="217">
        <f>IF(BG687&gt;0.99,0.99,BG687)</f>
        <v>0.87205357142857098</v>
      </c>
      <c r="BJ687" s="218">
        <f>IF(BH687&gt;0.99,0.99,BH687)</f>
        <v>0.47142857142857131</v>
      </c>
    </row>
    <row r="688" spans="1:62" ht="15" thickTop="1" thickBot="1" x14ac:dyDescent="0.3">
      <c r="A688" s="202"/>
      <c r="B688" s="203"/>
      <c r="C688" s="203"/>
      <c r="D688" s="203"/>
      <c r="E688" s="203"/>
      <c r="F688" s="1"/>
    </row>
    <row r="689" spans="1:62" ht="360" customHeight="1" thickTop="1" thickBot="1" x14ac:dyDescent="0.3">
      <c r="A689" s="202"/>
      <c r="B689" s="575"/>
      <c r="C689" s="576"/>
      <c r="D689" s="577"/>
      <c r="E689" s="203"/>
      <c r="F689" s="1"/>
    </row>
    <row r="690" spans="1:62" ht="14.4" thickTop="1" x14ac:dyDescent="0.25">
      <c r="A690" s="202"/>
      <c r="B690" s="203"/>
      <c r="C690" s="203"/>
      <c r="D690" s="203"/>
      <c r="E690" s="203"/>
      <c r="F690" s="1"/>
    </row>
    <row r="691" spans="1:62" ht="30" customHeight="1" x14ac:dyDescent="0.25">
      <c r="A691" s="188" t="s">
        <v>87</v>
      </c>
      <c r="B691" s="46" t="s">
        <v>451</v>
      </c>
      <c r="C691" s="46"/>
      <c r="D691" s="46"/>
      <c r="E691" s="46"/>
      <c r="F691" s="475" t="s">
        <v>949</v>
      </c>
    </row>
    <row r="692" spans="1:62" ht="19.95" customHeight="1" x14ac:dyDescent="0.25">
      <c r="A692" s="108" t="s">
        <v>452</v>
      </c>
      <c r="B692" s="109"/>
      <c r="C692" s="109"/>
      <c r="D692" s="109"/>
      <c r="E692" s="110"/>
      <c r="F692" s="108"/>
      <c r="AA692" s="190"/>
      <c r="AB692" s="190">
        <v>0</v>
      </c>
      <c r="AC692" s="191">
        <f>AD692/2</f>
        <v>0.25</v>
      </c>
      <c r="AD692" s="192">
        <f>AE692/2</f>
        <v>0.5</v>
      </c>
      <c r="AE692" s="193">
        <v>1</v>
      </c>
      <c r="AF692" s="120"/>
      <c r="AG692" s="120"/>
      <c r="AH692" s="120"/>
      <c r="AI692" s="120"/>
      <c r="AJ692" s="120"/>
      <c r="AK692" s="120"/>
      <c r="AL692" s="120"/>
      <c r="AM692" s="120"/>
      <c r="AN692" s="194">
        <f>AE692*-2</f>
        <v>-2</v>
      </c>
      <c r="AO692" s="190">
        <f>AE692*-1</f>
        <v>-1</v>
      </c>
      <c r="AP692" s="190">
        <f>AD692*-1</f>
        <v>-0.5</v>
      </c>
      <c r="AQ692" s="195">
        <f>AE692*-0.1</f>
        <v>-0.1</v>
      </c>
      <c r="AR692" s="195">
        <v>0</v>
      </c>
      <c r="AS692" s="195">
        <f>AE692*0.1</f>
        <v>0.1</v>
      </c>
      <c r="AT692" s="192">
        <f>AD692</f>
        <v>0.5</v>
      </c>
      <c r="AU692" s="193">
        <f>AE692</f>
        <v>1</v>
      </c>
      <c r="AV692" s="196"/>
      <c r="AW692" s="120"/>
      <c r="AX692" s="120"/>
      <c r="AY692" s="120"/>
      <c r="AZ692" s="120"/>
      <c r="BA692" s="120"/>
      <c r="BB692" s="197"/>
      <c r="BC692" s="120"/>
      <c r="BD692" s="120"/>
      <c r="BE692" s="120"/>
      <c r="BF692" s="120"/>
      <c r="BG692" s="229">
        <f>BG682</f>
        <v>0.47142857142857131</v>
      </c>
    </row>
    <row r="693" spans="1:62" ht="15.6" x14ac:dyDescent="0.25">
      <c r="A693" s="200">
        <f>A683+1</f>
        <v>54</v>
      </c>
      <c r="B693" s="200" t="s">
        <v>453</v>
      </c>
      <c r="C693" s="200"/>
      <c r="D693" s="201" t="str">
        <f>IF(B695="","If claimed, explain in white box below.","")</f>
        <v>If claimed, explain in white box below.</v>
      </c>
      <c r="E693" s="203"/>
      <c r="F693" s="1"/>
    </row>
    <row r="694" spans="1:62" x14ac:dyDescent="0.25">
      <c r="A694" s="202"/>
      <c r="B694" s="567" t="s">
        <v>454</v>
      </c>
      <c r="C694" s="568"/>
      <c r="D694" s="569"/>
      <c r="E694" s="203"/>
      <c r="F694" s="1"/>
    </row>
    <row r="695" spans="1:62" ht="60" customHeight="1" thickBot="1" x14ac:dyDescent="0.3">
      <c r="A695" s="202"/>
      <c r="B695" s="570"/>
      <c r="C695" s="571"/>
      <c r="D695" s="572"/>
      <c r="E695" s="203"/>
      <c r="F695" s="1"/>
    </row>
    <row r="696" spans="1:62" ht="15" thickTop="1" thickBot="1" x14ac:dyDescent="0.3">
      <c r="A696" s="202"/>
      <c r="B696" s="204" t="str">
        <f>IF(B695="","","Claimed?")</f>
        <v/>
      </c>
      <c r="C696" s="204" t="str">
        <f>IF(B696="","","Verifiable?")</f>
        <v/>
      </c>
      <c r="D696" s="205" t="str">
        <f>IF(C697="","","Independent verification")</f>
        <v/>
      </c>
      <c r="E696" s="573">
        <f>BI697</f>
        <v>0.87205357142857098</v>
      </c>
      <c r="F696" s="574"/>
      <c r="AA696" s="60"/>
      <c r="AB696" s="60" t="s">
        <v>314</v>
      </c>
      <c r="AF696" s="220"/>
      <c r="AG696" s="60" t="s">
        <v>315</v>
      </c>
      <c r="AM696" s="221"/>
      <c r="AN696" s="60" t="s">
        <v>316</v>
      </c>
      <c r="AV696" s="222"/>
      <c r="AX696" s="207" t="s">
        <v>317</v>
      </c>
      <c r="AZ696" s="208" t="s">
        <v>318</v>
      </c>
      <c r="BB696" s="209" t="s">
        <v>319</v>
      </c>
      <c r="BD696" s="208" t="s">
        <v>320</v>
      </c>
      <c r="BG696" s="210" t="s">
        <v>326</v>
      </c>
      <c r="BH696" s="211" t="s">
        <v>327</v>
      </c>
      <c r="BI696" s="210" t="s">
        <v>321</v>
      </c>
      <c r="BJ696" s="211" t="s">
        <v>322</v>
      </c>
    </row>
    <row r="697" spans="1:62" ht="15" thickTop="1" thickBot="1" x14ac:dyDescent="0.3">
      <c r="A697" s="202"/>
      <c r="B697" s="212"/>
      <c r="C697" s="213"/>
      <c r="D697" s="223"/>
      <c r="E697" s="573">
        <f>BJ697</f>
        <v>0.47142857142857131</v>
      </c>
      <c r="F697" s="574"/>
      <c r="AA697" s="112"/>
      <c r="AB697" s="112">
        <f>IF(B697=$B$1871,$AB$463,0)</f>
        <v>0</v>
      </c>
      <c r="AC697" s="112">
        <f>IF(B697=$B$1872,$AC$463,0)</f>
        <v>0</v>
      </c>
      <c r="AD697" s="112">
        <f>IF(B697=$B$1873,$AD$463,0)</f>
        <v>0</v>
      </c>
      <c r="AE697" s="112">
        <f>IF(B697=$B$1874,$AE$463,0)</f>
        <v>0</v>
      </c>
      <c r="AF697" s="224">
        <f>SUM(AB697:AE697)</f>
        <v>0</v>
      </c>
      <c r="AG697" s="112">
        <f>IF(C697=$B$1877,$E$1877,0)</f>
        <v>0</v>
      </c>
      <c r="AH697" s="112">
        <f>IF(C697=$B$1878,$E$1878,0)</f>
        <v>0</v>
      </c>
      <c r="AI697" s="112">
        <f>IF(C697=$B$1879,$E$1879,0)</f>
        <v>0</v>
      </c>
      <c r="AJ697" s="112">
        <f>IF(C697=$B$1880,$E$1880,0)</f>
        <v>0</v>
      </c>
      <c r="AK697" s="112">
        <f>IF(C697=$B$1881,$E$1881,0)</f>
        <v>0</v>
      </c>
      <c r="AL697" s="112">
        <f>IF(C697=$B$1882,$E$1882,0)</f>
        <v>0</v>
      </c>
      <c r="AM697" s="225">
        <f>SUM(AG697:AL697)</f>
        <v>0</v>
      </c>
      <c r="AN697" s="112">
        <f>IF($D697=$B$1885,AN$463,0)</f>
        <v>0</v>
      </c>
      <c r="AO697" s="112">
        <f>IF($D697=$B$1886,AO$463,0)</f>
        <v>0</v>
      </c>
      <c r="AP697" s="112">
        <f>IF($D697=$B$1887,AP$463,0)</f>
        <v>0</v>
      </c>
      <c r="AQ697" s="112">
        <f>IF($D697=$B$1888,AQ$463,0)</f>
        <v>0</v>
      </c>
      <c r="AR697" s="112">
        <f>IF($D697=$B$1889,AR$463,0)</f>
        <v>0</v>
      </c>
      <c r="AS697" s="112">
        <f>IF($D697=$B$1890,AS$463,0)</f>
        <v>0</v>
      </c>
      <c r="AT697" s="112">
        <f>IF($D697=$B$1891,AT$463,0)</f>
        <v>0</v>
      </c>
      <c r="AU697" s="112">
        <f>IF($D697=$B$1892,AU$463,0)</f>
        <v>0</v>
      </c>
      <c r="AV697" s="226">
        <f>SUM(AN697:AU697)</f>
        <v>0</v>
      </c>
      <c r="AX697" s="216">
        <f>AF697*AM697</f>
        <v>0</v>
      </c>
      <c r="AZ697" s="158">
        <f>AX697+(AV697*AM697)</f>
        <v>0</v>
      </c>
      <c r="BB697" s="217">
        <f>(AF697*AM697)*0.01</f>
        <v>0</v>
      </c>
      <c r="BD697" s="218">
        <f>AZ697*0.01</f>
        <v>0</v>
      </c>
      <c r="BE697" s="199"/>
      <c r="BG697" s="217">
        <f>IF(AF697&gt;0,BG687+BB697,BG687)</f>
        <v>0.87205357142857098</v>
      </c>
      <c r="BH697" s="218">
        <f>IF(AV697&gt;0,BH687+BD697,BH687)</f>
        <v>0.47142857142857131</v>
      </c>
      <c r="BI697" s="217">
        <f>IF(BG697&gt;0.99,0.99,BG697)</f>
        <v>0.87205357142857098</v>
      </c>
      <c r="BJ697" s="218">
        <f>IF(BH697&gt;0.99,0.99,BH697)</f>
        <v>0.47142857142857131</v>
      </c>
    </row>
    <row r="698" spans="1:62" ht="16.2" thickTop="1" x14ac:dyDescent="0.25">
      <c r="A698" s="200">
        <f>A693+1</f>
        <v>55</v>
      </c>
      <c r="B698" s="200" t="s">
        <v>455</v>
      </c>
      <c r="C698" s="200"/>
      <c r="D698" s="201" t="str">
        <f>IF(B700="","If claimed, explain in white box below.","")</f>
        <v>If claimed, explain in white box below.</v>
      </c>
      <c r="E698" s="203"/>
      <c r="F698" s="1"/>
    </row>
    <row r="699" spans="1:62" x14ac:dyDescent="0.25">
      <c r="A699" s="202"/>
      <c r="B699" s="567" t="s">
        <v>454</v>
      </c>
      <c r="C699" s="568"/>
      <c r="D699" s="569"/>
      <c r="E699" s="203"/>
      <c r="F699" s="1"/>
    </row>
    <row r="700" spans="1:62" ht="60" customHeight="1" thickBot="1" x14ac:dyDescent="0.3">
      <c r="A700" s="202"/>
      <c r="B700" s="570"/>
      <c r="C700" s="571"/>
      <c r="D700" s="572"/>
      <c r="E700" s="203"/>
      <c r="F700" s="1"/>
    </row>
    <row r="701" spans="1:62" ht="15" thickTop="1" thickBot="1" x14ac:dyDescent="0.3">
      <c r="A701" s="202"/>
      <c r="B701" s="204" t="str">
        <f>IF(B700="","","Claimed?")</f>
        <v/>
      </c>
      <c r="C701" s="204" t="str">
        <f>IF(B701="","","Verifiable?")</f>
        <v/>
      </c>
      <c r="D701" s="205" t="str">
        <f>IF(C702="","","Independent verification")</f>
        <v/>
      </c>
      <c r="E701" s="573">
        <f>BI702</f>
        <v>0.87205357142857098</v>
      </c>
      <c r="F701" s="574"/>
      <c r="AA701" s="60"/>
      <c r="AB701" s="60" t="s">
        <v>314</v>
      </c>
      <c r="AF701" s="220"/>
      <c r="AG701" s="60" t="s">
        <v>315</v>
      </c>
      <c r="AM701" s="221"/>
      <c r="AN701" s="60" t="s">
        <v>316</v>
      </c>
      <c r="AV701" s="222"/>
      <c r="AX701" s="207" t="s">
        <v>317</v>
      </c>
      <c r="AZ701" s="208" t="s">
        <v>318</v>
      </c>
      <c r="BB701" s="209" t="s">
        <v>319</v>
      </c>
      <c r="BD701" s="208" t="s">
        <v>320</v>
      </c>
      <c r="BG701" s="210" t="s">
        <v>326</v>
      </c>
      <c r="BH701" s="211" t="s">
        <v>327</v>
      </c>
      <c r="BI701" s="210" t="s">
        <v>321</v>
      </c>
      <c r="BJ701" s="211" t="s">
        <v>322</v>
      </c>
    </row>
    <row r="702" spans="1:62" ht="15" thickTop="1" thickBot="1" x14ac:dyDescent="0.3">
      <c r="A702" s="202"/>
      <c r="B702" s="212"/>
      <c r="C702" s="213"/>
      <c r="D702" s="223"/>
      <c r="E702" s="573">
        <f>BJ702</f>
        <v>0.47142857142857131</v>
      </c>
      <c r="F702" s="574"/>
      <c r="AA702" s="112"/>
      <c r="AB702" s="112">
        <f>IF(B702=$B$1871,$AB$463,0)</f>
        <v>0</v>
      </c>
      <c r="AC702" s="112">
        <f>IF(B702=$B$1872,$AC$463,0)</f>
        <v>0</v>
      </c>
      <c r="AD702" s="112">
        <f>IF(B702=$B$1873,$AD$463,0)</f>
        <v>0</v>
      </c>
      <c r="AE702" s="112">
        <f>IF(B702=$B$1874,$AE$463,0)</f>
        <v>0</v>
      </c>
      <c r="AF702" s="224">
        <f>SUM(AB702:AE702)</f>
        <v>0</v>
      </c>
      <c r="AG702" s="112">
        <f>IF(C702=$B$1877,$E$1877,0)</f>
        <v>0</v>
      </c>
      <c r="AH702" s="112">
        <f>IF(C702=$B$1878,$E$1878,0)</f>
        <v>0</v>
      </c>
      <c r="AI702" s="112">
        <f>IF(C702=$B$1879,$E$1879,0)</f>
        <v>0</v>
      </c>
      <c r="AJ702" s="112">
        <f>IF(C702=$B$1880,$E$1880,0)</f>
        <v>0</v>
      </c>
      <c r="AK702" s="112">
        <f>IF(C702=$B$1881,$E$1881,0)</f>
        <v>0</v>
      </c>
      <c r="AL702" s="112">
        <f>IF(C702=$B$1882,$E$1882,0)</f>
        <v>0</v>
      </c>
      <c r="AM702" s="225">
        <f>SUM(AG702:AL702)</f>
        <v>0</v>
      </c>
      <c r="AN702" s="112">
        <f>IF($D702=$B$1885,AN$463,0)</f>
        <v>0</v>
      </c>
      <c r="AO702" s="112">
        <f>IF($D702=$B$1886,AO$463,0)</f>
        <v>0</v>
      </c>
      <c r="AP702" s="112">
        <f>IF($D702=$B$1887,AP$463,0)</f>
        <v>0</v>
      </c>
      <c r="AQ702" s="112">
        <f>IF($D702=$B$1888,AQ$463,0)</f>
        <v>0</v>
      </c>
      <c r="AR702" s="112">
        <f>IF($D702=$B$1889,AR$463,0)</f>
        <v>0</v>
      </c>
      <c r="AS702" s="112">
        <f>IF($D702=$B$1890,AS$463,0)</f>
        <v>0</v>
      </c>
      <c r="AT702" s="112">
        <f>IF($D702=$B$1891,AT$463,0)</f>
        <v>0</v>
      </c>
      <c r="AU702" s="112">
        <f>IF($D702=$B$1892,AU$463,0)</f>
        <v>0</v>
      </c>
      <c r="AV702" s="226">
        <f>SUM(AN702:AU702)</f>
        <v>0</v>
      </c>
      <c r="AX702" s="216">
        <f>AF702*AM702</f>
        <v>0</v>
      </c>
      <c r="AZ702" s="158">
        <f>AX702+(AV702*AM702)</f>
        <v>0</v>
      </c>
      <c r="BB702" s="217">
        <f>(AF702*AM702)*0.01</f>
        <v>0</v>
      </c>
      <c r="BD702" s="218">
        <f>AZ702*0.01</f>
        <v>0</v>
      </c>
      <c r="BE702" s="199"/>
      <c r="BG702" s="217">
        <f>IF(AF702&gt;0,BG697+BB702,BG697)</f>
        <v>0.87205357142857098</v>
      </c>
      <c r="BH702" s="218">
        <f>IF(AV702&gt;0,BH697+BD702,BH697)</f>
        <v>0.47142857142857131</v>
      </c>
      <c r="BI702" s="217">
        <f>IF(BG702&gt;0.99,0.99,BG702)</f>
        <v>0.87205357142857098</v>
      </c>
      <c r="BJ702" s="218">
        <f>IF(BH702&gt;0.99,0.99,BH702)</f>
        <v>0.47142857142857131</v>
      </c>
    </row>
    <row r="703" spans="1:62" ht="16.2" thickTop="1" x14ac:dyDescent="0.25">
      <c r="A703" s="200">
        <f>A698+1</f>
        <v>56</v>
      </c>
      <c r="B703" s="200" t="s">
        <v>456</v>
      </c>
      <c r="C703" s="200"/>
      <c r="D703" s="201" t="str">
        <f>IF(B705="","If claimed, explain in white box below.","")</f>
        <v>If claimed, explain in white box below.</v>
      </c>
      <c r="E703" s="203"/>
      <c r="F703" s="1"/>
    </row>
    <row r="704" spans="1:62" x14ac:dyDescent="0.25">
      <c r="A704" s="202"/>
      <c r="B704" s="567" t="s">
        <v>457</v>
      </c>
      <c r="C704" s="568"/>
      <c r="D704" s="569"/>
      <c r="E704" s="203"/>
      <c r="F704" s="1"/>
    </row>
    <row r="705" spans="1:62" ht="60" customHeight="1" thickBot="1" x14ac:dyDescent="0.3">
      <c r="A705" s="202"/>
      <c r="B705" s="570"/>
      <c r="C705" s="571"/>
      <c r="D705" s="572"/>
      <c r="E705" s="203"/>
      <c r="F705" s="1"/>
    </row>
    <row r="706" spans="1:62" ht="15" thickTop="1" thickBot="1" x14ac:dyDescent="0.3">
      <c r="A706" s="202"/>
      <c r="B706" s="204" t="str">
        <f>IF(B705="","","Claimed?")</f>
        <v/>
      </c>
      <c r="C706" s="204" t="str">
        <f>IF(B706="","","Verifiable?")</f>
        <v/>
      </c>
      <c r="D706" s="205" t="str">
        <f>IF(C707="","","Independent verification")</f>
        <v/>
      </c>
      <c r="E706" s="573">
        <f>BI707</f>
        <v>0.87205357142857098</v>
      </c>
      <c r="F706" s="574"/>
      <c r="AA706" s="60"/>
      <c r="AB706" s="60" t="s">
        <v>314</v>
      </c>
      <c r="AF706" s="220"/>
      <c r="AG706" s="60" t="s">
        <v>315</v>
      </c>
      <c r="AM706" s="221"/>
      <c r="AN706" s="60" t="s">
        <v>316</v>
      </c>
      <c r="AV706" s="222"/>
      <c r="AX706" s="207" t="s">
        <v>317</v>
      </c>
      <c r="AZ706" s="208" t="s">
        <v>318</v>
      </c>
      <c r="BB706" s="209" t="s">
        <v>319</v>
      </c>
      <c r="BD706" s="208" t="s">
        <v>320</v>
      </c>
      <c r="BG706" s="210" t="s">
        <v>326</v>
      </c>
      <c r="BH706" s="211" t="s">
        <v>327</v>
      </c>
      <c r="BI706" s="210" t="s">
        <v>321</v>
      </c>
      <c r="BJ706" s="211" t="s">
        <v>322</v>
      </c>
    </row>
    <row r="707" spans="1:62" ht="15" thickTop="1" thickBot="1" x14ac:dyDescent="0.3">
      <c r="A707" s="202"/>
      <c r="B707" s="212" t="s">
        <v>331</v>
      </c>
      <c r="C707" s="213"/>
      <c r="D707" s="223"/>
      <c r="E707" s="573">
        <f>BJ707</f>
        <v>0.47142857142857131</v>
      </c>
      <c r="F707" s="574"/>
      <c r="AA707" s="112"/>
      <c r="AB707" s="112">
        <f>IF(B707=$B$1871,$AB$463,0)</f>
        <v>0</v>
      </c>
      <c r="AC707" s="112">
        <f>IF(B707=$B$1872,$AC$463,0)</f>
        <v>0</v>
      </c>
      <c r="AD707" s="112">
        <f>IF(B707=$B$1873,$AD$463,0)</f>
        <v>0</v>
      </c>
      <c r="AE707" s="112">
        <f>IF(B707=$B$1874,$AE$463,0)</f>
        <v>5</v>
      </c>
      <c r="AF707" s="224">
        <f>SUM(AB707:AE707)</f>
        <v>5</v>
      </c>
      <c r="AG707" s="112">
        <f>IF(C707=$B$1877,$E$1877,0)</f>
        <v>0</v>
      </c>
      <c r="AH707" s="112">
        <f>IF(C707=$B$1878,$E$1878,0)</f>
        <v>0</v>
      </c>
      <c r="AI707" s="112">
        <f>IF(C707=$B$1879,$E$1879,0)</f>
        <v>0</v>
      </c>
      <c r="AJ707" s="112">
        <f>IF(C707=$B$1880,$E$1880,0)</f>
        <v>0</v>
      </c>
      <c r="AK707" s="112">
        <f>IF(C707=$B$1881,$E$1881,0)</f>
        <v>0</v>
      </c>
      <c r="AL707" s="112">
        <f>IF(C707=$B$1882,$E$1882,0)</f>
        <v>0</v>
      </c>
      <c r="AM707" s="225">
        <f>SUM(AG707:AL707)</f>
        <v>0</v>
      </c>
      <c r="AN707" s="112">
        <f>IF($D707=$B$1885,AN$463,0)</f>
        <v>0</v>
      </c>
      <c r="AO707" s="112">
        <f>IF($D707=$B$1886,AO$463,0)</f>
        <v>0</v>
      </c>
      <c r="AP707" s="112">
        <f>IF($D707=$B$1887,AP$463,0)</f>
        <v>0</v>
      </c>
      <c r="AQ707" s="112">
        <f>IF($D707=$B$1888,AQ$463,0)</f>
        <v>0</v>
      </c>
      <c r="AR707" s="112">
        <f>IF($D707=$B$1889,AR$463,0)</f>
        <v>0</v>
      </c>
      <c r="AS707" s="112">
        <f>IF($D707=$B$1890,AS$463,0)</f>
        <v>0</v>
      </c>
      <c r="AT707" s="112">
        <f>IF($D707=$B$1891,AT$463,0)</f>
        <v>0</v>
      </c>
      <c r="AU707" s="112">
        <f>IF($D707=$B$1892,AU$463,0)</f>
        <v>0</v>
      </c>
      <c r="AV707" s="226">
        <f>SUM(AN707:AU707)</f>
        <v>0</v>
      </c>
      <c r="AX707" s="216">
        <f>AF707*AM707</f>
        <v>0</v>
      </c>
      <c r="AZ707" s="158">
        <f>AX707+(AV707*AM707)</f>
        <v>0</v>
      </c>
      <c r="BB707" s="217">
        <f>(AF707*AM707)*0.01</f>
        <v>0</v>
      </c>
      <c r="BD707" s="218">
        <f>AZ707*0.01</f>
        <v>0</v>
      </c>
      <c r="BE707" s="199"/>
      <c r="BG707" s="217">
        <f>IF(AF707&gt;0,BG702+BB707,BG702)</f>
        <v>0.87205357142857098</v>
      </c>
      <c r="BH707" s="218">
        <f>IF(AV707&gt;0,BH702+BD707,BH702)</f>
        <v>0.47142857142857131</v>
      </c>
      <c r="BI707" s="217">
        <f>IF(BG707&gt;0.99,0.99,BG707)</f>
        <v>0.87205357142857098</v>
      </c>
      <c r="BJ707" s="218">
        <f>IF(BH707&gt;0.99,0.99,BH707)</f>
        <v>0.47142857142857131</v>
      </c>
    </row>
    <row r="708" spans="1:62" ht="16.2" thickTop="1" x14ac:dyDescent="0.25">
      <c r="A708" s="200">
        <f>A703+1</f>
        <v>57</v>
      </c>
      <c r="B708" s="200" t="s">
        <v>458</v>
      </c>
      <c r="C708" s="200"/>
      <c r="D708" s="201" t="str">
        <f>IF(B710="","If claimed, explain in white box below.","")</f>
        <v>If claimed, explain in white box below.</v>
      </c>
      <c r="E708" s="203"/>
      <c r="F708" s="1"/>
    </row>
    <row r="709" spans="1:62" x14ac:dyDescent="0.25">
      <c r="A709" s="202"/>
      <c r="B709" s="567" t="s">
        <v>459</v>
      </c>
      <c r="C709" s="568"/>
      <c r="D709" s="569"/>
      <c r="E709" s="203"/>
      <c r="F709" s="1"/>
    </row>
    <row r="710" spans="1:62" ht="60" customHeight="1" thickBot="1" x14ac:dyDescent="0.3">
      <c r="A710" s="202"/>
      <c r="B710" s="570"/>
      <c r="C710" s="571"/>
      <c r="D710" s="572"/>
      <c r="E710" s="203"/>
      <c r="F710" s="1"/>
    </row>
    <row r="711" spans="1:62" ht="15" thickTop="1" thickBot="1" x14ac:dyDescent="0.3">
      <c r="A711" s="202"/>
      <c r="B711" s="204" t="str">
        <f>IF(B710="","","Claimed?")</f>
        <v/>
      </c>
      <c r="C711" s="204" t="str">
        <f>IF(B711="","","Verifiable?")</f>
        <v/>
      </c>
      <c r="D711" s="205" t="str">
        <f>IF(C712="","","Independent verification")</f>
        <v>Independent verification</v>
      </c>
      <c r="E711" s="573">
        <f>BI712</f>
        <v>0.89455357142857095</v>
      </c>
      <c r="F711" s="574"/>
      <c r="AA711" s="60"/>
      <c r="AB711" s="60" t="s">
        <v>314</v>
      </c>
      <c r="AF711" s="220"/>
      <c r="AG711" s="60" t="s">
        <v>315</v>
      </c>
      <c r="AM711" s="221"/>
      <c r="AN711" s="60" t="s">
        <v>316</v>
      </c>
      <c r="AV711" s="222"/>
      <c r="AX711" s="207" t="s">
        <v>317</v>
      </c>
      <c r="AZ711" s="208" t="s">
        <v>318</v>
      </c>
      <c r="BB711" s="209" t="s">
        <v>319</v>
      </c>
      <c r="BD711" s="208" t="s">
        <v>320</v>
      </c>
      <c r="BG711" s="210" t="s">
        <v>326</v>
      </c>
      <c r="BH711" s="211" t="s">
        <v>327</v>
      </c>
      <c r="BI711" s="210" t="s">
        <v>321</v>
      </c>
      <c r="BJ711" s="211" t="s">
        <v>322</v>
      </c>
    </row>
    <row r="712" spans="1:62" ht="15" thickTop="1" thickBot="1" x14ac:dyDescent="0.3">
      <c r="A712" s="202"/>
      <c r="B712" s="212" t="s">
        <v>331</v>
      </c>
      <c r="C712" s="213" t="s">
        <v>347</v>
      </c>
      <c r="D712" s="223"/>
      <c r="E712" s="573">
        <f>BJ712</f>
        <v>0.47142857142857131</v>
      </c>
      <c r="F712" s="574"/>
      <c r="AA712" s="112"/>
      <c r="AB712" s="112">
        <f>IF(B712=$B$1871,$AB$463,0)</f>
        <v>0</v>
      </c>
      <c r="AC712" s="112">
        <f>IF(B712=$B$1872,$AC$463,0)</f>
        <v>0</v>
      </c>
      <c r="AD712" s="112">
        <f>IF(B712=$B$1873,$AD$463,0)</f>
        <v>0</v>
      </c>
      <c r="AE712" s="112">
        <f>IF(B712=$B$1874,$AE$463,0)</f>
        <v>5</v>
      </c>
      <c r="AF712" s="224">
        <f>SUM(AB712:AE712)</f>
        <v>5</v>
      </c>
      <c r="AG712" s="112">
        <f>IF(C712=$B$1877,$E$1877,0)</f>
        <v>0</v>
      </c>
      <c r="AH712" s="112">
        <f>IF(C712=$B$1878,$E$1878,0)</f>
        <v>0</v>
      </c>
      <c r="AI712" s="112">
        <f>IF(C712=$B$1879,$E$1879,0)</f>
        <v>0</v>
      </c>
      <c r="AJ712" s="112">
        <f>IF(C712=$B$1880,$E$1880,0)</f>
        <v>0</v>
      </c>
      <c r="AK712" s="112">
        <f>IF(C712=$B$1881,$E$1881,0)</f>
        <v>0.45</v>
      </c>
      <c r="AL712" s="112">
        <f>IF(C712=$B$1882,$E$1882,0)</f>
        <v>0</v>
      </c>
      <c r="AM712" s="225">
        <f>SUM(AG712:AL712)</f>
        <v>0.45</v>
      </c>
      <c r="AN712" s="112">
        <f>IF($D712=$B$1885,AN$463,0)</f>
        <v>0</v>
      </c>
      <c r="AO712" s="112">
        <f>IF($D712=$B$1886,AO$463,0)</f>
        <v>0</v>
      </c>
      <c r="AP712" s="112">
        <f>IF($D712=$B$1887,AP$463,0)</f>
        <v>0</v>
      </c>
      <c r="AQ712" s="112">
        <f>IF($D712=$B$1888,AQ$463,0)</f>
        <v>0</v>
      </c>
      <c r="AR712" s="112">
        <f>IF($D712=$B$1889,AR$463,0)</f>
        <v>0</v>
      </c>
      <c r="AS712" s="112">
        <f>IF($D712=$B$1890,AS$463,0)</f>
        <v>0</v>
      </c>
      <c r="AT712" s="112">
        <f>IF($D712=$B$1891,AT$463,0)</f>
        <v>0</v>
      </c>
      <c r="AU712" s="112">
        <f>IF($D712=$B$1892,AU$463,0)</f>
        <v>0</v>
      </c>
      <c r="AV712" s="226">
        <f>SUM(AN712:AU712)</f>
        <v>0</v>
      </c>
      <c r="AX712" s="216">
        <f>AF712*AM712</f>
        <v>2.25</v>
      </c>
      <c r="AZ712" s="158">
        <f>AX712+(AV712*AM712)</f>
        <v>2.25</v>
      </c>
      <c r="BB712" s="217">
        <f>(AF712*AM712)*0.01</f>
        <v>2.2499999999999999E-2</v>
      </c>
      <c r="BD712" s="218">
        <f>AZ712*0.01</f>
        <v>2.2499999999999999E-2</v>
      </c>
      <c r="BE712" s="199"/>
      <c r="BG712" s="217">
        <f>IF(AF712&gt;0,BG707+BB712,BG707)</f>
        <v>0.89455357142857095</v>
      </c>
      <c r="BH712" s="218">
        <f>IF(AV712&gt;0,BH707+BD712,BH707)</f>
        <v>0.47142857142857131</v>
      </c>
      <c r="BI712" s="217">
        <f>IF(BG712&gt;0.99,0.99,BG712)</f>
        <v>0.89455357142857095</v>
      </c>
      <c r="BJ712" s="218">
        <f>IF(BH712&gt;0.99,0.99,BH712)</f>
        <v>0.47142857142857131</v>
      </c>
    </row>
    <row r="713" spans="1:62" ht="16.2" thickTop="1" x14ac:dyDescent="0.25">
      <c r="A713" s="200">
        <f>A708+1</f>
        <v>58</v>
      </c>
      <c r="B713" s="200" t="s">
        <v>460</v>
      </c>
      <c r="C713" s="200"/>
      <c r="D713" s="231" t="str">
        <f>IF(B715="","If claimed, explain in white box below.","")</f>
        <v>If claimed, explain in white box below.</v>
      </c>
      <c r="E713" s="203"/>
      <c r="F713" s="1"/>
    </row>
    <row r="714" spans="1:62" x14ac:dyDescent="0.25">
      <c r="A714" s="202"/>
      <c r="B714" s="567" t="s">
        <v>461</v>
      </c>
      <c r="C714" s="568"/>
      <c r="D714" s="569"/>
      <c r="E714" s="203"/>
      <c r="F714" s="1"/>
    </row>
    <row r="715" spans="1:62" ht="60" customHeight="1" thickBot="1" x14ac:dyDescent="0.3">
      <c r="A715" s="202"/>
      <c r="B715" s="570"/>
      <c r="C715" s="571"/>
      <c r="D715" s="572"/>
      <c r="E715" s="203"/>
      <c r="F715" s="1"/>
    </row>
    <row r="716" spans="1:62" ht="15" thickTop="1" thickBot="1" x14ac:dyDescent="0.3">
      <c r="A716" s="202"/>
      <c r="B716" s="204" t="str">
        <f>IF(B715="","","Claimed?")</f>
        <v/>
      </c>
      <c r="C716" s="204" t="str">
        <f>IF(B716="","","Verifiable?")</f>
        <v/>
      </c>
      <c r="D716" s="205" t="str">
        <f>IF(C717="","","Independent verification")</f>
        <v/>
      </c>
      <c r="E716" s="573">
        <f>BI717</f>
        <v>0.89455357142857095</v>
      </c>
      <c r="F716" s="574"/>
      <c r="AA716" s="60"/>
      <c r="AB716" s="60" t="s">
        <v>314</v>
      </c>
      <c r="AF716" s="220"/>
      <c r="AG716" s="60" t="s">
        <v>315</v>
      </c>
      <c r="AM716" s="221"/>
      <c r="AN716" s="60" t="s">
        <v>316</v>
      </c>
      <c r="AV716" s="222"/>
      <c r="AX716" s="207" t="s">
        <v>317</v>
      </c>
      <c r="AZ716" s="208" t="s">
        <v>318</v>
      </c>
      <c r="BB716" s="209" t="s">
        <v>319</v>
      </c>
      <c r="BD716" s="208" t="s">
        <v>320</v>
      </c>
      <c r="BG716" s="210" t="s">
        <v>326</v>
      </c>
      <c r="BH716" s="211" t="s">
        <v>327</v>
      </c>
      <c r="BI716" s="210" t="s">
        <v>321</v>
      </c>
      <c r="BJ716" s="211" t="s">
        <v>322</v>
      </c>
    </row>
    <row r="717" spans="1:62" ht="15" thickTop="1" thickBot="1" x14ac:dyDescent="0.3">
      <c r="A717" s="202"/>
      <c r="B717" s="212"/>
      <c r="C717" s="213"/>
      <c r="D717" s="223"/>
      <c r="E717" s="573">
        <f>BJ717</f>
        <v>0.47142857142857131</v>
      </c>
      <c r="F717" s="574"/>
      <c r="AA717" s="112"/>
      <c r="AB717" s="112">
        <f>IF(B717=$B$1871,$AB$463,0)</f>
        <v>0</v>
      </c>
      <c r="AC717" s="112">
        <f>IF(B717=$B$1872,$AC$463,0)</f>
        <v>0</v>
      </c>
      <c r="AD717" s="112">
        <f>IF(B717=$B$1873,$AD$463,0)</f>
        <v>0</v>
      </c>
      <c r="AE717" s="112">
        <f>IF(B717=$B$1874,$AE$463,0)</f>
        <v>0</v>
      </c>
      <c r="AF717" s="224">
        <f>SUM(AB717:AE717)</f>
        <v>0</v>
      </c>
      <c r="AG717" s="112">
        <f>IF(C717=$B$1877,$E$1877,0)</f>
        <v>0</v>
      </c>
      <c r="AH717" s="112">
        <f>IF(C717=$B$1878,$E$1878,0)</f>
        <v>0</v>
      </c>
      <c r="AI717" s="112">
        <f>IF(C717=$B$1879,$E$1879,0)</f>
        <v>0</v>
      </c>
      <c r="AJ717" s="112">
        <f>IF(C717=$B$1880,$E$1880,0)</f>
        <v>0</v>
      </c>
      <c r="AK717" s="112">
        <f>IF(C717=$B$1881,$E$1881,0)</f>
        <v>0</v>
      </c>
      <c r="AL717" s="112">
        <f>IF(C717=$B$1882,$E$1882,0)</f>
        <v>0</v>
      </c>
      <c r="AM717" s="225">
        <f>SUM(AG717:AL717)</f>
        <v>0</v>
      </c>
      <c r="AN717" s="112">
        <f>IF($D717=$B$1885,AN$463,0)</f>
        <v>0</v>
      </c>
      <c r="AO717" s="112">
        <f>IF($D717=$B$1886,AO$463,0)</f>
        <v>0</v>
      </c>
      <c r="AP717" s="112">
        <f>IF($D717=$B$1887,AP$463,0)</f>
        <v>0</v>
      </c>
      <c r="AQ717" s="112">
        <f>IF($D717=$B$1888,AQ$463,0)</f>
        <v>0</v>
      </c>
      <c r="AR717" s="112">
        <f>IF($D717=$B$1889,AR$463,0)</f>
        <v>0</v>
      </c>
      <c r="AS717" s="112">
        <f>IF($D717=$B$1890,AS$463,0)</f>
        <v>0</v>
      </c>
      <c r="AT717" s="112">
        <f>IF($D717=$B$1891,AT$463,0)</f>
        <v>0</v>
      </c>
      <c r="AU717" s="112">
        <f>IF($D717=$B$1892,AU$463,0)</f>
        <v>0</v>
      </c>
      <c r="AV717" s="226">
        <f>SUM(AN717:AU717)</f>
        <v>0</v>
      </c>
      <c r="AX717" s="216">
        <f>AF717*AM717</f>
        <v>0</v>
      </c>
      <c r="AZ717" s="158">
        <f>AX717+(AV717*AM717)</f>
        <v>0</v>
      </c>
      <c r="BB717" s="217">
        <f>(AF717*AM717)*0.01</f>
        <v>0</v>
      </c>
      <c r="BD717" s="218">
        <f>AZ717*0.01</f>
        <v>0</v>
      </c>
      <c r="BE717" s="199"/>
      <c r="BG717" s="217">
        <f>IF(AF717&gt;0,BG712+BB717,BG712)</f>
        <v>0.89455357142857095</v>
      </c>
      <c r="BH717" s="218">
        <f>IF(AV717&gt;0,BH712+BD717,BH712)</f>
        <v>0.47142857142857131</v>
      </c>
      <c r="BI717" s="217">
        <f>IF(BG717&gt;0.99,0.99,BG717)</f>
        <v>0.89455357142857095</v>
      </c>
      <c r="BJ717" s="218">
        <f>IF(BH717&gt;0.99,0.99,BH717)</f>
        <v>0.47142857142857131</v>
      </c>
    </row>
    <row r="718" spans="1:62" ht="14.4" thickTop="1" x14ac:dyDescent="0.25">
      <c r="A718" s="202"/>
      <c r="B718" s="203"/>
      <c r="C718" s="203"/>
      <c r="D718" s="203"/>
      <c r="E718" s="203"/>
      <c r="F718" s="1"/>
    </row>
    <row r="719" spans="1:62" ht="30" customHeight="1" x14ac:dyDescent="0.25">
      <c r="A719" s="46" t="s">
        <v>89</v>
      </c>
      <c r="B719" s="46" t="s">
        <v>462</v>
      </c>
      <c r="C719" s="46"/>
      <c r="D719" s="45"/>
      <c r="E719" s="45"/>
      <c r="F719" s="475" t="s">
        <v>949</v>
      </c>
    </row>
    <row r="720" spans="1:62" ht="17.399999999999999" x14ac:dyDescent="0.25">
      <c r="A720" s="234" t="s">
        <v>463</v>
      </c>
      <c r="B720" s="109"/>
      <c r="C720" s="109"/>
      <c r="D720" s="109"/>
      <c r="E720" s="110"/>
      <c r="F720" s="108"/>
    </row>
    <row r="721" spans="1:54" ht="15.6" x14ac:dyDescent="0.25">
      <c r="A721" s="235">
        <f>A713+1</f>
        <v>59</v>
      </c>
      <c r="B721" s="235" t="s">
        <v>464</v>
      </c>
      <c r="C721" s="235"/>
      <c r="D721" s="235"/>
      <c r="E721" s="236"/>
      <c r="F721" s="1"/>
    </row>
    <row r="722" spans="1:54" ht="13.8" customHeight="1" x14ac:dyDescent="0.25">
      <c r="A722" s="237"/>
      <c r="B722" s="236"/>
      <c r="C722" s="236"/>
      <c r="D722" s="236"/>
      <c r="E722" s="236"/>
      <c r="F722" s="1"/>
    </row>
    <row r="723" spans="1:54" x14ac:dyDescent="0.25">
      <c r="A723" s="237"/>
      <c r="B723" s="578"/>
      <c r="C723" s="578"/>
      <c r="D723" s="578"/>
      <c r="E723" s="236"/>
      <c r="F723" s="1"/>
    </row>
    <row r="724" spans="1:54" ht="14.4" thickBot="1" x14ac:dyDescent="0.3">
      <c r="A724" s="237"/>
      <c r="B724" s="570" t="s">
        <v>465</v>
      </c>
      <c r="C724" s="571"/>
      <c r="D724" s="572"/>
      <c r="E724" s="236"/>
      <c r="F724" s="1"/>
    </row>
    <row r="725" spans="1:54" ht="15.6" x14ac:dyDescent="0.25">
      <c r="A725" s="235">
        <f>A721+1</f>
        <v>60</v>
      </c>
      <c r="B725" s="235" t="s">
        <v>466</v>
      </c>
      <c r="C725" s="235"/>
      <c r="D725" s="235"/>
      <c r="E725" s="236"/>
      <c r="F725" s="1"/>
    </row>
    <row r="726" spans="1:54" ht="13.8" customHeight="1" x14ac:dyDescent="0.25">
      <c r="A726" s="237"/>
      <c r="B726" s="236"/>
      <c r="C726" s="236"/>
      <c r="D726" s="236"/>
      <c r="E726" s="236"/>
      <c r="F726" s="1"/>
    </row>
    <row r="727" spans="1:54" ht="14.4" customHeight="1" x14ac:dyDescent="0.25">
      <c r="A727" s="237"/>
      <c r="B727" s="578"/>
      <c r="C727" s="578"/>
      <c r="D727" s="578"/>
      <c r="E727" s="236"/>
      <c r="F727" s="1"/>
    </row>
    <row r="728" spans="1:54" ht="14.4" customHeight="1" thickBot="1" x14ac:dyDescent="0.3">
      <c r="A728" s="237"/>
      <c r="B728" s="570" t="s">
        <v>467</v>
      </c>
      <c r="C728" s="571"/>
      <c r="D728" s="572"/>
      <c r="E728" s="236"/>
      <c r="F728" s="1"/>
    </row>
    <row r="729" spans="1:54" ht="15.6" x14ac:dyDescent="0.25">
      <c r="A729" s="235">
        <f>A725+1</f>
        <v>61</v>
      </c>
      <c r="B729" s="235" t="s">
        <v>468</v>
      </c>
      <c r="C729" s="235"/>
      <c r="D729" s="235"/>
      <c r="E729" s="236"/>
      <c r="F729" s="1"/>
    </row>
    <row r="730" spans="1:54" x14ac:dyDescent="0.25">
      <c r="A730" s="237"/>
      <c r="B730" s="236"/>
      <c r="C730" s="236"/>
      <c r="D730" s="236"/>
      <c r="E730" s="236"/>
      <c r="F730" s="1"/>
    </row>
    <row r="731" spans="1:54" x14ac:dyDescent="0.25">
      <c r="A731" s="237"/>
      <c r="B731" s="578"/>
      <c r="C731" s="578"/>
      <c r="D731" s="578"/>
      <c r="E731" s="236"/>
      <c r="F731" s="1"/>
      <c r="BB731" s="6"/>
    </row>
    <row r="732" spans="1:54" ht="14.4" x14ac:dyDescent="0.25">
      <c r="A732" s="237"/>
      <c r="B732" s="565"/>
      <c r="C732" s="565"/>
      <c r="D732" s="565"/>
      <c r="E732" s="236"/>
      <c r="F732" s="1"/>
      <c r="BB732" s="6"/>
    </row>
    <row r="733" spans="1:54" ht="15.6" x14ac:dyDescent="0.25">
      <c r="A733" s="235">
        <f>A729+1</f>
        <v>62</v>
      </c>
      <c r="B733" s="235" t="s">
        <v>24</v>
      </c>
      <c r="C733" s="235"/>
      <c r="D733" s="235"/>
      <c r="E733" s="236"/>
      <c r="F733" s="1"/>
      <c r="BB733" s="6"/>
    </row>
    <row r="734" spans="1:54" x14ac:dyDescent="0.25">
      <c r="A734" s="237"/>
      <c r="B734" s="236"/>
      <c r="C734" s="236"/>
      <c r="D734" s="236"/>
      <c r="E734" s="236"/>
      <c r="F734" s="1"/>
      <c r="BB734" s="6"/>
    </row>
    <row r="735" spans="1:54" x14ac:dyDescent="0.25">
      <c r="A735" s="237"/>
      <c r="B735" s="578"/>
      <c r="C735" s="578"/>
      <c r="D735" s="578"/>
      <c r="E735" s="236"/>
      <c r="F735" s="1"/>
      <c r="BB735" s="6"/>
    </row>
    <row r="736" spans="1:54" ht="14.4" x14ac:dyDescent="0.25">
      <c r="A736" s="237"/>
      <c r="B736" s="565"/>
      <c r="C736" s="565"/>
      <c r="D736" s="565"/>
      <c r="E736" s="236"/>
      <c r="F736" s="1"/>
      <c r="BB736" s="6"/>
    </row>
    <row r="737" spans="1:60" s="28" customFormat="1" ht="34.950000000000003" customHeight="1" thickBot="1" x14ac:dyDescent="0.3">
      <c r="A737" s="237"/>
      <c r="B737" s="582" t="s">
        <v>469</v>
      </c>
      <c r="C737" s="582"/>
      <c r="D737" s="582"/>
      <c r="E737" s="236"/>
      <c r="F737" s="1"/>
      <c r="G737" s="238"/>
      <c r="H737" s="238"/>
      <c r="I737" s="238"/>
      <c r="J737" s="238"/>
      <c r="K737" s="238"/>
      <c r="L737" s="238"/>
      <c r="M737" s="238"/>
      <c r="N737" s="238"/>
      <c r="O737" s="238"/>
      <c r="P737" s="238"/>
      <c r="Q737" s="238"/>
      <c r="R737" s="238"/>
      <c r="S737" s="238"/>
      <c r="T737" s="238"/>
      <c r="U737" s="238"/>
      <c r="V737" s="238"/>
      <c r="W737" s="238"/>
      <c r="X737" s="238"/>
      <c r="Y737" s="238"/>
      <c r="Z737" s="238"/>
    </row>
    <row r="738" spans="1:60" ht="15" thickTop="1" thickBot="1" x14ac:dyDescent="0.3">
      <c r="A738" s="237"/>
      <c r="B738" s="239" t="s">
        <v>470</v>
      </c>
      <c r="C738" s="240"/>
      <c r="D738" s="241" t="s">
        <v>471</v>
      </c>
      <c r="E738" s="236"/>
      <c r="F738" s="1"/>
      <c r="BB738" s="6"/>
    </row>
    <row r="739" spans="1:60" ht="15" thickTop="1" thickBot="1" x14ac:dyDescent="0.3">
      <c r="A739" s="237"/>
      <c r="B739" s="239" t="s">
        <v>472</v>
      </c>
      <c r="C739" s="240"/>
      <c r="D739" s="241" t="s">
        <v>473</v>
      </c>
      <c r="E739" s="236"/>
      <c r="F739" s="1"/>
      <c r="BB739" s="6"/>
    </row>
    <row r="740" spans="1:60" ht="15" thickTop="1" thickBot="1" x14ac:dyDescent="0.3">
      <c r="A740" s="237"/>
      <c r="B740" s="239" t="s">
        <v>474</v>
      </c>
      <c r="C740" s="240"/>
      <c r="D740" s="241" t="s">
        <v>473</v>
      </c>
      <c r="E740" s="236"/>
      <c r="F740" s="1"/>
      <c r="BB740" s="6"/>
    </row>
    <row r="741" spans="1:60" ht="15" thickTop="1" thickBot="1" x14ac:dyDescent="0.3">
      <c r="A741" s="237"/>
      <c r="B741" s="239" t="s">
        <v>475</v>
      </c>
      <c r="C741" s="240"/>
      <c r="D741" s="241" t="s">
        <v>476</v>
      </c>
      <c r="E741" s="236"/>
      <c r="F741" s="1"/>
      <c r="BB741" s="6"/>
    </row>
    <row r="742" spans="1:60" ht="15" customHeight="1" thickTop="1" thickBot="1" x14ac:dyDescent="0.3">
      <c r="A742" s="237"/>
      <c r="B742" s="239" t="s">
        <v>477</v>
      </c>
      <c r="C742" s="240"/>
      <c r="D742" s="241" t="s">
        <v>471</v>
      </c>
      <c r="E742" s="236"/>
      <c r="F742" s="1"/>
      <c r="BB742" s="6"/>
    </row>
    <row r="743" spans="1:60" ht="15" customHeight="1" thickTop="1" thickBot="1" x14ac:dyDescent="0.3">
      <c r="A743" s="237"/>
      <c r="B743" s="239" t="s">
        <v>478</v>
      </c>
      <c r="C743" s="240"/>
      <c r="D743" s="241" t="s">
        <v>471</v>
      </c>
      <c r="E743" s="236"/>
      <c r="F743" s="1"/>
    </row>
    <row r="744" spans="1:60" ht="15" customHeight="1" thickTop="1" thickBot="1" x14ac:dyDescent="0.3">
      <c r="A744" s="237"/>
      <c r="B744" s="239" t="s">
        <v>479</v>
      </c>
      <c r="C744" s="241"/>
      <c r="D744" s="241"/>
      <c r="E744" s="236"/>
      <c r="F744" s="1"/>
    </row>
    <row r="745" spans="1:60" ht="15" customHeight="1" thickTop="1" x14ac:dyDescent="0.25">
      <c r="A745" s="237"/>
      <c r="B745" s="236"/>
      <c r="C745" s="236"/>
      <c r="D745" s="236"/>
      <c r="E745" s="236"/>
      <c r="F745" s="1"/>
      <c r="BB745" s="6" t="s">
        <v>1522</v>
      </c>
    </row>
    <row r="746" spans="1:60" ht="15" customHeight="1" x14ac:dyDescent="0.25">
      <c r="A746" s="235">
        <f>A733+1</f>
        <v>63</v>
      </c>
      <c r="B746" s="235" t="s">
        <v>1521</v>
      </c>
      <c r="C746" s="236"/>
      <c r="D746" s="236"/>
      <c r="E746" s="236"/>
      <c r="F746" s="1"/>
      <c r="BB746" s="6"/>
    </row>
    <row r="747" spans="1:60" ht="15" customHeight="1" thickBot="1" x14ac:dyDescent="0.3">
      <c r="A747" s="237"/>
      <c r="B747" s="236" t="s">
        <v>1465</v>
      </c>
      <c r="C747" s="236"/>
      <c r="D747" s="236"/>
      <c r="E747" s="236"/>
      <c r="F747" s="1"/>
    </row>
    <row r="748" spans="1:60" ht="15" customHeight="1" thickTop="1" thickBot="1" x14ac:dyDescent="0.3">
      <c r="A748" s="237">
        <v>1</v>
      </c>
      <c r="B748" s="239" t="s">
        <v>1466</v>
      </c>
      <c r="C748" s="236"/>
      <c r="D748" s="241" t="s">
        <v>1476</v>
      </c>
      <c r="E748" s="236"/>
      <c r="F748" s="1"/>
      <c r="AD748" s="481" t="s">
        <v>1477</v>
      </c>
      <c r="AF748" s="481" t="s">
        <v>1478</v>
      </c>
      <c r="AH748" s="481" t="s">
        <v>1485</v>
      </c>
      <c r="AJ748" s="481" t="s">
        <v>1491</v>
      </c>
      <c r="AL748" s="481" t="s">
        <v>1497</v>
      </c>
      <c r="AN748" s="481" t="s">
        <v>1503</v>
      </c>
      <c r="AP748" s="481" t="s">
        <v>1509</v>
      </c>
      <c r="AR748" s="481" t="s">
        <v>1515</v>
      </c>
      <c r="AT748" s="262" t="s">
        <v>966</v>
      </c>
      <c r="AV748" s="6">
        <f t="shared" ref="AV748:AV753" si="18">IF(D748="",0,1)</f>
        <v>1</v>
      </c>
      <c r="BB748" s="6" t="s">
        <v>1528</v>
      </c>
      <c r="BD748" s="6" t="str">
        <f>IF(AND($AV$755&gt;$AX749,$AV$755&lt;=$AZ749),BD749,IF(AND($AV$755&gt;$AX750,$AV$755&lt;=$AZ750),BD750,IF(AND($AV$755&gt;$AX$751,$AV$755&lt;=$AZ751),BD751,IF(AND($AV$755&gt;$AX752,$AV$755&lt;=$AZ752),BD752,IF(AND($AV$755&gt;$AX753,$AV$755&lt;=$AZ753),BD753,"")))))</f>
        <v>fully distrusts</v>
      </c>
      <c r="BF748" s="6" t="s">
        <v>1527</v>
      </c>
      <c r="BG748" s="6" t="str">
        <f>IF(AND($AV$755&gt;$AX749,$AV$755&lt;=$AZ749),BG749,IF(AND($AV$755&gt;$AX750,$AV$755&lt;=$AZ750),BG750,IF(AND($AV$755&gt;$AX$751,$AV$755&lt;=$AZ751),BG751,IF(AND($AV$755&gt;$AX752,$AV$755&lt;=$AZ752),BG752,IF(AND($AV$755&gt;$AX753,$AV$755&lt;=$AZ753),BG753,"")))))</f>
        <v>harmful</v>
      </c>
      <c r="BH748" s="6" t="s">
        <v>1536</v>
      </c>
    </row>
    <row r="749" spans="1:60" ht="15" customHeight="1" thickTop="1" thickBot="1" x14ac:dyDescent="0.3">
      <c r="A749" s="237">
        <f>A748+1</f>
        <v>2</v>
      </c>
      <c r="B749" s="239" t="s">
        <v>1467</v>
      </c>
      <c r="C749" s="236"/>
      <c r="D749" s="241" t="s">
        <v>1481</v>
      </c>
      <c r="E749" s="236"/>
      <c r="F749" s="1"/>
      <c r="AC749" s="6">
        <v>0</v>
      </c>
      <c r="AD749" s="480" t="s">
        <v>1473</v>
      </c>
      <c r="AE749" s="262" t="s">
        <v>966</v>
      </c>
      <c r="AF749" s="480" t="s">
        <v>1479</v>
      </c>
      <c r="AG749" s="6" t="str">
        <f>IF($D$749=AF749,$AC749,"")</f>
        <v/>
      </c>
      <c r="AH749" s="480" t="s">
        <v>1486</v>
      </c>
      <c r="AI749" s="6" t="str">
        <f>IF($D$750=AH749,$AC749,"")</f>
        <v/>
      </c>
      <c r="AJ749" s="480" t="s">
        <v>1492</v>
      </c>
      <c r="AK749" s="6" t="str">
        <f>IF($D$751=AJ749,$AC749,"")</f>
        <v/>
      </c>
      <c r="AL749" s="480" t="s">
        <v>1498</v>
      </c>
      <c r="AM749" s="6" t="str">
        <f>IF($D$752=AL749,$AC749,"")</f>
        <v/>
      </c>
      <c r="AN749" s="480" t="s">
        <v>1504</v>
      </c>
      <c r="AO749" s="6" t="str">
        <f>IF($D$753=AN749,$AC749,"")</f>
        <v/>
      </c>
      <c r="AP749" s="480" t="s">
        <v>1510</v>
      </c>
      <c r="AQ749" s="6" t="str">
        <f>IF($D$754=AP749,$AC749,"")</f>
        <v/>
      </c>
      <c r="AR749" s="480" t="s">
        <v>1516</v>
      </c>
      <c r="AS749" s="6" t="str">
        <f>IF($D$755=AR749,$AC749,"")</f>
        <v/>
      </c>
      <c r="AT749" s="262" t="s">
        <v>966</v>
      </c>
      <c r="AU749" s="482">
        <f>B1</f>
        <v>0.89455357142857095</v>
      </c>
      <c r="AV749" s="6">
        <f t="shared" si="18"/>
        <v>1</v>
      </c>
      <c r="AX749" s="6">
        <v>0</v>
      </c>
      <c r="AZ749" s="6">
        <v>0.2</v>
      </c>
      <c r="BD749" s="6" t="s">
        <v>1524</v>
      </c>
      <c r="BG749" s="6" t="s">
        <v>1531</v>
      </c>
    </row>
    <row r="750" spans="1:60" ht="15" customHeight="1" thickTop="1" thickBot="1" x14ac:dyDescent="0.3">
      <c r="A750" s="237">
        <f t="shared" ref="A750:A755" si="19">A749+1</f>
        <v>3</v>
      </c>
      <c r="B750" s="239" t="s">
        <v>1472</v>
      </c>
      <c r="C750" s="236"/>
      <c r="D750" s="241" t="s">
        <v>1489</v>
      </c>
      <c r="E750" s="236"/>
      <c r="F750" s="1"/>
      <c r="AC750" s="6">
        <v>1</v>
      </c>
      <c r="AD750" s="480" t="s">
        <v>1474</v>
      </c>
      <c r="AE750" s="262" t="s">
        <v>966</v>
      </c>
      <c r="AF750" s="480" t="s">
        <v>1480</v>
      </c>
      <c r="AG750" s="6" t="str">
        <f>IF($D$749=AF750,$AC750,"")</f>
        <v/>
      </c>
      <c r="AH750" s="480" t="s">
        <v>1487</v>
      </c>
      <c r="AI750" s="6" t="str">
        <f>IF($D$750=AH750,$AC750,"")</f>
        <v/>
      </c>
      <c r="AJ750" s="480" t="s">
        <v>1493</v>
      </c>
      <c r="AK750" s="6" t="str">
        <f>IF($D$751=AJ750,$AC750,"")</f>
        <v/>
      </c>
      <c r="AL750" s="480" t="s">
        <v>1499</v>
      </c>
      <c r="AM750" s="6">
        <f>IF($D$752=AL750,$AC750,"")</f>
        <v>1</v>
      </c>
      <c r="AN750" s="480" t="s">
        <v>1505</v>
      </c>
      <c r="AO750" s="6" t="str">
        <f>IF($D$753=AN750,$AC750,"")</f>
        <v/>
      </c>
      <c r="AP750" s="480" t="s">
        <v>1511</v>
      </c>
      <c r="AQ750" s="6">
        <f>IF($D$754=AP750,$AC750,"")</f>
        <v>1</v>
      </c>
      <c r="AR750" s="480" t="s">
        <v>1517</v>
      </c>
      <c r="AS750" s="6" t="str">
        <f>IF($D$755=AR750,$AC750,"")</f>
        <v/>
      </c>
      <c r="AT750" s="262" t="s">
        <v>966</v>
      </c>
      <c r="AU750" s="482">
        <f>B2</f>
        <v>0.47142857142857131</v>
      </c>
      <c r="AV750" s="6">
        <f t="shared" si="18"/>
        <v>1</v>
      </c>
      <c r="AX750" s="6">
        <f>AZ749</f>
        <v>0.2</v>
      </c>
      <c r="AZ750" s="6">
        <f>AZ749+0.2</f>
        <v>0.4</v>
      </c>
      <c r="BD750" s="6" t="s">
        <v>1525</v>
      </c>
      <c r="BG750" s="6" t="s">
        <v>1532</v>
      </c>
    </row>
    <row r="751" spans="1:60" ht="15" customHeight="1" thickTop="1" thickBot="1" x14ac:dyDescent="0.3">
      <c r="A751" s="237">
        <f t="shared" si="19"/>
        <v>4</v>
      </c>
      <c r="B751" s="239" t="s">
        <v>1468</v>
      </c>
      <c r="C751" s="236"/>
      <c r="D751" s="241" t="s">
        <v>1495</v>
      </c>
      <c r="E751" s="236"/>
      <c r="F751" s="1"/>
      <c r="AC751" s="6">
        <v>2</v>
      </c>
      <c r="AD751" s="480" t="s">
        <v>1475</v>
      </c>
      <c r="AE751" s="262" t="s">
        <v>966</v>
      </c>
      <c r="AF751" s="480" t="s">
        <v>1481</v>
      </c>
      <c r="AG751" s="6">
        <f>IF($D$749=AF751,$AC751,"")</f>
        <v>2</v>
      </c>
      <c r="AH751" s="480" t="s">
        <v>1488</v>
      </c>
      <c r="AI751" s="6" t="str">
        <f>IF($D$750=AH751,$AC751,"")</f>
        <v/>
      </c>
      <c r="AJ751" s="480" t="s">
        <v>1494</v>
      </c>
      <c r="AK751" s="6" t="str">
        <f>IF($D$751=AJ751,$AC751,"")</f>
        <v/>
      </c>
      <c r="AL751" s="480" t="s">
        <v>1500</v>
      </c>
      <c r="AM751" s="6" t="str">
        <f>IF($D$752=AL751,$AC751,"")</f>
        <v/>
      </c>
      <c r="AN751" s="480" t="s">
        <v>1506</v>
      </c>
      <c r="AO751" s="6" t="str">
        <f>IF($D$753=AN751,$AC751,"")</f>
        <v/>
      </c>
      <c r="AP751" s="480" t="s">
        <v>1512</v>
      </c>
      <c r="AQ751" s="6" t="str">
        <f>IF($D$754=AP751,$AC751,"")</f>
        <v/>
      </c>
      <c r="AR751" s="480" t="s">
        <v>1538</v>
      </c>
      <c r="AS751" s="6">
        <f>IF($D$755=AR751,$AC751,"")</f>
        <v>2</v>
      </c>
      <c r="AT751" s="262" t="s">
        <v>966</v>
      </c>
      <c r="AV751" s="6">
        <f t="shared" si="18"/>
        <v>1</v>
      </c>
      <c r="AX751" s="6">
        <f>AZ750</f>
        <v>0.4</v>
      </c>
      <c r="AZ751" s="6">
        <f>AZ750+0.2</f>
        <v>0.60000000000000009</v>
      </c>
      <c r="BD751" s="6" t="s">
        <v>1530</v>
      </c>
      <c r="BG751" s="6" t="s">
        <v>1533</v>
      </c>
    </row>
    <row r="752" spans="1:60" ht="15" customHeight="1" thickTop="1" thickBot="1" x14ac:dyDescent="0.3">
      <c r="A752" s="237">
        <f t="shared" si="19"/>
        <v>5</v>
      </c>
      <c r="B752" s="239" t="s">
        <v>1469</v>
      </c>
      <c r="C752" s="236"/>
      <c r="D752" s="241" t="s">
        <v>1499</v>
      </c>
      <c r="E752" s="236"/>
      <c r="F752" s="1"/>
      <c r="AC752" s="6">
        <v>3</v>
      </c>
      <c r="AD752" s="480" t="s">
        <v>1523</v>
      </c>
      <c r="AE752" s="262" t="s">
        <v>966</v>
      </c>
      <c r="AF752" s="480" t="s">
        <v>1482</v>
      </c>
      <c r="AG752" s="6" t="str">
        <f>IF($D$749=AF752,$AC752,"")</f>
        <v/>
      </c>
      <c r="AH752" s="480" t="s">
        <v>1489</v>
      </c>
      <c r="AI752" s="6">
        <f>IF($D$750=AH752,$AC752,"")</f>
        <v>3</v>
      </c>
      <c r="AJ752" s="480" t="s">
        <v>1495</v>
      </c>
      <c r="AK752" s="6">
        <f>IF($D$751=AJ752,$AC752,"")</f>
        <v>3</v>
      </c>
      <c r="AL752" s="480" t="s">
        <v>1501</v>
      </c>
      <c r="AM752" s="6" t="str">
        <f>IF($D$752=AL752,$AC752,"")</f>
        <v/>
      </c>
      <c r="AN752" s="480" t="s">
        <v>1507</v>
      </c>
      <c r="AO752" s="6" t="str">
        <f>IF($D$753=AN752,$AC752,"")</f>
        <v/>
      </c>
      <c r="AP752" s="480" t="s">
        <v>1513</v>
      </c>
      <c r="AQ752" s="6" t="str">
        <f>IF($D$754=AP752,$AC752,"")</f>
        <v/>
      </c>
      <c r="AR752" s="480" t="s">
        <v>1518</v>
      </c>
      <c r="AS752" s="6" t="str">
        <f>IF($D$755=AR752,$AC752,"")</f>
        <v/>
      </c>
      <c r="AT752" s="262" t="s">
        <v>966</v>
      </c>
      <c r="AV752" s="6">
        <f t="shared" si="18"/>
        <v>1</v>
      </c>
      <c r="AX752" s="6">
        <f>AZ751</f>
        <v>0.60000000000000009</v>
      </c>
      <c r="AZ752" s="6">
        <f>AZ751+0.2</f>
        <v>0.8</v>
      </c>
      <c r="BD752" s="6" t="s">
        <v>1526</v>
      </c>
      <c r="BG752" s="6" t="s">
        <v>1534</v>
      </c>
    </row>
    <row r="753" spans="1:59" ht="15" customHeight="1" thickTop="1" thickBot="1" x14ac:dyDescent="0.3">
      <c r="A753" s="237">
        <f t="shared" si="19"/>
        <v>6</v>
      </c>
      <c r="B753" s="239" t="s">
        <v>1470</v>
      </c>
      <c r="C753" s="236"/>
      <c r="D753" s="241" t="s">
        <v>1508</v>
      </c>
      <c r="E753" s="236"/>
      <c r="F753" s="1"/>
      <c r="AC753" s="6">
        <v>4</v>
      </c>
      <c r="AD753" s="480" t="s">
        <v>1476</v>
      </c>
      <c r="AE753" s="262" t="s">
        <v>966</v>
      </c>
      <c r="AF753" s="480" t="s">
        <v>1483</v>
      </c>
      <c r="AG753" s="6" t="str">
        <f>IF($D$749=AF753,$AC753,"")</f>
        <v/>
      </c>
      <c r="AH753" s="480" t="s">
        <v>1490</v>
      </c>
      <c r="AI753" s="6" t="str">
        <f>IF($D$750=AH753,$AC753,"")</f>
        <v/>
      </c>
      <c r="AJ753" s="480" t="s">
        <v>1496</v>
      </c>
      <c r="AK753" s="6" t="str">
        <f>IF($D$751=AJ753,$AC753,"")</f>
        <v/>
      </c>
      <c r="AL753" s="480" t="s">
        <v>1502</v>
      </c>
      <c r="AM753" s="6" t="str">
        <f>IF($D$752=AL753,$AC753,"")</f>
        <v/>
      </c>
      <c r="AN753" s="480" t="s">
        <v>1508</v>
      </c>
      <c r="AO753" s="6">
        <f>IF($D$753=AN753,$AC753,"")</f>
        <v>4</v>
      </c>
      <c r="AP753" s="480" t="s">
        <v>1514</v>
      </c>
      <c r="AQ753" s="6" t="str">
        <f>IF($D$754=AP753,$AC753,"")</f>
        <v/>
      </c>
      <c r="AR753" s="480" t="s">
        <v>1519</v>
      </c>
      <c r="AS753" s="6" t="str">
        <f>IF($D$755=AR753,$AC753,"")</f>
        <v/>
      </c>
      <c r="AT753" s="262" t="s">
        <v>966</v>
      </c>
      <c r="AV753" s="6">
        <f t="shared" si="18"/>
        <v>1</v>
      </c>
      <c r="AX753" s="6">
        <f>AZ752</f>
        <v>0.8</v>
      </c>
      <c r="AZ753" s="6">
        <f>AZ752+0.2</f>
        <v>1</v>
      </c>
      <c r="BD753" s="6" t="s">
        <v>1529</v>
      </c>
      <c r="BG753" s="6" t="s">
        <v>1535</v>
      </c>
    </row>
    <row r="754" spans="1:59" ht="15" customHeight="1" thickTop="1" thickBot="1" x14ac:dyDescent="0.3">
      <c r="A754" s="237">
        <f t="shared" si="19"/>
        <v>7</v>
      </c>
      <c r="B754" s="239" t="s">
        <v>1471</v>
      </c>
      <c r="C754" s="236"/>
      <c r="D754" s="241" t="s">
        <v>1511</v>
      </c>
      <c r="E754" s="236"/>
      <c r="F754" s="1"/>
      <c r="AD754" s="480" t="s">
        <v>993</v>
      </c>
      <c r="AE754" s="262" t="s">
        <v>966</v>
      </c>
      <c r="AF754" s="480" t="s">
        <v>1484</v>
      </c>
      <c r="AG754" s="6">
        <f>SUM(AG749:AG753)</f>
        <v>2</v>
      </c>
      <c r="AI754" s="6">
        <f>SUM(AI749:AI753)</f>
        <v>3</v>
      </c>
      <c r="AK754" s="6">
        <f>SUM(AK749:AK753)</f>
        <v>3</v>
      </c>
      <c r="AM754" s="6">
        <f>SUM(AM749:AM753)</f>
        <v>1</v>
      </c>
      <c r="AO754" s="6">
        <f>SUM(AO749:AO753)</f>
        <v>4</v>
      </c>
      <c r="AQ754" s="6">
        <f>SUM(AQ749:AQ753)</f>
        <v>1</v>
      </c>
      <c r="AS754" s="6">
        <f>SUM(AS749:AS753)</f>
        <v>2</v>
      </c>
      <c r="AT754" s="262" t="s">
        <v>966</v>
      </c>
      <c r="AU754" s="60">
        <f>SUM(AG754:AS754)</f>
        <v>16</v>
      </c>
      <c r="AV754" s="6">
        <f>SUM(AV749:AV753)</f>
        <v>5</v>
      </c>
      <c r="BB754" s="6" t="str">
        <f>CONCATENATE(BB748,BD748,BF748,BG748,BH748)</f>
        <v>This claimant fully distrusts the legal-judicial process. Its harmful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v>
      </c>
    </row>
    <row r="755" spans="1:59" ht="15" customHeight="1" thickTop="1" thickBot="1" x14ac:dyDescent="0.3">
      <c r="A755" s="237">
        <f t="shared" si="19"/>
        <v>8</v>
      </c>
      <c r="B755" s="239" t="s">
        <v>1520</v>
      </c>
      <c r="C755" s="236"/>
      <c r="D755" s="241" t="s">
        <v>1538</v>
      </c>
      <c r="E755" s="236"/>
      <c r="F755" s="1"/>
      <c r="AU755" s="6">
        <v>24</v>
      </c>
      <c r="AV755" s="6">
        <f>AU754/AU755</f>
        <v>0.66666666666666663</v>
      </c>
      <c r="BB755" s="6" t="s">
        <v>1537</v>
      </c>
    </row>
    <row r="756" spans="1:59" ht="15" customHeight="1" thickTop="1" x14ac:dyDescent="0.25">
      <c r="A756" s="237"/>
      <c r="B756" s="236"/>
      <c r="C756" s="236"/>
      <c r="D756" s="236"/>
      <c r="E756" s="236"/>
      <c r="F756" s="1"/>
      <c r="BB756" s="6" t="str">
        <f>IF(AND(AV748&gt;0,AV754&gt;0),BB754,BB755)</f>
        <v>This claimant fully distrusts the legal-judicial process. Its harmful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v>
      </c>
    </row>
    <row r="757" spans="1:59" ht="15" customHeight="1" x14ac:dyDescent="0.25">
      <c r="A757" s="237"/>
      <c r="B757" s="583" t="str">
        <f>BB756</f>
        <v>This claimant fully distrusts the legal-judicial process. Its harmful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v>
      </c>
      <c r="C757" s="583"/>
      <c r="D757" s="583"/>
      <c r="E757" s="236"/>
      <c r="F757" s="1"/>
      <c r="BB757" s="6"/>
    </row>
    <row r="758" spans="1:59" ht="15" customHeight="1" x14ac:dyDescent="0.25">
      <c r="A758" s="237"/>
      <c r="B758" s="583"/>
      <c r="C758" s="583"/>
      <c r="D758" s="583"/>
      <c r="E758" s="236"/>
      <c r="F758" s="1"/>
      <c r="BB758" s="6"/>
    </row>
    <row r="759" spans="1:59" ht="15" customHeight="1" x14ac:dyDescent="0.25">
      <c r="A759" s="237"/>
      <c r="B759" s="583"/>
      <c r="C759" s="583"/>
      <c r="D759" s="583"/>
      <c r="E759" s="236"/>
      <c r="F759" s="1"/>
      <c r="BB759" s="6"/>
    </row>
    <row r="760" spans="1:59" ht="15" customHeight="1" x14ac:dyDescent="0.25">
      <c r="A760" s="237"/>
      <c r="B760" s="583"/>
      <c r="C760" s="583"/>
      <c r="D760" s="583"/>
      <c r="E760" s="236"/>
      <c r="F760" s="1"/>
      <c r="BB760" s="6"/>
    </row>
    <row r="761" spans="1:59" ht="10.050000000000001" customHeight="1" x14ac:dyDescent="0.25">
      <c r="A761" s="237"/>
      <c r="B761" s="236"/>
      <c r="C761" s="236"/>
      <c r="D761" s="236"/>
      <c r="E761" s="236"/>
      <c r="F761" s="1"/>
      <c r="BB761" s="6"/>
    </row>
    <row r="762" spans="1:59" ht="30" customHeight="1" x14ac:dyDescent="0.25">
      <c r="A762" s="46" t="s">
        <v>91</v>
      </c>
      <c r="B762" s="46" t="s">
        <v>1540</v>
      </c>
      <c r="C762" s="46"/>
      <c r="D762" s="45"/>
      <c r="E762" s="45"/>
      <c r="F762" s="475" t="s">
        <v>949</v>
      </c>
      <c r="BB762" s="6"/>
    </row>
    <row r="763" spans="1:59" ht="17.399999999999999" x14ac:dyDescent="0.25">
      <c r="A763" s="108"/>
      <c r="B763" s="109" t="s">
        <v>480</v>
      </c>
      <c r="C763" s="109"/>
      <c r="D763" s="109"/>
      <c r="E763" s="110"/>
      <c r="F763" s="108"/>
      <c r="BB763" s="6"/>
    </row>
    <row r="764" spans="1:59" x14ac:dyDescent="0.25">
      <c r="A764" s="242"/>
      <c r="B764" s="92"/>
      <c r="C764" s="92"/>
      <c r="D764" s="92"/>
      <c r="E764" s="92"/>
      <c r="F764" s="1"/>
      <c r="BB764" s="6"/>
    </row>
    <row r="765" spans="1:59" ht="160.05000000000001" customHeight="1" x14ac:dyDescent="0.25">
      <c r="A765" s="242"/>
      <c r="B765" s="243" t="s">
        <v>481</v>
      </c>
      <c r="C765" s="92"/>
      <c r="D765" s="92"/>
      <c r="E765" s="92"/>
      <c r="F765" s="1"/>
      <c r="BB765" s="6"/>
    </row>
    <row r="766" spans="1:59" x14ac:dyDescent="0.25">
      <c r="A766" s="242"/>
      <c r="B766" s="92"/>
      <c r="C766" s="92"/>
      <c r="D766" s="92"/>
      <c r="E766" s="92"/>
      <c r="F766" s="1"/>
      <c r="BB766" s="6"/>
    </row>
    <row r="767" spans="1:59" ht="15.6" x14ac:dyDescent="0.25">
      <c r="A767" s="244">
        <f>A746+1</f>
        <v>64</v>
      </c>
      <c r="B767" s="244" t="s">
        <v>482</v>
      </c>
      <c r="C767" s="244"/>
      <c r="D767" s="244"/>
      <c r="E767" s="92"/>
      <c r="F767" s="1"/>
      <c r="BB767" s="6"/>
    </row>
    <row r="768" spans="1:59" ht="15.6" x14ac:dyDescent="0.3">
      <c r="A768" s="242"/>
      <c r="B768" s="245" t="s">
        <v>483</v>
      </c>
      <c r="C768" s="246"/>
      <c r="D768" s="246"/>
      <c r="E768" s="92"/>
      <c r="F768" s="1"/>
      <c r="AC768" s="6">
        <v>0</v>
      </c>
      <c r="AD768" s="6">
        <v>1</v>
      </c>
      <c r="AE768" s="6">
        <v>2</v>
      </c>
      <c r="AG768" s="6">
        <v>1</v>
      </c>
      <c r="AH768" s="6">
        <v>2</v>
      </c>
      <c r="AI768" s="6">
        <v>3</v>
      </c>
      <c r="AK768" s="6" t="s">
        <v>484</v>
      </c>
      <c r="BB768" s="6"/>
    </row>
    <row r="769" spans="1:54" ht="4.95" customHeight="1" x14ac:dyDescent="0.25">
      <c r="A769" s="242"/>
      <c r="B769" s="92"/>
      <c r="C769" s="92"/>
      <c r="D769" s="92"/>
      <c r="E769" s="92"/>
      <c r="F769" s="1"/>
      <c r="BB769" s="6"/>
    </row>
    <row r="770" spans="1:54" x14ac:dyDescent="0.25">
      <c r="A770" s="242"/>
      <c r="B770" s="247" t="s">
        <v>485</v>
      </c>
      <c r="C770" s="248" t="s">
        <v>486</v>
      </c>
      <c r="D770" s="247" t="s">
        <v>487</v>
      </c>
      <c r="E770" s="92"/>
      <c r="F770" s="1"/>
      <c r="AC770" s="9" t="str">
        <f t="shared" ref="AC770:AC789" si="20">IF($B770=$B$1908,AC$768,"")</f>
        <v/>
      </c>
      <c r="AD770" s="11" t="str">
        <f t="shared" ref="AD770:AD789" si="21">IF($B770=$B$1909,AD$768,"")</f>
        <v/>
      </c>
      <c r="AE770" s="249">
        <f t="shared" ref="AE770:AE789" si="22">IF($B770=$B$1910,AE$768,"")</f>
        <v>2</v>
      </c>
      <c r="AF770" s="6">
        <f t="shared" ref="AF770:AF789" si="23">SUM(AC770:AE770)</f>
        <v>2</v>
      </c>
      <c r="AG770" s="250" t="str">
        <f t="shared" ref="AG770:AG789" si="24">IF($D770=$B$1912,AG$768,"")</f>
        <v/>
      </c>
      <c r="AH770" s="250" t="str">
        <f t="shared" ref="AH770:AH789" si="25">IF($D770=$B$1913,AH$768,"")</f>
        <v/>
      </c>
      <c r="AI770" s="250">
        <f t="shared" ref="AI770:AI789" si="26">IF($D770=$B$1914,AI$768,"")</f>
        <v>3</v>
      </c>
      <c r="AJ770" s="6">
        <f>SUM(AG770:AI770)</f>
        <v>3</v>
      </c>
      <c r="AL770" s="6">
        <f>IF(AF770=0,(AJ770-AJ770),AJ770)</f>
        <v>3</v>
      </c>
      <c r="AO770" s="6">
        <f>AF770+AL770</f>
        <v>5</v>
      </c>
      <c r="AS770" s="6">
        <v>0</v>
      </c>
      <c r="AT770" s="6">
        <v>20</v>
      </c>
      <c r="AV770" s="6" t="s">
        <v>488</v>
      </c>
      <c r="BB770" s="6"/>
    </row>
    <row r="771" spans="1:54" x14ac:dyDescent="0.25">
      <c r="A771" s="242"/>
      <c r="B771" s="247"/>
      <c r="C771" s="248" t="s">
        <v>489</v>
      </c>
      <c r="D771" s="247"/>
      <c r="E771" s="92"/>
      <c r="F771" s="1"/>
      <c r="AC771" s="9" t="str">
        <f t="shared" si="20"/>
        <v/>
      </c>
      <c r="AD771" s="11" t="str">
        <f t="shared" si="21"/>
        <v/>
      </c>
      <c r="AE771" s="249" t="str">
        <f t="shared" si="22"/>
        <v/>
      </c>
      <c r="AF771" s="6">
        <f t="shared" si="23"/>
        <v>0</v>
      </c>
      <c r="AG771" s="250" t="str">
        <f t="shared" si="24"/>
        <v/>
      </c>
      <c r="AH771" s="250" t="str">
        <f t="shared" si="25"/>
        <v/>
      </c>
      <c r="AI771" s="250" t="str">
        <f t="shared" si="26"/>
        <v/>
      </c>
      <c r="AJ771" s="6">
        <f>SUM(AG771:AI771)</f>
        <v>0</v>
      </c>
      <c r="AL771" s="6">
        <f>IF(AF771=0,(AJ771-AJ771),AJ771)</f>
        <v>0</v>
      </c>
      <c r="AO771" s="6">
        <f>AF771+AL771</f>
        <v>0</v>
      </c>
      <c r="AS771" s="6">
        <f>AT770+1</f>
        <v>21</v>
      </c>
      <c r="AT771" s="6">
        <f>AT770+AT$770</f>
        <v>40</v>
      </c>
      <c r="AV771" s="6" t="s">
        <v>490</v>
      </c>
      <c r="BB771" s="6"/>
    </row>
    <row r="772" spans="1:54" x14ac:dyDescent="0.25">
      <c r="A772" s="242"/>
      <c r="B772" s="247"/>
      <c r="C772" s="248" t="s">
        <v>491</v>
      </c>
      <c r="D772" s="247"/>
      <c r="E772" s="92"/>
      <c r="F772" s="1"/>
      <c r="AC772" s="9" t="str">
        <f t="shared" si="20"/>
        <v/>
      </c>
      <c r="AD772" s="11" t="str">
        <f t="shared" si="21"/>
        <v/>
      </c>
      <c r="AE772" s="249" t="str">
        <f t="shared" si="22"/>
        <v/>
      </c>
      <c r="AF772" s="6">
        <f t="shared" si="23"/>
        <v>0</v>
      </c>
      <c r="AG772" s="250" t="str">
        <f t="shared" si="24"/>
        <v/>
      </c>
      <c r="AH772" s="250" t="str">
        <f t="shared" si="25"/>
        <v/>
      </c>
      <c r="AI772" s="250" t="str">
        <f t="shared" si="26"/>
        <v/>
      </c>
      <c r="AJ772" s="6">
        <f>SUM(AG772:AI772)</f>
        <v>0</v>
      </c>
      <c r="AL772" s="6">
        <f>IF(AF772=0,(AJ772-AJ772),AJ772)</f>
        <v>0</v>
      </c>
      <c r="AO772" s="6">
        <f>AF772+AL772</f>
        <v>0</v>
      </c>
      <c r="AS772" s="6">
        <f t="shared" ref="AS772:AS779" si="27">AT771+1</f>
        <v>41</v>
      </c>
      <c r="AT772" s="6">
        <f>AT771+AT$770</f>
        <v>60</v>
      </c>
      <c r="AV772" s="6" t="s">
        <v>492</v>
      </c>
      <c r="BB772" s="6"/>
    </row>
    <row r="773" spans="1:54" x14ac:dyDescent="0.25">
      <c r="A773" s="242"/>
      <c r="B773" s="247" t="s">
        <v>485</v>
      </c>
      <c r="C773" s="248" t="s">
        <v>493</v>
      </c>
      <c r="D773" s="247" t="s">
        <v>494</v>
      </c>
      <c r="E773" s="92"/>
      <c r="F773" s="1"/>
      <c r="AC773" s="9" t="str">
        <f t="shared" si="20"/>
        <v/>
      </c>
      <c r="AD773" s="11" t="str">
        <f t="shared" si="21"/>
        <v/>
      </c>
      <c r="AE773" s="249">
        <f t="shared" si="22"/>
        <v>2</v>
      </c>
      <c r="AF773" s="6">
        <f t="shared" si="23"/>
        <v>2</v>
      </c>
      <c r="AG773" s="250" t="str">
        <f t="shared" si="24"/>
        <v/>
      </c>
      <c r="AH773" s="250">
        <f t="shared" si="25"/>
        <v>2</v>
      </c>
      <c r="AI773" s="250" t="str">
        <f t="shared" si="26"/>
        <v/>
      </c>
      <c r="AJ773" s="6">
        <f>SUM(AG773:AI773)</f>
        <v>2</v>
      </c>
      <c r="AL773" s="6">
        <f>IF(AF773=0,(AJ773-AJ773),AJ773)</f>
        <v>2</v>
      </c>
      <c r="AO773" s="6">
        <f>AF773+AL773</f>
        <v>4</v>
      </c>
      <c r="AS773" s="6">
        <f t="shared" si="27"/>
        <v>61</v>
      </c>
      <c r="AT773" s="6">
        <f>AT772+AT$770</f>
        <v>80</v>
      </c>
      <c r="AV773" s="6" t="s">
        <v>495</v>
      </c>
      <c r="BB773" s="6"/>
    </row>
    <row r="774" spans="1:54" x14ac:dyDescent="0.25">
      <c r="A774" s="242"/>
      <c r="B774" s="247"/>
      <c r="C774" s="248" t="s">
        <v>496</v>
      </c>
      <c r="D774" s="247"/>
      <c r="E774" s="92"/>
      <c r="F774" s="1"/>
      <c r="AC774" s="9" t="str">
        <f t="shared" si="20"/>
        <v/>
      </c>
      <c r="AD774" s="11" t="str">
        <f t="shared" si="21"/>
        <v/>
      </c>
      <c r="AE774" s="249" t="str">
        <f t="shared" si="22"/>
        <v/>
      </c>
      <c r="AF774" s="6">
        <f>SUM(AC774:AE774)</f>
        <v>0</v>
      </c>
      <c r="AG774" s="250" t="str">
        <f t="shared" si="24"/>
        <v/>
      </c>
      <c r="AH774" s="250" t="str">
        <f t="shared" si="25"/>
        <v/>
      </c>
      <c r="AI774" s="250" t="str">
        <f t="shared" si="26"/>
        <v/>
      </c>
      <c r="AJ774" s="6">
        <f>SUM(AG774:AI774)</f>
        <v>0</v>
      </c>
      <c r="AL774" s="6">
        <f>IF(AF774=0,(AJ774-AJ774),AJ774)</f>
        <v>0</v>
      </c>
      <c r="AO774" s="6">
        <f>AF774+AL774</f>
        <v>0</v>
      </c>
      <c r="AS774" s="6">
        <f t="shared" si="27"/>
        <v>81</v>
      </c>
      <c r="AT774" s="6">
        <f>AT773+AT$770+1</f>
        <v>101</v>
      </c>
      <c r="AV774" s="6" t="s">
        <v>497</v>
      </c>
      <c r="BB774" s="6"/>
    </row>
    <row r="775" spans="1:54" x14ac:dyDescent="0.25">
      <c r="A775" s="242"/>
      <c r="B775" s="247"/>
      <c r="C775" s="248" t="s">
        <v>498</v>
      </c>
      <c r="D775" s="247"/>
      <c r="E775" s="92"/>
      <c r="F775" s="1"/>
      <c r="AC775" s="9" t="str">
        <f t="shared" si="20"/>
        <v/>
      </c>
      <c r="AD775" s="11" t="str">
        <f t="shared" si="21"/>
        <v/>
      </c>
      <c r="AE775" s="249" t="str">
        <f t="shared" si="22"/>
        <v/>
      </c>
      <c r="AF775" s="6">
        <f t="shared" si="23"/>
        <v>0</v>
      </c>
      <c r="AG775" s="250" t="str">
        <f t="shared" si="24"/>
        <v/>
      </c>
      <c r="AH775" s="250" t="str">
        <f t="shared" si="25"/>
        <v/>
      </c>
      <c r="AI775" s="250" t="str">
        <f t="shared" si="26"/>
        <v/>
      </c>
      <c r="AJ775" s="6">
        <f t="shared" ref="AJ775:AJ789" si="28">SUM(AG775:AI775)</f>
        <v>0</v>
      </c>
      <c r="AL775" s="6">
        <f t="shared" ref="AL775:AL789" si="29">IF(AF775=0,(AJ775-AJ775),AJ775)</f>
        <v>0</v>
      </c>
      <c r="AO775" s="6">
        <f t="shared" ref="AO775:AO789" si="30">AF775+AL775</f>
        <v>0</v>
      </c>
      <c r="AS775" s="6">
        <f t="shared" si="27"/>
        <v>102</v>
      </c>
      <c r="AT775" s="6">
        <f>AT774+AT$770</f>
        <v>121</v>
      </c>
      <c r="BB775" s="6"/>
    </row>
    <row r="776" spans="1:54" x14ac:dyDescent="0.25">
      <c r="A776" s="242"/>
      <c r="B776" s="247"/>
      <c r="C776" s="248" t="s">
        <v>499</v>
      </c>
      <c r="D776" s="247"/>
      <c r="E776" s="92"/>
      <c r="F776" s="1"/>
      <c r="AC776" s="9" t="str">
        <f t="shared" si="20"/>
        <v/>
      </c>
      <c r="AD776" s="11" t="str">
        <f t="shared" si="21"/>
        <v/>
      </c>
      <c r="AE776" s="249" t="str">
        <f t="shared" si="22"/>
        <v/>
      </c>
      <c r="AF776" s="6">
        <f t="shared" si="23"/>
        <v>0</v>
      </c>
      <c r="AG776" s="250" t="str">
        <f t="shared" si="24"/>
        <v/>
      </c>
      <c r="AH776" s="250" t="str">
        <f t="shared" si="25"/>
        <v/>
      </c>
      <c r="AI776" s="250" t="str">
        <f t="shared" si="26"/>
        <v/>
      </c>
      <c r="AJ776" s="6">
        <f t="shared" si="28"/>
        <v>0</v>
      </c>
      <c r="AL776" s="6">
        <f t="shared" si="29"/>
        <v>0</v>
      </c>
      <c r="AO776" s="6">
        <f t="shared" si="30"/>
        <v>0</v>
      </c>
      <c r="AS776" s="6">
        <f t="shared" si="27"/>
        <v>122</v>
      </c>
      <c r="AT776" s="6">
        <f>AT775+AT$770</f>
        <v>141</v>
      </c>
      <c r="BB776" s="6"/>
    </row>
    <row r="777" spans="1:54" x14ac:dyDescent="0.25">
      <c r="A777" s="242"/>
      <c r="B777" s="247" t="s">
        <v>485</v>
      </c>
      <c r="C777" s="248" t="s">
        <v>500</v>
      </c>
      <c r="D777" s="247" t="s">
        <v>494</v>
      </c>
      <c r="E777" s="92"/>
      <c r="F777" s="1"/>
      <c r="AC777" s="9" t="str">
        <f t="shared" si="20"/>
        <v/>
      </c>
      <c r="AD777" s="11" t="str">
        <f t="shared" si="21"/>
        <v/>
      </c>
      <c r="AE777" s="249">
        <f t="shared" si="22"/>
        <v>2</v>
      </c>
      <c r="AF777" s="6">
        <f t="shared" si="23"/>
        <v>2</v>
      </c>
      <c r="AG777" s="250" t="str">
        <f t="shared" si="24"/>
        <v/>
      </c>
      <c r="AH777" s="250">
        <f t="shared" si="25"/>
        <v>2</v>
      </c>
      <c r="AI777" s="250" t="str">
        <f t="shared" si="26"/>
        <v/>
      </c>
      <c r="AJ777" s="6">
        <f t="shared" si="28"/>
        <v>2</v>
      </c>
      <c r="AL777" s="6">
        <f t="shared" si="29"/>
        <v>2</v>
      </c>
      <c r="AO777" s="6">
        <f t="shared" si="30"/>
        <v>4</v>
      </c>
      <c r="AS777" s="6">
        <f t="shared" si="27"/>
        <v>142</v>
      </c>
      <c r="AT777" s="6">
        <f>AT776+AT$770</f>
        <v>161</v>
      </c>
      <c r="BB777" s="6"/>
    </row>
    <row r="778" spans="1:54" x14ac:dyDescent="0.25">
      <c r="A778" s="242"/>
      <c r="B778" s="247"/>
      <c r="C778" s="248" t="s">
        <v>501</v>
      </c>
      <c r="D778" s="247"/>
      <c r="E778" s="92"/>
      <c r="F778" s="1"/>
      <c r="AC778" s="9" t="str">
        <f t="shared" si="20"/>
        <v/>
      </c>
      <c r="AD778" s="11" t="str">
        <f t="shared" si="21"/>
        <v/>
      </c>
      <c r="AE778" s="249" t="str">
        <f t="shared" si="22"/>
        <v/>
      </c>
      <c r="AF778" s="6">
        <f t="shared" si="23"/>
        <v>0</v>
      </c>
      <c r="AG778" s="250" t="str">
        <f t="shared" si="24"/>
        <v/>
      </c>
      <c r="AH778" s="250" t="str">
        <f t="shared" si="25"/>
        <v/>
      </c>
      <c r="AI778" s="250" t="str">
        <f t="shared" si="26"/>
        <v/>
      </c>
      <c r="AJ778" s="6">
        <f t="shared" si="28"/>
        <v>0</v>
      </c>
      <c r="AL778" s="6">
        <f t="shared" si="29"/>
        <v>0</v>
      </c>
      <c r="AO778" s="6">
        <f t="shared" si="30"/>
        <v>0</v>
      </c>
      <c r="AS778" s="6">
        <f t="shared" si="27"/>
        <v>162</v>
      </c>
      <c r="AT778" s="6">
        <f>AT777+AT$770</f>
        <v>181</v>
      </c>
      <c r="BB778" s="6"/>
    </row>
    <row r="779" spans="1:54" x14ac:dyDescent="0.25">
      <c r="A779" s="242"/>
      <c r="B779" s="247"/>
      <c r="C779" s="248" t="s">
        <v>502</v>
      </c>
      <c r="D779" s="247"/>
      <c r="E779" s="92"/>
      <c r="F779" s="1"/>
      <c r="AC779" s="9" t="str">
        <f t="shared" si="20"/>
        <v/>
      </c>
      <c r="AD779" s="11" t="str">
        <f t="shared" si="21"/>
        <v/>
      </c>
      <c r="AE779" s="249" t="str">
        <f t="shared" si="22"/>
        <v/>
      </c>
      <c r="AF779" s="6">
        <f t="shared" si="23"/>
        <v>0</v>
      </c>
      <c r="AG779" s="250" t="str">
        <f t="shared" si="24"/>
        <v/>
      </c>
      <c r="AH779" s="250" t="str">
        <f t="shared" si="25"/>
        <v/>
      </c>
      <c r="AI779" s="250" t="str">
        <f t="shared" si="26"/>
        <v/>
      </c>
      <c r="AJ779" s="6">
        <f t="shared" si="28"/>
        <v>0</v>
      </c>
      <c r="AL779" s="6">
        <f t="shared" si="29"/>
        <v>0</v>
      </c>
      <c r="AO779" s="6">
        <f t="shared" si="30"/>
        <v>0</v>
      </c>
      <c r="AS779" s="6">
        <f t="shared" si="27"/>
        <v>182</v>
      </c>
      <c r="AT779" s="6">
        <f>AT778+AT$770</f>
        <v>201</v>
      </c>
      <c r="BB779" s="6"/>
    </row>
    <row r="780" spans="1:54" x14ac:dyDescent="0.25">
      <c r="A780" s="242"/>
      <c r="B780" s="247" t="s">
        <v>503</v>
      </c>
      <c r="C780" s="248" t="s">
        <v>504</v>
      </c>
      <c r="D780" s="247" t="s">
        <v>487</v>
      </c>
      <c r="E780" s="92"/>
      <c r="F780" s="1"/>
      <c r="AC780" s="9" t="str">
        <f t="shared" si="20"/>
        <v/>
      </c>
      <c r="AD780" s="11">
        <f t="shared" si="21"/>
        <v>1</v>
      </c>
      <c r="AE780" s="249" t="str">
        <f t="shared" si="22"/>
        <v/>
      </c>
      <c r="AF780" s="6">
        <f t="shared" si="23"/>
        <v>1</v>
      </c>
      <c r="AG780" s="250" t="str">
        <f t="shared" si="24"/>
        <v/>
      </c>
      <c r="AH780" s="250" t="str">
        <f t="shared" si="25"/>
        <v/>
      </c>
      <c r="AI780" s="250">
        <f t="shared" si="26"/>
        <v>3</v>
      </c>
      <c r="AJ780" s="6">
        <f t="shared" si="28"/>
        <v>3</v>
      </c>
      <c r="AL780" s="6">
        <f t="shared" si="29"/>
        <v>3</v>
      </c>
      <c r="AO780" s="6">
        <f t="shared" si="30"/>
        <v>4</v>
      </c>
      <c r="BB780" s="6"/>
    </row>
    <row r="781" spans="1:54" ht="14.4" x14ac:dyDescent="0.3">
      <c r="A781" s="242"/>
      <c r="B781" s="247" t="s">
        <v>503</v>
      </c>
      <c r="C781" s="248" t="s">
        <v>505</v>
      </c>
      <c r="D781" s="247" t="s">
        <v>506</v>
      </c>
      <c r="E781" s="92"/>
      <c r="F781" s="1"/>
      <c r="AC781" s="9" t="str">
        <f t="shared" si="20"/>
        <v/>
      </c>
      <c r="AD781" s="11">
        <f t="shared" si="21"/>
        <v>1</v>
      </c>
      <c r="AE781" s="249" t="str">
        <f t="shared" si="22"/>
        <v/>
      </c>
      <c r="AF781" s="6">
        <f t="shared" si="23"/>
        <v>1</v>
      </c>
      <c r="AG781" s="250">
        <f t="shared" si="24"/>
        <v>1</v>
      </c>
      <c r="AH781" s="250" t="str">
        <f t="shared" si="25"/>
        <v/>
      </c>
      <c r="AI781" s="250" t="str">
        <f t="shared" si="26"/>
        <v/>
      </c>
      <c r="AJ781" s="6">
        <f t="shared" si="28"/>
        <v>1</v>
      </c>
      <c r="AL781" s="6">
        <f t="shared" si="29"/>
        <v>1</v>
      </c>
      <c r="AO781" s="6">
        <f t="shared" si="30"/>
        <v>2</v>
      </c>
      <c r="AR781" s="251" t="s">
        <v>507</v>
      </c>
      <c r="AS781" s="6" t="str">
        <f>IF(AQ257=0,AS783,"")</f>
        <v xml:space="preserve">The fact of not being rearrested should say something loud and clear. </v>
      </c>
      <c r="BB781" s="6"/>
    </row>
    <row r="782" spans="1:54" x14ac:dyDescent="0.25">
      <c r="A782" s="242"/>
      <c r="B782" s="247" t="s">
        <v>485</v>
      </c>
      <c r="C782" s="248" t="s">
        <v>508</v>
      </c>
      <c r="D782" s="247" t="s">
        <v>494</v>
      </c>
      <c r="E782" s="92"/>
      <c r="F782" s="1"/>
      <c r="AC782" s="9" t="str">
        <f t="shared" si="20"/>
        <v/>
      </c>
      <c r="AD782" s="11" t="str">
        <f t="shared" si="21"/>
        <v/>
      </c>
      <c r="AE782" s="249">
        <f t="shared" si="22"/>
        <v>2</v>
      </c>
      <c r="AF782" s="6">
        <f t="shared" si="23"/>
        <v>2</v>
      </c>
      <c r="AG782" s="250" t="str">
        <f t="shared" si="24"/>
        <v/>
      </c>
      <c r="AH782" s="250">
        <f t="shared" si="25"/>
        <v>2</v>
      </c>
      <c r="AI782" s="250" t="str">
        <f t="shared" si="26"/>
        <v/>
      </c>
      <c r="AJ782" s="6">
        <f t="shared" si="28"/>
        <v>2</v>
      </c>
      <c r="AL782" s="6">
        <f t="shared" si="29"/>
        <v>2</v>
      </c>
      <c r="AO782" s="6">
        <f t="shared" si="30"/>
        <v>4</v>
      </c>
      <c r="BB782" s="6"/>
    </row>
    <row r="783" spans="1:54" x14ac:dyDescent="0.25">
      <c r="A783" s="242"/>
      <c r="B783" s="247"/>
      <c r="C783" s="248" t="s">
        <v>509</v>
      </c>
      <c r="D783" s="247"/>
      <c r="E783" s="92"/>
      <c r="F783" s="1"/>
      <c r="AC783" s="9" t="str">
        <f t="shared" si="20"/>
        <v/>
      </c>
      <c r="AD783" s="11" t="str">
        <f t="shared" si="21"/>
        <v/>
      </c>
      <c r="AE783" s="249" t="str">
        <f t="shared" si="22"/>
        <v/>
      </c>
      <c r="AF783" s="6">
        <f t="shared" si="23"/>
        <v>0</v>
      </c>
      <c r="AG783" s="250" t="str">
        <f t="shared" si="24"/>
        <v/>
      </c>
      <c r="AH783" s="250" t="str">
        <f t="shared" si="25"/>
        <v/>
      </c>
      <c r="AI783" s="250" t="str">
        <f t="shared" si="26"/>
        <v/>
      </c>
      <c r="AJ783" s="6">
        <f t="shared" si="28"/>
        <v>0</v>
      </c>
      <c r="AL783" s="6">
        <f t="shared" si="29"/>
        <v>0</v>
      </c>
      <c r="AO783" s="6">
        <f t="shared" si="30"/>
        <v>0</v>
      </c>
      <c r="AS783" s="6" t="s">
        <v>510</v>
      </c>
      <c r="BB783" s="6"/>
    </row>
    <row r="784" spans="1:54" x14ac:dyDescent="0.25">
      <c r="A784" s="242"/>
      <c r="B784" s="247"/>
      <c r="C784" s="248" t="s">
        <v>511</v>
      </c>
      <c r="D784" s="247"/>
      <c r="E784" s="92"/>
      <c r="F784" s="1"/>
      <c r="AC784" s="9" t="str">
        <f t="shared" si="20"/>
        <v/>
      </c>
      <c r="AD784" s="11" t="str">
        <f t="shared" si="21"/>
        <v/>
      </c>
      <c r="AE784" s="249" t="str">
        <f t="shared" si="22"/>
        <v/>
      </c>
      <c r="AF784" s="6">
        <f t="shared" si="23"/>
        <v>0</v>
      </c>
      <c r="AG784" s="250" t="str">
        <f t="shared" si="24"/>
        <v/>
      </c>
      <c r="AH784" s="250" t="str">
        <f t="shared" si="25"/>
        <v/>
      </c>
      <c r="AI784" s="250" t="str">
        <f t="shared" si="26"/>
        <v/>
      </c>
      <c r="AJ784" s="6">
        <f t="shared" si="28"/>
        <v>0</v>
      </c>
      <c r="AL784" s="6">
        <f t="shared" si="29"/>
        <v>0</v>
      </c>
      <c r="AO784" s="6">
        <f t="shared" si="30"/>
        <v>0</v>
      </c>
      <c r="BB784" s="6"/>
    </row>
    <row r="785" spans="1:64" x14ac:dyDescent="0.25">
      <c r="A785" s="242"/>
      <c r="B785" s="247" t="s">
        <v>512</v>
      </c>
      <c r="C785" s="248" t="s">
        <v>513</v>
      </c>
      <c r="D785" s="247"/>
      <c r="E785" s="92"/>
      <c r="F785" s="1"/>
      <c r="AC785" s="9">
        <f t="shared" si="20"/>
        <v>0</v>
      </c>
      <c r="AD785" s="11" t="str">
        <f t="shared" si="21"/>
        <v/>
      </c>
      <c r="AE785" s="249" t="str">
        <f t="shared" si="22"/>
        <v/>
      </c>
      <c r="AF785" s="6">
        <f t="shared" si="23"/>
        <v>0</v>
      </c>
      <c r="AG785" s="250" t="str">
        <f t="shared" si="24"/>
        <v/>
      </c>
      <c r="AH785" s="250" t="str">
        <f t="shared" si="25"/>
        <v/>
      </c>
      <c r="AI785" s="250" t="str">
        <f t="shared" si="26"/>
        <v/>
      </c>
      <c r="AJ785" s="6">
        <f t="shared" si="28"/>
        <v>0</v>
      </c>
      <c r="AL785" s="6">
        <f t="shared" si="29"/>
        <v>0</v>
      </c>
      <c r="AO785" s="6">
        <f t="shared" si="30"/>
        <v>0</v>
      </c>
      <c r="AS785" s="6" t="str">
        <f>IF(AK827=0,"This claimant",AK827)</f>
        <v>this claimant</v>
      </c>
      <c r="AV785" s="6" t="s">
        <v>514</v>
      </c>
      <c r="BB785" s="6"/>
    </row>
    <row r="786" spans="1:64" x14ac:dyDescent="0.25">
      <c r="A786" s="242"/>
      <c r="B786" s="247" t="s">
        <v>485</v>
      </c>
      <c r="C786" s="248" t="s">
        <v>515</v>
      </c>
      <c r="D786" s="247" t="s">
        <v>487</v>
      </c>
      <c r="E786" s="92"/>
      <c r="F786" s="1"/>
      <c r="AC786" s="9" t="str">
        <f t="shared" si="20"/>
        <v/>
      </c>
      <c r="AD786" s="11" t="str">
        <f t="shared" si="21"/>
        <v/>
      </c>
      <c r="AE786" s="249">
        <f t="shared" si="22"/>
        <v>2</v>
      </c>
      <c r="AF786" s="6">
        <f t="shared" si="23"/>
        <v>2</v>
      </c>
      <c r="AG786" s="250" t="str">
        <f t="shared" si="24"/>
        <v/>
      </c>
      <c r="AH786" s="250" t="str">
        <f t="shared" si="25"/>
        <v/>
      </c>
      <c r="AI786" s="250">
        <f t="shared" si="26"/>
        <v>3</v>
      </c>
      <c r="AJ786" s="6">
        <f t="shared" si="28"/>
        <v>3</v>
      </c>
      <c r="AL786" s="6">
        <f t="shared" si="29"/>
        <v>3</v>
      </c>
      <c r="AO786" s="6">
        <f t="shared" si="30"/>
        <v>5</v>
      </c>
      <c r="BB786" s="6"/>
    </row>
    <row r="787" spans="1:64" x14ac:dyDescent="0.25">
      <c r="A787" s="242"/>
      <c r="B787" s="247" t="s">
        <v>485</v>
      </c>
      <c r="C787" s="248" t="s">
        <v>516</v>
      </c>
      <c r="D787" s="247" t="s">
        <v>487</v>
      </c>
      <c r="E787" s="92"/>
      <c r="F787" s="1"/>
      <c r="AC787" s="9" t="str">
        <f t="shared" si="20"/>
        <v/>
      </c>
      <c r="AD787" s="11" t="str">
        <f t="shared" si="21"/>
        <v/>
      </c>
      <c r="AE787" s="249">
        <f t="shared" si="22"/>
        <v>2</v>
      </c>
      <c r="AF787" s="6">
        <f t="shared" si="23"/>
        <v>2</v>
      </c>
      <c r="AG787" s="250" t="str">
        <f t="shared" si="24"/>
        <v/>
      </c>
      <c r="AH787" s="250" t="str">
        <f t="shared" si="25"/>
        <v/>
      </c>
      <c r="AI787" s="250">
        <f t="shared" si="26"/>
        <v>3</v>
      </c>
      <c r="AJ787" s="6">
        <f t="shared" si="28"/>
        <v>3</v>
      </c>
      <c r="AL787" s="6">
        <f t="shared" si="29"/>
        <v>3</v>
      </c>
      <c r="AO787" s="6">
        <f t="shared" si="30"/>
        <v>5</v>
      </c>
      <c r="AS787" s="60" t="str">
        <f>IF(AO790=0,"",CONCATENATE(AS785,AV785,AS790,"."))</f>
        <v>this claimant reports enduring so many of these consequences to the point of being cut off from opportunities to live independently.</v>
      </c>
      <c r="BB787" s="6"/>
    </row>
    <row r="788" spans="1:64" x14ac:dyDescent="0.25">
      <c r="A788" s="242"/>
      <c r="B788" s="247" t="s">
        <v>485</v>
      </c>
      <c r="C788" s="248" t="s">
        <v>517</v>
      </c>
      <c r="D788" s="247" t="s">
        <v>494</v>
      </c>
      <c r="E788" s="92"/>
      <c r="F788" s="1"/>
      <c r="AC788" s="9" t="str">
        <f t="shared" si="20"/>
        <v/>
      </c>
      <c r="AD788" s="11" t="str">
        <f t="shared" si="21"/>
        <v/>
      </c>
      <c r="AE788" s="249">
        <f t="shared" si="22"/>
        <v>2</v>
      </c>
      <c r="AF788" s="6">
        <f t="shared" si="23"/>
        <v>2</v>
      </c>
      <c r="AG788" s="250" t="str">
        <f t="shared" si="24"/>
        <v/>
      </c>
      <c r="AH788" s="250">
        <f t="shared" si="25"/>
        <v>2</v>
      </c>
      <c r="AI788" s="250" t="str">
        <f t="shared" si="26"/>
        <v/>
      </c>
      <c r="AJ788" s="6">
        <f t="shared" si="28"/>
        <v>2</v>
      </c>
      <c r="AL788" s="6">
        <f t="shared" si="29"/>
        <v>2</v>
      </c>
      <c r="AO788" s="6">
        <f t="shared" si="30"/>
        <v>4</v>
      </c>
      <c r="AS788" s="6" t="s">
        <v>518</v>
      </c>
      <c r="BB788" s="6"/>
    </row>
    <row r="789" spans="1:64" x14ac:dyDescent="0.25">
      <c r="A789" s="242"/>
      <c r="B789" s="247"/>
      <c r="C789" s="248" t="s">
        <v>519</v>
      </c>
      <c r="D789" s="247"/>
      <c r="E789" s="92"/>
      <c r="F789" s="1"/>
      <c r="AC789" s="9" t="str">
        <f t="shared" si="20"/>
        <v/>
      </c>
      <c r="AD789" s="11" t="str">
        <f t="shared" si="21"/>
        <v/>
      </c>
      <c r="AE789" s="249" t="str">
        <f t="shared" si="22"/>
        <v/>
      </c>
      <c r="AF789" s="6">
        <f t="shared" si="23"/>
        <v>0</v>
      </c>
      <c r="AG789" s="250" t="str">
        <f t="shared" si="24"/>
        <v/>
      </c>
      <c r="AH789" s="250" t="str">
        <f t="shared" si="25"/>
        <v/>
      </c>
      <c r="AI789" s="250" t="str">
        <f t="shared" si="26"/>
        <v/>
      </c>
      <c r="AJ789" s="6">
        <f t="shared" si="28"/>
        <v>0</v>
      </c>
      <c r="AL789" s="6">
        <f t="shared" si="29"/>
        <v>0</v>
      </c>
      <c r="AO789" s="6">
        <f t="shared" si="30"/>
        <v>0</v>
      </c>
      <c r="BB789" s="6"/>
    </row>
    <row r="790" spans="1:64" ht="15.6" x14ac:dyDescent="0.3">
      <c r="A790" s="242"/>
      <c r="B790" s="92"/>
      <c r="C790" s="92"/>
      <c r="D790" s="92"/>
      <c r="E790" s="92"/>
      <c r="F790" s="1"/>
      <c r="AO790" s="252">
        <f>SUM(AO770:AO789)</f>
        <v>37</v>
      </c>
      <c r="AS790" s="253" t="str">
        <f>(IF(AND(AO790&gt;AS770,AO790&lt;AT770),AV770,IF(AND(AO790&gt;AS771,AO790&lt;AT771),AV771,IF(AND(AO790&gt;AS772,AO790&lt;AT772),AV772,IF(AND(AO790&gt;AS773,AO790&lt;AT773),AV773,IF(AND(AO790&gt;AS774,AO790&lt;AT774),AV774,""))))))</f>
        <v>cut off from opportunities to live independently</v>
      </c>
      <c r="AT790" s="253"/>
      <c r="AU790" s="253"/>
      <c r="AV790" s="253"/>
      <c r="AW790" s="253"/>
      <c r="AX790" s="253"/>
      <c r="AY790" s="253"/>
      <c r="AZ790" s="253"/>
      <c r="BA790" s="253"/>
      <c r="BB790" s="253"/>
      <c r="BC790" s="253"/>
    </row>
    <row r="791" spans="1:64" ht="19.95" customHeight="1" x14ac:dyDescent="0.25">
      <c r="A791" s="242"/>
      <c r="B791" s="254" t="s">
        <v>520</v>
      </c>
      <c r="C791" s="246"/>
      <c r="D791" s="246"/>
      <c r="E791" s="92"/>
      <c r="F791" s="1"/>
      <c r="BB791" s="6"/>
    </row>
    <row r="792" spans="1:64" ht="75" customHeight="1" x14ac:dyDescent="0.25">
      <c r="A792" s="242"/>
      <c r="B792" s="584"/>
      <c r="C792" s="584"/>
      <c r="D792" s="584"/>
      <c r="E792" s="92"/>
      <c r="F792" s="1"/>
      <c r="AC792" s="585" t="str">
        <f>CONCATENATE(AK768,AS787,AS788)</f>
        <v>Collateral consequences create second-class citizens, often without measurable outcomes to test if meeting their intended purpose. Consequently, they can have the opposite effect, like enabling recidivism--even among the wrongly convicted. this claimant reports enduring so many of these consequences to the point of being cut off from opportunities to live independently. You can help change this.</v>
      </c>
      <c r="AD792" s="586"/>
      <c r="AE792" s="586"/>
      <c r="AF792" s="586"/>
      <c r="AG792" s="586"/>
      <c r="AH792" s="586"/>
      <c r="AI792" s="586"/>
      <c r="AJ792" s="586"/>
      <c r="AK792" s="586"/>
      <c r="AL792" s="586"/>
      <c r="AM792" s="586"/>
      <c r="AN792" s="586"/>
      <c r="AO792" s="586"/>
      <c r="AP792" s="586"/>
      <c r="AQ792" s="586"/>
      <c r="AR792" s="586"/>
      <c r="AS792" s="586"/>
      <c r="AT792" s="586"/>
      <c r="AU792" s="586"/>
      <c r="AV792" s="586"/>
      <c r="AW792" s="586"/>
      <c r="AX792" s="586"/>
      <c r="AY792" s="586"/>
      <c r="AZ792" s="586"/>
      <c r="BA792" s="586"/>
      <c r="BB792" s="586"/>
      <c r="BC792" s="586"/>
      <c r="BD792" s="587"/>
    </row>
    <row r="793" spans="1:64" x14ac:dyDescent="0.25">
      <c r="A793" s="242"/>
      <c r="B793" s="92"/>
      <c r="C793" s="92"/>
      <c r="D793" s="92"/>
      <c r="E793" s="92"/>
      <c r="F793" s="1"/>
      <c r="BB793" s="6"/>
    </row>
    <row r="794" spans="1:64" ht="15.6" x14ac:dyDescent="0.25">
      <c r="A794" s="244">
        <f>A767+1</f>
        <v>65</v>
      </c>
      <c r="B794" s="244" t="s">
        <v>521</v>
      </c>
      <c r="C794" s="244"/>
      <c r="D794" s="244"/>
      <c r="E794" s="92"/>
      <c r="F794" s="1"/>
      <c r="AC794" s="6">
        <v>0</v>
      </c>
      <c r="AD794" s="6">
        <f>AC794+1</f>
        <v>1</v>
      </c>
      <c r="AE794" s="6">
        <f>AD794+1</f>
        <v>2</v>
      </c>
      <c r="AF794" s="6">
        <f>AE794+1</f>
        <v>3</v>
      </c>
      <c r="AI794" s="6">
        <v>10</v>
      </c>
      <c r="AJ794" s="6">
        <f>AI794-1</f>
        <v>9</v>
      </c>
      <c r="AK794" s="6">
        <f t="shared" ref="AK794:AP794" si="31">AJ794-1</f>
        <v>8</v>
      </c>
      <c r="AL794" s="6">
        <f t="shared" si="31"/>
        <v>7</v>
      </c>
      <c r="AM794" s="6">
        <f t="shared" si="31"/>
        <v>6</v>
      </c>
      <c r="AN794" s="6">
        <f t="shared" si="31"/>
        <v>5</v>
      </c>
      <c r="AO794" s="6">
        <f t="shared" si="31"/>
        <v>4</v>
      </c>
      <c r="AP794" s="6">
        <f t="shared" si="31"/>
        <v>3</v>
      </c>
      <c r="BB794" s="6"/>
    </row>
    <row r="795" spans="1:64" ht="15.6" x14ac:dyDescent="0.3">
      <c r="A795" s="242"/>
      <c r="B795" s="245" t="s">
        <v>522</v>
      </c>
      <c r="C795" s="246"/>
      <c r="D795" s="246"/>
      <c r="E795" s="92"/>
      <c r="F795" s="1"/>
      <c r="AC795" s="6" t="str">
        <f>C1995</f>
        <v>not applicable</v>
      </c>
      <c r="AD795" s="6" t="str">
        <f>C1996</f>
        <v>temporary</v>
      </c>
      <c r="AE795" s="6" t="str">
        <f>C1997</f>
        <v>lasting</v>
      </c>
      <c r="AF795" s="6" t="str">
        <f>C1998</f>
        <v>permanent</v>
      </c>
      <c r="AI795" s="6" t="str">
        <f>C2002</f>
        <v>impacting everyone I know</v>
      </c>
      <c r="AJ795" s="6" t="str">
        <f>C2003</f>
        <v>impacting close friend(s)</v>
      </c>
      <c r="AK795" s="6" t="str">
        <f>C2004</f>
        <v>impacting close friends &amp; family</v>
      </c>
      <c r="AL795" s="6" t="str">
        <f>C2005</f>
        <v>impacting only family members</v>
      </c>
      <c r="AM795" s="6" t="str">
        <f>C2006</f>
        <v>impacting only my (then) partner</v>
      </c>
      <c r="AN795" s="6" t="str">
        <f>C2007</f>
        <v>impacting (then) partner &amp; kids</v>
      </c>
      <c r="AO795" s="6" t="str">
        <f>C2008</f>
        <v>impactig only my child(ren)</v>
      </c>
      <c r="AP795" s="6" t="str">
        <f>C2009</f>
        <v>impactig only my grandchild(ren)</v>
      </c>
      <c r="AX795" s="6">
        <v>360</v>
      </c>
      <c r="BI795" s="255">
        <f>SUM(AS797:AS808)</f>
        <v>106</v>
      </c>
      <c r="BJ795" s="256">
        <f>BI795/AX795</f>
        <v>0.29444444444444445</v>
      </c>
    </row>
    <row r="796" spans="1:64" ht="4.95" customHeight="1" x14ac:dyDescent="0.25">
      <c r="A796" s="242"/>
      <c r="B796" s="242"/>
      <c r="C796" s="242"/>
      <c r="D796" s="242"/>
      <c r="E796" s="92"/>
      <c r="F796" s="1"/>
    </row>
    <row r="797" spans="1:64" x14ac:dyDescent="0.25">
      <c r="A797" s="242"/>
      <c r="B797" s="247"/>
      <c r="C797" s="248" t="s">
        <v>523</v>
      </c>
      <c r="D797" s="257"/>
      <c r="E797" s="92"/>
      <c r="F797" s="1"/>
      <c r="AC797" s="9">
        <f>IF($B797=AC$795,AC$794,0)</f>
        <v>0</v>
      </c>
      <c r="AD797" s="11">
        <f t="shared" ref="AD797:AF808" si="32">IF($B797=AD$795,AD$794,0)</f>
        <v>0</v>
      </c>
      <c r="AE797" s="249">
        <f t="shared" si="32"/>
        <v>0</v>
      </c>
      <c r="AF797" s="258">
        <f t="shared" si="32"/>
        <v>0</v>
      </c>
      <c r="AG797" s="259">
        <f>MAX(AC797:AF797)</f>
        <v>0</v>
      </c>
      <c r="AH797" s="6">
        <f>AG797</f>
        <v>0</v>
      </c>
      <c r="AI797" s="250">
        <f>IF($D797=AI$795,AI$794,0)</f>
        <v>0</v>
      </c>
      <c r="AJ797" s="250">
        <f t="shared" ref="AJ797:AP808" si="33">IF($D797=AJ$795,AJ$794,0)</f>
        <v>0</v>
      </c>
      <c r="AK797" s="250">
        <f t="shared" si="33"/>
        <v>0</v>
      </c>
      <c r="AL797" s="250">
        <f t="shared" si="33"/>
        <v>0</v>
      </c>
      <c r="AM797" s="250">
        <f t="shared" si="33"/>
        <v>0</v>
      </c>
      <c r="AN797" s="250">
        <f t="shared" si="33"/>
        <v>0</v>
      </c>
      <c r="AO797" s="250">
        <f t="shared" si="33"/>
        <v>0</v>
      </c>
      <c r="AP797" s="250">
        <f t="shared" si="33"/>
        <v>0</v>
      </c>
      <c r="AQ797" s="259">
        <f>IF(AG797&gt;0,MAX(AI797:AP797),0)</f>
        <v>0</v>
      </c>
      <c r="AS797" s="260" t="str">
        <f t="shared" ref="AS797:AS808" si="34">IF(AND(B797="",D797=""),"",AG797*AQ797)</f>
        <v/>
      </c>
      <c r="AV797" s="6" t="str">
        <f>IF(AF797=3,BI804,BI802)</f>
        <v xml:space="preserve">have suffered from </v>
      </c>
      <c r="BD797" s="6" t="str">
        <f>IF(AS797&gt;0,C797,"")</f>
        <v>anxiety</v>
      </c>
      <c r="BF797" s="6" t="str">
        <f>IF(BD797="","",CONCATENATE(BD797,", "))</f>
        <v xml:space="preserve">anxiety, </v>
      </c>
      <c r="BI797" s="261">
        <v>0</v>
      </c>
      <c r="BJ797" s="261">
        <v>89</v>
      </c>
      <c r="BL797" s="6" t="s">
        <v>524</v>
      </c>
    </row>
    <row r="798" spans="1:64" x14ac:dyDescent="0.25">
      <c r="A798" s="242"/>
      <c r="B798" s="247"/>
      <c r="C798" s="248" t="s">
        <v>525</v>
      </c>
      <c r="D798" s="257"/>
      <c r="E798" s="92"/>
      <c r="F798" s="1"/>
      <c r="AC798" s="9">
        <f t="shared" ref="AC798:AC808" si="35">IF($B798=AC$795,AC$794,0)</f>
        <v>0</v>
      </c>
      <c r="AD798" s="11">
        <f t="shared" si="32"/>
        <v>0</v>
      </c>
      <c r="AE798" s="249">
        <f t="shared" si="32"/>
        <v>0</v>
      </c>
      <c r="AF798" s="258">
        <f t="shared" si="32"/>
        <v>0</v>
      </c>
      <c r="AG798" s="259">
        <f t="shared" ref="AG798:AG808" si="36">MAX(AC798:AF798)</f>
        <v>0</v>
      </c>
      <c r="AI798" s="250">
        <f t="shared" ref="AI798:AI808" si="37">IF($D798=AI$795,AI$794,0)</f>
        <v>0</v>
      </c>
      <c r="AJ798" s="250">
        <f t="shared" si="33"/>
        <v>0</v>
      </c>
      <c r="AK798" s="250">
        <f t="shared" si="33"/>
        <v>0</v>
      </c>
      <c r="AL798" s="250">
        <f t="shared" si="33"/>
        <v>0</v>
      </c>
      <c r="AM798" s="250">
        <f t="shared" si="33"/>
        <v>0</v>
      </c>
      <c r="AN798" s="250">
        <f t="shared" si="33"/>
        <v>0</v>
      </c>
      <c r="AO798" s="250">
        <f t="shared" si="33"/>
        <v>0</v>
      </c>
      <c r="AP798" s="250">
        <f t="shared" si="33"/>
        <v>0</v>
      </c>
      <c r="AQ798" s="259">
        <f t="shared" ref="AQ798:AQ808" si="38">IF(AG798&gt;0,MAX(AI798:AP798),0)</f>
        <v>0</v>
      </c>
      <c r="AS798" s="260" t="str">
        <f t="shared" si="34"/>
        <v/>
      </c>
      <c r="BI798" s="261">
        <f>BJ797</f>
        <v>89</v>
      </c>
      <c r="BJ798" s="261">
        <f>BI799</f>
        <v>100</v>
      </c>
    </row>
    <row r="799" spans="1:64" x14ac:dyDescent="0.25">
      <c r="A799" s="242"/>
      <c r="B799" s="247"/>
      <c r="C799" s="248" t="s">
        <v>526</v>
      </c>
      <c r="D799" s="257"/>
      <c r="E799" s="92"/>
      <c r="F799" s="1"/>
      <c r="AC799" s="9">
        <f t="shared" si="35"/>
        <v>0</v>
      </c>
      <c r="AD799" s="11">
        <f t="shared" si="32"/>
        <v>0</v>
      </c>
      <c r="AE799" s="249">
        <f t="shared" si="32"/>
        <v>0</v>
      </c>
      <c r="AF799" s="258">
        <f t="shared" si="32"/>
        <v>0</v>
      </c>
      <c r="AG799" s="259">
        <f t="shared" si="36"/>
        <v>0</v>
      </c>
      <c r="AH799" s="6">
        <f>AG799</f>
        <v>0</v>
      </c>
      <c r="AI799" s="250">
        <f t="shared" si="37"/>
        <v>0</v>
      </c>
      <c r="AJ799" s="250">
        <f t="shared" si="33"/>
        <v>0</v>
      </c>
      <c r="AK799" s="250">
        <f t="shared" si="33"/>
        <v>0</v>
      </c>
      <c r="AL799" s="250">
        <f t="shared" si="33"/>
        <v>0</v>
      </c>
      <c r="AM799" s="250">
        <f t="shared" si="33"/>
        <v>0</v>
      </c>
      <c r="AN799" s="250">
        <f t="shared" si="33"/>
        <v>0</v>
      </c>
      <c r="AO799" s="250">
        <f t="shared" si="33"/>
        <v>0</v>
      </c>
      <c r="AP799" s="250">
        <f t="shared" si="33"/>
        <v>0</v>
      </c>
      <c r="AQ799" s="259">
        <f t="shared" si="38"/>
        <v>0</v>
      </c>
      <c r="AS799" s="260" t="str">
        <f t="shared" si="34"/>
        <v/>
      </c>
      <c r="BD799" s="6" t="str">
        <f>IF(AS799&gt;0,C799,"")</f>
        <v>depression</v>
      </c>
      <c r="BF799" s="6" t="str">
        <f t="shared" ref="BF799:BF807" si="39">IF(BD799="","",CONCATENATE(BD799,", "))</f>
        <v xml:space="preserve">depression, </v>
      </c>
      <c r="BI799" s="261">
        <v>100</v>
      </c>
      <c r="BJ799" s="261">
        <v>121</v>
      </c>
    </row>
    <row r="800" spans="1:64" x14ac:dyDescent="0.25">
      <c r="A800" s="242"/>
      <c r="B800" s="247" t="s">
        <v>527</v>
      </c>
      <c r="C800" s="248" t="s">
        <v>528</v>
      </c>
      <c r="D800" s="257" t="s">
        <v>529</v>
      </c>
      <c r="E800" s="92"/>
      <c r="F800" s="1"/>
      <c r="AC800" s="9">
        <f t="shared" si="35"/>
        <v>0</v>
      </c>
      <c r="AD800" s="11">
        <f t="shared" si="32"/>
        <v>0</v>
      </c>
      <c r="AE800" s="249">
        <f t="shared" si="32"/>
        <v>2</v>
      </c>
      <c r="AF800" s="258">
        <f t="shared" si="32"/>
        <v>0</v>
      </c>
      <c r="AG800" s="259">
        <f t="shared" si="36"/>
        <v>2</v>
      </c>
      <c r="AH800" s="6">
        <f>AG800</f>
        <v>2</v>
      </c>
      <c r="AI800" s="250">
        <f t="shared" si="37"/>
        <v>0</v>
      </c>
      <c r="AJ800" s="250">
        <f t="shared" si="33"/>
        <v>0</v>
      </c>
      <c r="AK800" s="250">
        <f t="shared" si="33"/>
        <v>8</v>
      </c>
      <c r="AL800" s="250">
        <f t="shared" si="33"/>
        <v>0</v>
      </c>
      <c r="AM800" s="250">
        <f t="shared" si="33"/>
        <v>0</v>
      </c>
      <c r="AN800" s="250">
        <f t="shared" si="33"/>
        <v>0</v>
      </c>
      <c r="AO800" s="250">
        <f t="shared" si="33"/>
        <v>0</v>
      </c>
      <c r="AP800" s="250">
        <f t="shared" si="33"/>
        <v>0</v>
      </c>
      <c r="AQ800" s="259">
        <f t="shared" si="38"/>
        <v>8</v>
      </c>
      <c r="AS800" s="260">
        <f t="shared" si="34"/>
        <v>16</v>
      </c>
      <c r="BD800" s="6" t="str">
        <f>IF(AS800&gt;0,C800,"")</f>
        <v>divorce</v>
      </c>
      <c r="BF800" s="6" t="str">
        <f t="shared" si="39"/>
        <v xml:space="preserve">divorce, </v>
      </c>
      <c r="BI800" s="16">
        <f>BJ799</f>
        <v>121</v>
      </c>
      <c r="BJ800" s="16">
        <f>BI800+$BJ$797</f>
        <v>210</v>
      </c>
    </row>
    <row r="801" spans="1:71" x14ac:dyDescent="0.25">
      <c r="A801" s="242"/>
      <c r="B801" s="247" t="s">
        <v>527</v>
      </c>
      <c r="C801" s="248" t="s">
        <v>530</v>
      </c>
      <c r="D801" s="257" t="s">
        <v>531</v>
      </c>
      <c r="E801" s="92"/>
      <c r="F801" s="1"/>
      <c r="AC801" s="9">
        <f t="shared" si="35"/>
        <v>0</v>
      </c>
      <c r="AD801" s="11">
        <f t="shared" si="32"/>
        <v>0</v>
      </c>
      <c r="AE801" s="249">
        <f t="shared" si="32"/>
        <v>2</v>
      </c>
      <c r="AF801" s="258">
        <f t="shared" si="32"/>
        <v>0</v>
      </c>
      <c r="AG801" s="259">
        <f t="shared" si="36"/>
        <v>2</v>
      </c>
      <c r="AH801" s="6">
        <f>AG801</f>
        <v>2</v>
      </c>
      <c r="AI801" s="250">
        <f t="shared" si="37"/>
        <v>0</v>
      </c>
      <c r="AJ801" s="250">
        <f t="shared" si="33"/>
        <v>0</v>
      </c>
      <c r="AK801" s="250">
        <f t="shared" si="33"/>
        <v>0</v>
      </c>
      <c r="AL801" s="250">
        <f t="shared" si="33"/>
        <v>7</v>
      </c>
      <c r="AM801" s="250">
        <f t="shared" si="33"/>
        <v>0</v>
      </c>
      <c r="AN801" s="250">
        <f t="shared" si="33"/>
        <v>0</v>
      </c>
      <c r="AO801" s="250">
        <f t="shared" si="33"/>
        <v>0</v>
      </c>
      <c r="AP801" s="250">
        <f t="shared" si="33"/>
        <v>0</v>
      </c>
      <c r="AQ801" s="259">
        <f t="shared" si="38"/>
        <v>7</v>
      </c>
      <c r="AS801" s="260">
        <f t="shared" si="34"/>
        <v>14</v>
      </c>
      <c r="BD801" s="6" t="str">
        <f>IF(AS801&gt;0,C801,"")</f>
        <v>housing instability</v>
      </c>
      <c r="BF801" s="6" t="str">
        <f t="shared" si="39"/>
        <v xml:space="preserve">housing instability, </v>
      </c>
      <c r="BI801" s="16">
        <f>BJ800</f>
        <v>210</v>
      </c>
      <c r="BJ801" s="16">
        <f>BI801+$BJ$797</f>
        <v>299</v>
      </c>
      <c r="BL801" s="6" t="s">
        <v>532</v>
      </c>
    </row>
    <row r="802" spans="1:71" x14ac:dyDescent="0.25">
      <c r="A802" s="242"/>
      <c r="B802" s="247" t="s">
        <v>527</v>
      </c>
      <c r="C802" s="248" t="s">
        <v>533</v>
      </c>
      <c r="D802" s="257" t="s">
        <v>534</v>
      </c>
      <c r="E802" s="92"/>
      <c r="F802" s="1"/>
      <c r="AC802" s="9">
        <f t="shared" si="35"/>
        <v>0</v>
      </c>
      <c r="AD802" s="11">
        <f t="shared" si="32"/>
        <v>0</v>
      </c>
      <c r="AE802" s="249">
        <f t="shared" si="32"/>
        <v>2</v>
      </c>
      <c r="AF802" s="258">
        <f t="shared" si="32"/>
        <v>0</v>
      </c>
      <c r="AG802" s="259">
        <f t="shared" si="36"/>
        <v>2</v>
      </c>
      <c r="AI802" s="250">
        <f t="shared" si="37"/>
        <v>0</v>
      </c>
      <c r="AJ802" s="250">
        <f t="shared" si="33"/>
        <v>0</v>
      </c>
      <c r="AK802" s="250">
        <f t="shared" si="33"/>
        <v>0</v>
      </c>
      <c r="AL802" s="250">
        <f t="shared" si="33"/>
        <v>0</v>
      </c>
      <c r="AM802" s="250">
        <f t="shared" si="33"/>
        <v>0</v>
      </c>
      <c r="AN802" s="250">
        <f t="shared" si="33"/>
        <v>5</v>
      </c>
      <c r="AO802" s="250">
        <f t="shared" si="33"/>
        <v>0</v>
      </c>
      <c r="AP802" s="250">
        <f t="shared" si="33"/>
        <v>0</v>
      </c>
      <c r="AQ802" s="259">
        <f t="shared" si="38"/>
        <v>5</v>
      </c>
      <c r="AS802" s="260">
        <f t="shared" si="34"/>
        <v>10</v>
      </c>
      <c r="AV802" s="6" t="s">
        <v>535</v>
      </c>
      <c r="BI802" s="6" t="s">
        <v>536</v>
      </c>
    </row>
    <row r="803" spans="1:71" x14ac:dyDescent="0.25">
      <c r="A803" s="242"/>
      <c r="B803" s="247" t="s">
        <v>527</v>
      </c>
      <c r="C803" s="248" t="s">
        <v>537</v>
      </c>
      <c r="D803" s="257" t="s">
        <v>534</v>
      </c>
      <c r="E803" s="92"/>
      <c r="F803" s="1"/>
      <c r="AC803" s="9">
        <f t="shared" si="35"/>
        <v>0</v>
      </c>
      <c r="AD803" s="11">
        <f t="shared" si="32"/>
        <v>0</v>
      </c>
      <c r="AE803" s="249">
        <f t="shared" si="32"/>
        <v>2</v>
      </c>
      <c r="AF803" s="258">
        <f t="shared" si="32"/>
        <v>0</v>
      </c>
      <c r="AG803" s="259">
        <f t="shared" si="36"/>
        <v>2</v>
      </c>
      <c r="AI803" s="250">
        <f t="shared" si="37"/>
        <v>0</v>
      </c>
      <c r="AJ803" s="250">
        <f t="shared" si="33"/>
        <v>0</v>
      </c>
      <c r="AK803" s="250">
        <f t="shared" si="33"/>
        <v>0</v>
      </c>
      <c r="AL803" s="250">
        <f t="shared" si="33"/>
        <v>0</v>
      </c>
      <c r="AM803" s="250">
        <f t="shared" si="33"/>
        <v>0</v>
      </c>
      <c r="AN803" s="250">
        <f t="shared" si="33"/>
        <v>5</v>
      </c>
      <c r="AO803" s="250">
        <f t="shared" si="33"/>
        <v>0</v>
      </c>
      <c r="AP803" s="250">
        <f t="shared" si="33"/>
        <v>0</v>
      </c>
      <c r="AQ803" s="259">
        <f t="shared" si="38"/>
        <v>5</v>
      </c>
      <c r="AS803" s="260">
        <f t="shared" si="34"/>
        <v>10</v>
      </c>
      <c r="AV803" s="6" t="s">
        <v>538</v>
      </c>
      <c r="BI803" s="6" t="s">
        <v>539</v>
      </c>
    </row>
    <row r="804" spans="1:71" x14ac:dyDescent="0.25">
      <c r="A804" s="242"/>
      <c r="B804" s="247" t="s">
        <v>527</v>
      </c>
      <c r="C804" s="248" t="s">
        <v>540</v>
      </c>
      <c r="D804" s="257" t="s">
        <v>529</v>
      </c>
      <c r="E804" s="92"/>
      <c r="F804" s="1"/>
      <c r="AC804" s="9">
        <f t="shared" si="35"/>
        <v>0</v>
      </c>
      <c r="AD804" s="11">
        <f t="shared" si="32"/>
        <v>0</v>
      </c>
      <c r="AE804" s="249">
        <f t="shared" si="32"/>
        <v>2</v>
      </c>
      <c r="AF804" s="258">
        <f t="shared" si="32"/>
        <v>0</v>
      </c>
      <c r="AG804" s="259">
        <f t="shared" si="36"/>
        <v>2</v>
      </c>
      <c r="AI804" s="250">
        <f t="shared" si="37"/>
        <v>0</v>
      </c>
      <c r="AJ804" s="250">
        <f t="shared" si="33"/>
        <v>0</v>
      </c>
      <c r="AK804" s="250">
        <f t="shared" si="33"/>
        <v>8</v>
      </c>
      <c r="AL804" s="250">
        <f t="shared" si="33"/>
        <v>0</v>
      </c>
      <c r="AM804" s="250">
        <f t="shared" si="33"/>
        <v>0</v>
      </c>
      <c r="AN804" s="250">
        <f t="shared" si="33"/>
        <v>0</v>
      </c>
      <c r="AO804" s="250">
        <f t="shared" si="33"/>
        <v>0</v>
      </c>
      <c r="AP804" s="250">
        <f t="shared" si="33"/>
        <v>0</v>
      </c>
      <c r="AQ804" s="259">
        <f t="shared" si="38"/>
        <v>8</v>
      </c>
      <c r="AS804" s="260">
        <f t="shared" si="34"/>
        <v>16</v>
      </c>
      <c r="AV804" s="6" t="s">
        <v>541</v>
      </c>
      <c r="BI804" s="6" t="s">
        <v>542</v>
      </c>
    </row>
    <row r="805" spans="1:71" x14ac:dyDescent="0.25">
      <c r="A805" s="242"/>
      <c r="B805" s="247"/>
      <c r="C805" s="248" t="s">
        <v>543</v>
      </c>
      <c r="D805" s="257"/>
      <c r="E805" s="92"/>
      <c r="F805" s="1"/>
      <c r="AC805" s="9">
        <f t="shared" si="35"/>
        <v>0</v>
      </c>
      <c r="AD805" s="11">
        <f t="shared" si="32"/>
        <v>0</v>
      </c>
      <c r="AE805" s="249">
        <f t="shared" si="32"/>
        <v>0</v>
      </c>
      <c r="AF805" s="258">
        <f t="shared" si="32"/>
        <v>0</v>
      </c>
      <c r="AG805" s="259">
        <f t="shared" si="36"/>
        <v>0</v>
      </c>
      <c r="AI805" s="250">
        <f t="shared" si="37"/>
        <v>0</v>
      </c>
      <c r="AJ805" s="250">
        <f t="shared" si="33"/>
        <v>0</v>
      </c>
      <c r="AK805" s="250">
        <f t="shared" si="33"/>
        <v>0</v>
      </c>
      <c r="AL805" s="250">
        <f t="shared" si="33"/>
        <v>0</v>
      </c>
      <c r="AM805" s="250">
        <f t="shared" si="33"/>
        <v>0</v>
      </c>
      <c r="AN805" s="250">
        <f t="shared" si="33"/>
        <v>0</v>
      </c>
      <c r="AO805" s="250">
        <f t="shared" si="33"/>
        <v>0</v>
      </c>
      <c r="AP805" s="250">
        <f t="shared" si="33"/>
        <v>0</v>
      </c>
      <c r="AQ805" s="259">
        <f t="shared" si="38"/>
        <v>0</v>
      </c>
      <c r="AS805" s="260" t="str">
        <f t="shared" si="34"/>
        <v/>
      </c>
    </row>
    <row r="806" spans="1:71" x14ac:dyDescent="0.25">
      <c r="A806" s="242"/>
      <c r="B806" s="247" t="s">
        <v>527</v>
      </c>
      <c r="C806" s="248" t="s">
        <v>544</v>
      </c>
      <c r="D806" s="257" t="s">
        <v>545</v>
      </c>
      <c r="E806" s="92"/>
      <c r="F806" s="1"/>
      <c r="AC806" s="9">
        <f t="shared" si="35"/>
        <v>0</v>
      </c>
      <c r="AD806" s="11">
        <f t="shared" si="32"/>
        <v>0</v>
      </c>
      <c r="AE806" s="249">
        <f t="shared" si="32"/>
        <v>2</v>
      </c>
      <c r="AF806" s="258">
        <f t="shared" si="32"/>
        <v>0</v>
      </c>
      <c r="AG806" s="259">
        <f t="shared" si="36"/>
        <v>2</v>
      </c>
      <c r="AH806" s="6">
        <f>AG806</f>
        <v>2</v>
      </c>
      <c r="AI806" s="250">
        <f t="shared" si="37"/>
        <v>10</v>
      </c>
      <c r="AJ806" s="250">
        <f t="shared" si="33"/>
        <v>0</v>
      </c>
      <c r="AK806" s="250">
        <f t="shared" si="33"/>
        <v>0</v>
      </c>
      <c r="AL806" s="250">
        <f t="shared" si="33"/>
        <v>0</v>
      </c>
      <c r="AM806" s="250">
        <f t="shared" si="33"/>
        <v>0</v>
      </c>
      <c r="AN806" s="250">
        <f t="shared" si="33"/>
        <v>0</v>
      </c>
      <c r="AO806" s="250">
        <f t="shared" si="33"/>
        <v>0</v>
      </c>
      <c r="AP806" s="250">
        <f t="shared" si="33"/>
        <v>0</v>
      </c>
      <c r="AQ806" s="259">
        <f t="shared" si="38"/>
        <v>10</v>
      </c>
      <c r="AS806" s="260">
        <f t="shared" si="34"/>
        <v>20</v>
      </c>
      <c r="BD806" s="6" t="str">
        <f>IF(AS806&gt;0,C806,"")</f>
        <v>poverty</v>
      </c>
      <c r="BF806" s="6" t="str">
        <f t="shared" si="39"/>
        <v xml:space="preserve">poverty, </v>
      </c>
      <c r="BI806" s="6" t="str">
        <f>IF($AQ$809&gt;0,"family members","")</f>
        <v>family members</v>
      </c>
      <c r="BK806" s="6" t="str">
        <f>IF(BI806="","",CONCATENATE(BI806,", "))</f>
        <v xml:space="preserve">family members, </v>
      </c>
      <c r="BO806" s="6" t="str">
        <f>IF($AQ$809&gt;0,"family members and friends","")</f>
        <v>family members and friends</v>
      </c>
    </row>
    <row r="807" spans="1:71" x14ac:dyDescent="0.25">
      <c r="A807" s="242"/>
      <c r="B807" s="247" t="s">
        <v>527</v>
      </c>
      <c r="C807" s="248" t="s">
        <v>546</v>
      </c>
      <c r="D807" s="257" t="s">
        <v>545</v>
      </c>
      <c r="E807" s="92"/>
      <c r="F807" s="1"/>
      <c r="AC807" s="9">
        <f t="shared" si="35"/>
        <v>0</v>
      </c>
      <c r="AD807" s="11">
        <f t="shared" si="32"/>
        <v>0</v>
      </c>
      <c r="AE807" s="249">
        <f t="shared" si="32"/>
        <v>2</v>
      </c>
      <c r="AF807" s="258">
        <f t="shared" si="32"/>
        <v>0</v>
      </c>
      <c r="AG807" s="259">
        <f t="shared" si="36"/>
        <v>2</v>
      </c>
      <c r="AH807" s="6">
        <f>AG807</f>
        <v>2</v>
      </c>
      <c r="AI807" s="250">
        <f t="shared" si="37"/>
        <v>10</v>
      </c>
      <c r="AJ807" s="250">
        <f t="shared" si="33"/>
        <v>0</v>
      </c>
      <c r="AK807" s="250">
        <f t="shared" si="33"/>
        <v>0</v>
      </c>
      <c r="AL807" s="250">
        <f t="shared" si="33"/>
        <v>0</v>
      </c>
      <c r="AM807" s="250">
        <f t="shared" si="33"/>
        <v>0</v>
      </c>
      <c r="AN807" s="250">
        <f t="shared" si="33"/>
        <v>0</v>
      </c>
      <c r="AO807" s="250">
        <f t="shared" si="33"/>
        <v>0</v>
      </c>
      <c r="AP807" s="250">
        <f t="shared" si="33"/>
        <v>0</v>
      </c>
      <c r="AQ807" s="259">
        <f t="shared" si="38"/>
        <v>10</v>
      </c>
      <c r="AS807" s="260">
        <f t="shared" si="34"/>
        <v>20</v>
      </c>
      <c r="BD807" s="6" t="str">
        <f>IF(AS807&gt;0,C807,"")</f>
        <v>stigma</v>
      </c>
      <c r="BF807" s="6" t="str">
        <f t="shared" si="39"/>
        <v xml:space="preserve">stigma, </v>
      </c>
      <c r="BI807" s="6" t="str">
        <f>IF(AND($AQ$809&gt;96,$AQ$809&lt;109),"friends","")</f>
        <v/>
      </c>
      <c r="BK807" s="6" t="str">
        <f>IF(BI807="","",CONCATENATE(BI807,", "))</f>
        <v/>
      </c>
      <c r="BO807" s="6" t="str">
        <f>IF(BI808="",BO806,"")</f>
        <v/>
      </c>
    </row>
    <row r="808" spans="1:71" x14ac:dyDescent="0.25">
      <c r="A808" s="242"/>
      <c r="B808" s="247"/>
      <c r="C808" s="248" t="s">
        <v>547</v>
      </c>
      <c r="D808" s="257"/>
      <c r="E808" s="92"/>
      <c r="F808" s="1"/>
      <c r="AC808" s="9">
        <f t="shared" si="35"/>
        <v>0</v>
      </c>
      <c r="AD808" s="11">
        <f t="shared" si="32"/>
        <v>0</v>
      </c>
      <c r="AE808" s="249">
        <f t="shared" si="32"/>
        <v>0</v>
      </c>
      <c r="AF808" s="258">
        <f t="shared" si="32"/>
        <v>0</v>
      </c>
      <c r="AG808" s="259">
        <f t="shared" si="36"/>
        <v>0</v>
      </c>
      <c r="AI808" s="250">
        <f t="shared" si="37"/>
        <v>0</v>
      </c>
      <c r="AJ808" s="250">
        <f t="shared" si="33"/>
        <v>0</v>
      </c>
      <c r="AK808" s="250">
        <f t="shared" si="33"/>
        <v>0</v>
      </c>
      <c r="AL808" s="250">
        <f t="shared" si="33"/>
        <v>0</v>
      </c>
      <c r="AM808" s="250">
        <f t="shared" si="33"/>
        <v>0</v>
      </c>
      <c r="AN808" s="250">
        <f t="shared" si="33"/>
        <v>0</v>
      </c>
      <c r="AO808" s="250">
        <f t="shared" si="33"/>
        <v>0</v>
      </c>
      <c r="AP808" s="250">
        <f t="shared" si="33"/>
        <v>0</v>
      </c>
      <c r="AQ808" s="259">
        <f t="shared" si="38"/>
        <v>0</v>
      </c>
      <c r="AS808" s="260" t="str">
        <f t="shared" si="34"/>
        <v/>
      </c>
      <c r="BF808" s="16" t="str">
        <f>IF(AH809&gt;0,"among other things. ","")</f>
        <v xml:space="preserve">among other things. </v>
      </c>
      <c r="BI808" s="6" t="str">
        <f>IF(AND($AI$809&gt;8,$AI$809&lt;101)," many others ","")</f>
        <v xml:space="preserve"> many others </v>
      </c>
      <c r="BK808" s="6" t="str">
        <f>IF(BI808="","",CONCATENATE(BI808,", "))</f>
        <v xml:space="preserve"> many others , </v>
      </c>
    </row>
    <row r="809" spans="1:71" ht="15" customHeight="1" x14ac:dyDescent="0.25">
      <c r="A809" s="244"/>
      <c r="B809" s="244"/>
      <c r="C809" s="244"/>
      <c r="D809" s="244"/>
      <c r="E809" s="92"/>
      <c r="F809" s="1"/>
      <c r="AC809" s="6">
        <f t="shared" ref="AC809:AQ809" si="40">SUM(AC797:AC808)</f>
        <v>0</v>
      </c>
      <c r="AD809" s="6">
        <f t="shared" si="40"/>
        <v>0</v>
      </c>
      <c r="AE809" s="6">
        <f t="shared" si="40"/>
        <v>14</v>
      </c>
      <c r="AF809" s="6">
        <f t="shared" si="40"/>
        <v>0</v>
      </c>
      <c r="AG809" s="260">
        <f t="shared" si="40"/>
        <v>14</v>
      </c>
      <c r="AH809" s="6">
        <f t="shared" si="40"/>
        <v>8</v>
      </c>
      <c r="AI809" s="6">
        <f t="shared" si="40"/>
        <v>20</v>
      </c>
      <c r="AJ809" s="6">
        <f t="shared" si="40"/>
        <v>0</v>
      </c>
      <c r="AK809" s="6">
        <f t="shared" si="40"/>
        <v>16</v>
      </c>
      <c r="AL809" s="6">
        <f t="shared" si="40"/>
        <v>7</v>
      </c>
      <c r="AM809" s="6">
        <f t="shared" si="40"/>
        <v>0</v>
      </c>
      <c r="AN809" s="6">
        <f t="shared" si="40"/>
        <v>10</v>
      </c>
      <c r="AO809" s="6">
        <f t="shared" si="40"/>
        <v>0</v>
      </c>
      <c r="AP809" s="6">
        <f t="shared" si="40"/>
        <v>0</v>
      </c>
      <c r="AQ809" s="260">
        <f t="shared" si="40"/>
        <v>53</v>
      </c>
    </row>
    <row r="810" spans="1:71" ht="15" customHeight="1" x14ac:dyDescent="0.25">
      <c r="A810" s="242"/>
      <c r="B810" s="246" t="s">
        <v>548</v>
      </c>
      <c r="C810" s="246"/>
      <c r="D810" s="246"/>
      <c r="E810" s="92"/>
      <c r="F810" s="1"/>
      <c r="AC810" s="6" t="s">
        <v>549</v>
      </c>
      <c r="AN810" s="6" t="str">
        <f>IF($C$7=AD152,"this claimant",$C$7)</f>
        <v>Steph Turner</v>
      </c>
      <c r="AS810" s="262" t="s">
        <v>550</v>
      </c>
      <c r="AU810" s="6" t="str">
        <f>IF($C$7=AD152," This claimant",$C$7)</f>
        <v>Steph Turner</v>
      </c>
      <c r="AZ810" s="6" t="s">
        <v>551</v>
      </c>
      <c r="BB810" s="6"/>
      <c r="BD810" s="6" t="str">
        <f>IF(AND(AQ809&gt;BI797,AQ809&lt;BJ797),AV802,IF(AND(AQ809&gt;BI798,AQ809&lt;BJ798),AV803,IF(AND(AQ809&gt;BI799,AQ809&lt;BJ799),AV804,"")))</f>
        <v xml:space="preserve">family members </v>
      </c>
      <c r="BK810" s="263" t="str">
        <f>IF(BO806="",BK807,BO806)</f>
        <v>family members and friends</v>
      </c>
      <c r="BL810" s="263"/>
      <c r="BM810" s="263"/>
      <c r="BN810" s="263"/>
      <c r="BO810" s="263"/>
      <c r="BP810" s="263"/>
      <c r="BS810" s="263" t="str">
        <f>IF(BK808="",BO806,BK808)</f>
        <v xml:space="preserve"> many others , </v>
      </c>
    </row>
    <row r="811" spans="1:71" ht="30" customHeight="1" x14ac:dyDescent="0.35">
      <c r="A811" s="242"/>
      <c r="B811" s="584"/>
      <c r="C811" s="584"/>
      <c r="D811" s="584"/>
      <c r="E811" s="92"/>
      <c r="F811" s="1"/>
      <c r="AC811" s="588" t="str">
        <f>CONCATENATE(AC810,AN810,AS810,AU810,AZ810,BD810,AC812,AH812,BD812)</f>
        <v>Collateral consequences also impact others in Steph Turner's life. Steph Turner shares how family members have suffered from anxiety, depression, divorce, housing instability, poverty, stigma, among other things. You can help improve their lives too!</v>
      </c>
      <c r="AD811" s="589"/>
      <c r="AE811" s="589"/>
      <c r="AF811" s="589"/>
      <c r="AG811" s="589"/>
      <c r="AH811" s="589"/>
      <c r="AI811" s="589"/>
      <c r="AJ811" s="589"/>
      <c r="AK811" s="589"/>
      <c r="AL811" s="589"/>
      <c r="AM811" s="589"/>
      <c r="AN811" s="589"/>
      <c r="AO811" s="589"/>
      <c r="AP811" s="589"/>
      <c r="AQ811" s="589"/>
      <c r="AR811" s="589"/>
      <c r="AS811" s="589"/>
      <c r="AT811" s="589"/>
      <c r="AU811" s="589"/>
      <c r="AV811" s="589"/>
      <c r="AW811" s="589"/>
      <c r="AX811" s="589"/>
      <c r="AY811" s="589"/>
      <c r="AZ811" s="589"/>
      <c r="BA811" s="589"/>
      <c r="BB811" s="589"/>
      <c r="BC811" s="589"/>
      <c r="BD811" s="590"/>
      <c r="BI811" s="264"/>
    </row>
    <row r="812" spans="1:71" ht="15" customHeight="1" x14ac:dyDescent="0.25">
      <c r="A812" s="242"/>
      <c r="B812" s="92"/>
      <c r="C812" s="92"/>
      <c r="D812" s="92"/>
      <c r="E812" s="92"/>
      <c r="F812" s="1"/>
      <c r="AC812" s="6" t="str">
        <f>IF(BD810="","others have suffered. ","have suffered from ")</f>
        <v xml:space="preserve">have suffered from </v>
      </c>
      <c r="AH812" s="6" t="str">
        <f>IF(BD810="","",CONCATENATE(BF797,BF799,BF800,BF801,BF806,BF807,BF808))</f>
        <v xml:space="preserve">anxiety, depression, divorce, housing instability, poverty, stigma, among other things. </v>
      </c>
      <c r="BD812" s="6" t="s">
        <v>552</v>
      </c>
    </row>
    <row r="813" spans="1:71" ht="15" customHeight="1" x14ac:dyDescent="0.25">
      <c r="A813" s="244">
        <f>A794+1</f>
        <v>66</v>
      </c>
      <c r="B813" s="244" t="s">
        <v>553</v>
      </c>
      <c r="C813" s="244"/>
      <c r="D813" s="244"/>
      <c r="E813" s="92"/>
      <c r="F813" s="1"/>
      <c r="BB813" s="6"/>
    </row>
    <row r="814" spans="1:71" ht="15" customHeight="1" x14ac:dyDescent="0.3">
      <c r="A814" s="242"/>
      <c r="B814" s="245" t="s">
        <v>554</v>
      </c>
      <c r="C814" s="246"/>
      <c r="D814" s="246"/>
      <c r="E814" s="92"/>
      <c r="F814" s="1"/>
      <c r="BD814" s="6" t="str">
        <f>BK806</f>
        <v xml:space="preserve">family members, </v>
      </c>
      <c r="BF814" s="6" t="str">
        <f>BK807</f>
        <v/>
      </c>
      <c r="BG814" s="6" t="str">
        <f>BK808</f>
        <v xml:space="preserve"> many others , </v>
      </c>
    </row>
    <row r="815" spans="1:71" ht="15" customHeight="1" x14ac:dyDescent="0.25">
      <c r="A815" s="242"/>
      <c r="B815" s="92"/>
      <c r="C815" s="92"/>
      <c r="D815" s="92"/>
      <c r="E815" s="92"/>
      <c r="F815" s="1"/>
    </row>
    <row r="816" spans="1:71" ht="25.05" customHeight="1" x14ac:dyDescent="0.25">
      <c r="A816" s="92"/>
      <c r="B816" s="265" t="s">
        <v>555</v>
      </c>
      <c r="C816" s="265"/>
      <c r="D816" s="265"/>
      <c r="E816" s="92"/>
      <c r="F816" s="1"/>
      <c r="AC816" s="266" t="str">
        <f>B1918</f>
        <v>not challenged at all</v>
      </c>
      <c r="AD816" s="266" t="str">
        <f>B1919</f>
        <v>only slightly challenged</v>
      </c>
      <c r="AE816" s="266" t="str">
        <f>B1920</f>
        <v>moderately challenged</v>
      </c>
      <c r="AF816" s="266" t="str">
        <f>B1921</f>
        <v>significantly challenged</v>
      </c>
      <c r="AG816" s="266" t="str">
        <f>B1922</f>
        <v>severely challenged</v>
      </c>
    </row>
    <row r="817" spans="1:54" ht="14.4" thickBot="1" x14ac:dyDescent="0.3">
      <c r="A817" s="92"/>
      <c r="B817" s="595" t="s">
        <v>556</v>
      </c>
      <c r="C817" s="595"/>
      <c r="D817" s="595"/>
      <c r="E817" s="92"/>
      <c r="F817" s="1"/>
      <c r="AC817" s="6">
        <v>0</v>
      </c>
      <c r="AD817" s="6">
        <f>AC817+1</f>
        <v>1</v>
      </c>
      <c r="AE817" s="6">
        <f>AD817+1</f>
        <v>2</v>
      </c>
      <c r="AF817" s="6">
        <f>AE817+1</f>
        <v>3</v>
      </c>
      <c r="AG817" s="6">
        <f>AF817+1</f>
        <v>4</v>
      </c>
      <c r="AH817" s="267">
        <f>SUM(AH818:AH823)</f>
        <v>9</v>
      </c>
      <c r="AK817" s="6" t="s">
        <v>557</v>
      </c>
      <c r="AR817" s="6" t="str">
        <f>IF(AH817&gt;0,"and other ","")</f>
        <v xml:space="preserve">and other </v>
      </c>
      <c r="AU817" s="6" t="s">
        <v>558</v>
      </c>
      <c r="BB817" s="6"/>
    </row>
    <row r="818" spans="1:54" ht="15" thickTop="1" thickBot="1" x14ac:dyDescent="0.3">
      <c r="A818" s="92"/>
      <c r="B818" s="268" t="s">
        <v>559</v>
      </c>
      <c r="C818" s="92"/>
      <c r="D818" s="269" t="s">
        <v>560</v>
      </c>
      <c r="E818" s="92"/>
      <c r="F818" s="1"/>
      <c r="AC818" s="9">
        <f t="shared" ref="AC818:AG823" si="41">IF($D818=AC$816,AC$817,0)</f>
        <v>0</v>
      </c>
      <c r="AD818" s="236">
        <f t="shared" si="41"/>
        <v>0</v>
      </c>
      <c r="AE818" s="246">
        <f t="shared" si="41"/>
        <v>0</v>
      </c>
      <c r="AF818" s="249">
        <f t="shared" si="41"/>
        <v>3</v>
      </c>
      <c r="AG818" s="258">
        <f t="shared" si="41"/>
        <v>0</v>
      </c>
      <c r="AH818" s="60">
        <f t="shared" ref="AH818:AH823" si="42">MAX(AC818:AG818)</f>
        <v>3</v>
      </c>
      <c r="AL818" s="253" t="str">
        <f>IF(AND(AJ828&lt;=AH818,AH818&gt;0),B818,"")</f>
        <v>economic</v>
      </c>
      <c r="AM818" s="253"/>
      <c r="AN818" s="253"/>
      <c r="AO818" s="253"/>
      <c r="AP818" s="253" t="s">
        <v>561</v>
      </c>
      <c r="AQ818" s="253"/>
      <c r="AT818" s="6" t="str">
        <f t="shared" ref="AT818:AT823" si="43">IF(AL818="","",CONCATENATE(AL818,AP818))</f>
        <v xml:space="preserve">economic needs, </v>
      </c>
    </row>
    <row r="819" spans="1:54" ht="15" thickTop="1" thickBot="1" x14ac:dyDescent="0.3">
      <c r="A819" s="92"/>
      <c r="B819" s="268" t="s">
        <v>562</v>
      </c>
      <c r="C819" s="92"/>
      <c r="D819" s="269" t="s">
        <v>563</v>
      </c>
      <c r="E819" s="92"/>
      <c r="F819" s="1"/>
      <c r="AC819" s="9">
        <f t="shared" si="41"/>
        <v>0</v>
      </c>
      <c r="AD819" s="236">
        <f t="shared" si="41"/>
        <v>1</v>
      </c>
      <c r="AE819" s="246">
        <f t="shared" si="41"/>
        <v>0</v>
      </c>
      <c r="AF819" s="249">
        <f t="shared" si="41"/>
        <v>0</v>
      </c>
      <c r="AG819" s="258">
        <f t="shared" si="41"/>
        <v>0</v>
      </c>
      <c r="AH819" s="60">
        <f t="shared" si="42"/>
        <v>1</v>
      </c>
      <c r="AL819" s="253" t="str">
        <f>IF(AND(AJ829&lt;=AH819,AH819&gt;0),B819,"")</f>
        <v/>
      </c>
      <c r="AM819" s="253"/>
      <c r="AN819" s="253"/>
      <c r="AO819" s="253"/>
      <c r="AP819" s="253" t="s">
        <v>561</v>
      </c>
      <c r="AQ819" s="253"/>
      <c r="AT819" s="6" t="str">
        <f t="shared" si="43"/>
        <v/>
      </c>
    </row>
    <row r="820" spans="1:54" ht="15" thickTop="1" thickBot="1" x14ac:dyDescent="0.3">
      <c r="A820" s="92"/>
      <c r="B820" s="268" t="s">
        <v>564</v>
      </c>
      <c r="C820" s="92"/>
      <c r="D820" s="269" t="s">
        <v>565</v>
      </c>
      <c r="E820" s="92"/>
      <c r="F820" s="1"/>
      <c r="AC820" s="9">
        <f t="shared" si="41"/>
        <v>0</v>
      </c>
      <c r="AD820" s="236">
        <f t="shared" si="41"/>
        <v>0</v>
      </c>
      <c r="AE820" s="246">
        <f t="shared" si="41"/>
        <v>2</v>
      </c>
      <c r="AF820" s="249">
        <f t="shared" si="41"/>
        <v>0</v>
      </c>
      <c r="AG820" s="258">
        <f t="shared" si="41"/>
        <v>0</v>
      </c>
      <c r="AH820" s="60">
        <f t="shared" si="42"/>
        <v>2</v>
      </c>
      <c r="AL820" s="253" t="str">
        <f>IF(AND(AJ830&lt;=AH820,AH820&gt;0),B820,"")</f>
        <v>mental health</v>
      </c>
      <c r="AM820" s="253"/>
      <c r="AN820" s="253"/>
      <c r="AO820" s="253"/>
      <c r="AP820" s="253" t="s">
        <v>561</v>
      </c>
      <c r="AQ820" s="253"/>
      <c r="AT820" s="6" t="str">
        <f t="shared" si="43"/>
        <v xml:space="preserve">mental health needs, </v>
      </c>
    </row>
    <row r="821" spans="1:54" ht="15" thickTop="1" thickBot="1" x14ac:dyDescent="0.3">
      <c r="A821" s="92"/>
      <c r="B821" s="268" t="s">
        <v>566</v>
      </c>
      <c r="C821" s="92"/>
      <c r="D821" s="269" t="s">
        <v>560</v>
      </c>
      <c r="E821" s="92"/>
      <c r="F821" s="1"/>
      <c r="AC821" s="9">
        <f t="shared" si="41"/>
        <v>0</v>
      </c>
      <c r="AD821" s="236">
        <f t="shared" si="41"/>
        <v>0</v>
      </c>
      <c r="AE821" s="246">
        <f t="shared" si="41"/>
        <v>0</v>
      </c>
      <c r="AF821" s="249">
        <f t="shared" si="41"/>
        <v>3</v>
      </c>
      <c r="AG821" s="258">
        <f t="shared" si="41"/>
        <v>0</v>
      </c>
      <c r="AH821" s="60">
        <f t="shared" si="42"/>
        <v>3</v>
      </c>
      <c r="AL821" s="253" t="str">
        <f>IF(AND(AJ831&lt;=AH821,AH821&gt;0),B821,"")</f>
        <v>relationships</v>
      </c>
      <c r="AM821" s="253"/>
      <c r="AN821" s="253"/>
      <c r="AO821" s="253"/>
      <c r="AP821" s="253" t="s">
        <v>561</v>
      </c>
      <c r="AQ821" s="253"/>
      <c r="AT821" s="6" t="str">
        <f t="shared" si="43"/>
        <v xml:space="preserve">relationships needs, </v>
      </c>
    </row>
    <row r="822" spans="1:54" ht="15" thickTop="1" thickBot="1" x14ac:dyDescent="0.3">
      <c r="A822" s="92"/>
      <c r="B822" s="268" t="s">
        <v>567</v>
      </c>
      <c r="C822" s="92"/>
      <c r="D822" s="269" t="s">
        <v>568</v>
      </c>
      <c r="E822" s="92"/>
      <c r="F822" s="1"/>
      <c r="AC822" s="9">
        <f t="shared" si="41"/>
        <v>0</v>
      </c>
      <c r="AD822" s="236">
        <f t="shared" si="41"/>
        <v>0</v>
      </c>
      <c r="AE822" s="246">
        <f t="shared" si="41"/>
        <v>0</v>
      </c>
      <c r="AF822" s="249">
        <f t="shared" si="41"/>
        <v>0</v>
      </c>
      <c r="AG822" s="258">
        <f t="shared" si="41"/>
        <v>0</v>
      </c>
      <c r="AH822" s="60">
        <f t="shared" si="42"/>
        <v>0</v>
      </c>
      <c r="AL822" s="253" t="str">
        <f>IF(AND(AJ832&lt;=AH822,AH822&gt;0),B822,"")</f>
        <v/>
      </c>
      <c r="AM822" s="253"/>
      <c r="AN822" s="253"/>
      <c r="AO822" s="253"/>
      <c r="AP822" s="253" t="s">
        <v>561</v>
      </c>
      <c r="AQ822" s="253"/>
      <c r="AT822" s="6" t="str">
        <f t="shared" si="43"/>
        <v/>
      </c>
    </row>
    <row r="823" spans="1:54" ht="15" thickTop="1" thickBot="1" x14ac:dyDescent="0.3">
      <c r="A823" s="92"/>
      <c r="B823" s="268" t="s">
        <v>569</v>
      </c>
      <c r="C823" s="269"/>
      <c r="D823" s="269"/>
      <c r="E823" s="92"/>
      <c r="F823" s="1"/>
      <c r="AC823" s="9">
        <f t="shared" si="41"/>
        <v>0</v>
      </c>
      <c r="AD823" s="236">
        <f t="shared" si="41"/>
        <v>0</v>
      </c>
      <c r="AE823" s="246">
        <f t="shared" si="41"/>
        <v>0</v>
      </c>
      <c r="AF823" s="249">
        <f t="shared" si="41"/>
        <v>0</v>
      </c>
      <c r="AG823" s="258">
        <f t="shared" si="41"/>
        <v>0</v>
      </c>
      <c r="AH823" s="60">
        <f t="shared" si="42"/>
        <v>0</v>
      </c>
      <c r="AL823" s="253" t="str">
        <f>IF(AND(C823&lt;&gt;"",AJ833&gt;=AH823),C823,"")</f>
        <v/>
      </c>
      <c r="AM823" s="253"/>
      <c r="AN823" s="253"/>
      <c r="AO823" s="253"/>
      <c r="AP823" s="253" t="s">
        <v>561</v>
      </c>
      <c r="AQ823" s="253"/>
      <c r="AT823" s="6" t="str">
        <f t="shared" si="43"/>
        <v/>
      </c>
    </row>
    <row r="824" spans="1:54" ht="4.95" customHeight="1" thickTop="1" x14ac:dyDescent="0.25">
      <c r="A824" s="92"/>
      <c r="B824" s="268"/>
      <c r="C824" s="92"/>
      <c r="D824" s="92"/>
      <c r="E824" s="92"/>
      <c r="F824" s="1"/>
    </row>
    <row r="825" spans="1:54" x14ac:dyDescent="0.25">
      <c r="A825" s="92"/>
      <c r="B825" s="92"/>
      <c r="C825" s="92"/>
      <c r="D825" s="92"/>
      <c r="E825" s="92"/>
      <c r="F825" s="1"/>
    </row>
    <row r="826" spans="1:54" ht="25.05" customHeight="1" x14ac:dyDescent="0.25">
      <c r="A826" s="92"/>
      <c r="B826" s="265" t="s">
        <v>570</v>
      </c>
      <c r="C826" s="265"/>
      <c r="D826" s="265"/>
      <c r="E826" s="92"/>
      <c r="F826" s="1"/>
      <c r="AC826" s="266" t="str">
        <f>B1926</f>
        <v>I don't seek it nor think about it much</v>
      </c>
      <c r="AD826" s="266" t="str">
        <f>B1927</f>
        <v>I desire it but feel it's unlikely to happen</v>
      </c>
      <c r="AE826" s="266" t="str">
        <f>B1928</f>
        <v>I hope it'll happen but I can do little about it now</v>
      </c>
      <c r="AF826" s="266" t="str">
        <f>B1929</f>
        <v>I struggle to make it happen but unsuccessfully</v>
      </c>
      <c r="AG826" s="266" t="str">
        <f>B1930</f>
        <v>I feel I've reached it but not maintained it</v>
      </c>
      <c r="AH826" s="266" t="str">
        <f>B1931</f>
        <v>I sense I can maintain it with help like this</v>
      </c>
      <c r="AI826" s="266" t="str">
        <f>B1932</f>
        <v>I maintain it without help like this</v>
      </c>
    </row>
    <row r="827" spans="1:54" ht="14.4" thickBot="1" x14ac:dyDescent="0.3">
      <c r="A827" s="92"/>
      <c r="B827" s="595" t="s">
        <v>571</v>
      </c>
      <c r="C827" s="595"/>
      <c r="D827" s="595"/>
      <c r="E827" s="92"/>
      <c r="F827" s="1"/>
      <c r="AC827" s="6">
        <v>0</v>
      </c>
      <c r="AD827" s="6">
        <f t="shared" ref="AD827:AI827" si="44">AC827+1</f>
        <v>1</v>
      </c>
      <c r="AE827" s="6">
        <f t="shared" si="44"/>
        <v>2</v>
      </c>
      <c r="AF827" s="6">
        <f t="shared" si="44"/>
        <v>3</v>
      </c>
      <c r="AG827" s="6">
        <f t="shared" si="44"/>
        <v>4</v>
      </c>
      <c r="AH827" s="6">
        <f t="shared" si="44"/>
        <v>5</v>
      </c>
      <c r="AI827" s="6">
        <f t="shared" si="44"/>
        <v>6</v>
      </c>
      <c r="AJ827" s="267">
        <f>SUM(AJ828:AJ833)</f>
        <v>7</v>
      </c>
      <c r="AK827" s="6" t="str">
        <f>IF($AM$7="","this claimant",$C$7)</f>
        <v>this claimant</v>
      </c>
      <c r="AN827" s="6" t="s">
        <v>572</v>
      </c>
      <c r="AV827" s="6" t="str">
        <f>IF(AJ827&gt;0,"and other ","")</f>
        <v xml:space="preserve">and other </v>
      </c>
      <c r="AZ827" s="16" t="s">
        <v>573</v>
      </c>
      <c r="BB827" s="6"/>
    </row>
    <row r="828" spans="1:54" ht="15" thickTop="1" thickBot="1" x14ac:dyDescent="0.3">
      <c r="A828" s="92"/>
      <c r="B828" s="268" t="s">
        <v>574</v>
      </c>
      <c r="C828" s="92"/>
      <c r="D828" s="270" t="s">
        <v>575</v>
      </c>
      <c r="E828" s="92"/>
      <c r="F828" s="1"/>
      <c r="AC828" s="9">
        <f t="shared" ref="AC828:AI833" si="45">IF($D828=AC$826,AC$827,0)</f>
        <v>0</v>
      </c>
      <c r="AD828" s="10">
        <f t="shared" si="45"/>
        <v>0</v>
      </c>
      <c r="AE828" s="236">
        <f t="shared" si="45"/>
        <v>0</v>
      </c>
      <c r="AF828" s="246">
        <f t="shared" si="45"/>
        <v>3</v>
      </c>
      <c r="AG828" s="57">
        <f t="shared" si="45"/>
        <v>0</v>
      </c>
      <c r="AH828" s="249">
        <f t="shared" si="45"/>
        <v>0</v>
      </c>
      <c r="AI828" s="258">
        <f t="shared" si="45"/>
        <v>0</v>
      </c>
      <c r="AJ828" s="60">
        <f t="shared" ref="AJ828:AJ833" si="46">MAX(AC828:AG828)</f>
        <v>3</v>
      </c>
      <c r="AL828" s="253" t="str">
        <f>IF(AND(AJ838&lt;=AJ828,AJ828&gt;0),B828,"")</f>
        <v>income independence</v>
      </c>
      <c r="AM828" s="253"/>
      <c r="AN828" s="253"/>
      <c r="AO828" s="253"/>
      <c r="AP828" s="253"/>
      <c r="AQ828" s="253"/>
      <c r="AR828" s="253"/>
      <c r="AS828" s="253"/>
      <c r="AT828" s="6" t="s">
        <v>576</v>
      </c>
      <c r="AV828" s="6" t="str">
        <f t="shared" ref="AV828:AV833" si="47">IF(AL828="","",CONCATENATE(AL828,AT828))</f>
        <v xml:space="preserve">income independence, </v>
      </c>
      <c r="BB828" s="6"/>
    </row>
    <row r="829" spans="1:54" ht="15" thickTop="1" thickBot="1" x14ac:dyDescent="0.3">
      <c r="A829" s="92"/>
      <c r="B829" s="268" t="s">
        <v>577</v>
      </c>
      <c r="C829" s="92"/>
      <c r="D829" s="270" t="s">
        <v>578</v>
      </c>
      <c r="E829" s="92"/>
      <c r="F829" s="1"/>
      <c r="AC829" s="9">
        <f t="shared" si="45"/>
        <v>0</v>
      </c>
      <c r="AD829" s="10">
        <f t="shared" si="45"/>
        <v>0</v>
      </c>
      <c r="AE829" s="236">
        <f t="shared" si="45"/>
        <v>0</v>
      </c>
      <c r="AF829" s="246">
        <f t="shared" si="45"/>
        <v>0</v>
      </c>
      <c r="AG829" s="57">
        <f t="shared" si="45"/>
        <v>4</v>
      </c>
      <c r="AH829" s="249">
        <f t="shared" si="45"/>
        <v>0</v>
      </c>
      <c r="AI829" s="258">
        <f t="shared" si="45"/>
        <v>0</v>
      </c>
      <c r="AJ829" s="60">
        <f t="shared" si="46"/>
        <v>4</v>
      </c>
      <c r="AL829" s="253" t="str">
        <f>IF(AND(AJ839&lt;=AJ829,AJ829&gt;0),B829,"")</f>
        <v>maintaining healthy lifestyle</v>
      </c>
      <c r="AM829" s="253"/>
      <c r="AN829" s="253"/>
      <c r="AO829" s="253"/>
      <c r="AP829" s="253"/>
      <c r="AQ829" s="253"/>
      <c r="AR829" s="253"/>
      <c r="AS829" s="253"/>
      <c r="AT829" s="6" t="s">
        <v>576</v>
      </c>
      <c r="AV829" s="6" t="str">
        <f t="shared" si="47"/>
        <v xml:space="preserve">maintaining healthy lifestyle, </v>
      </c>
      <c r="BB829" s="6"/>
    </row>
    <row r="830" spans="1:54" ht="15" thickTop="1" thickBot="1" x14ac:dyDescent="0.3">
      <c r="A830" s="92"/>
      <c r="B830" s="268" t="s">
        <v>579</v>
      </c>
      <c r="C830" s="92"/>
      <c r="D830" s="270" t="s">
        <v>580</v>
      </c>
      <c r="E830" s="92"/>
      <c r="F830" s="1"/>
      <c r="AC830" s="9">
        <f t="shared" si="45"/>
        <v>0</v>
      </c>
      <c r="AD830" s="10">
        <f t="shared" si="45"/>
        <v>0</v>
      </c>
      <c r="AE830" s="236">
        <f t="shared" si="45"/>
        <v>0</v>
      </c>
      <c r="AF830" s="246">
        <f t="shared" si="45"/>
        <v>0</v>
      </c>
      <c r="AG830" s="57">
        <f t="shared" si="45"/>
        <v>0</v>
      </c>
      <c r="AH830" s="249">
        <f t="shared" si="45"/>
        <v>0</v>
      </c>
      <c r="AI830" s="258">
        <f t="shared" si="45"/>
        <v>6</v>
      </c>
      <c r="AJ830" s="60">
        <f t="shared" si="46"/>
        <v>0</v>
      </c>
      <c r="AL830" s="253" t="str">
        <f>IF(AND(AJ840&lt;=AJ830,AJ830&gt;0),B830,"")</f>
        <v/>
      </c>
      <c r="AM830" s="253"/>
      <c r="AN830" s="253"/>
      <c r="AO830" s="253"/>
      <c r="AP830" s="253"/>
      <c r="AQ830" s="253"/>
      <c r="AR830" s="253"/>
      <c r="AS830" s="253"/>
      <c r="AT830" s="6" t="s">
        <v>576</v>
      </c>
      <c r="AV830" s="6" t="str">
        <f t="shared" si="47"/>
        <v/>
      </c>
      <c r="BB830" s="6"/>
    </row>
    <row r="831" spans="1:54" ht="15" thickTop="1" thickBot="1" x14ac:dyDescent="0.3">
      <c r="A831" s="92"/>
      <c r="B831" s="268" t="s">
        <v>581</v>
      </c>
      <c r="C831" s="92"/>
      <c r="D831" s="270" t="s">
        <v>580</v>
      </c>
      <c r="E831" s="92"/>
      <c r="F831" s="1"/>
      <c r="AC831" s="9">
        <f t="shared" si="45"/>
        <v>0</v>
      </c>
      <c r="AD831" s="10">
        <f t="shared" si="45"/>
        <v>0</v>
      </c>
      <c r="AE831" s="236">
        <f t="shared" si="45"/>
        <v>0</v>
      </c>
      <c r="AF831" s="246">
        <f t="shared" si="45"/>
        <v>0</v>
      </c>
      <c r="AG831" s="57">
        <f t="shared" si="45"/>
        <v>0</v>
      </c>
      <c r="AH831" s="249">
        <f t="shared" si="45"/>
        <v>0</v>
      </c>
      <c r="AI831" s="258">
        <f t="shared" si="45"/>
        <v>6</v>
      </c>
      <c r="AJ831" s="60">
        <f t="shared" si="46"/>
        <v>0</v>
      </c>
      <c r="AL831" s="253" t="str">
        <f>IF(AND(AJ843&lt;=AJ831,AJ831&gt;0),B831,"")</f>
        <v/>
      </c>
      <c r="AM831" s="253"/>
      <c r="AN831" s="253"/>
      <c r="AO831" s="253"/>
      <c r="AP831" s="253"/>
      <c r="AQ831" s="253"/>
      <c r="AR831" s="253"/>
      <c r="AS831" s="253"/>
      <c r="AT831" s="6" t="s">
        <v>576</v>
      </c>
      <c r="AV831" s="6" t="str">
        <f t="shared" si="47"/>
        <v/>
      </c>
      <c r="BB831" s="6"/>
    </row>
    <row r="832" spans="1:54" ht="15" thickTop="1" thickBot="1" x14ac:dyDescent="0.3">
      <c r="A832" s="92"/>
      <c r="B832" s="268" t="s">
        <v>582</v>
      </c>
      <c r="C832" s="92"/>
      <c r="D832" s="270" t="s">
        <v>583</v>
      </c>
      <c r="E832" s="92"/>
      <c r="F832" s="1"/>
      <c r="AC832" s="9">
        <f t="shared" si="45"/>
        <v>0</v>
      </c>
      <c r="AD832" s="10">
        <f t="shared" si="45"/>
        <v>0</v>
      </c>
      <c r="AE832" s="236">
        <f t="shared" si="45"/>
        <v>0</v>
      </c>
      <c r="AF832" s="246">
        <f t="shared" si="45"/>
        <v>0</v>
      </c>
      <c r="AG832" s="57">
        <f t="shared" si="45"/>
        <v>0</v>
      </c>
      <c r="AH832" s="249">
        <f t="shared" si="45"/>
        <v>0</v>
      </c>
      <c r="AI832" s="258">
        <f t="shared" si="45"/>
        <v>0</v>
      </c>
      <c r="AJ832" s="60">
        <f t="shared" si="46"/>
        <v>0</v>
      </c>
      <c r="AL832" s="253" t="str">
        <f>IF(AND(AJ844&lt;=AJ832,AJ832&gt;0),B832,"")</f>
        <v/>
      </c>
      <c r="AM832" s="253"/>
      <c r="AN832" s="253"/>
      <c r="AO832" s="253"/>
      <c r="AP832" s="253"/>
      <c r="AQ832" s="253"/>
      <c r="AR832" s="253"/>
      <c r="AS832" s="253"/>
      <c r="AT832" s="6" t="s">
        <v>576</v>
      </c>
      <c r="AV832" s="6" t="str">
        <f t="shared" si="47"/>
        <v/>
      </c>
      <c r="BB832" s="6"/>
    </row>
    <row r="833" spans="1:60" ht="15" thickTop="1" thickBot="1" x14ac:dyDescent="0.3">
      <c r="A833" s="92"/>
      <c r="B833" s="268" t="s">
        <v>569</v>
      </c>
      <c r="C833" s="269"/>
      <c r="D833" s="270"/>
      <c r="E833" s="92"/>
      <c r="F833" s="1"/>
      <c r="AC833" s="9">
        <f t="shared" si="45"/>
        <v>0</v>
      </c>
      <c r="AD833" s="10">
        <f t="shared" si="45"/>
        <v>0</v>
      </c>
      <c r="AE833" s="236">
        <f t="shared" si="45"/>
        <v>0</v>
      </c>
      <c r="AF833" s="246">
        <f t="shared" si="45"/>
        <v>0</v>
      </c>
      <c r="AG833" s="57">
        <f t="shared" si="45"/>
        <v>0</v>
      </c>
      <c r="AH833" s="249">
        <f t="shared" si="45"/>
        <v>0</v>
      </c>
      <c r="AI833" s="258">
        <f t="shared" si="45"/>
        <v>0</v>
      </c>
      <c r="AJ833" s="60">
        <f t="shared" si="46"/>
        <v>0</v>
      </c>
      <c r="AL833" s="253" t="str">
        <f>IF(AND(AJ845&lt;=AJ833,AJ833&gt;0),C833,"")</f>
        <v/>
      </c>
      <c r="AM833" s="253"/>
      <c r="AN833" s="253"/>
      <c r="AO833" s="253"/>
      <c r="AP833" s="253"/>
      <c r="AQ833" s="253"/>
      <c r="AR833" s="253"/>
      <c r="AS833" s="253"/>
      <c r="AT833" s="6" t="s">
        <v>576</v>
      </c>
      <c r="AV833" s="6" t="str">
        <f t="shared" si="47"/>
        <v/>
      </c>
      <c r="BB833" s="6"/>
    </row>
    <row r="834" spans="1:60" ht="4.95" customHeight="1" thickTop="1" x14ac:dyDescent="0.25">
      <c r="A834" s="92"/>
      <c r="B834" s="268"/>
      <c r="C834" s="92"/>
      <c r="D834" s="92"/>
      <c r="E834" s="92"/>
      <c r="F834" s="1"/>
    </row>
    <row r="835" spans="1:60" ht="15" customHeight="1" thickBot="1" x14ac:dyDescent="0.3">
      <c r="A835" s="92"/>
      <c r="B835" s="246" t="s">
        <v>584</v>
      </c>
      <c r="C835" s="246"/>
      <c r="D835" s="246"/>
      <c r="E835" s="92"/>
      <c r="F835" s="1"/>
      <c r="AK835" s="6" t="s">
        <v>585</v>
      </c>
      <c r="AR835" s="6" t="s">
        <v>586</v>
      </c>
      <c r="BA835" s="6" t="str">
        <f>AK827</f>
        <v>this claimant</v>
      </c>
      <c r="BB835" s="6"/>
      <c r="BD835" s="271" t="s">
        <v>550</v>
      </c>
    </row>
    <row r="836" spans="1:60" ht="28.05" customHeight="1" thickTop="1" thickBot="1" x14ac:dyDescent="0.3">
      <c r="A836" s="92"/>
      <c r="B836" s="596"/>
      <c r="C836" s="597"/>
      <c r="D836" s="598"/>
      <c r="E836" s="92"/>
      <c r="F836" s="1"/>
      <c r="AC836" s="579" t="str">
        <f>CONCATENATE(AK817,AT818,AT819,AT820,AT821,AT822,AT823,AR817,AU817,AK827,AN827,AV828,AV829,AV830,AV831,AV832,AV827,AZ827,AK835,AR835,BA835,BD835)</f>
        <v xml:space="preserve">Despite challenging economic needs, mental health needs, relationships needs, and other needs, this claimant aspires toward income independence, maintaining healthy lifestyle, and other life improvements. Removing illicit discrimination will go a long way toward improving this claimant's life. </v>
      </c>
      <c r="AD836" s="580"/>
      <c r="AE836" s="580"/>
      <c r="AF836" s="580"/>
      <c r="AG836" s="580"/>
      <c r="AH836" s="580"/>
      <c r="AI836" s="580"/>
      <c r="AJ836" s="580"/>
      <c r="AK836" s="580"/>
      <c r="AL836" s="580"/>
      <c r="AM836" s="580"/>
      <c r="AN836" s="580"/>
      <c r="AO836" s="580"/>
      <c r="AP836" s="580"/>
      <c r="AQ836" s="580"/>
      <c r="AR836" s="580"/>
      <c r="AS836" s="580"/>
      <c r="AT836" s="580"/>
      <c r="AU836" s="580"/>
      <c r="AV836" s="580"/>
      <c r="AW836" s="580"/>
      <c r="AX836" s="580"/>
      <c r="AY836" s="580"/>
      <c r="AZ836" s="580"/>
      <c r="BA836" s="580"/>
      <c r="BB836" s="580"/>
      <c r="BC836" s="580"/>
      <c r="BD836" s="580"/>
      <c r="BE836" s="580"/>
      <c r="BF836" s="580"/>
      <c r="BG836" s="580"/>
      <c r="BH836" s="580"/>
    </row>
    <row r="837" spans="1:60" ht="10.050000000000001" customHeight="1" thickTop="1" x14ac:dyDescent="0.25">
      <c r="A837" s="92"/>
      <c r="B837" s="92"/>
      <c r="C837" s="92"/>
      <c r="D837" s="92"/>
      <c r="E837" s="92"/>
      <c r="F837" s="1"/>
    </row>
    <row r="838" spans="1:60" ht="15" customHeight="1" x14ac:dyDescent="0.25">
      <c r="A838" s="242"/>
      <c r="B838" s="92"/>
      <c r="C838" s="92"/>
      <c r="D838" s="92"/>
      <c r="E838" s="92"/>
      <c r="F838" s="1"/>
    </row>
    <row r="839" spans="1:60" ht="30" customHeight="1" x14ac:dyDescent="0.25">
      <c r="A839" s="46" t="s">
        <v>93</v>
      </c>
      <c r="B839" s="46" t="s">
        <v>587</v>
      </c>
      <c r="C839" s="46"/>
      <c r="D839" s="45"/>
      <c r="E839" s="45"/>
      <c r="F839" s="475" t="s">
        <v>949</v>
      </c>
    </row>
    <row r="840" spans="1:60" s="28" customFormat="1" ht="30" customHeight="1" x14ac:dyDescent="0.3">
      <c r="A840" s="48"/>
      <c r="B840" s="581" t="s">
        <v>588</v>
      </c>
      <c r="C840" s="581"/>
      <c r="D840" s="581"/>
      <c r="E840" s="49"/>
      <c r="F840" s="108"/>
      <c r="G840" s="238"/>
      <c r="H840" s="238"/>
      <c r="I840" s="238"/>
      <c r="J840" s="238"/>
      <c r="K840" s="238"/>
      <c r="L840" s="238"/>
      <c r="M840" s="238"/>
      <c r="N840" s="238"/>
      <c r="O840" s="238"/>
      <c r="P840" s="238"/>
      <c r="Q840" s="238"/>
      <c r="R840" s="238"/>
      <c r="S840" s="238"/>
      <c r="T840" s="238"/>
      <c r="U840" s="238"/>
      <c r="V840" s="238"/>
      <c r="W840" s="238"/>
      <c r="X840" s="238"/>
      <c r="Y840" s="238"/>
      <c r="Z840" s="238"/>
      <c r="BB840" s="272"/>
    </row>
    <row r="841" spans="1:60" s="28" customFormat="1" ht="30" customHeight="1" x14ac:dyDescent="0.3">
      <c r="A841" s="48"/>
      <c r="B841" s="581" t="s">
        <v>589</v>
      </c>
      <c r="C841" s="581"/>
      <c r="D841" s="581"/>
      <c r="E841" s="49"/>
      <c r="F841" s="108"/>
      <c r="G841" s="238"/>
      <c r="H841" s="238"/>
      <c r="I841" s="238"/>
      <c r="J841" s="238"/>
      <c r="K841" s="238"/>
      <c r="L841" s="238"/>
      <c r="M841" s="238"/>
      <c r="N841" s="238"/>
      <c r="O841" s="238"/>
      <c r="P841" s="238"/>
      <c r="Q841" s="238"/>
      <c r="R841" s="238"/>
      <c r="S841" s="238"/>
      <c r="T841" s="238"/>
      <c r="U841" s="238"/>
      <c r="V841" s="238"/>
      <c r="W841" s="238"/>
      <c r="X841" s="238"/>
      <c r="Y841" s="238"/>
      <c r="Z841" s="238"/>
      <c r="BB841" s="272"/>
    </row>
    <row r="842" spans="1:60" s="28" customFormat="1" ht="10.050000000000001" customHeight="1" x14ac:dyDescent="0.25">
      <c r="A842" s="273"/>
      <c r="B842" s="273"/>
      <c r="C842" s="273"/>
      <c r="D842" s="273"/>
      <c r="E842" s="107"/>
      <c r="F842" s="1"/>
      <c r="G842" s="238"/>
      <c r="H842" s="238"/>
      <c r="I842" s="238"/>
      <c r="J842" s="238"/>
      <c r="K842" s="238"/>
      <c r="L842" s="238"/>
      <c r="M842" s="238"/>
      <c r="N842" s="238"/>
      <c r="O842" s="238"/>
      <c r="P842" s="238"/>
      <c r="Q842" s="238"/>
      <c r="R842" s="238"/>
      <c r="S842" s="238"/>
      <c r="T842" s="238"/>
      <c r="U842" s="238"/>
      <c r="V842" s="238"/>
      <c r="W842" s="238"/>
      <c r="X842" s="238"/>
      <c r="Y842" s="238"/>
      <c r="Z842" s="238"/>
      <c r="BB842" s="272"/>
    </row>
    <row r="843" spans="1:60" ht="15.6" x14ac:dyDescent="0.25">
      <c r="A843" s="273">
        <f>A813+1</f>
        <v>67</v>
      </c>
      <c r="B843" s="273" t="s">
        <v>590</v>
      </c>
      <c r="C843" s="273"/>
      <c r="D843" s="273"/>
      <c r="E843" s="107"/>
      <c r="F843" s="1"/>
    </row>
    <row r="844" spans="1:60" ht="34.950000000000003" customHeight="1" x14ac:dyDescent="0.25">
      <c r="A844" s="274"/>
      <c r="B844" s="591" t="s">
        <v>591</v>
      </c>
      <c r="C844" s="591"/>
      <c r="D844" s="591"/>
      <c r="E844" s="107"/>
      <c r="F844" s="1"/>
    </row>
    <row r="845" spans="1:60" ht="75" customHeight="1" x14ac:dyDescent="0.25">
      <c r="A845" s="274"/>
      <c r="B845" s="592" t="str">
        <f>AF845</f>
        <v>Asexual person comes out as transgender in early 90s, gets falsely accused as being a “sexual predator” homophobic stereotype. Convicted without evidence. Must register as sex offender for life. Forced into poverty and homelessness.</v>
      </c>
      <c r="C845" s="592"/>
      <c r="D845" s="592"/>
      <c r="E845" s="107"/>
      <c r="F845" s="1"/>
      <c r="AF845" s="6" t="s">
        <v>592</v>
      </c>
    </row>
    <row r="846" spans="1:60" ht="10.050000000000001" customHeight="1" x14ac:dyDescent="0.25">
      <c r="A846" s="274"/>
      <c r="B846" s="107"/>
      <c r="C846" s="107"/>
      <c r="D846" s="107"/>
      <c r="E846" s="107"/>
      <c r="F846" s="1"/>
    </row>
    <row r="847" spans="1:60" ht="15.6" customHeight="1" x14ac:dyDescent="0.25">
      <c r="A847" s="273">
        <f>A843+1</f>
        <v>68</v>
      </c>
      <c r="B847" s="273" t="s">
        <v>593</v>
      </c>
      <c r="C847" s="273"/>
      <c r="D847" s="273"/>
      <c r="E847" s="107"/>
      <c r="F847" s="1"/>
    </row>
    <row r="848" spans="1:60" ht="34.950000000000003" customHeight="1" x14ac:dyDescent="0.25">
      <c r="A848" s="274"/>
      <c r="B848" s="593" t="s">
        <v>594</v>
      </c>
      <c r="C848" s="593"/>
      <c r="D848" s="593"/>
      <c r="E848" s="107"/>
      <c r="F848" s="1"/>
    </row>
    <row r="849" spans="1:52" ht="19.95" customHeight="1" thickBot="1" x14ac:dyDescent="0.3">
      <c r="A849" s="274"/>
      <c r="B849" s="275" t="s">
        <v>595</v>
      </c>
      <c r="C849" s="594" t="str">
        <f>IF(AG849="","",AG849)</f>
        <v>No other criminal history</v>
      </c>
      <c r="D849" s="594"/>
      <c r="E849" s="107"/>
      <c r="F849" s="1"/>
      <c r="AE849" s="6">
        <v>1</v>
      </c>
      <c r="AG849" s="6" t="str">
        <f>AD284</f>
        <v>No other criminal history</v>
      </c>
      <c r="AM849" s="6" t="s">
        <v>596</v>
      </c>
      <c r="AR849" s="6" t="str">
        <f t="shared" ref="AR849:AR858" si="48">CONCATENATE(B849,AM$849)</f>
        <v>Highlight 1 will display here</v>
      </c>
    </row>
    <row r="850" spans="1:52" ht="19.95" customHeight="1" thickBot="1" x14ac:dyDescent="0.3">
      <c r="A850" s="274"/>
      <c r="B850" s="275" t="s">
        <v>597</v>
      </c>
      <c r="C850" s="594" t="str">
        <f t="shared" ref="C850:C858" si="49">IF(AG850="","",AG850)</f>
        <v>Consistently maintained innocence, took no plea deals</v>
      </c>
      <c r="D850" s="594"/>
      <c r="E850" s="107"/>
      <c r="F850" s="1"/>
      <c r="AE850" s="6">
        <v>2</v>
      </c>
      <c r="AG850" s="6" t="str">
        <f>IF(AD186&gt;0,AZ850,"")</f>
        <v>Consistently maintained innocence, took no plea deals</v>
      </c>
      <c r="AR850" s="6" t="str">
        <f t="shared" si="48"/>
        <v>Highlight 2 will display here</v>
      </c>
      <c r="AZ850" s="5" t="s">
        <v>598</v>
      </c>
    </row>
    <row r="851" spans="1:52" ht="19.95" customHeight="1" thickBot="1" x14ac:dyDescent="0.3">
      <c r="A851" s="274"/>
      <c r="B851" s="275" t="s">
        <v>599</v>
      </c>
      <c r="C851" s="594" t="str">
        <f t="shared" si="49"/>
        <v>Transphobic investigation and prosecution</v>
      </c>
      <c r="D851" s="594"/>
      <c r="E851" s="107"/>
      <c r="F851" s="1"/>
      <c r="AE851" s="6">
        <v>3</v>
      </c>
      <c r="AG851" s="5" t="s">
        <v>600</v>
      </c>
      <c r="AH851" s="5"/>
      <c r="AR851" s="6" t="str">
        <f t="shared" si="48"/>
        <v>Highlight 3 will display here</v>
      </c>
    </row>
    <row r="852" spans="1:52" ht="19.95" customHeight="1" thickBot="1" x14ac:dyDescent="0.3">
      <c r="A852" s="274"/>
      <c r="B852" s="275" t="s">
        <v>601</v>
      </c>
      <c r="C852" s="594" t="str">
        <f t="shared" si="49"/>
        <v>Convicted without corroborating evidence</v>
      </c>
      <c r="D852" s="594"/>
      <c r="E852" s="107"/>
      <c r="F852" s="1"/>
      <c r="AE852" s="6">
        <v>4</v>
      </c>
      <c r="AG852" s="5" t="s">
        <v>602</v>
      </c>
      <c r="AH852" s="5"/>
      <c r="AR852" s="6" t="str">
        <f t="shared" si="48"/>
        <v>Highlight 4 will display here</v>
      </c>
    </row>
    <row r="853" spans="1:52" ht="19.95" customHeight="1" thickBot="1" x14ac:dyDescent="0.3">
      <c r="A853" s="274"/>
      <c r="B853" s="275" t="s">
        <v>603</v>
      </c>
      <c r="C853" s="594" t="str">
        <f t="shared" si="49"/>
        <v>Climate of sex abuse hysteria</v>
      </c>
      <c r="D853" s="594"/>
      <c r="E853" s="107"/>
      <c r="F853" s="1"/>
      <c r="AE853" s="6">
        <v>5</v>
      </c>
      <c r="AG853" s="5" t="s">
        <v>604</v>
      </c>
      <c r="AH853" s="5"/>
      <c r="AR853" s="6" t="str">
        <f t="shared" si="48"/>
        <v>Highlight 5 will display here</v>
      </c>
    </row>
    <row r="854" spans="1:52" ht="19.95" customHeight="1" thickBot="1" x14ac:dyDescent="0.3">
      <c r="A854" s="274"/>
      <c r="B854" s="275" t="s">
        <v>605</v>
      </c>
      <c r="C854" s="594" t="str">
        <f t="shared" si="49"/>
        <v>Media sensationalized coverage</v>
      </c>
      <c r="D854" s="594"/>
      <c r="E854" s="107"/>
      <c r="F854" s="1"/>
      <c r="AE854" s="6">
        <v>6</v>
      </c>
      <c r="AG854" s="5" t="s">
        <v>606</v>
      </c>
      <c r="AH854" s="5"/>
      <c r="AR854" s="6" t="str">
        <f t="shared" si="48"/>
        <v>Highlight 6 will display here</v>
      </c>
    </row>
    <row r="855" spans="1:52" ht="19.95" customHeight="1" thickBot="1" x14ac:dyDescent="0.3">
      <c r="A855" s="274"/>
      <c r="B855" s="275" t="s">
        <v>607</v>
      </c>
      <c r="C855" s="594" t="str">
        <f t="shared" si="49"/>
        <v>Exculpatory evidence overlooked with untested DNA</v>
      </c>
      <c r="D855" s="594"/>
      <c r="E855" s="107"/>
      <c r="F855" s="1"/>
      <c r="AE855" s="6">
        <v>7</v>
      </c>
      <c r="AG855" s="5" t="s">
        <v>608</v>
      </c>
      <c r="AH855" s="5"/>
      <c r="AR855" s="6" t="str">
        <f t="shared" si="48"/>
        <v>Highlight 7 will display here</v>
      </c>
    </row>
    <row r="856" spans="1:52" ht="19.95" customHeight="1" thickBot="1" x14ac:dyDescent="0.3">
      <c r="A856" s="274"/>
      <c r="B856" s="275" t="s">
        <v>609</v>
      </c>
      <c r="C856" s="594" t="str">
        <f t="shared" si="49"/>
        <v>Asexual transperson must register for life as "sex offender"</v>
      </c>
      <c r="D856" s="594"/>
      <c r="E856" s="107"/>
      <c r="F856" s="1"/>
      <c r="AE856" s="6">
        <v>8</v>
      </c>
      <c r="AG856" s="5" t="s">
        <v>610</v>
      </c>
      <c r="AH856" s="5"/>
      <c r="AR856" s="6" t="str">
        <f t="shared" si="48"/>
        <v>Highlight 8 will display here</v>
      </c>
    </row>
    <row r="857" spans="1:52" ht="19.95" customHeight="1" thickBot="1" x14ac:dyDescent="0.3">
      <c r="A857" s="274"/>
      <c r="B857" s="275" t="s">
        <v>611</v>
      </c>
      <c r="C857" s="594" t="str">
        <f t="shared" si="49"/>
        <v/>
      </c>
      <c r="D857" s="594"/>
      <c r="E857" s="107"/>
      <c r="F857" s="1"/>
      <c r="AE857" s="6">
        <v>9</v>
      </c>
      <c r="AG857" s="5"/>
      <c r="AH857" s="5"/>
      <c r="AR857" s="6" t="str">
        <f t="shared" si="48"/>
        <v>Highlight 9 will display here</v>
      </c>
    </row>
    <row r="858" spans="1:52" ht="19.95" customHeight="1" thickBot="1" x14ac:dyDescent="0.3">
      <c r="A858" s="274"/>
      <c r="B858" s="275" t="s">
        <v>612</v>
      </c>
      <c r="C858" s="594" t="str">
        <f t="shared" si="49"/>
        <v/>
      </c>
      <c r="D858" s="594"/>
      <c r="E858" s="107"/>
      <c r="F858" s="1"/>
      <c r="AE858" s="6">
        <v>10</v>
      </c>
      <c r="AG858" s="5"/>
      <c r="AH858" s="5"/>
      <c r="AR858" s="6" t="str">
        <f t="shared" si="48"/>
        <v>Highlight 10 will display here</v>
      </c>
    </row>
    <row r="859" spans="1:52" ht="15" customHeight="1" x14ac:dyDescent="0.25">
      <c r="A859" s="274"/>
      <c r="B859" s="274"/>
      <c r="C859" s="274"/>
      <c r="D859" s="274"/>
      <c r="E859" s="274"/>
      <c r="F859" s="1"/>
    </row>
    <row r="860" spans="1:52" ht="15" customHeight="1" x14ac:dyDescent="0.25">
      <c r="A860" s="273">
        <f>A847+1</f>
        <v>69</v>
      </c>
      <c r="B860" s="273" t="s">
        <v>613</v>
      </c>
      <c r="C860" s="274"/>
      <c r="D860" s="274"/>
      <c r="E860" s="274"/>
      <c r="F860" s="1"/>
    </row>
    <row r="861" spans="1:52" ht="30" customHeight="1" x14ac:dyDescent="0.25">
      <c r="A861" s="274"/>
      <c r="B861" s="593" t="s">
        <v>614</v>
      </c>
      <c r="C861" s="593"/>
      <c r="D861" s="593"/>
      <c r="E861" s="274"/>
      <c r="F861" s="1"/>
    </row>
    <row r="862" spans="1:52" ht="108" customHeight="1" x14ac:dyDescent="0.25">
      <c r="A862" s="274"/>
      <c r="B862" s="592" t="str">
        <f>AG862</f>
        <v>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v>
      </c>
      <c r="C862" s="592"/>
      <c r="D862" s="592"/>
      <c r="E862" s="274"/>
      <c r="F862" s="1"/>
      <c r="AG862" s="6" t="s">
        <v>615</v>
      </c>
    </row>
    <row r="863" spans="1:52" ht="10.050000000000001" customHeight="1" x14ac:dyDescent="0.25">
      <c r="A863" s="274"/>
      <c r="B863" s="107"/>
      <c r="C863" s="107"/>
      <c r="D863" s="107"/>
      <c r="E863" s="107"/>
      <c r="F863" s="1"/>
    </row>
    <row r="864" spans="1:52" ht="15.6" customHeight="1" x14ac:dyDescent="0.25">
      <c r="A864" s="273">
        <f>A860+1</f>
        <v>70</v>
      </c>
      <c r="B864" s="273" t="s">
        <v>616</v>
      </c>
      <c r="C864" s="273"/>
      <c r="D864" s="273"/>
      <c r="E864" s="107"/>
      <c r="F864" s="1"/>
    </row>
    <row r="865" spans="1:35" ht="45" customHeight="1" x14ac:dyDescent="0.25">
      <c r="A865" s="274"/>
      <c r="B865" s="591" t="s">
        <v>617</v>
      </c>
      <c r="C865" s="591"/>
      <c r="D865" s="591"/>
      <c r="E865" s="107"/>
      <c r="F865" s="1"/>
    </row>
    <row r="866" spans="1:35" ht="16.95" customHeight="1" x14ac:dyDescent="0.25">
      <c r="A866" s="274"/>
      <c r="B866" s="276" t="s">
        <v>618</v>
      </c>
      <c r="C866" s="277"/>
      <c r="D866" s="277"/>
      <c r="E866" s="107"/>
      <c r="F866" s="1"/>
    </row>
    <row r="867" spans="1:35" ht="16.95" customHeight="1" x14ac:dyDescent="0.25">
      <c r="A867" s="274"/>
      <c r="B867" s="591" t="s">
        <v>619</v>
      </c>
      <c r="C867" s="591"/>
      <c r="D867" s="591"/>
      <c r="E867" s="107"/>
      <c r="F867" s="1"/>
    </row>
    <row r="868" spans="1:35" ht="16.95" customHeight="1" x14ac:dyDescent="0.25">
      <c r="A868" s="274"/>
      <c r="B868" s="591" t="s">
        <v>620</v>
      </c>
      <c r="C868" s="591"/>
      <c r="D868" s="591"/>
      <c r="E868" s="107"/>
      <c r="F868" s="1"/>
    </row>
    <row r="869" spans="1:35" ht="16.95" customHeight="1" x14ac:dyDescent="0.25">
      <c r="A869" s="274"/>
      <c r="B869" s="591" t="s">
        <v>621</v>
      </c>
      <c r="C869" s="591"/>
      <c r="D869" s="591"/>
      <c r="E869" s="107"/>
      <c r="F869" s="1"/>
    </row>
    <row r="870" spans="1:35" ht="16.95" customHeight="1" x14ac:dyDescent="0.25">
      <c r="A870" s="274"/>
      <c r="B870" s="591" t="s">
        <v>622</v>
      </c>
      <c r="C870" s="591"/>
      <c r="D870" s="591"/>
      <c r="E870" s="107"/>
      <c r="F870" s="1"/>
    </row>
    <row r="871" spans="1:35" ht="400.05" customHeight="1" x14ac:dyDescent="0.25">
      <c r="A871" s="274"/>
      <c r="B871" s="605" t="str">
        <f>AI871</f>
        <v>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
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
A neighborhood child drew curious, peeping into Janet’s window to gawk at what she called the "man with lipstick." When caught not being home on time, the child leveled bizarre claims of sex abuse unbecoming from a child. Exposed to porn?
The child then dragged Steph into her transphobic-indoctrinated accusations. The child claimed Steph posed with her as if she, the young child, was stabbing Steph in the chest with a jelly stained butter knife. She claimed this was to scare her from talking to police, that we would say she was the aggressor. Unbelievable? Not if you already believe trans people are subhuman.
Child testimonies back then were often coached. Trans people were easily vilified. Since no corroborating evidence was necessary back then to convict for sexual misconduct, both transwomen were wrongly convicted and sentenced to long terms in men’s prisons, where Steph’s codefendant transgender sibling died in 2001.
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v>
      </c>
      <c r="C871" s="605"/>
      <c r="D871" s="605"/>
      <c r="E871" s="107"/>
      <c r="F871" s="1"/>
      <c r="AF871" s="278" t="s">
        <v>623</v>
      </c>
      <c r="AI871" s="278" t="s">
        <v>624</v>
      </c>
    </row>
    <row r="872" spans="1:35" ht="4.95" customHeight="1" x14ac:dyDescent="0.25">
      <c r="A872" s="274"/>
      <c r="B872" s="605"/>
      <c r="C872" s="605"/>
      <c r="D872" s="605"/>
      <c r="E872" s="107"/>
      <c r="F872" s="1"/>
    </row>
    <row r="873" spans="1:35" x14ac:dyDescent="0.25">
      <c r="A873" s="274"/>
      <c r="B873" s="605"/>
      <c r="C873" s="605"/>
      <c r="D873" s="605"/>
      <c r="E873" s="274"/>
      <c r="F873" s="1"/>
    </row>
    <row r="874" spans="1:35" x14ac:dyDescent="0.25">
      <c r="A874" s="274"/>
      <c r="B874" s="605"/>
      <c r="C874" s="605"/>
      <c r="D874" s="605"/>
      <c r="E874" s="107"/>
      <c r="F874" s="1"/>
    </row>
    <row r="875" spans="1:35" x14ac:dyDescent="0.25">
      <c r="A875" s="274"/>
      <c r="B875" s="605"/>
      <c r="C875" s="605"/>
      <c r="D875" s="605"/>
      <c r="E875" s="107"/>
      <c r="F875" s="1"/>
    </row>
    <row r="876" spans="1:35" x14ac:dyDescent="0.25">
      <c r="A876" s="274"/>
      <c r="B876" s="605"/>
      <c r="C876" s="605"/>
      <c r="D876" s="605"/>
      <c r="E876" s="107"/>
      <c r="F876" s="1"/>
    </row>
    <row r="877" spans="1:35" x14ac:dyDescent="0.25">
      <c r="A877" s="274"/>
      <c r="B877" s="605"/>
      <c r="C877" s="605"/>
      <c r="D877" s="605"/>
      <c r="E877" s="274"/>
      <c r="F877" s="1"/>
    </row>
    <row r="878" spans="1:35" ht="15.6" x14ac:dyDescent="0.25">
      <c r="A878" s="273"/>
      <c r="B878" s="605"/>
      <c r="C878" s="605"/>
      <c r="D878" s="605"/>
      <c r="E878" s="107"/>
      <c r="F878" s="1"/>
    </row>
    <row r="879" spans="1:35" ht="16.95" customHeight="1" x14ac:dyDescent="0.25">
      <c r="A879" s="274"/>
      <c r="B879" s="605"/>
      <c r="C879" s="605"/>
      <c r="D879" s="605"/>
      <c r="E879" s="274"/>
      <c r="F879" s="1"/>
    </row>
    <row r="880" spans="1:35" x14ac:dyDescent="0.25">
      <c r="A880" s="274"/>
      <c r="B880" s="107"/>
      <c r="C880" s="107"/>
      <c r="D880" s="107"/>
      <c r="E880" s="107"/>
      <c r="F880" s="1"/>
    </row>
    <row r="881" spans="1:54" ht="10.050000000000001" customHeight="1" x14ac:dyDescent="0.25">
      <c r="A881" s="274"/>
      <c r="B881" s="107"/>
      <c r="C881" s="107"/>
      <c r="D881" s="107"/>
      <c r="E881" s="107"/>
      <c r="F881" s="1"/>
    </row>
    <row r="882" spans="1:54" ht="30" hidden="1" customHeight="1" x14ac:dyDescent="0.25">
      <c r="A882" s="45" t="s">
        <v>95</v>
      </c>
      <c r="B882" s="46" t="s">
        <v>625</v>
      </c>
      <c r="C882" s="45"/>
      <c r="D882" s="45"/>
      <c r="E882" s="45"/>
      <c r="F882" s="45"/>
      <c r="BB882" s="6"/>
    </row>
    <row r="883" spans="1:54" ht="64.95" hidden="1" customHeight="1" x14ac:dyDescent="0.25">
      <c r="A883" s="48"/>
      <c r="B883" s="531" t="s">
        <v>626</v>
      </c>
      <c r="C883" s="531"/>
      <c r="D883" s="531"/>
      <c r="E883" s="49"/>
      <c r="F883" s="108"/>
      <c r="AO883" s="599" t="s">
        <v>627</v>
      </c>
      <c r="AP883" s="599"/>
      <c r="AQ883" s="599"/>
      <c r="BB883" s="6"/>
    </row>
    <row r="884" spans="1:54" ht="4.95" hidden="1" customHeight="1" x14ac:dyDescent="0.25">
      <c r="A884" s="253"/>
      <c r="B884" s="253"/>
      <c r="C884" s="253"/>
      <c r="D884" s="253"/>
      <c r="E884" s="253"/>
      <c r="F884" s="1"/>
      <c r="BB884" s="6"/>
    </row>
    <row r="885" spans="1:54" ht="25.05" hidden="1" customHeight="1" x14ac:dyDescent="0.25">
      <c r="A885" s="253"/>
      <c r="B885" s="265" t="s">
        <v>628</v>
      </c>
      <c r="C885" s="265"/>
      <c r="D885" s="265"/>
      <c r="E885" s="253"/>
      <c r="F885" s="1"/>
    </row>
    <row r="886" spans="1:54" ht="34.950000000000003" hidden="1" customHeight="1" x14ac:dyDescent="0.25">
      <c r="A886" s="253"/>
      <c r="B886" s="600" t="s">
        <v>629</v>
      </c>
      <c r="C886" s="600"/>
      <c r="D886" s="600"/>
      <c r="E886" s="253"/>
      <c r="F886" s="1"/>
      <c r="AC886" s="279" t="str">
        <f>D911</f>
        <v>Not at all</v>
      </c>
      <c r="AD886" s="279" t="str">
        <f>D912</f>
        <v>Mildly, but it didn’t bother me much</v>
      </c>
      <c r="AE886" s="279" t="str">
        <f>D913</f>
        <v>Moderately – it wasn’t pleasant at times</v>
      </c>
      <c r="AF886" s="279" t="str">
        <f>D914</f>
        <v>Severely – it bothered me a lot</v>
      </c>
    </row>
    <row r="887" spans="1:54" ht="4.95" hidden="1" customHeight="1" x14ac:dyDescent="0.3">
      <c r="A887" s="253"/>
      <c r="B887" s="280"/>
      <c r="C887" s="280"/>
      <c r="D887" s="280"/>
      <c r="E887" s="253"/>
      <c r="F887" s="1"/>
      <c r="AC887">
        <v>0</v>
      </c>
      <c r="AD887">
        <v>1</v>
      </c>
      <c r="AE887">
        <v>2</v>
      </c>
      <c r="AF887">
        <v>3</v>
      </c>
      <c r="AG887"/>
    </row>
    <row r="888" spans="1:54" ht="15" hidden="1" x14ac:dyDescent="0.3">
      <c r="A888" s="253"/>
      <c r="B888" s="281"/>
      <c r="C888" s="280"/>
      <c r="D888" s="282" t="s">
        <v>630</v>
      </c>
      <c r="E888" s="253"/>
      <c r="F888" s="1"/>
      <c r="AC888"/>
      <c r="AD888"/>
      <c r="AE888"/>
      <c r="AF888"/>
      <c r="AG888"/>
    </row>
    <row r="889" spans="1:54" ht="18" hidden="1" customHeight="1" thickTop="1" thickBot="1" x14ac:dyDescent="0.35">
      <c r="A889" s="253"/>
      <c r="B889" s="283" t="s">
        <v>631</v>
      </c>
      <c r="C889" s="280"/>
      <c r="D889" s="284"/>
      <c r="E889" s="253"/>
      <c r="F889" s="1"/>
      <c r="AC889">
        <f t="shared" ref="AC889:AF909" si="50">IF($D889=AC$886,AC$887,0)</f>
        <v>0</v>
      </c>
      <c r="AD889">
        <f t="shared" si="50"/>
        <v>0</v>
      </c>
      <c r="AE889">
        <f t="shared" si="50"/>
        <v>0</v>
      </c>
      <c r="AF889">
        <f t="shared" si="50"/>
        <v>0</v>
      </c>
      <c r="AG889" s="76">
        <f>SUM(AC889:AF889)</f>
        <v>0</v>
      </c>
    </row>
    <row r="890" spans="1:54" ht="18" hidden="1" customHeight="1" thickTop="1" thickBot="1" x14ac:dyDescent="0.35">
      <c r="A890" s="253"/>
      <c r="B890" s="283" t="s">
        <v>632</v>
      </c>
      <c r="C890" s="280"/>
      <c r="D890" s="284"/>
      <c r="E890" s="253"/>
      <c r="F890" s="1"/>
      <c r="AC890">
        <f t="shared" si="50"/>
        <v>0</v>
      </c>
      <c r="AD890">
        <f t="shared" si="50"/>
        <v>0</v>
      </c>
      <c r="AE890">
        <f t="shared" si="50"/>
        <v>0</v>
      </c>
      <c r="AF890">
        <f t="shared" si="50"/>
        <v>0</v>
      </c>
      <c r="AG890" s="76">
        <f t="shared" ref="AG890:AG909" si="51">SUM(AC890:AF890)</f>
        <v>0</v>
      </c>
    </row>
    <row r="891" spans="1:54" ht="18" hidden="1" customHeight="1" thickTop="1" thickBot="1" x14ac:dyDescent="0.35">
      <c r="A891" s="253"/>
      <c r="B891" s="283" t="s">
        <v>633</v>
      </c>
      <c r="C891" s="280"/>
      <c r="D891" s="284"/>
      <c r="E891" s="253"/>
      <c r="F891" s="1"/>
      <c r="AC891">
        <f t="shared" si="50"/>
        <v>0</v>
      </c>
      <c r="AD891">
        <f t="shared" si="50"/>
        <v>0</v>
      </c>
      <c r="AE891">
        <f t="shared" si="50"/>
        <v>0</v>
      </c>
      <c r="AF891">
        <f t="shared" si="50"/>
        <v>0</v>
      </c>
      <c r="AG891" s="76">
        <f t="shared" si="51"/>
        <v>0</v>
      </c>
    </row>
    <row r="892" spans="1:54" ht="18" hidden="1" customHeight="1" thickTop="1" thickBot="1" x14ac:dyDescent="0.35">
      <c r="A892" s="253"/>
      <c r="B892" s="283" t="s">
        <v>634</v>
      </c>
      <c r="C892" s="280"/>
      <c r="D892" s="284"/>
      <c r="E892" s="253"/>
      <c r="F892" s="1"/>
      <c r="AC892">
        <f t="shared" si="50"/>
        <v>0</v>
      </c>
      <c r="AD892">
        <f t="shared" si="50"/>
        <v>0</v>
      </c>
      <c r="AE892">
        <f t="shared" si="50"/>
        <v>0</v>
      </c>
      <c r="AF892">
        <f t="shared" si="50"/>
        <v>0</v>
      </c>
      <c r="AG892" s="76">
        <f t="shared" si="51"/>
        <v>0</v>
      </c>
    </row>
    <row r="893" spans="1:54" ht="18" hidden="1" customHeight="1" thickTop="1" thickBot="1" x14ac:dyDescent="0.35">
      <c r="A893" s="253"/>
      <c r="B893" s="283" t="s">
        <v>635</v>
      </c>
      <c r="C893" s="280"/>
      <c r="D893" s="284"/>
      <c r="E893" s="253"/>
      <c r="F893" s="1"/>
      <c r="AC893">
        <f t="shared" si="50"/>
        <v>0</v>
      </c>
      <c r="AD893">
        <f t="shared" si="50"/>
        <v>0</v>
      </c>
      <c r="AE893">
        <f t="shared" si="50"/>
        <v>0</v>
      </c>
      <c r="AF893">
        <f t="shared" si="50"/>
        <v>0</v>
      </c>
      <c r="AG893" s="76">
        <f t="shared" si="51"/>
        <v>0</v>
      </c>
    </row>
    <row r="894" spans="1:54" ht="18" hidden="1" customHeight="1" thickTop="1" thickBot="1" x14ac:dyDescent="0.35">
      <c r="A894" s="253"/>
      <c r="B894" s="283" t="s">
        <v>636</v>
      </c>
      <c r="C894" s="280"/>
      <c r="D894" s="284"/>
      <c r="E894" s="253"/>
      <c r="F894" s="1"/>
      <c r="AC894">
        <f t="shared" si="50"/>
        <v>0</v>
      </c>
      <c r="AD894">
        <f t="shared" si="50"/>
        <v>0</v>
      </c>
      <c r="AE894">
        <f t="shared" si="50"/>
        <v>0</v>
      </c>
      <c r="AF894">
        <f t="shared" si="50"/>
        <v>0</v>
      </c>
      <c r="AG894" s="76">
        <f t="shared" si="51"/>
        <v>0</v>
      </c>
    </row>
    <row r="895" spans="1:54" ht="18" hidden="1" customHeight="1" thickTop="1" thickBot="1" x14ac:dyDescent="0.35">
      <c r="A895" s="253"/>
      <c r="B895" s="283" t="s">
        <v>637</v>
      </c>
      <c r="C895" s="280"/>
      <c r="D895" s="284"/>
      <c r="E895" s="253"/>
      <c r="F895" s="1"/>
      <c r="AC895">
        <f t="shared" si="50"/>
        <v>0</v>
      </c>
      <c r="AD895">
        <f t="shared" si="50"/>
        <v>0</v>
      </c>
      <c r="AE895">
        <f t="shared" si="50"/>
        <v>0</v>
      </c>
      <c r="AF895">
        <f t="shared" si="50"/>
        <v>0</v>
      </c>
      <c r="AG895" s="76">
        <f t="shared" si="51"/>
        <v>0</v>
      </c>
    </row>
    <row r="896" spans="1:54" ht="18" hidden="1" customHeight="1" thickTop="1" thickBot="1" x14ac:dyDescent="0.35">
      <c r="A896" s="253"/>
      <c r="B896" s="283" t="s">
        <v>638</v>
      </c>
      <c r="C896" s="280"/>
      <c r="D896" s="284"/>
      <c r="E896" s="253"/>
      <c r="F896" s="1"/>
      <c r="AC896">
        <f t="shared" si="50"/>
        <v>0</v>
      </c>
      <c r="AD896">
        <f t="shared" si="50"/>
        <v>0</v>
      </c>
      <c r="AE896">
        <f t="shared" si="50"/>
        <v>0</v>
      </c>
      <c r="AF896">
        <f t="shared" si="50"/>
        <v>0</v>
      </c>
      <c r="AG896" s="76">
        <f t="shared" si="51"/>
        <v>0</v>
      </c>
    </row>
    <row r="897" spans="1:68" ht="18" hidden="1" customHeight="1" thickTop="1" thickBot="1" x14ac:dyDescent="0.35">
      <c r="A897" s="253"/>
      <c r="B897" s="283" t="s">
        <v>639</v>
      </c>
      <c r="C897" s="280"/>
      <c r="D897" s="284"/>
      <c r="E897" s="253"/>
      <c r="F897" s="1"/>
      <c r="AC897">
        <f t="shared" si="50"/>
        <v>0</v>
      </c>
      <c r="AD897">
        <f t="shared" si="50"/>
        <v>0</v>
      </c>
      <c r="AE897">
        <f t="shared" si="50"/>
        <v>0</v>
      </c>
      <c r="AF897">
        <f t="shared" si="50"/>
        <v>0</v>
      </c>
      <c r="AG897" s="76">
        <f t="shared" si="51"/>
        <v>0</v>
      </c>
    </row>
    <row r="898" spans="1:68" ht="18" hidden="1" customHeight="1" thickTop="1" thickBot="1" x14ac:dyDescent="0.35">
      <c r="A898" s="253"/>
      <c r="B898" s="283" t="s">
        <v>640</v>
      </c>
      <c r="C898" s="280"/>
      <c r="D898" s="284"/>
      <c r="E898" s="253"/>
      <c r="F898" s="1"/>
      <c r="AC898">
        <f t="shared" si="50"/>
        <v>0</v>
      </c>
      <c r="AD898">
        <f t="shared" si="50"/>
        <v>0</v>
      </c>
      <c r="AE898">
        <f t="shared" si="50"/>
        <v>0</v>
      </c>
      <c r="AF898">
        <f t="shared" si="50"/>
        <v>0</v>
      </c>
      <c r="AG898" s="76">
        <f t="shared" si="51"/>
        <v>0</v>
      </c>
    </row>
    <row r="899" spans="1:68" ht="18" hidden="1" customHeight="1" thickTop="1" thickBot="1" x14ac:dyDescent="0.35">
      <c r="A899" s="253"/>
      <c r="B899" s="283" t="s">
        <v>641</v>
      </c>
      <c r="C899" s="280"/>
      <c r="D899" s="284"/>
      <c r="E899" s="253"/>
      <c r="F899" s="1"/>
      <c r="AC899">
        <f t="shared" si="50"/>
        <v>0</v>
      </c>
      <c r="AD899">
        <f t="shared" si="50"/>
        <v>0</v>
      </c>
      <c r="AE899">
        <f t="shared" si="50"/>
        <v>0</v>
      </c>
      <c r="AF899">
        <f t="shared" si="50"/>
        <v>0</v>
      </c>
      <c r="AG899" s="76">
        <f t="shared" si="51"/>
        <v>0</v>
      </c>
    </row>
    <row r="900" spans="1:68" ht="18" hidden="1" customHeight="1" thickTop="1" thickBot="1" x14ac:dyDescent="0.35">
      <c r="A900" s="253"/>
      <c r="B900" s="283" t="s">
        <v>642</v>
      </c>
      <c r="C900" s="280"/>
      <c r="D900" s="284"/>
      <c r="E900" s="253"/>
      <c r="F900" s="1"/>
      <c r="AC900">
        <f t="shared" si="50"/>
        <v>0</v>
      </c>
      <c r="AD900">
        <f t="shared" si="50"/>
        <v>0</v>
      </c>
      <c r="AE900">
        <f t="shared" si="50"/>
        <v>0</v>
      </c>
      <c r="AF900">
        <f t="shared" si="50"/>
        <v>0</v>
      </c>
      <c r="AG900" s="76">
        <f t="shared" si="51"/>
        <v>0</v>
      </c>
    </row>
    <row r="901" spans="1:68" ht="18" hidden="1" customHeight="1" thickTop="1" thickBot="1" x14ac:dyDescent="0.35">
      <c r="A901" s="253"/>
      <c r="B901" s="283" t="s">
        <v>643</v>
      </c>
      <c r="C901" s="280"/>
      <c r="D901" s="284"/>
      <c r="E901" s="253"/>
      <c r="F901" s="1"/>
      <c r="AC901">
        <f t="shared" si="50"/>
        <v>0</v>
      </c>
      <c r="AD901">
        <f t="shared" si="50"/>
        <v>0</v>
      </c>
      <c r="AE901">
        <f t="shared" si="50"/>
        <v>0</v>
      </c>
      <c r="AF901">
        <f t="shared" si="50"/>
        <v>0</v>
      </c>
      <c r="AG901" s="76">
        <f t="shared" si="51"/>
        <v>0</v>
      </c>
    </row>
    <row r="902" spans="1:68" ht="18" hidden="1" customHeight="1" thickTop="1" thickBot="1" x14ac:dyDescent="0.35">
      <c r="A902" s="253"/>
      <c r="B902" s="283" t="s">
        <v>644</v>
      </c>
      <c r="C902" s="280"/>
      <c r="D902" s="284"/>
      <c r="E902" s="253"/>
      <c r="F902" s="1"/>
      <c r="AC902">
        <f t="shared" si="50"/>
        <v>0</v>
      </c>
      <c r="AD902">
        <f t="shared" si="50"/>
        <v>0</v>
      </c>
      <c r="AE902">
        <f t="shared" si="50"/>
        <v>0</v>
      </c>
      <c r="AF902">
        <f t="shared" si="50"/>
        <v>0</v>
      </c>
      <c r="AG902" s="76">
        <f t="shared" si="51"/>
        <v>0</v>
      </c>
    </row>
    <row r="903" spans="1:68" ht="18" hidden="1" customHeight="1" thickTop="1" thickBot="1" x14ac:dyDescent="0.35">
      <c r="A903" s="253"/>
      <c r="B903" s="283" t="s">
        <v>645</v>
      </c>
      <c r="C903" s="280"/>
      <c r="D903" s="284"/>
      <c r="E903" s="253"/>
      <c r="F903" s="1"/>
      <c r="AC903">
        <f t="shared" si="50"/>
        <v>0</v>
      </c>
      <c r="AD903">
        <f t="shared" si="50"/>
        <v>0</v>
      </c>
      <c r="AE903">
        <f t="shared" si="50"/>
        <v>0</v>
      </c>
      <c r="AF903">
        <f t="shared" si="50"/>
        <v>0</v>
      </c>
      <c r="AG903" s="76">
        <f t="shared" si="51"/>
        <v>0</v>
      </c>
    </row>
    <row r="904" spans="1:68" ht="18" hidden="1" customHeight="1" thickTop="1" thickBot="1" x14ac:dyDescent="0.35">
      <c r="A904" s="253"/>
      <c r="B904" s="283" t="s">
        <v>646</v>
      </c>
      <c r="C904" s="280"/>
      <c r="D904" s="284"/>
      <c r="E904" s="253"/>
      <c r="F904" s="1"/>
      <c r="AC904">
        <f t="shared" si="50"/>
        <v>0</v>
      </c>
      <c r="AD904">
        <f t="shared" si="50"/>
        <v>0</v>
      </c>
      <c r="AE904">
        <f t="shared" si="50"/>
        <v>0</v>
      </c>
      <c r="AF904">
        <f t="shared" si="50"/>
        <v>0</v>
      </c>
      <c r="AG904" s="76">
        <f t="shared" si="51"/>
        <v>0</v>
      </c>
    </row>
    <row r="905" spans="1:68" ht="18" hidden="1" customHeight="1" thickTop="1" thickBot="1" x14ac:dyDescent="0.35">
      <c r="A905" s="253"/>
      <c r="B905" s="283" t="s">
        <v>647</v>
      </c>
      <c r="C905" s="280"/>
      <c r="D905" s="284"/>
      <c r="E905" s="253"/>
      <c r="F905" s="1"/>
      <c r="AC905">
        <f t="shared" si="50"/>
        <v>0</v>
      </c>
      <c r="AD905">
        <f t="shared" si="50"/>
        <v>0</v>
      </c>
      <c r="AE905">
        <f t="shared" si="50"/>
        <v>0</v>
      </c>
      <c r="AF905">
        <f t="shared" si="50"/>
        <v>0</v>
      </c>
      <c r="AG905" s="76">
        <f t="shared" si="51"/>
        <v>0</v>
      </c>
    </row>
    <row r="906" spans="1:68" ht="18" hidden="1" customHeight="1" thickTop="1" thickBot="1" x14ac:dyDescent="0.35">
      <c r="A906" s="253"/>
      <c r="B906" s="283" t="s">
        <v>648</v>
      </c>
      <c r="C906" s="280"/>
      <c r="D906" s="284"/>
      <c r="E906" s="253"/>
      <c r="F906" s="1"/>
      <c r="AC906">
        <f t="shared" si="50"/>
        <v>0</v>
      </c>
      <c r="AD906">
        <f t="shared" si="50"/>
        <v>0</v>
      </c>
      <c r="AE906">
        <f t="shared" si="50"/>
        <v>0</v>
      </c>
      <c r="AF906">
        <f t="shared" si="50"/>
        <v>0</v>
      </c>
      <c r="AG906" s="76">
        <f t="shared" si="51"/>
        <v>0</v>
      </c>
    </row>
    <row r="907" spans="1:68" ht="18" hidden="1" customHeight="1" thickTop="1" thickBot="1" x14ac:dyDescent="0.35">
      <c r="A907" s="253"/>
      <c r="B907" s="283" t="s">
        <v>649</v>
      </c>
      <c r="C907" s="280"/>
      <c r="D907" s="284"/>
      <c r="E907" s="253"/>
      <c r="F907" s="1"/>
      <c r="AC907">
        <f t="shared" si="50"/>
        <v>0</v>
      </c>
      <c r="AD907">
        <f t="shared" si="50"/>
        <v>0</v>
      </c>
      <c r="AE907">
        <f t="shared" si="50"/>
        <v>0</v>
      </c>
      <c r="AF907">
        <f t="shared" si="50"/>
        <v>0</v>
      </c>
      <c r="AG907" s="76">
        <f t="shared" si="51"/>
        <v>0</v>
      </c>
    </row>
    <row r="908" spans="1:68" ht="18" hidden="1" customHeight="1" thickTop="1" thickBot="1" x14ac:dyDescent="0.35">
      <c r="A908" s="253"/>
      <c r="B908" s="283" t="s">
        <v>650</v>
      </c>
      <c r="C908" s="280"/>
      <c r="D908" s="284"/>
      <c r="E908" s="253"/>
      <c r="F908" s="1"/>
      <c r="AC908">
        <f t="shared" si="50"/>
        <v>0</v>
      </c>
      <c r="AD908">
        <f t="shared" si="50"/>
        <v>0</v>
      </c>
      <c r="AE908">
        <f t="shared" si="50"/>
        <v>0</v>
      </c>
      <c r="AF908">
        <f t="shared" si="50"/>
        <v>0</v>
      </c>
      <c r="AG908" s="76">
        <f t="shared" si="51"/>
        <v>0</v>
      </c>
    </row>
    <row r="909" spans="1:68" ht="18" hidden="1" customHeight="1" thickTop="1" thickBot="1" x14ac:dyDescent="0.35">
      <c r="A909" s="253"/>
      <c r="B909" s="283" t="s">
        <v>651</v>
      </c>
      <c r="C909" s="280"/>
      <c r="D909" s="284"/>
      <c r="E909" s="253"/>
      <c r="F909" s="1"/>
      <c r="AC909">
        <f t="shared" si="50"/>
        <v>0</v>
      </c>
      <c r="AD909">
        <f t="shared" si="50"/>
        <v>0</v>
      </c>
      <c r="AE909">
        <f t="shared" si="50"/>
        <v>0</v>
      </c>
      <c r="AF909">
        <f t="shared" si="50"/>
        <v>0</v>
      </c>
      <c r="AG909" s="76">
        <f t="shared" si="51"/>
        <v>0</v>
      </c>
      <c r="AJ909" s="76">
        <f>SUM(AG889:AG909)</f>
        <v>0</v>
      </c>
    </row>
    <row r="910" spans="1:68" ht="10.050000000000001" hidden="1" customHeight="1" thickTop="1" x14ac:dyDescent="0.3">
      <c r="A910" s="253"/>
      <c r="B910" s="280"/>
      <c r="C910" s="280"/>
      <c r="D910" s="280"/>
      <c r="E910" s="253"/>
      <c r="F910" s="1"/>
      <c r="AC910"/>
      <c r="AD910"/>
      <c r="AE910"/>
      <c r="AF910"/>
    </row>
    <row r="911" spans="1:68" ht="14.4" hidden="1" x14ac:dyDescent="0.3">
      <c r="A911" s="253"/>
      <c r="B911" s="280"/>
      <c r="C911" s="280"/>
      <c r="D911" s="285" t="s">
        <v>652</v>
      </c>
      <c r="E911" s="253"/>
      <c r="F911" s="1"/>
      <c r="AC911"/>
      <c r="AD911"/>
      <c r="AE911"/>
      <c r="AF911"/>
      <c r="AG911" s="76">
        <f>SUM(AG889:AG910)</f>
        <v>0</v>
      </c>
    </row>
    <row r="912" spans="1:68" ht="14.4" hidden="1" x14ac:dyDescent="0.3">
      <c r="A912" s="253"/>
      <c r="B912" s="286" t="s">
        <v>653</v>
      </c>
      <c r="C912" s="280"/>
      <c r="D912" s="285" t="s">
        <v>654</v>
      </c>
      <c r="E912" s="253"/>
      <c r="F912" s="1"/>
      <c r="AC912">
        <v>0</v>
      </c>
      <c r="AD912">
        <v>21</v>
      </c>
      <c r="AE912"/>
      <c r="AF912"/>
      <c r="AG912"/>
      <c r="AQ912" t="s">
        <v>655</v>
      </c>
      <c r="AR912"/>
      <c r="AS912"/>
      <c r="BB912" s="6"/>
      <c r="BP912" s="16"/>
    </row>
    <row r="913" spans="1:68" ht="14.4" hidden="1" x14ac:dyDescent="0.3">
      <c r="A913" s="253"/>
      <c r="B913" s="286" t="s">
        <v>656</v>
      </c>
      <c r="C913" s="280"/>
      <c r="D913" s="285" t="s">
        <v>657</v>
      </c>
      <c r="E913" s="253"/>
      <c r="F913" s="1"/>
      <c r="AC913">
        <f>AD912</f>
        <v>21</v>
      </c>
      <c r="AD913">
        <v>36</v>
      </c>
      <c r="AE913"/>
      <c r="AF913"/>
      <c r="AG913"/>
      <c r="AQ913" s="6" t="s">
        <v>658</v>
      </c>
      <c r="AR913"/>
      <c r="AS913"/>
      <c r="BB913" s="6" t="str">
        <f>AG914</f>
        <v>low anxiety</v>
      </c>
      <c r="BF913" s="6" t="s">
        <v>659</v>
      </c>
      <c r="BP913" s="16"/>
    </row>
    <row r="914" spans="1:68" ht="15" hidden="1" thickBot="1" x14ac:dyDescent="0.35">
      <c r="A914" s="253"/>
      <c r="B914" s="286" t="s">
        <v>660</v>
      </c>
      <c r="C914" s="287"/>
      <c r="D914" s="285" t="s">
        <v>661</v>
      </c>
      <c r="E914" s="253"/>
      <c r="F914" s="1"/>
      <c r="AC914">
        <f>AD913</f>
        <v>36</v>
      </c>
      <c r="AD914">
        <f>(21*3)+1</f>
        <v>64</v>
      </c>
      <c r="AE914"/>
      <c r="AF914"/>
      <c r="AG914" s="288" t="str">
        <f>IF(AND(AG911&gt;=AC912,AG911&lt;AD912),B912,IF(AND(AG911&gt;=AC913,AG911&lt;AD913),B913,IF(AND(AG911&gt;=AC914,AE1094&lt;AD914),B914,"")))</f>
        <v>low anxiety</v>
      </c>
      <c r="AH914" s="280"/>
      <c r="AI914" s="280"/>
      <c r="AJ914" s="253"/>
    </row>
    <row r="915" spans="1:68" ht="14.4" hidden="1" x14ac:dyDescent="0.3">
      <c r="A915" s="253"/>
      <c r="B915" s="286"/>
      <c r="C915" s="287"/>
      <c r="D915" s="280"/>
      <c r="E915" s="253"/>
      <c r="F915" s="1"/>
      <c r="G915" s="289"/>
      <c r="H915" s="289"/>
      <c r="I915" s="289"/>
      <c r="J915" s="289"/>
      <c r="K915" s="289"/>
      <c r="L915" s="289"/>
      <c r="M915" s="289"/>
      <c r="N915" s="289"/>
      <c r="O915" s="289"/>
      <c r="P915" s="289"/>
      <c r="Q915" s="289"/>
      <c r="R915" s="289"/>
      <c r="S915" s="289"/>
      <c r="T915" s="289"/>
      <c r="U915" s="289"/>
      <c r="V915" s="289"/>
      <c r="W915" s="289"/>
      <c r="X915" s="289"/>
      <c r="Y915" s="289"/>
      <c r="Z915" s="289"/>
      <c r="AA915"/>
      <c r="AB915"/>
      <c r="AC915"/>
      <c r="AD915"/>
      <c r="AE915"/>
    </row>
    <row r="916" spans="1:68" ht="14.4" hidden="1" x14ac:dyDescent="0.3">
      <c r="A916" s="253"/>
      <c r="B916" s="286"/>
      <c r="C916" s="280"/>
      <c r="D916" s="287"/>
      <c r="E916" s="253"/>
      <c r="F916" s="1"/>
      <c r="G916" s="289"/>
      <c r="H916" s="289"/>
      <c r="I916" s="289"/>
      <c r="J916" s="289"/>
      <c r="K916" s="289"/>
      <c r="L916" s="289"/>
      <c r="M916" s="289"/>
      <c r="N916" s="289"/>
      <c r="O916" s="289"/>
      <c r="P916" s="289"/>
      <c r="Q916" s="289"/>
      <c r="R916" s="289"/>
      <c r="S916" s="289"/>
      <c r="T916" s="289"/>
      <c r="U916" s="289"/>
      <c r="V916" s="289"/>
      <c r="W916" s="289"/>
      <c r="X916" s="289"/>
      <c r="Y916" s="289"/>
      <c r="Z916" s="289"/>
      <c r="AA916"/>
      <c r="AB916"/>
      <c r="BB916" s="6"/>
    </row>
    <row r="917" spans="1:68" ht="31.95" hidden="1" customHeight="1" x14ac:dyDescent="0.3">
      <c r="A917" s="253"/>
      <c r="B917" s="601" t="str">
        <f>CONCATENATE(AG917,AN917,AO917,AZ917)</f>
        <v>You understandably experience some anxiety, considering the many challenges you face from such a conviction. You can rule out a purely biological source for such anxiety.</v>
      </c>
      <c r="C917" s="602"/>
      <c r="D917" s="602"/>
      <c r="E917" s="253"/>
      <c r="F917" s="1"/>
      <c r="G917" s="289"/>
      <c r="H917" s="289"/>
      <c r="I917" s="289"/>
      <c r="J917" s="289"/>
      <c r="K917" s="289"/>
      <c r="L917" s="289"/>
      <c r="M917" s="289"/>
      <c r="N917" s="289"/>
      <c r="O917" s="289"/>
      <c r="P917" s="289"/>
      <c r="Q917" s="289"/>
      <c r="R917" s="289"/>
      <c r="S917" s="289"/>
      <c r="T917" s="289"/>
      <c r="U917" s="289"/>
      <c r="V917" s="289"/>
      <c r="W917" s="289"/>
      <c r="X917" s="289"/>
      <c r="Y917" s="289"/>
      <c r="Z917" s="289"/>
      <c r="AA917"/>
      <c r="AB917"/>
      <c r="AG917" s="28" t="s">
        <v>662</v>
      </c>
      <c r="AN917" s="6" t="str">
        <f>IF(AG911&lt;AC913,"some anxiety",AG914)</f>
        <v>some anxiety</v>
      </c>
      <c r="AO917" s="120" t="s">
        <v>663</v>
      </c>
      <c r="AZ917" s="6" t="s">
        <v>664</v>
      </c>
    </row>
    <row r="918" spans="1:68" ht="10.050000000000001" hidden="1" customHeight="1" x14ac:dyDescent="0.3">
      <c r="A918" s="253"/>
      <c r="B918" s="286"/>
      <c r="C918" s="280"/>
      <c r="D918" s="287"/>
      <c r="E918" s="253"/>
      <c r="F918" s="1"/>
      <c r="G918" s="289"/>
      <c r="H918" s="289"/>
      <c r="I918" s="289"/>
      <c r="J918" s="289"/>
      <c r="K918" s="289"/>
      <c r="L918" s="289"/>
      <c r="M918" s="289"/>
      <c r="N918" s="289"/>
      <c r="O918" s="289"/>
      <c r="P918" s="289"/>
      <c r="Q918" s="289"/>
      <c r="R918" s="289"/>
      <c r="S918" s="289"/>
      <c r="T918" s="289"/>
      <c r="U918" s="289"/>
      <c r="V918" s="289"/>
      <c r="W918" s="289"/>
      <c r="X918" s="289"/>
      <c r="Y918" s="289"/>
      <c r="Z918" s="289"/>
      <c r="AA918"/>
      <c r="AB918"/>
      <c r="AC918"/>
    </row>
    <row r="919" spans="1:68" ht="60" hidden="1" customHeight="1" x14ac:dyDescent="0.3">
      <c r="A919" s="253"/>
      <c r="B919" s="601" t="s">
        <v>665</v>
      </c>
      <c r="C919" s="602"/>
      <c r="D919" s="602"/>
      <c r="E919" s="253"/>
      <c r="F919" s="1"/>
      <c r="G919" s="289"/>
      <c r="H919" s="289"/>
      <c r="I919" s="289"/>
      <c r="J919" s="289"/>
      <c r="K919" s="289"/>
      <c r="L919" s="289"/>
      <c r="M919" s="289"/>
      <c r="N919" s="289"/>
      <c r="O919" s="289"/>
      <c r="P919" s="289"/>
      <c r="Q919" s="289"/>
      <c r="R919" s="289"/>
      <c r="S919" s="289"/>
      <c r="T919" s="289"/>
      <c r="U919" s="289"/>
      <c r="V919" s="289"/>
      <c r="W919" s="289"/>
      <c r="X919" s="289"/>
      <c r="Y919" s="289"/>
      <c r="Z919" s="289"/>
      <c r="AA919"/>
      <c r="AB919"/>
      <c r="AC919"/>
      <c r="AD919" s="6" t="str">
        <f>AN152</f>
        <v>Steph</v>
      </c>
      <c r="AF919" s="6" t="s">
        <v>666</v>
      </c>
      <c r="AM919" s="6" t="str">
        <f>AN917</f>
        <v>some anxiety</v>
      </c>
      <c r="AQ919" s="6" t="s">
        <v>667</v>
      </c>
      <c r="AZ919" s="6" t="str">
        <f>IF(AG911=0,"","The wrongful conviction produces plenty to be anxious about. ")</f>
        <v/>
      </c>
      <c r="BB919" s="6"/>
      <c r="BF919" s="6" t="s">
        <v>668</v>
      </c>
    </row>
    <row r="920" spans="1:68" ht="4.95" hidden="1" customHeight="1" x14ac:dyDescent="0.3">
      <c r="A920" s="253"/>
      <c r="B920" s="253"/>
      <c r="C920" s="253"/>
      <c r="D920" s="253"/>
      <c r="E920" s="253"/>
      <c r="F920" s="1"/>
      <c r="G920" s="289"/>
      <c r="H920" s="289"/>
      <c r="I920" s="289"/>
      <c r="J920" s="289"/>
      <c r="K920" s="289"/>
      <c r="L920" s="289"/>
      <c r="M920" s="289"/>
      <c r="N920" s="289"/>
      <c r="O920" s="289"/>
      <c r="P920" s="289"/>
      <c r="Q920" s="289"/>
      <c r="R920" s="289"/>
      <c r="S920" s="289"/>
      <c r="T920" s="289"/>
      <c r="U920" s="289"/>
      <c r="V920" s="289"/>
      <c r="W920" s="289"/>
      <c r="X920" s="289"/>
      <c r="Y920" s="289"/>
      <c r="Z920" s="289"/>
      <c r="AA920"/>
      <c r="AB920"/>
      <c r="AC920"/>
      <c r="AD920" s="6" t="str">
        <f>CONCATENATE(AD919,AF919,AM919,AQ919,AZ919,BF919)</f>
        <v>Steph understandably experiences some anxiety from the wrongful conviction. Once hired, much of that should clear up. If not, Value Relating can help.</v>
      </c>
      <c r="BB920" s="6"/>
    </row>
    <row r="921" spans="1:68" ht="4.95" hidden="1" customHeight="1" x14ac:dyDescent="0.25">
      <c r="A921" s="253"/>
      <c r="B921" s="290"/>
      <c r="C921" s="253"/>
      <c r="D921" s="253"/>
      <c r="E921" s="253"/>
      <c r="F921" s="1"/>
    </row>
    <row r="922" spans="1:68" ht="25.05" hidden="1" customHeight="1" x14ac:dyDescent="0.25">
      <c r="A922" s="253"/>
      <c r="B922" s="265" t="s">
        <v>669</v>
      </c>
      <c r="C922" s="265"/>
      <c r="D922" s="265"/>
      <c r="E922" s="253"/>
      <c r="F922" s="1"/>
    </row>
    <row r="923" spans="1:68" ht="34.950000000000003" hidden="1" customHeight="1" x14ac:dyDescent="0.25">
      <c r="A923" s="253"/>
      <c r="B923" s="600" t="str">
        <f>B886</f>
        <v>Rate each item to your level of experience. Your responses let us know the level of your current need. If taken later we can compare the scores to help see if we are helping or not.</v>
      </c>
      <c r="C923" s="600"/>
      <c r="D923" s="600"/>
      <c r="E923" s="253"/>
      <c r="F923" s="1"/>
    </row>
    <row r="924" spans="1:68" ht="14.55" hidden="1" customHeight="1" x14ac:dyDescent="0.25">
      <c r="A924" s="253"/>
      <c r="B924" s="290"/>
      <c r="C924" s="253"/>
      <c r="D924" s="253"/>
      <c r="E924" s="253"/>
      <c r="F924" s="1"/>
    </row>
    <row r="925" spans="1:68" ht="14.55" hidden="1" customHeight="1" thickBot="1" x14ac:dyDescent="0.35">
      <c r="A925" s="253"/>
      <c r="B925" s="291"/>
      <c r="C925" s="280"/>
      <c r="D925" s="282" t="str">
        <f>D888</f>
        <v>Pick best answer from pulldown menu.</v>
      </c>
      <c r="E925" s="280"/>
      <c r="F925" s="1"/>
      <c r="G925" s="289"/>
      <c r="H925" s="289"/>
      <c r="I925" s="289"/>
      <c r="J925" s="289"/>
      <c r="K925" s="289"/>
      <c r="L925" s="289"/>
      <c r="M925" s="289"/>
      <c r="N925" s="289"/>
      <c r="O925" s="289"/>
      <c r="P925" s="289"/>
      <c r="Q925" s="289"/>
      <c r="R925" s="289"/>
      <c r="S925" s="289"/>
      <c r="T925" s="289"/>
      <c r="U925" s="289"/>
      <c r="V925" s="289"/>
      <c r="W925" s="289"/>
      <c r="X925" s="289"/>
      <c r="Y925" s="289"/>
      <c r="Z925" s="289"/>
      <c r="AA925"/>
      <c r="AB925"/>
      <c r="AC925"/>
      <c r="AD925"/>
    </row>
    <row r="926" spans="1:68" ht="19.95" hidden="1" customHeight="1" thickTop="1" thickBot="1" x14ac:dyDescent="0.35">
      <c r="A926" s="253"/>
      <c r="B926" s="292">
        <v>1</v>
      </c>
      <c r="C926" s="603" t="str">
        <f>AD926</f>
        <v>sadness</v>
      </c>
      <c r="D926" s="604"/>
      <c r="E926" s="253"/>
      <c r="F926" s="1"/>
      <c r="AD926" s="293" t="s">
        <v>670</v>
      </c>
      <c r="AE926"/>
      <c r="AF926"/>
      <c r="AG926">
        <f>IF(AND(C926&lt;&gt;"",C926=AD926),0,1)</f>
        <v>0</v>
      </c>
      <c r="AH926"/>
    </row>
    <row r="927" spans="1:68" ht="12" hidden="1" customHeight="1" thickTop="1" x14ac:dyDescent="0.3">
      <c r="A927" s="253"/>
      <c r="B927" s="294">
        <v>0</v>
      </c>
      <c r="C927" s="295" t="s">
        <v>671</v>
      </c>
      <c r="D927" s="280"/>
      <c r="E927" s="253"/>
      <c r="F927" s="1"/>
      <c r="AD927"/>
      <c r="AE927"/>
      <c r="AF927">
        <f>IF(C$926=C927,B927,0)</f>
        <v>0</v>
      </c>
      <c r="AG927"/>
      <c r="AH927"/>
    </row>
    <row r="928" spans="1:68" ht="12" hidden="1" customHeight="1" x14ac:dyDescent="0.3">
      <c r="A928" s="253"/>
      <c r="B928" s="294">
        <v>1</v>
      </c>
      <c r="C928" s="295" t="s">
        <v>672</v>
      </c>
      <c r="D928" s="280"/>
      <c r="E928" s="253"/>
      <c r="F928" s="1"/>
      <c r="AD928"/>
      <c r="AE928"/>
      <c r="AF928">
        <f>IF(C$926=C928,B928,0)</f>
        <v>0</v>
      </c>
      <c r="AG928"/>
      <c r="AH928"/>
    </row>
    <row r="929" spans="1:34" ht="12" hidden="1" customHeight="1" x14ac:dyDescent="0.3">
      <c r="A929" s="253"/>
      <c r="B929" s="294">
        <v>2</v>
      </c>
      <c r="C929" s="295" t="s">
        <v>673</v>
      </c>
      <c r="D929" s="280"/>
      <c r="E929" s="253"/>
      <c r="F929" s="1"/>
      <c r="AD929"/>
      <c r="AE929"/>
      <c r="AF929">
        <f>IF(C$926=C929,B929,0)</f>
        <v>0</v>
      </c>
      <c r="AG929"/>
      <c r="AH929"/>
    </row>
    <row r="930" spans="1:34" ht="12" hidden="1" customHeight="1" thickBot="1" x14ac:dyDescent="0.35">
      <c r="A930" s="253"/>
      <c r="B930" s="294">
        <v>3</v>
      </c>
      <c r="C930" s="295" t="s">
        <v>674</v>
      </c>
      <c r="D930" s="280"/>
      <c r="E930" s="253"/>
      <c r="F930" s="1"/>
      <c r="AD930"/>
      <c r="AE930"/>
      <c r="AF930">
        <f>IF(C$926=C930,B930,0)</f>
        <v>0</v>
      </c>
      <c r="AG930"/>
      <c r="AH930"/>
    </row>
    <row r="931" spans="1:34" ht="19.95" hidden="1" customHeight="1" thickTop="1" thickBot="1" x14ac:dyDescent="0.35">
      <c r="A931" s="253"/>
      <c r="B931" s="292">
        <v>2</v>
      </c>
      <c r="C931" s="603" t="str">
        <f>AD931</f>
        <v>hope</v>
      </c>
      <c r="D931" s="604"/>
      <c r="E931" s="253"/>
      <c r="F931" s="1"/>
      <c r="AD931" s="293" t="s">
        <v>675</v>
      </c>
      <c r="AE931"/>
      <c r="AF931"/>
      <c r="AG931">
        <f>IF(AND(C931&lt;&gt;"",C931=AD931),0,1)</f>
        <v>0</v>
      </c>
      <c r="AH931"/>
    </row>
    <row r="932" spans="1:34" ht="12" hidden="1" customHeight="1" thickTop="1" x14ac:dyDescent="0.3">
      <c r="A932" s="253"/>
      <c r="B932" s="294">
        <v>0</v>
      </c>
      <c r="C932" s="295" t="s">
        <v>676</v>
      </c>
      <c r="D932" s="280"/>
      <c r="E932" s="253"/>
      <c r="F932" s="1"/>
      <c r="AD932"/>
      <c r="AE932"/>
      <c r="AF932">
        <f>IF(C$931=C932,B932,0)</f>
        <v>0</v>
      </c>
      <c r="AG932"/>
      <c r="AH932"/>
    </row>
    <row r="933" spans="1:34" ht="12" hidden="1" customHeight="1" x14ac:dyDescent="0.3">
      <c r="A933" s="253"/>
      <c r="B933" s="294">
        <v>1</v>
      </c>
      <c r="C933" s="295" t="s">
        <v>677</v>
      </c>
      <c r="D933" s="280"/>
      <c r="E933" s="253"/>
      <c r="F933" s="1"/>
      <c r="AD933"/>
      <c r="AE933"/>
      <c r="AF933">
        <f>IF(C$931=C933,B933,0)</f>
        <v>0</v>
      </c>
      <c r="AG933"/>
      <c r="AH933"/>
    </row>
    <row r="934" spans="1:34" ht="12" hidden="1" customHeight="1" x14ac:dyDescent="0.3">
      <c r="A934" s="253"/>
      <c r="B934" s="294">
        <v>2</v>
      </c>
      <c r="C934" s="295" t="s">
        <v>678</v>
      </c>
      <c r="D934" s="280"/>
      <c r="E934" s="253"/>
      <c r="F934" s="1"/>
      <c r="AD934"/>
      <c r="AE934"/>
      <c r="AF934">
        <f>IF(C$931=C934,B934,0)</f>
        <v>0</v>
      </c>
      <c r="AG934"/>
      <c r="AH934"/>
    </row>
    <row r="935" spans="1:34" ht="12" hidden="1" customHeight="1" thickBot="1" x14ac:dyDescent="0.35">
      <c r="A935" s="253"/>
      <c r="B935" s="294">
        <v>3</v>
      </c>
      <c r="C935" s="295" t="s">
        <v>679</v>
      </c>
      <c r="D935" s="280"/>
      <c r="E935" s="253"/>
      <c r="F935" s="1"/>
      <c r="AD935"/>
      <c r="AE935"/>
      <c r="AF935">
        <f>IF(C$931=C935,B935,0)</f>
        <v>0</v>
      </c>
      <c r="AG935"/>
      <c r="AH935"/>
    </row>
    <row r="936" spans="1:34" ht="19.95" hidden="1" customHeight="1" thickTop="1" thickBot="1" x14ac:dyDescent="0.35">
      <c r="A936" s="253"/>
      <c r="B936" s="292">
        <v>3</v>
      </c>
      <c r="C936" s="603" t="str">
        <f>AD936</f>
        <v>failures</v>
      </c>
      <c r="D936" s="604"/>
      <c r="E936" s="253"/>
      <c r="F936" s="1"/>
      <c r="AD936" s="293" t="s">
        <v>680</v>
      </c>
      <c r="AE936"/>
      <c r="AF936"/>
      <c r="AG936">
        <f>IF(AND(C936&lt;&gt;"",C936=AD936),0,1)</f>
        <v>0</v>
      </c>
      <c r="AH936"/>
    </row>
    <row r="937" spans="1:34" ht="12" hidden="1" customHeight="1" thickTop="1" x14ac:dyDescent="0.3">
      <c r="A937" s="253"/>
      <c r="B937" s="294">
        <v>0</v>
      </c>
      <c r="C937" s="295" t="s">
        <v>681</v>
      </c>
      <c r="D937" s="280"/>
      <c r="E937" s="253"/>
      <c r="F937" s="1"/>
      <c r="AD937"/>
      <c r="AE937"/>
      <c r="AF937">
        <f>IF(C$936=C937,B937,0)</f>
        <v>0</v>
      </c>
      <c r="AG937"/>
      <c r="AH937"/>
    </row>
    <row r="938" spans="1:34" ht="12" hidden="1" customHeight="1" x14ac:dyDescent="0.3">
      <c r="A938" s="253"/>
      <c r="B938" s="294">
        <v>1</v>
      </c>
      <c r="C938" s="295" t="s">
        <v>682</v>
      </c>
      <c r="D938" s="280"/>
      <c r="E938" s="253"/>
      <c r="F938" s="1"/>
      <c r="AD938"/>
      <c r="AE938"/>
      <c r="AF938">
        <f>IF(C$936=C938,B938,0)</f>
        <v>0</v>
      </c>
      <c r="AG938"/>
      <c r="AH938"/>
    </row>
    <row r="939" spans="1:34" ht="12" hidden="1" customHeight="1" x14ac:dyDescent="0.3">
      <c r="A939" s="253"/>
      <c r="B939" s="294">
        <v>2</v>
      </c>
      <c r="C939" s="295" t="s">
        <v>683</v>
      </c>
      <c r="D939" s="280"/>
      <c r="E939" s="253"/>
      <c r="F939" s="1"/>
      <c r="AD939"/>
      <c r="AE939"/>
      <c r="AF939">
        <f>IF(C$936=C939,B939,0)</f>
        <v>0</v>
      </c>
      <c r="AG939"/>
      <c r="AH939"/>
    </row>
    <row r="940" spans="1:34" ht="12" hidden="1" customHeight="1" thickBot="1" x14ac:dyDescent="0.35">
      <c r="A940" s="253"/>
      <c r="B940" s="294">
        <v>3</v>
      </c>
      <c r="C940" s="295" t="s">
        <v>684</v>
      </c>
      <c r="D940" s="280"/>
      <c r="E940" s="253"/>
      <c r="F940" s="1"/>
      <c r="AD940"/>
      <c r="AE940"/>
      <c r="AF940">
        <f>IF(C$936=C940,B940,0)</f>
        <v>0</v>
      </c>
      <c r="AG940"/>
      <c r="AH940"/>
    </row>
    <row r="941" spans="1:34" ht="19.95" hidden="1" customHeight="1" thickTop="1" thickBot="1" x14ac:dyDescent="0.35">
      <c r="A941" s="253"/>
      <c r="B941" s="292">
        <v>4</v>
      </c>
      <c r="C941" s="603" t="str">
        <f>AD941</f>
        <v>satisfaction</v>
      </c>
      <c r="D941" s="604"/>
      <c r="E941" s="253"/>
      <c r="F941" s="1"/>
      <c r="AD941" s="293" t="s">
        <v>685</v>
      </c>
      <c r="AE941"/>
      <c r="AF941"/>
      <c r="AG941">
        <f>IF(AND(C941&lt;&gt;"",C941=AD941),0,1)</f>
        <v>0</v>
      </c>
      <c r="AH941"/>
    </row>
    <row r="942" spans="1:34" ht="12" hidden="1" customHeight="1" thickTop="1" x14ac:dyDescent="0.3">
      <c r="A942" s="253"/>
      <c r="B942" s="294">
        <v>0</v>
      </c>
      <c r="C942" s="295" t="s">
        <v>686</v>
      </c>
      <c r="D942" s="280"/>
      <c r="E942" s="253"/>
      <c r="F942" s="1"/>
      <c r="AD942"/>
      <c r="AE942"/>
      <c r="AF942">
        <f>IF(C$941=C942,B942,0)</f>
        <v>0</v>
      </c>
      <c r="AG942"/>
      <c r="AH942"/>
    </row>
    <row r="943" spans="1:34" ht="12" hidden="1" customHeight="1" x14ac:dyDescent="0.3">
      <c r="A943" s="253"/>
      <c r="B943" s="294">
        <v>1</v>
      </c>
      <c r="C943" s="295" t="s">
        <v>687</v>
      </c>
      <c r="D943" s="280"/>
      <c r="E943" s="253"/>
      <c r="F943" s="1"/>
      <c r="AD943"/>
      <c r="AE943"/>
      <c r="AF943">
        <f>IF(C$941=C943,B943,0)</f>
        <v>0</v>
      </c>
      <c r="AG943"/>
      <c r="AH943"/>
    </row>
    <row r="944" spans="1:34" ht="12" hidden="1" customHeight="1" x14ac:dyDescent="0.3">
      <c r="A944" s="253"/>
      <c r="B944" s="294">
        <v>2</v>
      </c>
      <c r="C944" s="295" t="s">
        <v>688</v>
      </c>
      <c r="D944" s="280"/>
      <c r="E944" s="253"/>
      <c r="F944" s="1"/>
      <c r="AD944"/>
      <c r="AE944"/>
      <c r="AF944">
        <f>IF(C$941=C944,B944,0)</f>
        <v>0</v>
      </c>
      <c r="AG944"/>
      <c r="AH944"/>
    </row>
    <row r="945" spans="1:34" ht="12" hidden="1" customHeight="1" thickBot="1" x14ac:dyDescent="0.35">
      <c r="A945" s="253"/>
      <c r="B945" s="294">
        <v>3</v>
      </c>
      <c r="C945" s="295" t="s">
        <v>689</v>
      </c>
      <c r="D945" s="280"/>
      <c r="E945" s="253"/>
      <c r="F945" s="1"/>
      <c r="AD945"/>
      <c r="AE945"/>
      <c r="AF945">
        <f>IF(C$941=C945,B945,0)</f>
        <v>0</v>
      </c>
      <c r="AG945"/>
      <c r="AH945"/>
    </row>
    <row r="946" spans="1:34" ht="19.95" hidden="1" customHeight="1" thickTop="1" thickBot="1" x14ac:dyDescent="0.35">
      <c r="A946" s="253"/>
      <c r="B946" s="292">
        <v>5</v>
      </c>
      <c r="C946" s="603" t="str">
        <f>AD946</f>
        <v>guilt</v>
      </c>
      <c r="D946" s="604"/>
      <c r="E946" s="253"/>
      <c r="F946" s="1"/>
      <c r="AD946" s="293" t="s">
        <v>690</v>
      </c>
      <c r="AE946"/>
      <c r="AF946"/>
      <c r="AG946">
        <f>IF(AND(C946&lt;&gt;"",C946=AD946),0,1)</f>
        <v>0</v>
      </c>
      <c r="AH946"/>
    </row>
    <row r="947" spans="1:34" ht="12" hidden="1" customHeight="1" thickTop="1" x14ac:dyDescent="0.3">
      <c r="A947" s="253"/>
      <c r="B947" s="294">
        <v>0</v>
      </c>
      <c r="C947" s="295" t="s">
        <v>691</v>
      </c>
      <c r="D947" s="280"/>
      <c r="E947" s="253"/>
      <c r="F947" s="1"/>
      <c r="AD947"/>
      <c r="AE947"/>
      <c r="AF947">
        <f>IF(C$946=C947,B947,0)</f>
        <v>0</v>
      </c>
      <c r="AG947"/>
      <c r="AH947"/>
    </row>
    <row r="948" spans="1:34" ht="12" hidden="1" customHeight="1" x14ac:dyDescent="0.3">
      <c r="A948" s="253"/>
      <c r="B948" s="294">
        <v>1</v>
      </c>
      <c r="C948" s="295" t="s">
        <v>692</v>
      </c>
      <c r="D948" s="280"/>
      <c r="E948" s="253"/>
      <c r="F948" s="1"/>
      <c r="AD948"/>
      <c r="AE948"/>
      <c r="AF948">
        <f>IF(C$946=C948,B948,0)</f>
        <v>0</v>
      </c>
      <c r="AG948"/>
      <c r="AH948"/>
    </row>
    <row r="949" spans="1:34" ht="12" hidden="1" customHeight="1" x14ac:dyDescent="0.3">
      <c r="A949" s="253"/>
      <c r="B949" s="294">
        <v>2</v>
      </c>
      <c r="C949" s="295" t="s">
        <v>693</v>
      </c>
      <c r="D949" s="280"/>
      <c r="E949" s="253"/>
      <c r="F949" s="1"/>
      <c r="AD949"/>
      <c r="AE949"/>
      <c r="AF949">
        <f>IF(C$946=C949,B949,0)</f>
        <v>0</v>
      </c>
      <c r="AG949"/>
      <c r="AH949"/>
    </row>
    <row r="950" spans="1:34" ht="12" hidden="1" customHeight="1" thickBot="1" x14ac:dyDescent="0.35">
      <c r="A950" s="253"/>
      <c r="B950" s="294">
        <v>3</v>
      </c>
      <c r="C950" s="295" t="s">
        <v>694</v>
      </c>
      <c r="D950" s="280"/>
      <c r="E950" s="253"/>
      <c r="F950" s="1"/>
      <c r="AD950"/>
      <c r="AE950"/>
      <c r="AF950">
        <f>IF(C$946=C950,B950,0)</f>
        <v>0</v>
      </c>
      <c r="AG950"/>
      <c r="AH950"/>
    </row>
    <row r="951" spans="1:34" ht="19.95" hidden="1" customHeight="1" thickTop="1" thickBot="1" x14ac:dyDescent="0.35">
      <c r="A951" s="253"/>
      <c r="B951" s="292">
        <v>6</v>
      </c>
      <c r="C951" s="603" t="str">
        <f>AD951</f>
        <v>punished</v>
      </c>
      <c r="D951" s="604"/>
      <c r="E951" s="253"/>
      <c r="F951" s="1"/>
      <c r="AD951" s="293" t="s">
        <v>695</v>
      </c>
      <c r="AE951"/>
      <c r="AF951"/>
      <c r="AG951">
        <f>IF(AND(C951&lt;&gt;"",C951=AD951),0,1)</f>
        <v>0</v>
      </c>
      <c r="AH951"/>
    </row>
    <row r="952" spans="1:34" ht="12" hidden="1" customHeight="1" thickTop="1" x14ac:dyDescent="0.3">
      <c r="A952" s="253"/>
      <c r="B952" s="294">
        <v>0</v>
      </c>
      <c r="C952" s="295" t="s">
        <v>696</v>
      </c>
      <c r="D952" s="280"/>
      <c r="E952" s="253"/>
      <c r="F952" s="1"/>
      <c r="AD952"/>
      <c r="AE952"/>
      <c r="AF952">
        <f>IF(C$951=C952,B952,0)</f>
        <v>0</v>
      </c>
      <c r="AG952"/>
      <c r="AH952"/>
    </row>
    <row r="953" spans="1:34" ht="12" hidden="1" customHeight="1" x14ac:dyDescent="0.3">
      <c r="A953" s="253"/>
      <c r="B953" s="294">
        <v>1</v>
      </c>
      <c r="C953" s="295" t="s">
        <v>697</v>
      </c>
      <c r="D953" s="280"/>
      <c r="E953" s="253"/>
      <c r="F953" s="1"/>
      <c r="AD953"/>
      <c r="AE953"/>
      <c r="AF953">
        <f>IF(C$951=C953,B953,0)</f>
        <v>0</v>
      </c>
      <c r="AG953"/>
      <c r="AH953"/>
    </row>
    <row r="954" spans="1:34" ht="12" hidden="1" customHeight="1" x14ac:dyDescent="0.3">
      <c r="A954" s="253"/>
      <c r="B954" s="294">
        <v>2</v>
      </c>
      <c r="C954" s="295" t="s">
        <v>698</v>
      </c>
      <c r="D954" s="280"/>
      <c r="E954" s="253"/>
      <c r="F954" s="1"/>
      <c r="AD954"/>
      <c r="AE954"/>
      <c r="AF954">
        <f>IF(C$951=C954,B954,0)</f>
        <v>0</v>
      </c>
      <c r="AG954"/>
      <c r="AH954"/>
    </row>
    <row r="955" spans="1:34" ht="12" hidden="1" customHeight="1" thickBot="1" x14ac:dyDescent="0.35">
      <c r="A955" s="253"/>
      <c r="B955" s="294">
        <v>3</v>
      </c>
      <c r="C955" s="295" t="s">
        <v>699</v>
      </c>
      <c r="D955" s="280"/>
      <c r="E955" s="253"/>
      <c r="F955" s="1"/>
      <c r="AD955"/>
      <c r="AE955"/>
      <c r="AF955">
        <f>IF(C$951=C955,B955,0)</f>
        <v>0</v>
      </c>
      <c r="AG955"/>
      <c r="AH955"/>
    </row>
    <row r="956" spans="1:34" ht="19.95" hidden="1" customHeight="1" thickTop="1" thickBot="1" x14ac:dyDescent="0.35">
      <c r="A956" s="253"/>
      <c r="B956" s="292">
        <v>7</v>
      </c>
      <c r="C956" s="603" t="str">
        <f>AD956</f>
        <v>self-loath</v>
      </c>
      <c r="D956" s="604"/>
      <c r="E956" s="253"/>
      <c r="F956" s="1"/>
      <c r="AD956" s="293" t="s">
        <v>700</v>
      </c>
      <c r="AE956"/>
      <c r="AF956"/>
      <c r="AG956">
        <f>IF(AND(C956&lt;&gt;"",C956=AD956),0,1)</f>
        <v>0</v>
      </c>
      <c r="AH956"/>
    </row>
    <row r="957" spans="1:34" ht="12" hidden="1" customHeight="1" thickTop="1" x14ac:dyDescent="0.3">
      <c r="A957" s="253"/>
      <c r="B957" s="294">
        <v>0</v>
      </c>
      <c r="C957" s="295" t="s">
        <v>701</v>
      </c>
      <c r="D957" s="280"/>
      <c r="E957" s="253"/>
      <c r="F957" s="1"/>
      <c r="AD957"/>
      <c r="AE957"/>
      <c r="AF957">
        <f>IF(C$956=C957,B957,0)</f>
        <v>0</v>
      </c>
      <c r="AG957"/>
      <c r="AH957"/>
    </row>
    <row r="958" spans="1:34" ht="12" hidden="1" customHeight="1" x14ac:dyDescent="0.3">
      <c r="A958" s="253"/>
      <c r="B958" s="294">
        <v>1</v>
      </c>
      <c r="C958" s="295" t="s">
        <v>702</v>
      </c>
      <c r="D958" s="280"/>
      <c r="E958" s="253"/>
      <c r="F958" s="1"/>
      <c r="AD958"/>
      <c r="AE958"/>
      <c r="AF958">
        <f>IF(C$956=C958,B958,0)</f>
        <v>0</v>
      </c>
      <c r="AG958"/>
      <c r="AH958"/>
    </row>
    <row r="959" spans="1:34" ht="12" hidden="1" customHeight="1" x14ac:dyDescent="0.3">
      <c r="A959" s="253"/>
      <c r="B959" s="294">
        <v>2</v>
      </c>
      <c r="C959" s="295" t="s">
        <v>703</v>
      </c>
      <c r="D959" s="280"/>
      <c r="E959" s="253"/>
      <c r="F959" s="1"/>
      <c r="AD959"/>
      <c r="AE959"/>
      <c r="AF959">
        <f>IF(C$956=C959,B959,0)</f>
        <v>0</v>
      </c>
      <c r="AG959"/>
      <c r="AH959"/>
    </row>
    <row r="960" spans="1:34" ht="12" hidden="1" customHeight="1" thickBot="1" x14ac:dyDescent="0.35">
      <c r="A960" s="253"/>
      <c r="B960" s="294">
        <v>3</v>
      </c>
      <c r="C960" s="295" t="s">
        <v>704</v>
      </c>
      <c r="D960" s="280"/>
      <c r="E960" s="253"/>
      <c r="F960" s="1"/>
      <c r="AD960"/>
      <c r="AE960"/>
      <c r="AF960">
        <f>IF(C$956=C960,B960,0)</f>
        <v>0</v>
      </c>
      <c r="AG960"/>
      <c r="AH960"/>
    </row>
    <row r="961" spans="1:34" ht="19.95" hidden="1" customHeight="1" thickTop="1" thickBot="1" x14ac:dyDescent="0.35">
      <c r="A961" s="253"/>
      <c r="B961" s="292">
        <v>8</v>
      </c>
      <c r="C961" s="603" t="str">
        <f>AD961</f>
        <v>faults</v>
      </c>
      <c r="D961" s="604"/>
      <c r="E961" s="253"/>
      <c r="F961" s="1"/>
      <c r="AD961" s="293" t="s">
        <v>705</v>
      </c>
      <c r="AE961"/>
      <c r="AF961"/>
      <c r="AG961">
        <f>IF(AND(C961&lt;&gt;"",C961=AD961),0,1)</f>
        <v>0</v>
      </c>
      <c r="AH961"/>
    </row>
    <row r="962" spans="1:34" ht="12" hidden="1" customHeight="1" thickTop="1" x14ac:dyDescent="0.3">
      <c r="A962" s="253"/>
      <c r="B962" s="294">
        <v>0</v>
      </c>
      <c r="C962" s="295" t="s">
        <v>706</v>
      </c>
      <c r="D962" s="280"/>
      <c r="E962" s="253"/>
      <c r="F962" s="1"/>
      <c r="AD962"/>
      <c r="AE962"/>
      <c r="AF962">
        <f>IF(C$961=C962,B962,0)</f>
        <v>0</v>
      </c>
      <c r="AG962"/>
      <c r="AH962"/>
    </row>
    <row r="963" spans="1:34" ht="12" hidden="1" customHeight="1" x14ac:dyDescent="0.3">
      <c r="A963" s="253"/>
      <c r="B963" s="294">
        <v>1</v>
      </c>
      <c r="C963" s="295" t="s">
        <v>707</v>
      </c>
      <c r="D963" s="280"/>
      <c r="E963" s="253"/>
      <c r="F963" s="1"/>
      <c r="AD963"/>
      <c r="AE963"/>
      <c r="AF963">
        <f>IF(C$961=C963,B963,0)</f>
        <v>0</v>
      </c>
      <c r="AG963"/>
      <c r="AH963"/>
    </row>
    <row r="964" spans="1:34" ht="12" hidden="1" customHeight="1" x14ac:dyDescent="0.3">
      <c r="A964" s="253"/>
      <c r="B964" s="294">
        <v>2</v>
      </c>
      <c r="C964" s="295" t="s">
        <v>708</v>
      </c>
      <c r="D964" s="280"/>
      <c r="E964" s="253"/>
      <c r="F964" s="1"/>
      <c r="AD964"/>
      <c r="AE964"/>
      <c r="AF964">
        <f>IF(C$961=C964,B964,0)</f>
        <v>0</v>
      </c>
      <c r="AG964"/>
      <c r="AH964"/>
    </row>
    <row r="965" spans="1:34" ht="12" hidden="1" customHeight="1" thickBot="1" x14ac:dyDescent="0.35">
      <c r="A965" s="253"/>
      <c r="B965" s="294">
        <v>3</v>
      </c>
      <c r="C965" s="295" t="s">
        <v>709</v>
      </c>
      <c r="D965" s="280"/>
      <c r="E965" s="253"/>
      <c r="F965" s="1"/>
      <c r="AD965"/>
      <c r="AE965"/>
      <c r="AF965">
        <f>IF(C$961=C965,B965,0)</f>
        <v>0</v>
      </c>
      <c r="AG965"/>
      <c r="AH965"/>
    </row>
    <row r="966" spans="1:34" ht="19.95" hidden="1" customHeight="1" thickTop="1" thickBot="1" x14ac:dyDescent="0.35">
      <c r="A966" s="253"/>
      <c r="B966" s="292">
        <v>9</v>
      </c>
      <c r="C966" s="603" t="str">
        <f>AD966</f>
        <v>suicidal thoughts</v>
      </c>
      <c r="D966" s="604"/>
      <c r="E966" s="253"/>
      <c r="F966" s="1"/>
      <c r="AD966" s="293" t="s">
        <v>710</v>
      </c>
      <c r="AE966"/>
      <c r="AF966"/>
      <c r="AG966">
        <f>IF(AND(C966&lt;&gt;"",C966=AD966),0,1)</f>
        <v>0</v>
      </c>
      <c r="AH966"/>
    </row>
    <row r="967" spans="1:34" ht="12" hidden="1" customHeight="1" thickTop="1" x14ac:dyDescent="0.3">
      <c r="A967" s="253"/>
      <c r="B967" s="294">
        <v>0</v>
      </c>
      <c r="C967" s="295" t="s">
        <v>711</v>
      </c>
      <c r="D967" s="280"/>
      <c r="E967" s="253"/>
      <c r="F967" s="1"/>
      <c r="AD967"/>
      <c r="AE967"/>
      <c r="AF967">
        <f>IF(C$966=C967,B967,0)</f>
        <v>0</v>
      </c>
      <c r="AG967"/>
      <c r="AH967"/>
    </row>
    <row r="968" spans="1:34" ht="12" hidden="1" customHeight="1" x14ac:dyDescent="0.3">
      <c r="A968" s="253"/>
      <c r="B968" s="294">
        <v>1</v>
      </c>
      <c r="C968" s="295" t="s">
        <v>712</v>
      </c>
      <c r="D968" s="280"/>
      <c r="E968" s="253"/>
      <c r="F968" s="1"/>
      <c r="AD968"/>
      <c r="AE968"/>
      <c r="AF968">
        <f>IF(C$966=C968,B968,0)</f>
        <v>0</v>
      </c>
      <c r="AG968"/>
      <c r="AH968"/>
    </row>
    <row r="969" spans="1:34" ht="12" hidden="1" customHeight="1" x14ac:dyDescent="0.3">
      <c r="A969" s="253"/>
      <c r="B969" s="294">
        <v>2</v>
      </c>
      <c r="C969" s="295" t="s">
        <v>713</v>
      </c>
      <c r="D969" s="280"/>
      <c r="E969" s="253"/>
      <c r="F969" s="1"/>
      <c r="AD969"/>
      <c r="AE969"/>
      <c r="AF969">
        <f>IF(C$966=C969,B969,0)</f>
        <v>0</v>
      </c>
      <c r="AG969"/>
      <c r="AH969"/>
    </row>
    <row r="970" spans="1:34" ht="12" hidden="1" customHeight="1" thickBot="1" x14ac:dyDescent="0.35">
      <c r="A970" s="253"/>
      <c r="B970" s="294">
        <v>3</v>
      </c>
      <c r="C970" s="295" t="s">
        <v>714</v>
      </c>
      <c r="D970" s="280"/>
      <c r="E970" s="253"/>
      <c r="F970" s="1"/>
      <c r="AD970"/>
      <c r="AE970"/>
      <c r="AF970">
        <f>IF(C$966=C970,B970,0)</f>
        <v>0</v>
      </c>
      <c r="AG970"/>
      <c r="AH970"/>
    </row>
    <row r="971" spans="1:34" ht="19.95" hidden="1" customHeight="1" thickTop="1" thickBot="1" x14ac:dyDescent="0.35">
      <c r="A971" s="253"/>
      <c r="B971" s="292">
        <v>10</v>
      </c>
      <c r="C971" s="603" t="str">
        <f>AD971</f>
        <v>crying</v>
      </c>
      <c r="D971" s="604"/>
      <c r="E971" s="253"/>
      <c r="F971" s="1"/>
      <c r="AD971" s="293" t="s">
        <v>715</v>
      </c>
      <c r="AE971"/>
      <c r="AF971"/>
      <c r="AG971">
        <f>IF(AND(C971&lt;&gt;"",C971=AD971),0,1)</f>
        <v>0</v>
      </c>
      <c r="AH971"/>
    </row>
    <row r="972" spans="1:34" ht="12" hidden="1" customHeight="1" thickTop="1" x14ac:dyDescent="0.3">
      <c r="A972" s="253"/>
      <c r="B972" s="294">
        <v>0</v>
      </c>
      <c r="C972" s="295" t="s">
        <v>716</v>
      </c>
      <c r="D972" s="280"/>
      <c r="E972" s="253"/>
      <c r="F972" s="1"/>
      <c r="AD972"/>
      <c r="AE972"/>
      <c r="AF972">
        <f>IF(C$971=C972,B972,0)</f>
        <v>0</v>
      </c>
      <c r="AG972"/>
      <c r="AH972"/>
    </row>
    <row r="973" spans="1:34" ht="12" hidden="1" customHeight="1" x14ac:dyDescent="0.3">
      <c r="A973" s="253"/>
      <c r="B973" s="294">
        <v>1</v>
      </c>
      <c r="C973" s="295" t="s">
        <v>717</v>
      </c>
      <c r="D973" s="280"/>
      <c r="E973" s="253"/>
      <c r="F973" s="1"/>
      <c r="AD973"/>
      <c r="AE973"/>
      <c r="AF973">
        <f>IF(C$971=C973,B973,0)</f>
        <v>0</v>
      </c>
      <c r="AG973"/>
      <c r="AH973"/>
    </row>
    <row r="974" spans="1:34" ht="12" hidden="1" customHeight="1" x14ac:dyDescent="0.3">
      <c r="A974" s="253"/>
      <c r="B974" s="294">
        <v>2</v>
      </c>
      <c r="C974" s="295" t="s">
        <v>718</v>
      </c>
      <c r="D974" s="280"/>
      <c r="E974" s="253"/>
      <c r="F974" s="1"/>
      <c r="AD974"/>
      <c r="AE974"/>
      <c r="AF974">
        <f>IF(C$971=C974,B974,0)</f>
        <v>0</v>
      </c>
      <c r="AG974"/>
      <c r="AH974"/>
    </row>
    <row r="975" spans="1:34" ht="12" hidden="1" customHeight="1" thickBot="1" x14ac:dyDescent="0.35">
      <c r="A975" s="253"/>
      <c r="B975" s="294">
        <v>3</v>
      </c>
      <c r="C975" s="295" t="s">
        <v>719</v>
      </c>
      <c r="D975" s="280"/>
      <c r="E975" s="253"/>
      <c r="F975" s="1"/>
      <c r="AD975"/>
      <c r="AE975"/>
      <c r="AF975">
        <f>IF(C$971=C975,B975,0)</f>
        <v>0</v>
      </c>
      <c r="AG975"/>
      <c r="AH975"/>
    </row>
    <row r="976" spans="1:34" ht="19.95" hidden="1" customHeight="1" thickTop="1" thickBot="1" x14ac:dyDescent="0.35">
      <c r="A976" s="253"/>
      <c r="B976" s="292">
        <v>11</v>
      </c>
      <c r="C976" s="603" t="str">
        <f>AD976</f>
        <v>irritability</v>
      </c>
      <c r="D976" s="604"/>
      <c r="E976" s="253"/>
      <c r="F976" s="1"/>
      <c r="AD976" s="293" t="s">
        <v>720</v>
      </c>
      <c r="AE976"/>
      <c r="AF976"/>
      <c r="AG976">
        <f>IF(AND(C976&lt;&gt;"",C976=AD976),0,1)</f>
        <v>0</v>
      </c>
      <c r="AH976"/>
    </row>
    <row r="977" spans="1:34" ht="12" hidden="1" customHeight="1" thickTop="1" x14ac:dyDescent="0.3">
      <c r="A977" s="253"/>
      <c r="B977" s="294">
        <v>0</v>
      </c>
      <c r="C977" s="295" t="s">
        <v>721</v>
      </c>
      <c r="D977" s="280"/>
      <c r="E977" s="253"/>
      <c r="F977" s="1"/>
      <c r="AD977"/>
      <c r="AE977"/>
      <c r="AF977">
        <f>IF(C$976=C977,B977,0)</f>
        <v>0</v>
      </c>
      <c r="AG977"/>
      <c r="AH977"/>
    </row>
    <row r="978" spans="1:34" ht="12" hidden="1" customHeight="1" x14ac:dyDescent="0.3">
      <c r="A978" s="253"/>
      <c r="B978" s="294">
        <v>1</v>
      </c>
      <c r="C978" s="295" t="s">
        <v>722</v>
      </c>
      <c r="D978" s="280"/>
      <c r="E978" s="253"/>
      <c r="F978" s="1"/>
      <c r="AD978"/>
      <c r="AE978"/>
      <c r="AF978">
        <f>IF(C$976=C978,B978,0)</f>
        <v>0</v>
      </c>
      <c r="AG978"/>
      <c r="AH978"/>
    </row>
    <row r="979" spans="1:34" ht="12" hidden="1" customHeight="1" x14ac:dyDescent="0.3">
      <c r="A979" s="253"/>
      <c r="B979" s="294">
        <v>2</v>
      </c>
      <c r="C979" s="295" t="s">
        <v>723</v>
      </c>
      <c r="D979" s="280"/>
      <c r="E979" s="253"/>
      <c r="F979" s="1"/>
      <c r="AD979"/>
      <c r="AE979"/>
      <c r="AF979">
        <f>IF(C$976=C979,B979,0)</f>
        <v>0</v>
      </c>
      <c r="AG979"/>
      <c r="AH979"/>
    </row>
    <row r="980" spans="1:34" ht="12" hidden="1" customHeight="1" thickBot="1" x14ac:dyDescent="0.35">
      <c r="A980" s="253"/>
      <c r="B980" s="294">
        <v>3</v>
      </c>
      <c r="C980" s="295" t="s">
        <v>724</v>
      </c>
      <c r="D980" s="280"/>
      <c r="E980" s="253"/>
      <c r="F980" s="1"/>
      <c r="AD980"/>
      <c r="AE980"/>
      <c r="AF980">
        <f>IF(C$976=C980,B980,0)</f>
        <v>0</v>
      </c>
      <c r="AG980"/>
      <c r="AH980"/>
    </row>
    <row r="981" spans="1:34" ht="19.95" hidden="1" customHeight="1" thickTop="1" thickBot="1" x14ac:dyDescent="0.35">
      <c r="A981" s="253"/>
      <c r="B981" s="292">
        <v>12</v>
      </c>
      <c r="C981" s="603" t="str">
        <f>AD981</f>
        <v>socializing</v>
      </c>
      <c r="D981" s="604"/>
      <c r="E981" s="253"/>
      <c r="F981" s="1"/>
      <c r="AD981" s="293" t="s">
        <v>725</v>
      </c>
      <c r="AE981"/>
      <c r="AF981"/>
      <c r="AG981">
        <f>IF(AND(C981&lt;&gt;"",C981=AD981),0,1)</f>
        <v>0</v>
      </c>
      <c r="AH981"/>
    </row>
    <row r="982" spans="1:34" ht="12" hidden="1" customHeight="1" thickTop="1" x14ac:dyDescent="0.3">
      <c r="A982" s="253"/>
      <c r="B982" s="294">
        <v>0</v>
      </c>
      <c r="C982" s="295" t="s">
        <v>726</v>
      </c>
      <c r="D982" s="280"/>
      <c r="E982" s="253"/>
      <c r="F982" s="1"/>
      <c r="AD982"/>
      <c r="AE982"/>
      <c r="AF982">
        <f>IF(C$981=C982,B982,0)</f>
        <v>0</v>
      </c>
      <c r="AG982"/>
      <c r="AH982"/>
    </row>
    <row r="983" spans="1:34" ht="12" hidden="1" customHeight="1" x14ac:dyDescent="0.3">
      <c r="A983" s="253"/>
      <c r="B983" s="294">
        <v>1</v>
      </c>
      <c r="C983" s="295" t="s">
        <v>727</v>
      </c>
      <c r="D983" s="280"/>
      <c r="E983" s="253"/>
      <c r="F983" s="1"/>
      <c r="AD983"/>
      <c r="AE983"/>
      <c r="AF983">
        <f>IF(C$981=C983,B983,0)</f>
        <v>0</v>
      </c>
      <c r="AG983"/>
      <c r="AH983"/>
    </row>
    <row r="984" spans="1:34" ht="12" hidden="1" customHeight="1" x14ac:dyDescent="0.3">
      <c r="A984" s="253"/>
      <c r="B984" s="294">
        <v>2</v>
      </c>
      <c r="C984" s="295" t="s">
        <v>728</v>
      </c>
      <c r="D984" s="280"/>
      <c r="E984" s="253"/>
      <c r="F984" s="1"/>
      <c r="AD984"/>
      <c r="AE984"/>
      <c r="AF984">
        <f>IF(C$981=C984,B984,0)</f>
        <v>0</v>
      </c>
      <c r="AG984"/>
      <c r="AH984"/>
    </row>
    <row r="985" spans="1:34" ht="12" hidden="1" customHeight="1" thickBot="1" x14ac:dyDescent="0.35">
      <c r="A985" s="253"/>
      <c r="B985" s="294">
        <v>3</v>
      </c>
      <c r="C985" s="295" t="s">
        <v>729</v>
      </c>
      <c r="D985" s="280"/>
      <c r="E985" s="253"/>
      <c r="F985" s="1"/>
      <c r="AD985"/>
      <c r="AE985"/>
      <c r="AF985">
        <f>IF(C$981=C985,B985,0)</f>
        <v>0</v>
      </c>
      <c r="AG985"/>
      <c r="AH985"/>
    </row>
    <row r="986" spans="1:34" ht="19.95" hidden="1" customHeight="1" thickTop="1" thickBot="1" x14ac:dyDescent="0.35">
      <c r="A986" s="253"/>
      <c r="B986" s="292">
        <v>13</v>
      </c>
      <c r="C986" s="603" t="str">
        <f>AD986</f>
        <v>decisiveness</v>
      </c>
      <c r="D986" s="604"/>
      <c r="E986" s="253"/>
      <c r="F986" s="1"/>
      <c r="AD986" s="293" t="s">
        <v>730</v>
      </c>
      <c r="AE986"/>
      <c r="AF986"/>
      <c r="AG986">
        <f>IF(AND(C986&lt;&gt;"",C986=AD986),0,1)</f>
        <v>0</v>
      </c>
      <c r="AH986"/>
    </row>
    <row r="987" spans="1:34" ht="12" hidden="1" customHeight="1" thickTop="1" x14ac:dyDescent="0.3">
      <c r="A987" s="253"/>
      <c r="B987" s="294">
        <v>0</v>
      </c>
      <c r="C987" s="295" t="s">
        <v>731</v>
      </c>
      <c r="D987" s="280"/>
      <c r="E987" s="253"/>
      <c r="F987" s="1"/>
      <c r="AD987"/>
      <c r="AE987"/>
      <c r="AF987">
        <f>IF(C$986=C987,B987,0)</f>
        <v>0</v>
      </c>
      <c r="AG987"/>
      <c r="AH987"/>
    </row>
    <row r="988" spans="1:34" ht="12" hidden="1" customHeight="1" x14ac:dyDescent="0.3">
      <c r="A988" s="253"/>
      <c r="B988" s="294">
        <v>1</v>
      </c>
      <c r="C988" s="295" t="s">
        <v>732</v>
      </c>
      <c r="D988" s="280"/>
      <c r="E988" s="253"/>
      <c r="F988" s="1"/>
      <c r="AD988"/>
      <c r="AE988"/>
      <c r="AF988">
        <f>IF(C$986=C988,B988,0)</f>
        <v>0</v>
      </c>
      <c r="AG988"/>
      <c r="AH988"/>
    </row>
    <row r="989" spans="1:34" ht="12" hidden="1" customHeight="1" x14ac:dyDescent="0.3">
      <c r="A989" s="253"/>
      <c r="B989" s="294">
        <v>2</v>
      </c>
      <c r="C989" s="295" t="s">
        <v>733</v>
      </c>
      <c r="D989" s="280"/>
      <c r="E989" s="253"/>
      <c r="F989" s="1"/>
      <c r="AD989"/>
      <c r="AE989"/>
      <c r="AF989">
        <f>IF(C$986=C989,B989,0)</f>
        <v>0</v>
      </c>
      <c r="AG989"/>
      <c r="AH989"/>
    </row>
    <row r="990" spans="1:34" ht="12" hidden="1" customHeight="1" thickBot="1" x14ac:dyDescent="0.35">
      <c r="A990" s="253"/>
      <c r="B990" s="294">
        <v>3</v>
      </c>
      <c r="C990" s="295" t="s">
        <v>734</v>
      </c>
      <c r="D990" s="280"/>
      <c r="E990" s="253"/>
      <c r="F990" s="1"/>
      <c r="AD990"/>
      <c r="AE990"/>
      <c r="AF990">
        <f>IF(C$986=C990,B990,0)</f>
        <v>0</v>
      </c>
      <c r="AG990"/>
      <c r="AH990"/>
    </row>
    <row r="991" spans="1:34" ht="19.95" hidden="1" customHeight="1" thickTop="1" thickBot="1" x14ac:dyDescent="0.35">
      <c r="A991" s="253"/>
      <c r="B991" s="292">
        <v>14</v>
      </c>
      <c r="C991" s="603" t="str">
        <f>AD991</f>
        <v>self-image</v>
      </c>
      <c r="D991" s="604"/>
      <c r="E991" s="253"/>
      <c r="F991" s="1"/>
      <c r="AD991" s="293" t="s">
        <v>735</v>
      </c>
      <c r="AE991"/>
      <c r="AF991"/>
      <c r="AG991">
        <f>IF(AND(C991&lt;&gt;"",C991=AD991),0,1)</f>
        <v>0</v>
      </c>
      <c r="AH991"/>
    </row>
    <row r="992" spans="1:34" ht="12" hidden="1" customHeight="1" thickTop="1" x14ac:dyDescent="0.3">
      <c r="A992" s="253"/>
      <c r="B992" s="294">
        <v>0</v>
      </c>
      <c r="C992" s="295" t="s">
        <v>736</v>
      </c>
      <c r="D992" s="280"/>
      <c r="E992" s="253"/>
      <c r="F992" s="1"/>
      <c r="AD992"/>
      <c r="AE992"/>
      <c r="AF992">
        <f>IF(C$991=C992,B992,0)</f>
        <v>0</v>
      </c>
      <c r="AG992"/>
      <c r="AH992"/>
    </row>
    <row r="993" spans="1:34" ht="12" hidden="1" customHeight="1" x14ac:dyDescent="0.3">
      <c r="A993" s="253"/>
      <c r="B993" s="294">
        <v>1</v>
      </c>
      <c r="C993" s="295" t="s">
        <v>737</v>
      </c>
      <c r="D993" s="280"/>
      <c r="E993" s="253"/>
      <c r="F993" s="1"/>
      <c r="AD993"/>
      <c r="AE993"/>
      <c r="AF993">
        <f>IF(C$991=C993,B993,0)</f>
        <v>0</v>
      </c>
      <c r="AG993"/>
      <c r="AH993"/>
    </row>
    <row r="994" spans="1:34" ht="12" hidden="1" customHeight="1" x14ac:dyDescent="0.3">
      <c r="A994" s="253"/>
      <c r="B994" s="294">
        <v>2</v>
      </c>
      <c r="C994" s="295" t="s">
        <v>738</v>
      </c>
      <c r="D994" s="280"/>
      <c r="E994" s="253"/>
      <c r="F994" s="1"/>
      <c r="AD994"/>
      <c r="AE994"/>
      <c r="AF994">
        <f>IF(C$991=C994,B994,0)</f>
        <v>0</v>
      </c>
      <c r="AG994"/>
      <c r="AH994"/>
    </row>
    <row r="995" spans="1:34" ht="12" hidden="1" customHeight="1" thickBot="1" x14ac:dyDescent="0.35">
      <c r="A995" s="253"/>
      <c r="B995" s="294">
        <v>3</v>
      </c>
      <c r="C995" s="295" t="s">
        <v>739</v>
      </c>
      <c r="D995" s="280"/>
      <c r="E995" s="253"/>
      <c r="F995" s="1"/>
      <c r="AD995"/>
      <c r="AE995"/>
      <c r="AF995">
        <f>IF(C$991=C995,B995,0)</f>
        <v>0</v>
      </c>
      <c r="AG995"/>
      <c r="AH995"/>
    </row>
    <row r="996" spans="1:34" ht="19.95" hidden="1" customHeight="1" thickTop="1" thickBot="1" x14ac:dyDescent="0.35">
      <c r="A996" s="253"/>
      <c r="B996" s="292">
        <v>15</v>
      </c>
      <c r="C996" s="603" t="str">
        <f>AD996</f>
        <v>effort</v>
      </c>
      <c r="D996" s="604"/>
      <c r="E996" s="253"/>
      <c r="F996" s="1"/>
      <c r="AD996" s="293" t="s">
        <v>740</v>
      </c>
      <c r="AE996"/>
      <c r="AF996"/>
      <c r="AG996">
        <f>IF(AND(C996&lt;&gt;"",C996=AD996),0,1)</f>
        <v>0</v>
      </c>
      <c r="AH996"/>
    </row>
    <row r="997" spans="1:34" ht="12" hidden="1" customHeight="1" thickTop="1" x14ac:dyDescent="0.3">
      <c r="A997" s="253"/>
      <c r="B997" s="294">
        <v>0</v>
      </c>
      <c r="C997" s="295" t="s">
        <v>741</v>
      </c>
      <c r="D997" s="280"/>
      <c r="E997" s="253"/>
      <c r="F997" s="1"/>
      <c r="AD997"/>
      <c r="AE997"/>
      <c r="AF997">
        <f>IF(C$996=C997,B997,0)</f>
        <v>0</v>
      </c>
      <c r="AG997"/>
      <c r="AH997"/>
    </row>
    <row r="998" spans="1:34" ht="12" hidden="1" customHeight="1" x14ac:dyDescent="0.3">
      <c r="A998" s="253"/>
      <c r="B998" s="294">
        <v>1</v>
      </c>
      <c r="C998" s="295" t="s">
        <v>742</v>
      </c>
      <c r="D998" s="280"/>
      <c r="E998" s="253"/>
      <c r="F998" s="1"/>
      <c r="AD998"/>
      <c r="AE998"/>
      <c r="AF998">
        <f>IF(C$996=C998,B998,0)</f>
        <v>0</v>
      </c>
      <c r="AG998"/>
      <c r="AH998"/>
    </row>
    <row r="999" spans="1:34" ht="12" hidden="1" customHeight="1" x14ac:dyDescent="0.3">
      <c r="A999" s="253"/>
      <c r="B999" s="294">
        <v>2</v>
      </c>
      <c r="C999" s="295" t="s">
        <v>743</v>
      </c>
      <c r="D999" s="280"/>
      <c r="E999" s="253"/>
      <c r="F999" s="1"/>
      <c r="AD999"/>
      <c r="AE999"/>
      <c r="AF999">
        <f>IF(C$996=C999,B999,0)</f>
        <v>0</v>
      </c>
      <c r="AG999"/>
      <c r="AH999"/>
    </row>
    <row r="1000" spans="1:34" ht="12" hidden="1" customHeight="1" thickBot="1" x14ac:dyDescent="0.35">
      <c r="A1000" s="253"/>
      <c r="B1000" s="294">
        <v>3</v>
      </c>
      <c r="C1000" s="295" t="s">
        <v>744</v>
      </c>
      <c r="D1000" s="280"/>
      <c r="E1000" s="253"/>
      <c r="F1000" s="1"/>
      <c r="AD1000"/>
      <c r="AE1000"/>
      <c r="AF1000">
        <f>IF(C$996=C1000,B1000,0)</f>
        <v>0</v>
      </c>
      <c r="AG1000"/>
      <c r="AH1000"/>
    </row>
    <row r="1001" spans="1:34" ht="19.95" hidden="1" customHeight="1" thickTop="1" thickBot="1" x14ac:dyDescent="0.35">
      <c r="A1001" s="253"/>
      <c r="B1001" s="292">
        <v>16</v>
      </c>
      <c r="C1001" s="603" t="str">
        <f>AD1001</f>
        <v>sleep</v>
      </c>
      <c r="D1001" s="604"/>
      <c r="E1001" s="253"/>
      <c r="F1001" s="1"/>
      <c r="AD1001" s="293" t="s">
        <v>745</v>
      </c>
      <c r="AE1001"/>
      <c r="AF1001"/>
      <c r="AG1001">
        <f>IF(AND(C1001&lt;&gt;"",C1001=AD1001),0,1)</f>
        <v>0</v>
      </c>
      <c r="AH1001"/>
    </row>
    <row r="1002" spans="1:34" ht="12" hidden="1" customHeight="1" thickTop="1" x14ac:dyDescent="0.3">
      <c r="A1002" s="253"/>
      <c r="B1002" s="294">
        <v>0</v>
      </c>
      <c r="C1002" s="295" t="s">
        <v>746</v>
      </c>
      <c r="D1002" s="280"/>
      <c r="E1002" s="253"/>
      <c r="F1002" s="1"/>
      <c r="AD1002"/>
      <c r="AE1002"/>
      <c r="AF1002">
        <f>IF(C$1001=C1002,B1002,0)</f>
        <v>0</v>
      </c>
      <c r="AG1002"/>
      <c r="AH1002"/>
    </row>
    <row r="1003" spans="1:34" ht="12" hidden="1" customHeight="1" x14ac:dyDescent="0.3">
      <c r="A1003" s="253"/>
      <c r="B1003" s="294">
        <v>1</v>
      </c>
      <c r="C1003" s="295" t="s">
        <v>747</v>
      </c>
      <c r="D1003" s="280"/>
      <c r="E1003" s="253"/>
      <c r="F1003" s="1"/>
      <c r="AD1003"/>
      <c r="AE1003"/>
      <c r="AF1003">
        <f>IF(C$1001=C1003,B1003,0)</f>
        <v>0</v>
      </c>
      <c r="AG1003"/>
      <c r="AH1003"/>
    </row>
    <row r="1004" spans="1:34" ht="12" hidden="1" customHeight="1" x14ac:dyDescent="0.3">
      <c r="A1004" s="253"/>
      <c r="B1004" s="294">
        <v>2</v>
      </c>
      <c r="C1004" s="295" t="s">
        <v>748</v>
      </c>
      <c r="D1004" s="280"/>
      <c r="E1004" s="253"/>
      <c r="F1004" s="1"/>
      <c r="AD1004"/>
      <c r="AE1004"/>
      <c r="AF1004">
        <f>IF(C$1001=C1004,B1004,0)</f>
        <v>0</v>
      </c>
      <c r="AG1004"/>
      <c r="AH1004"/>
    </row>
    <row r="1005" spans="1:34" ht="12" hidden="1" customHeight="1" thickBot="1" x14ac:dyDescent="0.35">
      <c r="A1005" s="253"/>
      <c r="B1005" s="294">
        <v>3</v>
      </c>
      <c r="C1005" s="295" t="s">
        <v>749</v>
      </c>
      <c r="D1005" s="280"/>
      <c r="E1005" s="253"/>
      <c r="F1005" s="1"/>
      <c r="AD1005"/>
      <c r="AE1005"/>
      <c r="AF1005">
        <f>IF(C$1001=C1005,B1005,0)</f>
        <v>0</v>
      </c>
      <c r="AG1005"/>
      <c r="AH1005"/>
    </row>
    <row r="1006" spans="1:34" ht="19.95" hidden="1" customHeight="1" thickTop="1" thickBot="1" x14ac:dyDescent="0.35">
      <c r="A1006" s="253"/>
      <c r="B1006" s="292">
        <v>17</v>
      </c>
      <c r="C1006" s="603" t="str">
        <f>AD1006</f>
        <v>tiredness</v>
      </c>
      <c r="D1006" s="604"/>
      <c r="E1006" s="253"/>
      <c r="F1006" s="1"/>
      <c r="AD1006" s="293" t="s">
        <v>750</v>
      </c>
      <c r="AE1006"/>
      <c r="AF1006"/>
      <c r="AG1006">
        <f>IF(AND(C1006&lt;&gt;"",C1006=AD1006),0,1)</f>
        <v>0</v>
      </c>
      <c r="AH1006"/>
    </row>
    <row r="1007" spans="1:34" ht="12" hidden="1" customHeight="1" thickTop="1" x14ac:dyDescent="0.3">
      <c r="A1007" s="253"/>
      <c r="B1007" s="294">
        <v>0</v>
      </c>
      <c r="C1007" s="295" t="s">
        <v>751</v>
      </c>
      <c r="D1007" s="280"/>
      <c r="E1007" s="253"/>
      <c r="F1007" s="1"/>
      <c r="AD1007"/>
      <c r="AE1007"/>
      <c r="AF1007">
        <f>IF(C$1006=C1007,B1007,0)</f>
        <v>0</v>
      </c>
      <c r="AG1007"/>
      <c r="AH1007"/>
    </row>
    <row r="1008" spans="1:34" ht="12" hidden="1" customHeight="1" x14ac:dyDescent="0.3">
      <c r="A1008" s="253"/>
      <c r="B1008" s="294">
        <v>1</v>
      </c>
      <c r="C1008" s="295" t="s">
        <v>752</v>
      </c>
      <c r="D1008" s="280"/>
      <c r="E1008" s="253"/>
      <c r="F1008" s="1"/>
      <c r="AD1008"/>
      <c r="AE1008"/>
      <c r="AF1008">
        <f>IF(C$1006=C1008,B1008,0)</f>
        <v>0</v>
      </c>
      <c r="AG1008"/>
      <c r="AH1008"/>
    </row>
    <row r="1009" spans="1:34" ht="12" hidden="1" customHeight="1" x14ac:dyDescent="0.3">
      <c r="A1009" s="253"/>
      <c r="B1009" s="294">
        <v>2</v>
      </c>
      <c r="C1009" s="295" t="s">
        <v>753</v>
      </c>
      <c r="D1009" s="280"/>
      <c r="E1009" s="253"/>
      <c r="F1009" s="1"/>
      <c r="AD1009"/>
      <c r="AE1009"/>
      <c r="AF1009">
        <f>IF(C$1006=C1009,B1009,0)</f>
        <v>0</v>
      </c>
      <c r="AG1009"/>
      <c r="AH1009"/>
    </row>
    <row r="1010" spans="1:34" ht="12" hidden="1" customHeight="1" thickBot="1" x14ac:dyDescent="0.35">
      <c r="A1010" s="253"/>
      <c r="B1010" s="294">
        <v>3</v>
      </c>
      <c r="C1010" s="295" t="s">
        <v>754</v>
      </c>
      <c r="D1010" s="280"/>
      <c r="E1010" s="253"/>
      <c r="F1010" s="1"/>
      <c r="AD1010"/>
      <c r="AE1010"/>
      <c r="AF1010">
        <f>IF(C$1006=C1010,B1010,0)</f>
        <v>0</v>
      </c>
      <c r="AG1010"/>
      <c r="AH1010"/>
    </row>
    <row r="1011" spans="1:34" ht="19.95" hidden="1" customHeight="1" thickTop="1" thickBot="1" x14ac:dyDescent="0.35">
      <c r="A1011" s="253"/>
      <c r="B1011" s="292">
        <v>18</v>
      </c>
      <c r="C1011" s="603" t="str">
        <f>AD1011</f>
        <v>appetite</v>
      </c>
      <c r="D1011" s="604"/>
      <c r="E1011" s="253"/>
      <c r="F1011" s="1"/>
      <c r="AD1011" s="293" t="s">
        <v>755</v>
      </c>
      <c r="AE1011"/>
      <c r="AF1011"/>
      <c r="AG1011">
        <f>IF(AND(C1011&lt;&gt;"",C1011=AD1011),0,1)</f>
        <v>0</v>
      </c>
      <c r="AH1011"/>
    </row>
    <row r="1012" spans="1:34" ht="12" hidden="1" customHeight="1" thickTop="1" x14ac:dyDescent="0.3">
      <c r="A1012" s="253"/>
      <c r="B1012" s="294">
        <v>0</v>
      </c>
      <c r="C1012" s="295" t="s">
        <v>756</v>
      </c>
      <c r="D1012" s="280"/>
      <c r="E1012" s="253"/>
      <c r="F1012" s="1"/>
      <c r="AD1012"/>
      <c r="AE1012"/>
      <c r="AF1012">
        <f>IF(C$1011=C1012,B1012,0)</f>
        <v>0</v>
      </c>
      <c r="AG1012"/>
      <c r="AH1012"/>
    </row>
    <row r="1013" spans="1:34" ht="12" hidden="1" customHeight="1" x14ac:dyDescent="0.3">
      <c r="A1013" s="253"/>
      <c r="B1013" s="294">
        <v>1</v>
      </c>
      <c r="C1013" s="295" t="s">
        <v>757</v>
      </c>
      <c r="D1013" s="280"/>
      <c r="E1013" s="253"/>
      <c r="F1013" s="1"/>
      <c r="AD1013"/>
      <c r="AE1013"/>
      <c r="AF1013">
        <f>IF(C$1011=C1013,B1013,0)</f>
        <v>0</v>
      </c>
      <c r="AG1013"/>
      <c r="AH1013"/>
    </row>
    <row r="1014" spans="1:34" ht="12" hidden="1" customHeight="1" x14ac:dyDescent="0.3">
      <c r="A1014" s="253"/>
      <c r="B1014" s="294">
        <v>2</v>
      </c>
      <c r="C1014" s="295" t="s">
        <v>758</v>
      </c>
      <c r="D1014" s="280"/>
      <c r="E1014" s="253"/>
      <c r="F1014" s="1"/>
      <c r="AD1014"/>
      <c r="AE1014"/>
      <c r="AF1014">
        <f>IF(C$1011=C1014,B1014,0)</f>
        <v>0</v>
      </c>
      <c r="AG1014"/>
      <c r="AH1014"/>
    </row>
    <row r="1015" spans="1:34" ht="12" hidden="1" customHeight="1" thickBot="1" x14ac:dyDescent="0.35">
      <c r="A1015" s="253"/>
      <c r="B1015" s="294">
        <v>3</v>
      </c>
      <c r="C1015" s="295" t="s">
        <v>759</v>
      </c>
      <c r="D1015" s="280"/>
      <c r="E1015" s="253"/>
      <c r="F1015" s="1"/>
      <c r="AD1015"/>
      <c r="AE1015"/>
      <c r="AF1015">
        <f>IF(C$1011=C1015,B1015,0)</f>
        <v>0</v>
      </c>
      <c r="AG1015"/>
      <c r="AH1015"/>
    </row>
    <row r="1016" spans="1:34" ht="19.95" hidden="1" customHeight="1" thickTop="1" thickBot="1" x14ac:dyDescent="0.35">
      <c r="A1016" s="253"/>
      <c r="B1016" s="292">
        <v>19</v>
      </c>
      <c r="C1016" s="603" t="str">
        <f>AD1016</f>
        <v>weight loss</v>
      </c>
      <c r="D1016" s="604"/>
      <c r="E1016" s="253"/>
      <c r="F1016" s="1"/>
      <c r="AD1016" s="293" t="s">
        <v>760</v>
      </c>
      <c r="AE1016"/>
      <c r="AF1016"/>
      <c r="AG1016">
        <f>IF(AND(C1016&lt;&gt;"",C1016=AD1016),0,1)</f>
        <v>0</v>
      </c>
      <c r="AH1016"/>
    </row>
    <row r="1017" spans="1:34" ht="12" hidden="1" customHeight="1" thickTop="1" x14ac:dyDescent="0.3">
      <c r="A1017" s="253"/>
      <c r="B1017" s="294">
        <v>0</v>
      </c>
      <c r="C1017" s="295" t="s">
        <v>761</v>
      </c>
      <c r="D1017" s="280"/>
      <c r="E1017" s="253"/>
      <c r="F1017" s="1"/>
      <c r="AD1017"/>
      <c r="AE1017"/>
      <c r="AF1017">
        <f>IF(C$1016=C1017,B1017,0)</f>
        <v>0</v>
      </c>
      <c r="AG1017"/>
      <c r="AH1017"/>
    </row>
    <row r="1018" spans="1:34" ht="12" hidden="1" customHeight="1" x14ac:dyDescent="0.3">
      <c r="A1018" s="253"/>
      <c r="B1018" s="294">
        <v>1</v>
      </c>
      <c r="C1018" s="295" t="s">
        <v>762</v>
      </c>
      <c r="D1018" s="280"/>
      <c r="E1018" s="253"/>
      <c r="F1018" s="1"/>
      <c r="AD1018"/>
      <c r="AE1018"/>
      <c r="AF1018">
        <f>IF(C$1016=C1018,B1018,0)</f>
        <v>0</v>
      </c>
      <c r="AG1018"/>
      <c r="AH1018"/>
    </row>
    <row r="1019" spans="1:34" ht="12" hidden="1" customHeight="1" x14ac:dyDescent="0.3">
      <c r="A1019" s="253"/>
      <c r="B1019" s="294">
        <v>2</v>
      </c>
      <c r="C1019" s="295" t="s">
        <v>763</v>
      </c>
      <c r="D1019" s="280"/>
      <c r="E1019" s="253"/>
      <c r="F1019" s="1"/>
      <c r="AD1019"/>
      <c r="AE1019"/>
      <c r="AF1019">
        <f>IF(C$1016=C1019,B1019,0)</f>
        <v>0</v>
      </c>
      <c r="AG1019"/>
      <c r="AH1019"/>
    </row>
    <row r="1020" spans="1:34" ht="12" hidden="1" customHeight="1" thickBot="1" x14ac:dyDescent="0.35">
      <c r="A1020" s="253"/>
      <c r="B1020" s="294">
        <v>3</v>
      </c>
      <c r="C1020" s="295" t="s">
        <v>764</v>
      </c>
      <c r="D1020" s="280"/>
      <c r="E1020" s="253"/>
      <c r="F1020" s="1"/>
      <c r="AD1020"/>
      <c r="AE1020"/>
      <c r="AF1020">
        <f>IF(C$1016=C1020,B1020,0)</f>
        <v>0</v>
      </c>
      <c r="AG1020"/>
      <c r="AH1020"/>
    </row>
    <row r="1021" spans="1:34" ht="19.95" hidden="1" customHeight="1" thickTop="1" thickBot="1" x14ac:dyDescent="0.35">
      <c r="A1021" s="253"/>
      <c r="B1021" s="292">
        <v>20</v>
      </c>
      <c r="C1021" s="603" t="str">
        <f>AD1021</f>
        <v>worries</v>
      </c>
      <c r="D1021" s="604"/>
      <c r="E1021" s="253"/>
      <c r="F1021" s="1"/>
      <c r="AD1021" s="293" t="s">
        <v>765</v>
      </c>
      <c r="AE1021"/>
      <c r="AF1021"/>
      <c r="AG1021">
        <f>IF(AND(C1021&lt;&gt;"",C1021=AD1021),0,1)</f>
        <v>0</v>
      </c>
      <c r="AH1021"/>
    </row>
    <row r="1022" spans="1:34" ht="12" hidden="1" customHeight="1" thickTop="1" x14ac:dyDescent="0.3">
      <c r="A1022" s="253"/>
      <c r="B1022" s="294">
        <v>0</v>
      </c>
      <c r="C1022" s="295" t="s">
        <v>766</v>
      </c>
      <c r="D1022" s="280"/>
      <c r="E1022" s="253"/>
      <c r="F1022" s="1"/>
      <c r="AD1022"/>
      <c r="AE1022"/>
      <c r="AF1022">
        <f>IF(C$1021=C1022,B1022,0)</f>
        <v>0</v>
      </c>
      <c r="AG1022"/>
      <c r="AH1022"/>
    </row>
    <row r="1023" spans="1:34" ht="12" hidden="1" customHeight="1" x14ac:dyDescent="0.3">
      <c r="A1023" s="253"/>
      <c r="B1023" s="294">
        <v>1</v>
      </c>
      <c r="C1023" s="295" t="s">
        <v>767</v>
      </c>
      <c r="D1023" s="280"/>
      <c r="E1023" s="253"/>
      <c r="F1023" s="1"/>
      <c r="AD1023"/>
      <c r="AE1023"/>
      <c r="AF1023">
        <f>IF(C$1021=C1023,B1023,0)</f>
        <v>0</v>
      </c>
      <c r="AG1023"/>
      <c r="AH1023"/>
    </row>
    <row r="1024" spans="1:34" ht="12" hidden="1" customHeight="1" x14ac:dyDescent="0.3">
      <c r="A1024" s="253"/>
      <c r="B1024" s="294">
        <v>2</v>
      </c>
      <c r="C1024" s="295" t="s">
        <v>768</v>
      </c>
      <c r="D1024" s="280"/>
      <c r="E1024" s="253"/>
      <c r="F1024" s="1"/>
      <c r="AD1024"/>
      <c r="AE1024"/>
      <c r="AF1024">
        <f>IF(C$1021=C1024,B1024,0)</f>
        <v>0</v>
      </c>
      <c r="AG1024"/>
      <c r="AH1024"/>
    </row>
    <row r="1025" spans="1:54" ht="12" hidden="1" customHeight="1" thickBot="1" x14ac:dyDescent="0.35">
      <c r="A1025" s="253"/>
      <c r="B1025" s="294">
        <v>3</v>
      </c>
      <c r="C1025" s="295" t="s">
        <v>769</v>
      </c>
      <c r="D1025" s="280"/>
      <c r="E1025" s="253"/>
      <c r="F1025" s="1"/>
      <c r="AD1025"/>
      <c r="AE1025"/>
      <c r="AF1025">
        <f>IF(C$1021=C1025,B1025,0)</f>
        <v>0</v>
      </c>
      <c r="AG1025"/>
      <c r="AH1025"/>
    </row>
    <row r="1026" spans="1:54" ht="19.95" hidden="1" customHeight="1" thickTop="1" thickBot="1" x14ac:dyDescent="0.35">
      <c r="A1026" s="253"/>
      <c r="B1026" s="292">
        <v>21</v>
      </c>
      <c r="C1026" s="603" t="str">
        <f>AD1026</f>
        <v>sexual interest</v>
      </c>
      <c r="D1026" s="604"/>
      <c r="E1026" s="253"/>
      <c r="F1026" s="1"/>
      <c r="AD1026" s="293" t="s">
        <v>770</v>
      </c>
      <c r="AE1026"/>
      <c r="AF1026"/>
      <c r="AG1026">
        <f>IF(AND(C1026&lt;&gt;"",C1026=AD1026),0,1)</f>
        <v>0</v>
      </c>
      <c r="AH1026"/>
      <c r="AK1026" t="s">
        <v>655</v>
      </c>
      <c r="AL1026"/>
      <c r="AM1026" s="6" t="s">
        <v>771</v>
      </c>
      <c r="AY1026" s="6" t="str">
        <f>AT1039</f>
        <v/>
      </c>
      <c r="AZ1026" s="6" t="s">
        <v>772</v>
      </c>
    </row>
    <row r="1027" spans="1:54" ht="14.55" hidden="1" customHeight="1" thickTop="1" x14ac:dyDescent="0.3">
      <c r="A1027" s="253"/>
      <c r="B1027" s="294">
        <v>0</v>
      </c>
      <c r="C1027" s="295" t="s">
        <v>773</v>
      </c>
      <c r="D1027" s="280"/>
      <c r="E1027" s="253"/>
      <c r="F1027" s="1"/>
      <c r="AD1027"/>
      <c r="AE1027"/>
      <c r="AF1027">
        <f>IF(C$1026=C1027,B1027,0)</f>
        <v>0</v>
      </c>
      <c r="AG1027"/>
      <c r="AH1027"/>
    </row>
    <row r="1028" spans="1:54" ht="14.55" hidden="1" customHeight="1" x14ac:dyDescent="0.3">
      <c r="A1028" s="253"/>
      <c r="B1028" s="294">
        <v>1</v>
      </c>
      <c r="C1028" s="295" t="s">
        <v>774</v>
      </c>
      <c r="D1028" s="280"/>
      <c r="E1028" s="253"/>
      <c r="F1028" s="1"/>
      <c r="AD1028"/>
      <c r="AE1028"/>
      <c r="AF1028">
        <f>IF(C$1026=C1028,B1028,0)</f>
        <v>0</v>
      </c>
      <c r="AG1028"/>
      <c r="AH1028"/>
    </row>
    <row r="1029" spans="1:54" ht="14.55" hidden="1" customHeight="1" x14ac:dyDescent="0.3">
      <c r="A1029" s="253"/>
      <c r="B1029" s="294">
        <v>2</v>
      </c>
      <c r="C1029" s="295" t="s">
        <v>775</v>
      </c>
      <c r="D1029" s="280"/>
      <c r="E1029" s="253"/>
      <c r="F1029" s="1"/>
      <c r="AD1029"/>
      <c r="AE1029"/>
      <c r="AF1029">
        <f>IF(C$1026=C1029,B1029,0)</f>
        <v>0</v>
      </c>
      <c r="AG1029"/>
      <c r="AH1029"/>
    </row>
    <row r="1030" spans="1:54" ht="14.55" hidden="1" customHeight="1" x14ac:dyDescent="0.3">
      <c r="A1030" s="253"/>
      <c r="B1030" s="294">
        <v>3</v>
      </c>
      <c r="C1030" s="295" t="s">
        <v>776</v>
      </c>
      <c r="D1030" s="280"/>
      <c r="E1030" s="253"/>
      <c r="F1030" s="1"/>
      <c r="AD1030"/>
      <c r="AE1030"/>
      <c r="AF1030">
        <f>IF(C$1026=C1030,B1030,0)</f>
        <v>0</v>
      </c>
      <c r="AG1030"/>
      <c r="AH1030"/>
    </row>
    <row r="1031" spans="1:54" ht="14.55" hidden="1" customHeight="1" thickTop="1" x14ac:dyDescent="0.3">
      <c r="A1031" s="253"/>
      <c r="B1031" s="280"/>
      <c r="C1031" s="280"/>
      <c r="D1031" s="280"/>
      <c r="E1031" s="253"/>
      <c r="F1031" s="1"/>
      <c r="AD1031"/>
      <c r="AE1031"/>
      <c r="AF1031"/>
      <c r="AG1031"/>
      <c r="AH1031"/>
    </row>
    <row r="1032" spans="1:54" ht="14.55" hidden="1" customHeight="1" x14ac:dyDescent="0.3">
      <c r="A1032" s="253"/>
      <c r="B1032" s="280"/>
      <c r="C1032" s="296" t="s">
        <v>777</v>
      </c>
      <c r="D1032" s="280"/>
      <c r="E1032" s="253"/>
      <c r="F1032" s="1"/>
      <c r="AD1032"/>
      <c r="AE1032"/>
      <c r="AF1032" s="60" t="s">
        <v>778</v>
      </c>
      <c r="AG1032"/>
      <c r="AH1032"/>
      <c r="AK1032" s="267">
        <f t="shared" ref="AK1032:AK1038" si="52">AH817</f>
        <v>9</v>
      </c>
      <c r="AL1032" s="267">
        <f t="shared" ref="AL1032:AL1038" si="53">AJ827</f>
        <v>7</v>
      </c>
      <c r="AN1032" s="6" t="str">
        <f>IF(AL1032&gt;=AK1032,B817,B827)</f>
        <v>Rate each item by importance in your life right now, so we can best serve your needs.</v>
      </c>
    </row>
    <row r="1033" spans="1:54" ht="14.55" hidden="1" customHeight="1" x14ac:dyDescent="0.3">
      <c r="A1033" s="253"/>
      <c r="B1033" s="280"/>
      <c r="C1033" s="295" t="s">
        <v>779</v>
      </c>
      <c r="D1033" s="280"/>
      <c r="E1033" s="253"/>
      <c r="F1033" s="1"/>
      <c r="AD1033"/>
      <c r="AE1033"/>
      <c r="AF1033" s="120">
        <v>1</v>
      </c>
      <c r="AG1033" s="120">
        <v>10</v>
      </c>
      <c r="AH1033"/>
      <c r="AK1033" s="297">
        <f t="shared" si="52"/>
        <v>3</v>
      </c>
      <c r="AL1033" s="297">
        <f t="shared" si="53"/>
        <v>3</v>
      </c>
      <c r="AT1033" s="6" t="str">
        <f t="shared" ref="AT1033:AT1038" si="54">IF(AL1033&gt;=AK1033,B818,B828)</f>
        <v>economic</v>
      </c>
    </row>
    <row r="1034" spans="1:54" ht="14.55" hidden="1" customHeight="1" x14ac:dyDescent="0.3">
      <c r="A1034" s="253"/>
      <c r="B1034" s="280"/>
      <c r="C1034" s="295" t="s">
        <v>780</v>
      </c>
      <c r="D1034" s="280"/>
      <c r="E1034" s="253"/>
      <c r="F1034" s="1"/>
      <c r="AD1034"/>
      <c r="AE1034"/>
      <c r="AF1034" s="120">
        <v>11</v>
      </c>
      <c r="AG1034" s="120">
        <v>16</v>
      </c>
      <c r="AH1034"/>
      <c r="AK1034" s="297">
        <f t="shared" si="52"/>
        <v>1</v>
      </c>
      <c r="AL1034" s="297">
        <f t="shared" si="53"/>
        <v>4</v>
      </c>
      <c r="AT1034" s="6" t="str">
        <f t="shared" si="54"/>
        <v>physical health</v>
      </c>
    </row>
    <row r="1035" spans="1:54" ht="14.55" hidden="1" customHeight="1" x14ac:dyDescent="0.3">
      <c r="A1035" s="253"/>
      <c r="B1035" s="280"/>
      <c r="C1035" s="295" t="s">
        <v>781</v>
      </c>
      <c r="D1035" s="280"/>
      <c r="E1035" s="253"/>
      <c r="F1035" s="1"/>
      <c r="AD1035"/>
      <c r="AE1035"/>
      <c r="AF1035" s="120">
        <v>17</v>
      </c>
      <c r="AG1035" s="120">
        <v>20</v>
      </c>
      <c r="AH1035"/>
      <c r="AK1035" s="297">
        <f t="shared" si="52"/>
        <v>2</v>
      </c>
      <c r="AL1035" s="297">
        <f t="shared" si="53"/>
        <v>0</v>
      </c>
      <c r="AT1035" s="6" t="str">
        <f t="shared" si="54"/>
        <v>overcoming depression &amp; anxiety</v>
      </c>
    </row>
    <row r="1036" spans="1:54" ht="14.55" hidden="1" customHeight="1" x14ac:dyDescent="0.3">
      <c r="A1036" s="253"/>
      <c r="B1036" s="280"/>
      <c r="C1036" s="295" t="s">
        <v>782</v>
      </c>
      <c r="D1036" s="280"/>
      <c r="E1036" s="253"/>
      <c r="F1036" s="1"/>
      <c r="AD1036"/>
      <c r="AE1036"/>
      <c r="AF1036" s="120">
        <v>21</v>
      </c>
      <c r="AG1036" s="120">
        <v>30</v>
      </c>
      <c r="AH1036"/>
      <c r="AK1036" s="297">
        <f t="shared" si="52"/>
        <v>3</v>
      </c>
      <c r="AL1036" s="297">
        <f t="shared" si="53"/>
        <v>0</v>
      </c>
      <c r="AT1036" s="6" t="str">
        <f t="shared" si="54"/>
        <v>restoring familiy ties</v>
      </c>
    </row>
    <row r="1037" spans="1:54" ht="14.55" hidden="1" customHeight="1" x14ac:dyDescent="0.3">
      <c r="A1037" s="253"/>
      <c r="B1037" s="280"/>
      <c r="C1037" s="295" t="s">
        <v>783</v>
      </c>
      <c r="D1037" s="280"/>
      <c r="E1037" s="253"/>
      <c r="F1037" s="1"/>
      <c r="AD1037"/>
      <c r="AE1037"/>
      <c r="AF1037" s="120">
        <v>31</v>
      </c>
      <c r="AG1037" s="120">
        <v>40</v>
      </c>
      <c r="AH1037"/>
      <c r="AK1037" s="297">
        <f t="shared" si="52"/>
        <v>0</v>
      </c>
      <c r="AL1037" s="297">
        <f t="shared" si="53"/>
        <v>0</v>
      </c>
      <c r="AT1037" s="6" t="str">
        <f t="shared" si="54"/>
        <v>will-to-live</v>
      </c>
    </row>
    <row r="1038" spans="1:54" ht="14.55" hidden="1" customHeight="1" thickBot="1" x14ac:dyDescent="0.35">
      <c r="A1038" s="253"/>
      <c r="B1038" s="280"/>
      <c r="C1038" s="298" t="s">
        <v>784</v>
      </c>
      <c r="D1038" s="280"/>
      <c r="E1038" s="253"/>
      <c r="F1038" s="1"/>
      <c r="AD1038"/>
      <c r="AE1038"/>
      <c r="AF1038" s="120">
        <v>41</v>
      </c>
      <c r="AG1038" s="120">
        <f>21*3</f>
        <v>63</v>
      </c>
      <c r="AH1038"/>
      <c r="AK1038" s="297">
        <f t="shared" si="52"/>
        <v>0</v>
      </c>
      <c r="AL1038" s="297">
        <f t="shared" si="53"/>
        <v>0</v>
      </c>
      <c r="AT1038" s="6" t="str">
        <f t="shared" si="54"/>
        <v>OTHER:</v>
      </c>
    </row>
    <row r="1039" spans="1:54" ht="14.55" hidden="1" customHeight="1" thickTop="1" thickBot="1" x14ac:dyDescent="0.35">
      <c r="A1039" s="253"/>
      <c r="B1039" s="280"/>
      <c r="C1039" s="280"/>
      <c r="D1039" s="280"/>
      <c r="E1039" s="253"/>
      <c r="F1039" s="1"/>
      <c r="AE1039"/>
      <c r="AF1039" s="299">
        <f>SUM(AF926:AF1031)</f>
        <v>0</v>
      </c>
      <c r="AG1039" s="300">
        <f>SUM(AG926:AG1031)</f>
        <v>0</v>
      </c>
      <c r="AH1039">
        <v>21</v>
      </c>
      <c r="AN1039" s="606" t="str">
        <f>IF(AG1039=AH1039,AT1039,"")</f>
        <v/>
      </c>
      <c r="AO1039" s="607"/>
      <c r="AT1039" s="608" t="str">
        <f>IF(AND(AF1039&gt;AF1033,AF1039&lt;AG1033),C1033,IF(AND(AF1039&gt;AF1034,AF1039&lt;AG1034),C1034,IF(AND(AF1039&gt;AF1035,AF1039&lt;AG1035),C1035,IF(AND(AF1039&gt;AF1036,AF1039&lt;AG1036),C1036,IF(AND(AF1039&gt;AF1037,AF1039&lt;AG1037),C1037,IF(AND(AF1039&gt;AF1038,AF1039&lt;AG1038),C1038,""))))))</f>
        <v/>
      </c>
      <c r="AU1039" s="609"/>
      <c r="AV1039" s="609"/>
      <c r="AW1039" s="609"/>
      <c r="AX1039" s="609"/>
      <c r="AY1039" s="609"/>
      <c r="AZ1039" s="609"/>
      <c r="BA1039" s="609"/>
      <c r="BB1039" s="609"/>
    </row>
    <row r="1040" spans="1:54" ht="48" hidden="1" customHeight="1" x14ac:dyDescent="0.25">
      <c r="A1040" s="253"/>
      <c r="B1040" s="610" t="str">
        <f>CONCATENATE(AG1040,AN1040,AO1040,AZ1040)</f>
        <v>You understandably experience some depression, considering the many challenges you face from such a conviction. You can rule out a purely biological source for such depression.</v>
      </c>
      <c r="C1040" s="611"/>
      <c r="D1040" s="612"/>
      <c r="E1040" s="253"/>
      <c r="F1040" s="1"/>
      <c r="AG1040" s="28" t="s">
        <v>662</v>
      </c>
      <c r="AN1040" s="6" t="str">
        <f>IF(AG1039&lt;AH1039,"some depression",AT1039)</f>
        <v>some depression</v>
      </c>
      <c r="AO1040" s="120" t="s">
        <v>663</v>
      </c>
      <c r="AZ1040" s="6" t="s">
        <v>785</v>
      </c>
    </row>
    <row r="1041" spans="1:58" ht="4.95" hidden="1" customHeight="1" x14ac:dyDescent="0.25">
      <c r="A1041" s="253"/>
      <c r="B1041" s="253"/>
      <c r="C1041" s="253"/>
      <c r="D1041" s="253"/>
      <c r="E1041" s="253"/>
      <c r="F1041" s="1"/>
    </row>
    <row r="1042" spans="1:58" ht="72" hidden="1" customHeight="1" x14ac:dyDescent="0.25">
      <c r="A1042" s="253"/>
      <c r="B1042" s="610" t="s">
        <v>786</v>
      </c>
      <c r="C1042" s="611"/>
      <c r="D1042" s="612"/>
      <c r="E1042" s="253"/>
      <c r="F1042" s="1"/>
      <c r="AD1042" s="6" t="str">
        <f>AN152</f>
        <v>Steph</v>
      </c>
      <c r="AF1042" s="6" t="s">
        <v>666</v>
      </c>
      <c r="AM1042" s="6" t="str">
        <f>AN1040</f>
        <v>some depression</v>
      </c>
      <c r="AQ1042" s="6" t="s">
        <v>667</v>
      </c>
      <c r="AZ1042" s="6" t="str">
        <f>IF(AT1033="","","The wrongful conviction produces plenty of depressing economic conditions. ")</f>
        <v xml:space="preserve">The wrongful conviction produces plenty of depressing economic conditions. </v>
      </c>
      <c r="BB1042" s="6"/>
      <c r="BF1042" s="6" t="s">
        <v>668</v>
      </c>
    </row>
    <row r="1043" spans="1:58" ht="10.050000000000001" hidden="1" customHeight="1" x14ac:dyDescent="0.25">
      <c r="A1043" s="253"/>
      <c r="B1043" s="253"/>
      <c r="C1043" s="253"/>
      <c r="D1043" s="253"/>
      <c r="E1043" s="253"/>
      <c r="F1043" s="1"/>
      <c r="AD1043" s="6" t="str">
        <f>CONCATENATE(AD1042,AF1042,AM1042,AQ1042,AZ1042,BF1042)</f>
        <v>Steph understandably experiences some depression from the wrongful conviction. The wrongful conviction produces plenty of depressing economic conditions. Once hired, much of that should clear up. If not, Value Relating can help.</v>
      </c>
    </row>
    <row r="1044" spans="1:58" ht="17.399999999999999" hidden="1" x14ac:dyDescent="0.25">
      <c r="A1044" s="253"/>
      <c r="B1044" s="265" t="s">
        <v>787</v>
      </c>
      <c r="C1044" s="265"/>
      <c r="D1044" s="265"/>
      <c r="E1044" s="253"/>
      <c r="F1044" s="1"/>
    </row>
    <row r="1045" spans="1:58" ht="30" hidden="1" customHeight="1" x14ac:dyDescent="0.25">
      <c r="A1045" s="253"/>
      <c r="B1045" s="599"/>
      <c r="C1045" s="599"/>
      <c r="D1045" s="599"/>
      <c r="E1045" s="253"/>
      <c r="F1045" s="1"/>
    </row>
    <row r="1046" spans="1:58" ht="15" hidden="1" x14ac:dyDescent="0.25">
      <c r="A1046" s="253"/>
      <c r="B1046" s="301" t="s">
        <v>788</v>
      </c>
      <c r="C1046" s="253"/>
      <c r="D1046" s="301" t="s">
        <v>789</v>
      </c>
      <c r="E1046" s="253"/>
      <c r="F1046" s="1"/>
    </row>
    <row r="1047" spans="1:58" hidden="1" x14ac:dyDescent="0.25">
      <c r="A1047" s="253"/>
      <c r="B1047" s="253"/>
      <c r="C1047" s="298"/>
      <c r="D1047" s="253"/>
      <c r="E1047" s="253"/>
      <c r="F1047" s="1"/>
    </row>
    <row r="1048" spans="1:58" hidden="1" x14ac:dyDescent="0.25">
      <c r="A1048" s="253"/>
      <c r="B1048" s="253"/>
      <c r="C1048" s="253"/>
      <c r="D1048" s="253"/>
      <c r="E1048" s="253"/>
      <c r="F1048" s="1"/>
    </row>
    <row r="1049" spans="1:58" ht="15" hidden="1" x14ac:dyDescent="0.25">
      <c r="A1049" s="253"/>
      <c r="B1049" s="301" t="s">
        <v>790</v>
      </c>
      <c r="C1049" s="253"/>
      <c r="D1049" s="301" t="str">
        <f>D1046</f>
        <v>anticipated results</v>
      </c>
      <c r="E1049" s="253"/>
      <c r="F1049" s="1"/>
    </row>
    <row r="1050" spans="1:58" hidden="1" x14ac:dyDescent="0.25">
      <c r="A1050" s="253"/>
      <c r="B1050" s="253"/>
      <c r="C1050" s="253"/>
      <c r="D1050" s="253"/>
      <c r="E1050" s="253"/>
      <c r="F1050" s="1"/>
    </row>
    <row r="1051" spans="1:58" hidden="1" x14ac:dyDescent="0.25">
      <c r="A1051" s="253"/>
      <c r="B1051" s="253"/>
      <c r="C1051" s="253"/>
      <c r="D1051" s="253"/>
      <c r="E1051" s="253"/>
      <c r="F1051" s="1"/>
    </row>
    <row r="1052" spans="1:58" ht="15" hidden="1" x14ac:dyDescent="0.25">
      <c r="A1052" s="253"/>
      <c r="B1052" s="301" t="s">
        <v>791</v>
      </c>
      <c r="C1052" s="253"/>
      <c r="D1052" s="301" t="str">
        <f>D1049</f>
        <v>anticipated results</v>
      </c>
      <c r="E1052" s="253"/>
      <c r="F1052" s="1"/>
    </row>
    <row r="1053" spans="1:58" hidden="1" x14ac:dyDescent="0.25">
      <c r="A1053" s="253"/>
      <c r="B1053" s="253"/>
      <c r="C1053" s="253"/>
      <c r="D1053" s="253"/>
      <c r="E1053" s="253"/>
      <c r="F1053" s="1"/>
    </row>
    <row r="1054" spans="1:58" hidden="1" x14ac:dyDescent="0.25">
      <c r="A1054" s="253"/>
      <c r="B1054" s="253"/>
      <c r="C1054" s="253"/>
      <c r="D1054" s="253"/>
      <c r="E1054" s="253"/>
      <c r="F1054" s="1"/>
    </row>
    <row r="1055" spans="1:58" hidden="1" x14ac:dyDescent="0.25">
      <c r="A1055" s="253"/>
      <c r="B1055" s="253" t="s">
        <v>792</v>
      </c>
      <c r="C1055" s="253"/>
      <c r="D1055" s="302">
        <f ca="1">IF(AD208=0,0,AD208)</f>
        <v>600000</v>
      </c>
      <c r="E1055" s="253"/>
      <c r="F1055" s="1"/>
    </row>
    <row r="1056" spans="1:58" hidden="1" x14ac:dyDescent="0.25">
      <c r="A1056" s="253"/>
      <c r="B1056" s="253"/>
      <c r="C1056" s="253"/>
      <c r="D1056" s="302" t="s">
        <v>793</v>
      </c>
      <c r="E1056" s="253"/>
      <c r="F1056" s="1"/>
    </row>
    <row r="1057" spans="1:54" hidden="1" x14ac:dyDescent="0.25">
      <c r="A1057" s="253"/>
      <c r="B1057" s="253"/>
      <c r="C1057" s="302" t="s">
        <v>794</v>
      </c>
      <c r="D1057" s="302">
        <f ca="1">D1055-50000</f>
        <v>550000</v>
      </c>
      <c r="E1057" s="253"/>
      <c r="F1057" s="1"/>
    </row>
    <row r="1058" spans="1:54" hidden="1" x14ac:dyDescent="0.25">
      <c r="A1058" s="253"/>
      <c r="B1058" s="253"/>
      <c r="C1058" s="253"/>
      <c r="D1058" s="302" t="s">
        <v>795</v>
      </c>
      <c r="E1058" s="253"/>
      <c r="F1058" s="1"/>
    </row>
    <row r="1059" spans="1:54" hidden="1" x14ac:dyDescent="0.25">
      <c r="A1059" s="253"/>
      <c r="B1059" s="253"/>
      <c r="C1059" s="253"/>
      <c r="D1059" s="253"/>
      <c r="E1059" s="253"/>
      <c r="F1059" s="1"/>
      <c r="BB1059" s="6"/>
    </row>
    <row r="1060" spans="1:54" hidden="1" x14ac:dyDescent="0.25">
      <c r="A1060" s="92"/>
      <c r="B1060" s="253"/>
      <c r="C1060" s="253"/>
      <c r="D1060" s="253"/>
      <c r="E1060" s="253"/>
      <c r="F1060" s="1"/>
      <c r="BB1060" s="6"/>
    </row>
    <row r="1061" spans="1:54" ht="10.050000000000001" hidden="1" customHeight="1" x14ac:dyDescent="0.25">
      <c r="A1061" s="253"/>
      <c r="B1061" s="253"/>
      <c r="C1061" s="253"/>
      <c r="D1061" s="253"/>
      <c r="E1061" s="253"/>
      <c r="F1061" s="1"/>
      <c r="BB1061" s="6"/>
    </row>
    <row r="1062" spans="1:54" ht="30" customHeight="1" x14ac:dyDescent="0.25">
      <c r="A1062" s="46" t="s">
        <v>95</v>
      </c>
      <c r="B1062" s="46" t="s">
        <v>796</v>
      </c>
      <c r="C1062" s="46"/>
      <c r="D1062" s="45"/>
      <c r="E1062" s="45"/>
      <c r="F1062" s="475" t="s">
        <v>949</v>
      </c>
      <c r="AE1062" s="6" t="str">
        <f>IF(AT1039="","",CONCATENATE(AG1040,AN1040,AO1040,AZ1040,AG1042,AO1042,BF1042))</f>
        <v/>
      </c>
      <c r="BB1062" s="6"/>
    </row>
    <row r="1063" spans="1:54" ht="17.399999999999999" x14ac:dyDescent="0.25">
      <c r="A1063" s="48"/>
      <c r="B1063" s="531" t="str">
        <f>CONCATENATE(AI1063,AJ1063)</f>
        <v>Michigan's compensation statue, along with some challenges to receive such a claim.</v>
      </c>
      <c r="C1063" s="531"/>
      <c r="D1063" s="531"/>
      <c r="E1063" s="49"/>
      <c r="F1063" s="48"/>
      <c r="AC1063" s="60" t="str">
        <f>B208</f>
        <v>Michigan</v>
      </c>
      <c r="AF1063" s="6" t="s">
        <v>797</v>
      </c>
      <c r="AI1063" s="6" t="str">
        <f>IF(AC1063="",AF1063,AC1063)</f>
        <v>Michigan</v>
      </c>
      <c r="AJ1063" s="6" t="s">
        <v>798</v>
      </c>
      <c r="BB1063" s="6"/>
    </row>
    <row r="1064" spans="1:54" x14ac:dyDescent="0.25">
      <c r="A1064" s="303"/>
      <c r="B1064" s="303"/>
      <c r="C1064" s="303"/>
      <c r="D1064" s="303"/>
      <c r="E1064" s="303"/>
      <c r="F1064" s="1"/>
      <c r="BB1064" s="6"/>
    </row>
    <row r="1065" spans="1:54" ht="14.4" thickBot="1" x14ac:dyDescent="0.3">
      <c r="A1065" s="303"/>
      <c r="B1065" s="303"/>
      <c r="C1065" s="303"/>
      <c r="D1065" s="488" t="s">
        <v>160</v>
      </c>
      <c r="E1065" s="303"/>
      <c r="F1065" s="1"/>
      <c r="AC1065" s="487" t="str">
        <f>IF($B$208="","",B208)</f>
        <v>Michigan</v>
      </c>
      <c r="BB1065" s="6"/>
    </row>
    <row r="1066" spans="1:54" ht="25.95" customHeight="1" thickBot="1" x14ac:dyDescent="0.3">
      <c r="A1066" s="303"/>
      <c r="B1066" s="305" t="s">
        <v>799</v>
      </c>
      <c r="C1066" s="617" t="str">
        <f>IF($D$1065="","",D2221)</f>
        <v>MCLS 691.1751 et seq</v>
      </c>
      <c r="D1066" s="618"/>
      <c r="E1066" s="303"/>
      <c r="F1066" s="1"/>
      <c r="BB1066" s="6"/>
    </row>
    <row r="1067" spans="1:54" ht="14.4" thickBot="1" x14ac:dyDescent="0.3">
      <c r="A1067" s="303"/>
      <c r="B1067" s="303"/>
      <c r="C1067" s="303"/>
      <c r="D1067" s="303"/>
      <c r="E1067" s="303"/>
      <c r="F1067" s="1"/>
      <c r="BB1067" s="6"/>
    </row>
    <row r="1068" spans="1:54" ht="15" customHeight="1" x14ac:dyDescent="0.25">
      <c r="A1068" s="303"/>
      <c r="B1068" s="306" t="s">
        <v>800</v>
      </c>
      <c r="C1068" s="619" t="str">
        <f>IF($D$1065="","",D2222)</f>
        <v>Judgment of conviction was reversed or vacated and charges were dismissed or found not guilty on retrial.</v>
      </c>
      <c r="D1068" s="620"/>
      <c r="E1068" s="303"/>
      <c r="F1068" s="1"/>
      <c r="BB1068" s="6"/>
    </row>
    <row r="1069" spans="1:54" x14ac:dyDescent="0.25">
      <c r="A1069" s="303"/>
      <c r="B1069" s="303"/>
      <c r="C1069" s="621"/>
      <c r="D1069" s="622"/>
      <c r="E1069" s="303"/>
      <c r="F1069" s="1"/>
      <c r="BB1069" s="6"/>
    </row>
    <row r="1070" spans="1:54" x14ac:dyDescent="0.25">
      <c r="A1070" s="303"/>
      <c r="B1070" s="303"/>
      <c r="C1070" s="621"/>
      <c r="D1070" s="622"/>
      <c r="E1070" s="303"/>
      <c r="F1070" s="1"/>
      <c r="BB1070" s="6"/>
    </row>
    <row r="1071" spans="1:54" x14ac:dyDescent="0.25">
      <c r="A1071" s="303"/>
      <c r="B1071" s="303"/>
      <c r="C1071" s="621"/>
      <c r="D1071" s="622"/>
      <c r="E1071" s="303"/>
      <c r="F1071" s="1"/>
      <c r="BB1071" s="6"/>
    </row>
    <row r="1072" spans="1:54" x14ac:dyDescent="0.25">
      <c r="A1072" s="303"/>
      <c r="B1072" s="303"/>
      <c r="C1072" s="621"/>
      <c r="D1072" s="622"/>
      <c r="E1072" s="303"/>
      <c r="F1072" s="1"/>
      <c r="BB1072" s="6"/>
    </row>
    <row r="1073" spans="1:54" x14ac:dyDescent="0.25">
      <c r="A1073" s="303"/>
      <c r="B1073" s="303"/>
      <c r="C1073" s="621"/>
      <c r="D1073" s="622"/>
      <c r="E1073" s="303"/>
      <c r="F1073" s="1"/>
      <c r="BB1073" s="6"/>
    </row>
    <row r="1074" spans="1:54" ht="14.4" thickBot="1" x14ac:dyDescent="0.3">
      <c r="A1074" s="303"/>
      <c r="B1074" s="303"/>
      <c r="C1074" s="623"/>
      <c r="D1074" s="624"/>
      <c r="E1074" s="303"/>
      <c r="F1074" s="1"/>
      <c r="BB1074" s="6"/>
    </row>
    <row r="1075" spans="1:54" ht="14.4" thickBot="1" x14ac:dyDescent="0.3">
      <c r="A1075" s="303"/>
      <c r="B1075" s="303"/>
      <c r="C1075" s="303"/>
      <c r="D1075" s="303"/>
      <c r="E1075" s="303"/>
      <c r="F1075" s="1"/>
      <c r="BB1075" s="6"/>
    </row>
    <row r="1076" spans="1:54" ht="15" x14ac:dyDescent="0.25">
      <c r="A1076" s="303"/>
      <c r="B1076" s="306" t="s">
        <v>801</v>
      </c>
      <c r="C1076" s="619" t="str">
        <f>IF($D$1065="","",D2223)</f>
        <v>Clear and convincing</v>
      </c>
      <c r="D1076" s="620"/>
      <c r="E1076" s="303"/>
      <c r="F1076" s="1"/>
      <c r="BB1076" s="6"/>
    </row>
    <row r="1077" spans="1:54" ht="15" x14ac:dyDescent="0.25">
      <c r="A1077" s="303"/>
      <c r="B1077" s="306" t="s">
        <v>802</v>
      </c>
      <c r="C1077" s="621"/>
      <c r="D1077" s="622"/>
      <c r="E1077" s="303"/>
      <c r="F1077" s="1"/>
      <c r="BB1077" s="6"/>
    </row>
    <row r="1078" spans="1:54" ht="14.4" thickBot="1" x14ac:dyDescent="0.3">
      <c r="A1078" s="303"/>
      <c r="B1078" s="303"/>
      <c r="C1078" s="623"/>
      <c r="D1078" s="624"/>
      <c r="E1078" s="303"/>
      <c r="F1078" s="1"/>
      <c r="BB1078" s="6"/>
    </row>
    <row r="1079" spans="1:54" ht="15.6" thickBot="1" x14ac:dyDescent="0.3">
      <c r="A1079" s="303"/>
      <c r="B1079" s="306"/>
      <c r="C1079" s="303"/>
      <c r="D1079" s="303"/>
      <c r="E1079" s="303"/>
      <c r="F1079" s="1"/>
      <c r="BB1079" s="6"/>
    </row>
    <row r="1080" spans="1:54" ht="15" x14ac:dyDescent="0.25">
      <c r="A1080" s="303"/>
      <c r="B1080" s="306" t="s">
        <v>803</v>
      </c>
      <c r="C1080" s="619" t="str">
        <f>IF($D$1065="","",D2224)</f>
        <v>Court of Claims</v>
      </c>
      <c r="D1080" s="620"/>
      <c r="E1080" s="303"/>
      <c r="F1080" s="1"/>
      <c r="BB1080" s="6"/>
    </row>
    <row r="1081" spans="1:54" ht="15.6" thickBot="1" x14ac:dyDescent="0.3">
      <c r="A1081" s="303"/>
      <c r="B1081" s="306" t="s">
        <v>804</v>
      </c>
      <c r="C1081" s="623"/>
      <c r="D1081" s="624"/>
      <c r="E1081" s="303"/>
      <c r="F1081" s="1"/>
      <c r="BB1081" s="6"/>
    </row>
    <row r="1082" spans="1:54" ht="14.4" thickBot="1" x14ac:dyDescent="0.3">
      <c r="A1082" s="303"/>
      <c r="B1082" s="303"/>
      <c r="C1082" s="303"/>
      <c r="D1082" s="303"/>
      <c r="E1082" s="303"/>
      <c r="F1082" s="1"/>
      <c r="BB1082" s="6"/>
    </row>
    <row r="1083" spans="1:54" ht="16.2" thickBot="1" x14ac:dyDescent="0.35">
      <c r="A1083" s="303"/>
      <c r="B1083" s="306" t="s">
        <v>805</v>
      </c>
      <c r="C1083" s="307" t="str">
        <f>IF($D$1065="","",D2225)</f>
        <v>3 years</v>
      </c>
      <c r="D1083" s="308"/>
      <c r="E1083" s="303"/>
      <c r="F1083" s="1"/>
      <c r="BB1083" s="6"/>
    </row>
    <row r="1084" spans="1:54" ht="14.4" thickBot="1" x14ac:dyDescent="0.3">
      <c r="A1084" s="303"/>
      <c r="B1084" s="303"/>
      <c r="C1084" s="303"/>
      <c r="D1084" s="303"/>
      <c r="E1084" s="303"/>
      <c r="F1084" s="1"/>
      <c r="BB1084" s="6"/>
    </row>
    <row r="1085" spans="1:54" ht="15.6" x14ac:dyDescent="0.3">
      <c r="A1085" s="303"/>
      <c r="B1085" s="306" t="s">
        <v>806</v>
      </c>
      <c r="C1085" s="313" t="str">
        <f>IF($D$1065="","",D2226)</f>
        <v>not provided</v>
      </c>
      <c r="D1085" s="310"/>
      <c r="E1085" s="303"/>
      <c r="F1085" s="1"/>
      <c r="BB1085" s="6"/>
    </row>
    <row r="1086" spans="1:54" ht="15.6" thickBot="1" x14ac:dyDescent="0.3">
      <c r="A1086" s="303"/>
      <c r="B1086" s="306" t="s">
        <v>807</v>
      </c>
      <c r="C1086" s="311"/>
      <c r="D1086" s="312"/>
      <c r="E1086" s="303"/>
      <c r="F1086" s="1"/>
      <c r="BB1086" s="6"/>
    </row>
    <row r="1087" spans="1:54" ht="15.6" thickBot="1" x14ac:dyDescent="0.3">
      <c r="A1087" s="303"/>
      <c r="B1087" s="306"/>
      <c r="C1087" s="303"/>
      <c r="D1087" s="303"/>
      <c r="E1087" s="303"/>
      <c r="F1087" s="1"/>
      <c r="BB1087" s="6"/>
    </row>
    <row r="1088" spans="1:54" ht="15.6" x14ac:dyDescent="0.3">
      <c r="A1088" s="303"/>
      <c r="B1088" s="306" t="s">
        <v>808</v>
      </c>
      <c r="C1088" s="313">
        <f>IF($D$1065="","",D2227)</f>
        <v>50000</v>
      </c>
      <c r="D1088" s="310"/>
      <c r="E1088" s="303"/>
      <c r="F1088" s="1"/>
      <c r="BB1088" s="6"/>
    </row>
    <row r="1089" spans="1:62" ht="15.6" thickBot="1" x14ac:dyDescent="0.3">
      <c r="A1089" s="303"/>
      <c r="B1089" s="306" t="s">
        <v>809</v>
      </c>
      <c r="C1089" s="311"/>
      <c r="D1089" s="312"/>
      <c r="E1089" s="303"/>
      <c r="F1089" s="1"/>
      <c r="BB1089" s="6"/>
    </row>
    <row r="1090" spans="1:62" ht="14.4" thickBot="1" x14ac:dyDescent="0.3">
      <c r="A1090" s="303"/>
      <c r="B1090" s="303"/>
      <c r="C1090" s="303"/>
      <c r="D1090" s="303"/>
      <c r="E1090" s="303"/>
      <c r="F1090" s="1"/>
      <c r="BB1090" s="6"/>
    </row>
    <row r="1091" spans="1:62" ht="15.6" x14ac:dyDescent="0.3">
      <c r="A1091" s="303"/>
      <c r="B1091" s="306" t="s">
        <v>810</v>
      </c>
      <c r="C1091" s="313" t="str">
        <f>IF($D$1065="","",D2228)</f>
        <v>conditional</v>
      </c>
      <c r="D1091" s="314"/>
      <c r="E1091" s="303"/>
      <c r="F1091" s="1"/>
      <c r="BB1091" s="6"/>
    </row>
    <row r="1092" spans="1:62" ht="15.6" thickBot="1" x14ac:dyDescent="0.3">
      <c r="A1092" s="303"/>
      <c r="B1092" s="306" t="s">
        <v>811</v>
      </c>
      <c r="C1092" s="315"/>
      <c r="D1092" s="316"/>
      <c r="E1092" s="303"/>
      <c r="F1092" s="1"/>
    </row>
    <row r="1093" spans="1:62" ht="14.4" thickBot="1" x14ac:dyDescent="0.3">
      <c r="A1093" s="303"/>
      <c r="B1093" s="303"/>
      <c r="C1093" s="317"/>
      <c r="D1093" s="317"/>
      <c r="E1093" s="303"/>
      <c r="F1093" s="1"/>
    </row>
    <row r="1094" spans="1:62" ht="15.6" x14ac:dyDescent="0.3">
      <c r="A1094" s="303"/>
      <c r="B1094" s="306" t="s">
        <v>812</v>
      </c>
      <c r="C1094" s="313">
        <f>IF(AC1063="","",C1088*AE264)</f>
        <v>600000</v>
      </c>
      <c r="D1094" s="314"/>
      <c r="E1094" s="303"/>
      <c r="F1094" s="1"/>
    </row>
    <row r="1095" spans="1:62" ht="15.6" thickBot="1" x14ac:dyDescent="0.3">
      <c r="A1095" s="303"/>
      <c r="B1095" s="306" t="s">
        <v>813</v>
      </c>
      <c r="C1095" s="315"/>
      <c r="D1095" s="316"/>
      <c r="E1095" s="303"/>
      <c r="F1095" s="1"/>
    </row>
    <row r="1096" spans="1:62" x14ac:dyDescent="0.25">
      <c r="A1096" s="303"/>
      <c r="B1096" s="303"/>
      <c r="C1096" s="303"/>
      <c r="D1096" s="303"/>
      <c r="E1096" s="303"/>
      <c r="F1096" s="1"/>
    </row>
    <row r="1097" spans="1:62" x14ac:dyDescent="0.25">
      <c r="A1097" s="303"/>
      <c r="B1097" s="303"/>
      <c r="C1097" s="303"/>
      <c r="D1097" s="303"/>
      <c r="E1097" s="303"/>
      <c r="F1097" s="1"/>
    </row>
    <row r="1098" spans="1:62" ht="3" customHeight="1" x14ac:dyDescent="0.25">
      <c r="A1098" s="303"/>
      <c r="B1098" s="303"/>
      <c r="C1098" s="303"/>
      <c r="D1098" s="303"/>
      <c r="E1098" s="303"/>
      <c r="F1098" s="1"/>
    </row>
    <row r="1099" spans="1:62" ht="4.95" customHeight="1" x14ac:dyDescent="0.25">
      <c r="A1099" s="303"/>
      <c r="B1099" s="303"/>
      <c r="C1099" s="303"/>
      <c r="D1099" s="303"/>
      <c r="E1099" s="303"/>
      <c r="F1099" s="1"/>
    </row>
    <row r="1100" spans="1:62" ht="4.95" customHeight="1" x14ac:dyDescent="0.25">
      <c r="A1100" s="303"/>
      <c r="B1100" s="303"/>
      <c r="C1100" s="303"/>
      <c r="D1100" s="303"/>
      <c r="E1100" s="303"/>
      <c r="F1100" s="1"/>
    </row>
    <row r="1101" spans="1:62" ht="21" x14ac:dyDescent="0.4">
      <c r="A1101" s="303"/>
      <c r="B1101" s="318">
        <v>2200</v>
      </c>
      <c r="C1101" s="319" t="s">
        <v>814</v>
      </c>
      <c r="D1101" s="303"/>
      <c r="E1101" s="303"/>
      <c r="F1101" s="1"/>
    </row>
    <row r="1102" spans="1:62" ht="60" customHeight="1" x14ac:dyDescent="0.25">
      <c r="A1102" s="303"/>
      <c r="B1102" s="625" t="str">
        <f>CONCATENATE(AC1102,AJ1102,AK1102,AS1102,BI1102,AC1103,AJ1103,AK1103,AO1103,BD1103)</f>
        <v>you can potentially earn around 92% more than your current income. By removing employment discrimination from this wrongful conviction, you could earn up to $2034 more per month. That's about $469 more per week. Hidden costs of anxiety and depression could also drop significantly. Share that with your supporters!</v>
      </c>
      <c r="C1102" s="625"/>
      <c r="D1102" s="625"/>
      <c r="E1102" s="303"/>
      <c r="F1102" s="1"/>
      <c r="AC1102" s="6" t="s">
        <v>815</v>
      </c>
      <c r="AJ1102" s="154">
        <f>ROUND((BJ1103*100),0)</f>
        <v>92</v>
      </c>
      <c r="AK1102" s="6" t="s">
        <v>816</v>
      </c>
      <c r="AS1102" s="6" t="s">
        <v>817</v>
      </c>
      <c r="BI1102" s="321">
        <f>ROUND(BH1103,0)</f>
        <v>2034</v>
      </c>
    </row>
    <row r="1103" spans="1:62" x14ac:dyDescent="0.25">
      <c r="A1103" s="303"/>
      <c r="B1103" s="303"/>
      <c r="C1103" s="303"/>
      <c r="D1103" s="303"/>
      <c r="E1103" s="303"/>
      <c r="F1103" s="1"/>
      <c r="AC1103" s="6" t="s">
        <v>818</v>
      </c>
      <c r="AF1103" s="322"/>
      <c r="AJ1103" s="322" t="str">
        <f>FIXED(BI1103,0,0)</f>
        <v>469</v>
      </c>
      <c r="AK1103" s="6" t="s">
        <v>819</v>
      </c>
      <c r="AO1103" s="6" t="s">
        <v>820</v>
      </c>
      <c r="BD1103" s="6" t="s">
        <v>821</v>
      </c>
      <c r="BG1103" s="322">
        <f>IF(BH2241=0,BH2293,BH2241)</f>
        <v>24413</v>
      </c>
      <c r="BH1103" s="322">
        <f>IF(BI2241=0,BI2293,BI2241)</f>
        <v>2034.4166666666667</v>
      </c>
      <c r="BI1103" s="322">
        <f>IF(BJ2241=0,BJ2293,BJ2241)</f>
        <v>469.48076923076923</v>
      </c>
      <c r="BJ1103" s="113">
        <f>IF(BK2241=0,BK2293,BK2241)</f>
        <v>0.91733363393830081</v>
      </c>
    </row>
    <row r="1104" spans="1:62" ht="30" hidden="1" customHeight="1" x14ac:dyDescent="0.25">
      <c r="A1104" s="45" t="s">
        <v>822</v>
      </c>
      <c r="B1104" s="46" t="s">
        <v>823</v>
      </c>
      <c r="C1104" s="45"/>
      <c r="D1104" s="45"/>
      <c r="E1104" s="45"/>
      <c r="F1104" s="45"/>
      <c r="AF1104" s="322"/>
      <c r="AJ1104" s="322"/>
      <c r="BG1104" s="322"/>
      <c r="BH1104" s="322"/>
      <c r="BI1104" s="322"/>
      <c r="BJ1104" s="113"/>
    </row>
    <row r="1105" spans="1:62" ht="60" hidden="1" customHeight="1" x14ac:dyDescent="0.25">
      <c r="A1105" s="48"/>
      <c r="B1105" s="531"/>
      <c r="C1105" s="531"/>
      <c r="D1105" s="531"/>
      <c r="E1105" s="49"/>
      <c r="F1105" s="48"/>
      <c r="AF1105" s="322"/>
      <c r="AJ1105" s="322"/>
      <c r="BG1105" s="322"/>
      <c r="BH1105" s="322"/>
      <c r="BI1105" s="322"/>
      <c r="BJ1105" s="113"/>
    </row>
    <row r="1106" spans="1:62" ht="14.4" hidden="1" x14ac:dyDescent="0.3">
      <c r="A1106" s="323"/>
      <c r="B1106" s="323"/>
      <c r="C1106" s="323"/>
      <c r="D1106" s="324"/>
      <c r="E1106" s="323"/>
      <c r="F1106" s="1"/>
      <c r="AF1106" s="322"/>
      <c r="AJ1106" s="322"/>
      <c r="BG1106" s="322"/>
      <c r="BH1106" s="322"/>
      <c r="BI1106" s="322"/>
      <c r="BJ1106" s="113"/>
    </row>
    <row r="1107" spans="1:62" ht="15.6" hidden="1" x14ac:dyDescent="0.3">
      <c r="A1107" s="323"/>
      <c r="B1107" s="325" t="s">
        <v>824</v>
      </c>
      <c r="C1107" s="323"/>
      <c r="D1107" s="323"/>
      <c r="E1107" s="323"/>
      <c r="F1107" s="1"/>
      <c r="AF1107" s="322"/>
      <c r="AJ1107" s="322"/>
      <c r="BG1107" s="322"/>
      <c r="BH1107" s="322"/>
      <c r="BI1107" s="322"/>
      <c r="BJ1107" s="113"/>
    </row>
    <row r="1108" spans="1:62" hidden="1" x14ac:dyDescent="0.25">
      <c r="A1108" s="323"/>
      <c r="B1108" s="107" t="s">
        <v>825</v>
      </c>
      <c r="C1108" s="107"/>
      <c r="D1108" s="107"/>
      <c r="E1108" s="323"/>
      <c r="F1108" s="1"/>
      <c r="AF1108" s="322"/>
      <c r="AJ1108" s="322"/>
      <c r="BG1108" s="322"/>
      <c r="BH1108" s="322"/>
      <c r="BI1108" s="322"/>
      <c r="BJ1108" s="113"/>
    </row>
    <row r="1109" spans="1:62" hidden="1" x14ac:dyDescent="0.25">
      <c r="A1109" s="323"/>
      <c r="B1109" s="107" t="s">
        <v>826</v>
      </c>
      <c r="C1109" s="107"/>
      <c r="D1109" s="107"/>
      <c r="E1109" s="323"/>
      <c r="F1109" s="1"/>
      <c r="AF1109" s="322"/>
      <c r="AJ1109" s="322"/>
      <c r="BG1109" s="322"/>
      <c r="BH1109" s="322"/>
      <c r="BI1109" s="322"/>
      <c r="BJ1109" s="113"/>
    </row>
    <row r="1110" spans="1:62" hidden="1" x14ac:dyDescent="0.25">
      <c r="A1110" s="323"/>
      <c r="B1110" s="107" t="s">
        <v>827</v>
      </c>
      <c r="C1110" s="107" t="s">
        <v>828</v>
      </c>
      <c r="D1110" s="107"/>
      <c r="E1110" s="323"/>
      <c r="F1110" s="1"/>
      <c r="AF1110" s="322"/>
      <c r="AJ1110" s="322"/>
      <c r="BG1110" s="322"/>
      <c r="BH1110" s="322"/>
      <c r="BI1110" s="322"/>
      <c r="BJ1110" s="113"/>
    </row>
    <row r="1111" spans="1:62" hidden="1" x14ac:dyDescent="0.25">
      <c r="A1111" s="323"/>
      <c r="B1111" s="107" t="s">
        <v>829</v>
      </c>
      <c r="C1111" s="107"/>
      <c r="D1111" s="107"/>
      <c r="E1111" s="323"/>
      <c r="F1111" s="1"/>
      <c r="AF1111" s="322"/>
      <c r="AJ1111" s="322"/>
      <c r="BG1111" s="322"/>
      <c r="BH1111" s="322"/>
      <c r="BI1111" s="322"/>
      <c r="BJ1111" s="113"/>
    </row>
    <row r="1112" spans="1:62" hidden="1" x14ac:dyDescent="0.25">
      <c r="A1112" s="323"/>
      <c r="B1112" s="326" t="s">
        <v>830</v>
      </c>
      <c r="C1112" s="107"/>
      <c r="D1112" s="107"/>
      <c r="E1112" s="323"/>
      <c r="F1112" s="1"/>
      <c r="AF1112" s="322"/>
      <c r="AJ1112" s="322"/>
      <c r="BG1112" s="322"/>
      <c r="BH1112" s="322"/>
      <c r="BI1112" s="322"/>
      <c r="BJ1112" s="113"/>
    </row>
    <row r="1113" spans="1:62" hidden="1" x14ac:dyDescent="0.25">
      <c r="A1113" s="323"/>
      <c r="B1113" s="326" t="s">
        <v>831</v>
      </c>
      <c r="C1113" s="107"/>
      <c r="D1113" s="107"/>
      <c r="E1113" s="323"/>
      <c r="F1113" s="1"/>
      <c r="AF1113" s="322"/>
      <c r="AJ1113" s="322"/>
      <c r="BG1113" s="322"/>
      <c r="BH1113" s="322"/>
      <c r="BI1113" s="322"/>
      <c r="BJ1113" s="113"/>
    </row>
    <row r="1114" spans="1:62" hidden="1" x14ac:dyDescent="0.25">
      <c r="A1114" s="323"/>
      <c r="B1114" s="326" t="s">
        <v>832</v>
      </c>
      <c r="C1114" s="107"/>
      <c r="D1114" s="107"/>
      <c r="E1114" s="323"/>
      <c r="F1114" s="1"/>
      <c r="AF1114" s="322"/>
      <c r="AJ1114" s="322"/>
      <c r="BG1114" s="322"/>
      <c r="BH1114" s="322"/>
      <c r="BI1114" s="322"/>
      <c r="BJ1114" s="113"/>
    </row>
    <row r="1115" spans="1:62" hidden="1" x14ac:dyDescent="0.25">
      <c r="A1115" s="323"/>
      <c r="B1115" s="326" t="s">
        <v>833</v>
      </c>
      <c r="C1115" s="107"/>
      <c r="D1115" s="107"/>
      <c r="E1115" s="323"/>
      <c r="F1115" s="1"/>
      <c r="AF1115" s="322"/>
      <c r="AJ1115" s="322"/>
      <c r="BG1115" s="322"/>
      <c r="BH1115" s="322"/>
      <c r="BI1115" s="322"/>
      <c r="BJ1115" s="113"/>
    </row>
    <row r="1116" spans="1:62" hidden="1" x14ac:dyDescent="0.25">
      <c r="A1116" s="323"/>
      <c r="B1116" s="326" t="s">
        <v>834</v>
      </c>
      <c r="C1116" s="107"/>
      <c r="D1116" s="107"/>
      <c r="E1116" s="323"/>
      <c r="F1116" s="1"/>
      <c r="AF1116" s="322"/>
      <c r="AJ1116" s="322"/>
      <c r="BG1116" s="322"/>
      <c r="BH1116" s="322"/>
      <c r="BI1116" s="322"/>
      <c r="BJ1116" s="113"/>
    </row>
    <row r="1117" spans="1:62" hidden="1" x14ac:dyDescent="0.25">
      <c r="A1117" s="323"/>
      <c r="B1117" s="326" t="s">
        <v>835</v>
      </c>
      <c r="C1117" s="107"/>
      <c r="D1117" s="107"/>
      <c r="E1117" s="323"/>
      <c r="F1117" s="1"/>
      <c r="AF1117" s="322"/>
      <c r="AJ1117" s="322"/>
      <c r="BG1117" s="322"/>
      <c r="BH1117" s="322"/>
      <c r="BI1117" s="322"/>
      <c r="BJ1117" s="113"/>
    </row>
    <row r="1118" spans="1:62" hidden="1" x14ac:dyDescent="0.25">
      <c r="A1118" s="323"/>
      <c r="B1118" s="327" t="s">
        <v>836</v>
      </c>
      <c r="C1118" s="107"/>
      <c r="D1118" s="107"/>
      <c r="E1118" s="323"/>
      <c r="F1118" s="1"/>
      <c r="AF1118" s="322"/>
      <c r="AJ1118" s="322"/>
      <c r="BG1118" s="322"/>
      <c r="BH1118" s="322"/>
      <c r="BI1118" s="322"/>
      <c r="BJ1118" s="113"/>
    </row>
    <row r="1119" spans="1:62" hidden="1" x14ac:dyDescent="0.25">
      <c r="A1119" s="323"/>
      <c r="B1119" s="107" t="s">
        <v>837</v>
      </c>
      <c r="C1119" s="107"/>
      <c r="D1119" s="107"/>
      <c r="E1119" s="323"/>
      <c r="F1119" s="1"/>
      <c r="AF1119" s="322"/>
      <c r="AJ1119" s="322"/>
      <c r="BG1119" s="322"/>
      <c r="BH1119" s="322"/>
      <c r="BI1119" s="322"/>
      <c r="BJ1119" s="113"/>
    </row>
    <row r="1120" spans="1:62" hidden="1" x14ac:dyDescent="0.25">
      <c r="A1120" s="323"/>
      <c r="B1120" s="107" t="s">
        <v>838</v>
      </c>
      <c r="C1120" s="107"/>
      <c r="D1120" s="107"/>
      <c r="E1120" s="323"/>
      <c r="F1120" s="1"/>
      <c r="AF1120" s="322"/>
      <c r="AJ1120" s="322"/>
      <c r="BG1120" s="322"/>
      <c r="BH1120" s="322"/>
      <c r="BI1120" s="322"/>
      <c r="BJ1120" s="113"/>
    </row>
    <row r="1121" spans="1:62" hidden="1" x14ac:dyDescent="0.25">
      <c r="A1121" s="323"/>
      <c r="B1121" s="107" t="s">
        <v>839</v>
      </c>
      <c r="C1121" s="107"/>
      <c r="D1121" s="107"/>
      <c r="E1121" s="323"/>
      <c r="F1121" s="1"/>
      <c r="AF1121" s="322"/>
      <c r="AJ1121" s="322"/>
      <c r="BG1121" s="322"/>
      <c r="BH1121" s="322"/>
      <c r="BI1121" s="322"/>
      <c r="BJ1121" s="113"/>
    </row>
    <row r="1122" spans="1:62" ht="4.95" hidden="1" customHeight="1" x14ac:dyDescent="0.25">
      <c r="A1122" s="323"/>
      <c r="B1122" s="107"/>
      <c r="C1122" s="107"/>
      <c r="D1122" s="107"/>
      <c r="E1122" s="323"/>
      <c r="F1122" s="1"/>
      <c r="AF1122" s="322"/>
      <c r="AJ1122" s="322"/>
      <c r="BG1122" s="322"/>
      <c r="BH1122" s="322"/>
      <c r="BI1122" s="322"/>
      <c r="BJ1122" s="113"/>
    </row>
    <row r="1123" spans="1:62" hidden="1" x14ac:dyDescent="0.25">
      <c r="A1123" s="323"/>
      <c r="B1123" s="323"/>
      <c r="C1123" s="323"/>
      <c r="D1123" s="323"/>
      <c r="E1123" s="323"/>
      <c r="F1123" s="1"/>
      <c r="AF1123" s="322"/>
      <c r="AJ1123" s="322"/>
      <c r="BG1123" s="322"/>
      <c r="BH1123" s="322"/>
      <c r="BI1123" s="322"/>
      <c r="BJ1123" s="113"/>
    </row>
    <row r="1124" spans="1:62" ht="20.399999999999999" hidden="1" x14ac:dyDescent="0.35">
      <c r="A1124" s="328" t="s">
        <v>840</v>
      </c>
      <c r="B1124" s="329" t="s">
        <v>841</v>
      </c>
      <c r="C1124" s="323"/>
      <c r="D1124" s="323"/>
      <c r="E1124" s="323"/>
      <c r="F1124" s="1"/>
      <c r="AF1124" s="322"/>
      <c r="AJ1124" s="322"/>
      <c r="BG1124" s="322"/>
      <c r="BH1124" s="322"/>
      <c r="BI1124" s="322"/>
      <c r="BJ1124" s="113"/>
    </row>
    <row r="1125" spans="1:62" hidden="1" x14ac:dyDescent="0.25">
      <c r="A1125" s="323"/>
      <c r="B1125" s="323"/>
      <c r="C1125" s="323"/>
      <c r="D1125" s="323"/>
      <c r="E1125" s="323"/>
      <c r="F1125" s="1"/>
      <c r="AF1125" s="322"/>
      <c r="AJ1125" s="322"/>
      <c r="BG1125" s="322"/>
      <c r="BH1125" s="322"/>
      <c r="BI1125" s="322"/>
      <c r="BJ1125" s="113"/>
    </row>
    <row r="1126" spans="1:62" hidden="1" x14ac:dyDescent="0.25">
      <c r="A1126" s="323"/>
      <c r="B1126" s="323" t="s">
        <v>842</v>
      </c>
      <c r="C1126" s="323"/>
      <c r="D1126" s="323"/>
      <c r="E1126" s="323"/>
      <c r="F1126" s="1"/>
      <c r="AF1126" s="322"/>
      <c r="AJ1126" s="322"/>
      <c r="BG1126" s="322"/>
      <c r="BH1126" s="322"/>
      <c r="BI1126" s="322"/>
      <c r="BJ1126" s="113"/>
    </row>
    <row r="1127" spans="1:62" hidden="1" x14ac:dyDescent="0.25">
      <c r="A1127" s="323"/>
      <c r="B1127" s="323"/>
      <c r="C1127" s="323"/>
      <c r="D1127" s="323"/>
      <c r="E1127" s="323"/>
      <c r="F1127" s="1"/>
      <c r="AF1127" s="322"/>
      <c r="AJ1127" s="322"/>
      <c r="BG1127" s="322"/>
      <c r="BH1127" s="322"/>
      <c r="BI1127" s="322"/>
      <c r="BJ1127" s="113"/>
    </row>
    <row r="1128" spans="1:62" hidden="1" x14ac:dyDescent="0.25">
      <c r="A1128" s="323"/>
      <c r="B1128" s="323"/>
      <c r="C1128" s="323"/>
      <c r="D1128" s="323"/>
      <c r="E1128" s="323"/>
      <c r="F1128" s="1"/>
      <c r="AF1128" s="322"/>
      <c r="AJ1128" s="322"/>
      <c r="BG1128" s="322"/>
      <c r="BH1128" s="322"/>
      <c r="BI1128" s="322"/>
      <c r="BJ1128" s="113"/>
    </row>
    <row r="1129" spans="1:62" hidden="1" x14ac:dyDescent="0.25">
      <c r="A1129" s="323"/>
      <c r="B1129" s="323"/>
      <c r="C1129" s="323"/>
      <c r="D1129" s="323"/>
      <c r="E1129" s="323"/>
      <c r="F1129" s="1"/>
      <c r="AF1129" s="322"/>
      <c r="AJ1129" s="322"/>
      <c r="BG1129" s="322"/>
      <c r="BH1129" s="322"/>
      <c r="BI1129" s="322"/>
      <c r="BJ1129" s="113"/>
    </row>
    <row r="1130" spans="1:62" hidden="1" x14ac:dyDescent="0.25">
      <c r="A1130" s="323"/>
      <c r="B1130" s="323"/>
      <c r="C1130" s="323"/>
      <c r="D1130" s="323"/>
      <c r="E1130" s="323"/>
      <c r="F1130" s="1"/>
      <c r="AF1130" s="322"/>
      <c r="AJ1130" s="322"/>
      <c r="BG1130" s="322"/>
      <c r="BH1130" s="322"/>
      <c r="BI1130" s="322"/>
      <c r="BJ1130" s="113"/>
    </row>
    <row r="1131" spans="1:62" hidden="1" x14ac:dyDescent="0.25">
      <c r="A1131" s="323"/>
      <c r="B1131" s="323"/>
      <c r="C1131" s="323"/>
      <c r="D1131" s="323"/>
      <c r="E1131" s="323"/>
      <c r="F1131" s="1"/>
      <c r="AF1131" s="322"/>
      <c r="AJ1131" s="322"/>
      <c r="BG1131" s="322"/>
      <c r="BH1131" s="322"/>
      <c r="BI1131" s="322"/>
      <c r="BJ1131" s="113"/>
    </row>
    <row r="1132" spans="1:62" hidden="1" x14ac:dyDescent="0.25">
      <c r="A1132" s="323"/>
      <c r="B1132" s="323"/>
      <c r="C1132" s="323"/>
      <c r="D1132" s="323"/>
      <c r="E1132" s="323"/>
      <c r="F1132" s="1"/>
      <c r="AF1132" s="322"/>
      <c r="AJ1132" s="322"/>
      <c r="BG1132" s="322"/>
      <c r="BH1132" s="322"/>
      <c r="BI1132" s="322"/>
      <c r="BJ1132" s="113"/>
    </row>
    <row r="1133" spans="1:62" hidden="1" x14ac:dyDescent="0.25">
      <c r="A1133" s="323"/>
      <c r="B1133" s="323"/>
      <c r="C1133" s="323"/>
      <c r="D1133" s="323"/>
      <c r="E1133" s="323"/>
      <c r="F1133" s="1"/>
      <c r="AF1133" s="322"/>
      <c r="AJ1133" s="322"/>
      <c r="BG1133" s="322"/>
      <c r="BH1133" s="322"/>
      <c r="BI1133" s="322"/>
      <c r="BJ1133" s="113"/>
    </row>
    <row r="1134" spans="1:62" hidden="1" x14ac:dyDescent="0.25">
      <c r="A1134" s="323"/>
      <c r="B1134" s="323"/>
      <c r="C1134" s="323"/>
      <c r="D1134" s="323"/>
      <c r="E1134" s="323"/>
      <c r="F1134" s="1"/>
      <c r="AF1134" s="322"/>
      <c r="AJ1134" s="322"/>
      <c r="BG1134" s="322"/>
      <c r="BH1134" s="322"/>
      <c r="BI1134" s="322"/>
      <c r="BJ1134" s="113"/>
    </row>
    <row r="1135" spans="1:62" hidden="1" x14ac:dyDescent="0.25">
      <c r="A1135" s="323"/>
      <c r="B1135" s="323"/>
      <c r="C1135" s="323"/>
      <c r="D1135" s="323"/>
      <c r="E1135" s="323"/>
      <c r="F1135" s="1"/>
      <c r="AF1135" s="322"/>
      <c r="AJ1135" s="322"/>
      <c r="BG1135" s="322"/>
      <c r="BH1135" s="322"/>
      <c r="BI1135" s="322"/>
      <c r="BJ1135" s="113"/>
    </row>
    <row r="1136" spans="1:62" hidden="1" x14ac:dyDescent="0.25">
      <c r="A1136" s="323"/>
      <c r="B1136" s="323"/>
      <c r="C1136" s="323"/>
      <c r="D1136" s="323"/>
      <c r="E1136" s="323"/>
      <c r="F1136" s="1"/>
      <c r="AF1136" s="322"/>
      <c r="AJ1136" s="322"/>
      <c r="BG1136" s="322"/>
      <c r="BH1136" s="322"/>
      <c r="BI1136" s="322"/>
      <c r="BJ1136" s="113"/>
    </row>
    <row r="1137" spans="1:62" hidden="1" x14ac:dyDescent="0.25">
      <c r="A1137" s="323"/>
      <c r="B1137" s="323"/>
      <c r="C1137" s="323"/>
      <c r="D1137" s="323"/>
      <c r="E1137" s="323"/>
      <c r="F1137" s="1"/>
      <c r="AF1137" s="322"/>
      <c r="AJ1137" s="322"/>
      <c r="BG1137" s="322"/>
      <c r="BH1137" s="322"/>
      <c r="BI1137" s="322"/>
      <c r="BJ1137" s="113"/>
    </row>
    <row r="1138" spans="1:62" hidden="1" x14ac:dyDescent="0.25">
      <c r="A1138" s="323"/>
      <c r="B1138" s="323"/>
      <c r="C1138" s="323"/>
      <c r="D1138" s="323"/>
      <c r="E1138" s="323"/>
      <c r="F1138" s="1"/>
      <c r="AF1138" s="322"/>
      <c r="AJ1138" s="322"/>
      <c r="BG1138" s="322"/>
      <c r="BH1138" s="322"/>
      <c r="BI1138" s="322"/>
      <c r="BJ1138" s="113"/>
    </row>
    <row r="1139" spans="1:62" ht="20.399999999999999" hidden="1" x14ac:dyDescent="0.35">
      <c r="A1139" s="328"/>
      <c r="B1139" s="329"/>
      <c r="C1139" s="323"/>
      <c r="D1139" s="323"/>
      <c r="E1139" s="323"/>
      <c r="F1139" s="1"/>
      <c r="AF1139" s="322"/>
      <c r="AJ1139" s="322"/>
      <c r="BG1139" s="322"/>
      <c r="BH1139" s="322"/>
      <c r="BI1139" s="322"/>
      <c r="BJ1139" s="113"/>
    </row>
    <row r="1140" spans="1:62" hidden="1" x14ac:dyDescent="0.25">
      <c r="A1140" s="323"/>
      <c r="B1140" s="323"/>
      <c r="C1140" s="323"/>
      <c r="D1140" s="323"/>
      <c r="E1140" s="323"/>
      <c r="F1140" s="1"/>
      <c r="AF1140" s="322"/>
      <c r="AJ1140" s="322"/>
      <c r="BG1140" s="322"/>
      <c r="BH1140" s="322"/>
      <c r="BI1140" s="322"/>
      <c r="BJ1140" s="113"/>
    </row>
    <row r="1141" spans="1:62" hidden="1" x14ac:dyDescent="0.25">
      <c r="A1141" s="323"/>
      <c r="B1141" s="323"/>
      <c r="C1141" s="323"/>
      <c r="D1141" s="323"/>
      <c r="E1141" s="323"/>
      <c r="F1141" s="1"/>
      <c r="AF1141" s="322"/>
      <c r="AJ1141" s="322"/>
      <c r="BG1141" s="322"/>
      <c r="BH1141" s="322"/>
      <c r="BI1141" s="322"/>
      <c r="BJ1141" s="113"/>
    </row>
    <row r="1142" spans="1:62" hidden="1" x14ac:dyDescent="0.25">
      <c r="A1142" s="323"/>
      <c r="B1142" s="323"/>
      <c r="C1142" s="323"/>
      <c r="D1142" s="323"/>
      <c r="E1142" s="323"/>
      <c r="F1142" s="1"/>
      <c r="AF1142" s="322"/>
      <c r="AJ1142" s="322"/>
      <c r="BG1142" s="322"/>
      <c r="BH1142" s="322"/>
      <c r="BI1142" s="322"/>
      <c r="BJ1142" s="113"/>
    </row>
    <row r="1143" spans="1:62" hidden="1" x14ac:dyDescent="0.25">
      <c r="A1143" s="323"/>
      <c r="B1143" s="323"/>
      <c r="C1143" s="323"/>
      <c r="D1143" s="323"/>
      <c r="E1143" s="323"/>
      <c r="F1143" s="1"/>
      <c r="AF1143" s="322"/>
      <c r="AJ1143" s="322"/>
      <c r="BG1143" s="322"/>
      <c r="BH1143" s="322"/>
      <c r="BI1143" s="322"/>
      <c r="BJ1143" s="113"/>
    </row>
    <row r="1144" spans="1:62" hidden="1" x14ac:dyDescent="0.25">
      <c r="A1144" s="323"/>
      <c r="B1144" s="323"/>
      <c r="C1144" s="323"/>
      <c r="D1144" s="323"/>
      <c r="E1144" s="323"/>
      <c r="F1144" s="1"/>
      <c r="AF1144" s="322"/>
      <c r="AG1144" s="330"/>
      <c r="AJ1144" s="322"/>
      <c r="BG1144" s="322"/>
      <c r="BH1144" s="322"/>
      <c r="BI1144" s="322"/>
      <c r="BJ1144" s="113"/>
    </row>
    <row r="1145" spans="1:62" hidden="1" x14ac:dyDescent="0.25">
      <c r="A1145" s="323"/>
      <c r="B1145" s="323"/>
      <c r="C1145" s="323"/>
      <c r="D1145" s="323"/>
      <c r="E1145" s="323"/>
      <c r="F1145" s="1"/>
      <c r="AF1145" s="322"/>
      <c r="AG1145" s="331">
        <v>5</v>
      </c>
      <c r="AJ1145" s="322"/>
      <c r="BG1145" s="322"/>
      <c r="BH1145" s="322"/>
      <c r="BI1145" s="322"/>
      <c r="BJ1145" s="113"/>
    </row>
    <row r="1146" spans="1:62" hidden="1" x14ac:dyDescent="0.25">
      <c r="A1146" s="323"/>
      <c r="B1146" s="323"/>
      <c r="C1146" s="323"/>
      <c r="D1146" s="323"/>
      <c r="E1146" s="323"/>
      <c r="F1146" s="1"/>
      <c r="AF1146" s="322"/>
      <c r="AG1146" s="330"/>
      <c r="AJ1146" s="322"/>
      <c r="BG1146" s="322"/>
      <c r="BH1146" s="322"/>
      <c r="BI1146" s="322"/>
      <c r="BJ1146" s="113"/>
    </row>
    <row r="1147" spans="1:62" hidden="1" x14ac:dyDescent="0.25">
      <c r="A1147" s="323"/>
      <c r="B1147" s="323"/>
      <c r="C1147" s="323"/>
      <c r="D1147" s="323"/>
      <c r="E1147" s="323"/>
      <c r="F1147" s="1"/>
      <c r="AF1147" s="322"/>
      <c r="AG1147" s="330"/>
      <c r="AJ1147" s="322"/>
      <c r="BG1147" s="322"/>
      <c r="BH1147" s="322"/>
      <c r="BI1147" s="322"/>
      <c r="BJ1147" s="113"/>
    </row>
    <row r="1148" spans="1:62" hidden="1" x14ac:dyDescent="0.25">
      <c r="A1148" s="323"/>
      <c r="B1148" s="323"/>
      <c r="C1148" s="323"/>
      <c r="D1148" s="323"/>
      <c r="E1148" s="323"/>
      <c r="F1148" s="1"/>
      <c r="AF1148" s="322"/>
      <c r="AG1148" s="331">
        <v>25</v>
      </c>
      <c r="AJ1148" s="322"/>
      <c r="BG1148" s="322"/>
      <c r="BH1148" s="322"/>
      <c r="BI1148" s="322"/>
      <c r="BJ1148" s="113"/>
    </row>
    <row r="1149" spans="1:62" hidden="1" x14ac:dyDescent="0.25">
      <c r="A1149" s="323"/>
      <c r="B1149" s="323"/>
      <c r="C1149" s="323"/>
      <c r="D1149" s="323"/>
      <c r="E1149" s="323"/>
      <c r="F1149" s="1"/>
      <c r="AF1149" s="322"/>
      <c r="AG1149" s="330"/>
      <c r="AJ1149" s="322"/>
      <c r="BG1149" s="322"/>
      <c r="BH1149" s="322"/>
      <c r="BI1149" s="322"/>
      <c r="BJ1149" s="113"/>
    </row>
    <row r="1150" spans="1:62" hidden="1" x14ac:dyDescent="0.25">
      <c r="A1150" s="323"/>
      <c r="B1150" s="323"/>
      <c r="C1150" s="323"/>
      <c r="D1150" s="323"/>
      <c r="E1150" s="323"/>
      <c r="F1150" s="1"/>
      <c r="AF1150" s="322"/>
      <c r="AG1150" s="331">
        <v>50</v>
      </c>
      <c r="AJ1150" s="322"/>
      <c r="BG1150" s="322"/>
      <c r="BH1150" s="322"/>
      <c r="BI1150" s="322"/>
      <c r="BJ1150" s="113"/>
    </row>
    <row r="1151" spans="1:62" hidden="1" x14ac:dyDescent="0.25">
      <c r="A1151" s="323"/>
      <c r="B1151" s="323"/>
      <c r="C1151" s="323"/>
      <c r="D1151" s="323"/>
      <c r="E1151" s="323"/>
      <c r="F1151" s="1"/>
      <c r="AF1151" s="322"/>
      <c r="AG1151" s="330"/>
      <c r="AJ1151" s="322"/>
      <c r="BG1151" s="322"/>
      <c r="BH1151" s="322"/>
      <c r="BI1151" s="322"/>
      <c r="BJ1151" s="113"/>
    </row>
    <row r="1152" spans="1:62" hidden="1" x14ac:dyDescent="0.25">
      <c r="A1152" s="323"/>
      <c r="B1152" s="323"/>
      <c r="C1152" s="323"/>
      <c r="D1152" s="323"/>
      <c r="E1152" s="323"/>
      <c r="F1152" s="1"/>
      <c r="AF1152" s="322"/>
      <c r="AG1152" s="331">
        <v>100</v>
      </c>
      <c r="AJ1152" s="322"/>
      <c r="BG1152" s="322"/>
      <c r="BH1152" s="322"/>
      <c r="BI1152" s="322"/>
      <c r="BJ1152" s="113"/>
    </row>
    <row r="1153" spans="1:62" hidden="1" x14ac:dyDescent="0.25">
      <c r="A1153" s="323"/>
      <c r="B1153" s="323"/>
      <c r="C1153" s="323"/>
      <c r="D1153" s="323"/>
      <c r="E1153" s="323"/>
      <c r="F1153" s="1"/>
      <c r="AF1153" s="322"/>
      <c r="AJ1153" s="322"/>
      <c r="BG1153" s="322"/>
      <c r="BH1153" s="322"/>
      <c r="BI1153" s="322"/>
      <c r="BJ1153" s="113"/>
    </row>
    <row r="1154" spans="1:62" hidden="1" x14ac:dyDescent="0.25">
      <c r="A1154" s="323"/>
      <c r="B1154" s="323"/>
      <c r="C1154" s="323"/>
      <c r="D1154" s="323"/>
      <c r="E1154" s="323"/>
      <c r="F1154" s="1"/>
      <c r="AF1154" s="322"/>
      <c r="AJ1154" s="322"/>
      <c r="BG1154" s="322"/>
      <c r="BH1154" s="322"/>
      <c r="BI1154" s="322"/>
      <c r="BJ1154" s="113"/>
    </row>
    <row r="1155" spans="1:62" hidden="1" x14ac:dyDescent="0.25">
      <c r="A1155" s="323"/>
      <c r="B1155" s="323"/>
      <c r="C1155" s="323"/>
      <c r="D1155" s="323"/>
      <c r="E1155" s="323"/>
      <c r="F1155" s="1"/>
      <c r="AF1155" s="322"/>
      <c r="AJ1155" s="322"/>
      <c r="BG1155" s="322"/>
      <c r="BH1155" s="322"/>
      <c r="BI1155" s="322"/>
      <c r="BJ1155" s="113"/>
    </row>
    <row r="1156" spans="1:62" hidden="1" x14ac:dyDescent="0.25">
      <c r="A1156" s="323"/>
      <c r="B1156" s="323"/>
      <c r="C1156" s="323"/>
      <c r="D1156" s="323"/>
      <c r="E1156" s="323"/>
      <c r="F1156" s="1"/>
      <c r="AF1156" s="322"/>
      <c r="AJ1156" s="322"/>
      <c r="BG1156" s="322"/>
      <c r="BH1156" s="322"/>
      <c r="BI1156" s="322"/>
      <c r="BJ1156" s="113"/>
    </row>
    <row r="1157" spans="1:62" hidden="1" x14ac:dyDescent="0.25">
      <c r="A1157" s="323"/>
      <c r="B1157" s="323"/>
      <c r="C1157" s="323"/>
      <c r="D1157" s="323"/>
      <c r="E1157" s="323"/>
      <c r="F1157" s="1"/>
      <c r="AF1157" s="322"/>
      <c r="AJ1157" s="322"/>
      <c r="BG1157" s="322"/>
      <c r="BH1157" s="322"/>
      <c r="BI1157" s="322"/>
      <c r="BJ1157" s="113"/>
    </row>
    <row r="1158" spans="1:62" hidden="1" x14ac:dyDescent="0.25">
      <c r="A1158" s="323"/>
      <c r="B1158" s="323"/>
      <c r="C1158" s="323"/>
      <c r="D1158" s="323"/>
      <c r="E1158" s="323"/>
      <c r="F1158" s="1"/>
      <c r="AF1158" s="322"/>
      <c r="AJ1158" s="322"/>
      <c r="BG1158" s="322"/>
      <c r="BH1158" s="322"/>
      <c r="BI1158" s="322"/>
      <c r="BJ1158" s="113"/>
    </row>
    <row r="1159" spans="1:62" hidden="1" x14ac:dyDescent="0.25">
      <c r="A1159" s="323"/>
      <c r="B1159" s="323"/>
      <c r="C1159" s="323"/>
      <c r="D1159" s="323"/>
      <c r="E1159" s="323"/>
      <c r="F1159" s="1"/>
      <c r="AF1159" s="322"/>
      <c r="AJ1159" s="322"/>
      <c r="BG1159" s="322"/>
      <c r="BH1159" s="322"/>
      <c r="BI1159" s="322"/>
      <c r="BJ1159" s="113"/>
    </row>
    <row r="1160" spans="1:62" hidden="1" x14ac:dyDescent="0.25">
      <c r="A1160" s="323"/>
      <c r="B1160" s="323"/>
      <c r="C1160" s="323"/>
      <c r="D1160" s="323"/>
      <c r="E1160" s="323"/>
      <c r="F1160" s="1"/>
      <c r="AF1160" s="322"/>
      <c r="AJ1160" s="322"/>
      <c r="BG1160" s="322"/>
      <c r="BH1160" s="322"/>
      <c r="BI1160" s="322"/>
      <c r="BJ1160" s="113"/>
    </row>
    <row r="1161" spans="1:62" hidden="1" x14ac:dyDescent="0.25">
      <c r="A1161" s="323"/>
      <c r="B1161" s="323"/>
      <c r="C1161" s="323"/>
      <c r="D1161" s="323"/>
      <c r="E1161" s="323"/>
      <c r="F1161" s="1"/>
      <c r="AF1161" s="322"/>
      <c r="AJ1161" s="322"/>
      <c r="BG1161" s="322"/>
      <c r="BH1161" s="322"/>
      <c r="BI1161" s="322"/>
      <c r="BJ1161" s="113"/>
    </row>
    <row r="1162" spans="1:62" hidden="1" x14ac:dyDescent="0.25">
      <c r="A1162" s="323"/>
      <c r="B1162" s="323"/>
      <c r="C1162" s="323"/>
      <c r="D1162" s="323"/>
      <c r="E1162" s="323"/>
      <c r="F1162" s="1"/>
      <c r="AF1162" s="322"/>
      <c r="AJ1162" s="322"/>
      <c r="BG1162" s="322"/>
      <c r="BH1162" s="322"/>
      <c r="BI1162" s="322"/>
      <c r="BJ1162" s="113"/>
    </row>
    <row r="1163" spans="1:62" hidden="1" x14ac:dyDescent="0.25">
      <c r="A1163" s="323"/>
      <c r="B1163" s="323"/>
      <c r="C1163" s="323"/>
      <c r="D1163" s="323"/>
      <c r="E1163" s="323"/>
      <c r="F1163" s="1"/>
      <c r="AF1163" s="322"/>
      <c r="AJ1163" s="322"/>
      <c r="BG1163" s="322"/>
      <c r="BH1163" s="322"/>
      <c r="BI1163" s="322"/>
      <c r="BJ1163" s="113"/>
    </row>
    <row r="1164" spans="1:62" hidden="1" x14ac:dyDescent="0.25">
      <c r="A1164" s="323"/>
      <c r="B1164" s="323"/>
      <c r="C1164" s="323"/>
      <c r="D1164" s="323"/>
      <c r="E1164" s="323"/>
      <c r="F1164" s="1"/>
      <c r="AF1164" s="322"/>
      <c r="AJ1164" s="322"/>
      <c r="BG1164" s="322"/>
      <c r="BH1164" s="322"/>
      <c r="BI1164" s="322"/>
      <c r="BJ1164" s="113"/>
    </row>
    <row r="1165" spans="1:62" hidden="1" x14ac:dyDescent="0.25">
      <c r="A1165" s="323"/>
      <c r="B1165" s="323"/>
      <c r="C1165" s="323"/>
      <c r="D1165" s="323"/>
      <c r="E1165" s="323"/>
      <c r="F1165" s="1"/>
      <c r="AF1165" s="322"/>
      <c r="AJ1165" s="322"/>
      <c r="BG1165" s="322"/>
      <c r="BH1165" s="322"/>
      <c r="BI1165" s="322"/>
      <c r="BJ1165" s="113"/>
    </row>
    <row r="1166" spans="1:62" hidden="1" x14ac:dyDescent="0.25">
      <c r="A1166" s="323"/>
      <c r="B1166" s="323"/>
      <c r="C1166" s="323"/>
      <c r="D1166" s="323"/>
      <c r="E1166" s="323"/>
      <c r="F1166" s="1"/>
      <c r="AF1166" s="322"/>
      <c r="AJ1166" s="322"/>
      <c r="BG1166" s="322"/>
      <c r="BH1166" s="322"/>
      <c r="BI1166" s="322"/>
      <c r="BJ1166" s="113"/>
    </row>
    <row r="1167" spans="1:62" hidden="1" x14ac:dyDescent="0.25">
      <c r="A1167" s="323"/>
      <c r="B1167" s="323"/>
      <c r="C1167" s="323"/>
      <c r="D1167" s="323"/>
      <c r="E1167" s="323"/>
      <c r="F1167" s="1"/>
      <c r="AF1167" s="322"/>
      <c r="AJ1167" s="322"/>
      <c r="BG1167" s="322"/>
      <c r="BH1167" s="322"/>
      <c r="BI1167" s="322"/>
      <c r="BJ1167" s="113"/>
    </row>
    <row r="1168" spans="1:62" hidden="1" x14ac:dyDescent="0.25">
      <c r="A1168" s="323"/>
      <c r="B1168" s="323"/>
      <c r="C1168" s="323"/>
      <c r="D1168" s="323"/>
      <c r="E1168" s="323"/>
      <c r="F1168" s="1"/>
      <c r="AF1168" s="322"/>
      <c r="AJ1168" s="322"/>
      <c r="BG1168" s="322"/>
      <c r="BH1168" s="322"/>
      <c r="BI1168" s="322"/>
      <c r="BJ1168" s="113"/>
    </row>
    <row r="1169" spans="1:62" hidden="1" x14ac:dyDescent="0.25">
      <c r="A1169" s="323"/>
      <c r="B1169" s="323"/>
      <c r="C1169" s="323"/>
      <c r="D1169" s="323"/>
      <c r="E1169" s="323"/>
      <c r="F1169" s="1"/>
      <c r="AF1169" s="322"/>
      <c r="AJ1169" s="322"/>
      <c r="BG1169" s="322"/>
      <c r="BH1169" s="322"/>
      <c r="BI1169" s="322"/>
      <c r="BJ1169" s="113"/>
    </row>
    <row r="1170" spans="1:62" hidden="1" x14ac:dyDescent="0.25">
      <c r="A1170" s="323"/>
      <c r="B1170" s="323"/>
      <c r="C1170" s="323"/>
      <c r="D1170" s="323"/>
      <c r="E1170" s="323"/>
      <c r="F1170" s="1"/>
      <c r="AF1170" s="322"/>
      <c r="AJ1170" s="322"/>
      <c r="BG1170" s="322"/>
      <c r="BH1170" s="322"/>
      <c r="BI1170" s="322"/>
      <c r="BJ1170" s="113"/>
    </row>
    <row r="1171" spans="1:62" hidden="1" x14ac:dyDescent="0.25">
      <c r="A1171" s="323"/>
      <c r="B1171" s="323"/>
      <c r="C1171" s="323"/>
      <c r="D1171" s="323"/>
      <c r="E1171" s="323"/>
      <c r="F1171" s="1"/>
      <c r="AF1171" s="322"/>
      <c r="AJ1171" s="322"/>
      <c r="BG1171" s="322"/>
      <c r="BH1171" s="322"/>
      <c r="BI1171" s="322"/>
      <c r="BJ1171" s="113"/>
    </row>
    <row r="1172" spans="1:62" hidden="1" x14ac:dyDescent="0.25">
      <c r="A1172" s="323"/>
      <c r="B1172" s="323"/>
      <c r="C1172" s="323"/>
      <c r="D1172" s="323"/>
      <c r="E1172" s="323"/>
      <c r="F1172" s="1"/>
      <c r="AF1172" s="322"/>
      <c r="AJ1172" s="322"/>
      <c r="BG1172" s="322"/>
      <c r="BH1172" s="322"/>
      <c r="BI1172" s="322"/>
      <c r="BJ1172" s="113"/>
    </row>
    <row r="1173" spans="1:62" hidden="1" x14ac:dyDescent="0.25">
      <c r="A1173" s="323"/>
      <c r="B1173" s="323"/>
      <c r="C1173" s="323"/>
      <c r="D1173" s="323"/>
      <c r="E1173" s="323"/>
      <c r="F1173" s="1"/>
      <c r="AF1173" s="322"/>
      <c r="AJ1173" s="322"/>
      <c r="BG1173" s="322"/>
      <c r="BH1173" s="322"/>
      <c r="BI1173" s="322"/>
      <c r="BJ1173" s="113"/>
    </row>
    <row r="1174" spans="1:62" hidden="1" x14ac:dyDescent="0.25">
      <c r="A1174" s="323"/>
      <c r="B1174" s="323"/>
      <c r="C1174" s="323"/>
      <c r="D1174" s="323"/>
      <c r="E1174" s="323"/>
      <c r="F1174" s="1"/>
      <c r="AF1174" s="322"/>
      <c r="AJ1174" s="322"/>
      <c r="BG1174" s="322"/>
      <c r="BH1174" s="322"/>
      <c r="BI1174" s="322"/>
      <c r="BJ1174" s="113"/>
    </row>
    <row r="1175" spans="1:62" hidden="1" x14ac:dyDescent="0.25">
      <c r="A1175" s="323"/>
      <c r="B1175" s="323"/>
      <c r="C1175" s="323"/>
      <c r="D1175" s="323"/>
      <c r="E1175" s="323"/>
      <c r="F1175" s="1"/>
      <c r="AF1175" s="322"/>
      <c r="AJ1175" s="322"/>
      <c r="BG1175" s="322"/>
      <c r="BH1175" s="322"/>
      <c r="BI1175" s="322"/>
      <c r="BJ1175" s="113"/>
    </row>
    <row r="1176" spans="1:62" hidden="1" x14ac:dyDescent="0.25">
      <c r="A1176" s="323"/>
      <c r="B1176" s="323"/>
      <c r="C1176" s="323"/>
      <c r="D1176" s="323"/>
      <c r="E1176" s="323"/>
      <c r="F1176" s="1"/>
      <c r="AF1176" s="322"/>
      <c r="AJ1176" s="322"/>
      <c r="BG1176" s="322"/>
      <c r="BH1176" s="322"/>
      <c r="BI1176" s="322"/>
      <c r="BJ1176" s="113"/>
    </row>
    <row r="1177" spans="1:62" hidden="1" x14ac:dyDescent="0.25">
      <c r="A1177" s="323"/>
      <c r="B1177" s="323"/>
      <c r="C1177" s="323"/>
      <c r="D1177" s="323"/>
      <c r="E1177" s="323"/>
      <c r="F1177" s="1"/>
      <c r="AF1177" s="322"/>
      <c r="AJ1177" s="322"/>
      <c r="BG1177" s="322"/>
      <c r="BH1177" s="322"/>
      <c r="BI1177" s="322"/>
      <c r="BJ1177" s="113"/>
    </row>
    <row r="1178" spans="1:62" hidden="1" x14ac:dyDescent="0.25">
      <c r="A1178" s="323"/>
      <c r="B1178" s="323"/>
      <c r="C1178" s="323"/>
      <c r="D1178" s="323"/>
      <c r="E1178" s="323"/>
      <c r="F1178" s="1"/>
      <c r="AF1178" s="322"/>
      <c r="AJ1178" s="322"/>
      <c r="BG1178" s="322"/>
      <c r="BH1178" s="322"/>
      <c r="BI1178" s="322"/>
      <c r="BJ1178" s="113"/>
    </row>
    <row r="1179" spans="1:62" hidden="1" x14ac:dyDescent="0.25">
      <c r="A1179" s="323"/>
      <c r="B1179" s="323"/>
      <c r="C1179" s="323"/>
      <c r="D1179" s="323"/>
      <c r="E1179" s="323"/>
      <c r="F1179" s="1"/>
      <c r="AF1179" s="322"/>
      <c r="AJ1179" s="322"/>
      <c r="BG1179" s="322"/>
      <c r="BH1179" s="322"/>
      <c r="BI1179" s="322"/>
      <c r="BJ1179" s="113"/>
    </row>
    <row r="1180" spans="1:62" hidden="1" x14ac:dyDescent="0.25">
      <c r="A1180" s="323"/>
      <c r="B1180" s="323"/>
      <c r="C1180" s="323"/>
      <c r="D1180" s="323"/>
      <c r="E1180" s="323"/>
      <c r="F1180" s="1"/>
      <c r="AF1180" s="322"/>
      <c r="AJ1180" s="322"/>
      <c r="BG1180" s="322"/>
      <c r="BH1180" s="322"/>
      <c r="BI1180" s="322"/>
      <c r="BJ1180" s="113"/>
    </row>
    <row r="1181" spans="1:62" hidden="1" x14ac:dyDescent="0.25">
      <c r="A1181" s="323"/>
      <c r="B1181" s="323"/>
      <c r="C1181" s="323"/>
      <c r="D1181" s="323"/>
      <c r="E1181" s="323"/>
      <c r="F1181" s="1"/>
      <c r="AF1181" s="322"/>
      <c r="AJ1181" s="322"/>
      <c r="BG1181" s="322"/>
      <c r="BH1181" s="322"/>
      <c r="BI1181" s="322"/>
      <c r="BJ1181" s="113"/>
    </row>
    <row r="1182" spans="1:62" hidden="1" x14ac:dyDescent="0.25">
      <c r="A1182" s="323"/>
      <c r="B1182" s="323"/>
      <c r="C1182" s="323"/>
      <c r="D1182" s="323"/>
      <c r="E1182" s="323"/>
      <c r="F1182" s="1"/>
      <c r="AF1182" s="322"/>
      <c r="AJ1182" s="322"/>
      <c r="BG1182" s="322"/>
      <c r="BH1182" s="322"/>
      <c r="BI1182" s="322"/>
      <c r="BJ1182" s="113"/>
    </row>
    <row r="1183" spans="1:62" hidden="1" x14ac:dyDescent="0.25">
      <c r="A1183" s="323"/>
      <c r="B1183" s="323"/>
      <c r="C1183" s="323"/>
      <c r="D1183" s="323"/>
      <c r="E1183" s="323"/>
      <c r="F1183" s="1"/>
      <c r="AF1183" s="322"/>
      <c r="AJ1183" s="322"/>
      <c r="BG1183" s="322"/>
      <c r="BH1183" s="322"/>
      <c r="BI1183" s="322"/>
      <c r="BJ1183" s="113"/>
    </row>
    <row r="1184" spans="1:62" hidden="1" x14ac:dyDescent="0.25">
      <c r="A1184" s="323"/>
      <c r="B1184" s="323"/>
      <c r="C1184" s="323"/>
      <c r="D1184" s="323"/>
      <c r="E1184" s="323"/>
      <c r="F1184" s="1"/>
      <c r="AF1184" s="322"/>
      <c r="AJ1184" s="322"/>
      <c r="BG1184" s="322"/>
      <c r="BH1184" s="322"/>
      <c r="BI1184" s="322"/>
      <c r="BJ1184" s="113"/>
    </row>
    <row r="1185" spans="1:66" hidden="1" x14ac:dyDescent="0.25">
      <c r="A1185" s="323"/>
      <c r="B1185" s="323"/>
      <c r="C1185" s="323"/>
      <c r="D1185" s="323"/>
      <c r="E1185" s="323"/>
      <c r="F1185" s="1"/>
      <c r="AF1185" s="322"/>
      <c r="AJ1185" s="322"/>
      <c r="BG1185" s="322"/>
      <c r="BH1185" s="322"/>
      <c r="BI1185" s="322"/>
      <c r="BJ1185" s="113"/>
    </row>
    <row r="1186" spans="1:66" hidden="1" x14ac:dyDescent="0.25">
      <c r="A1186" s="323"/>
      <c r="B1186" s="323"/>
      <c r="C1186" s="323"/>
      <c r="D1186" s="323"/>
      <c r="E1186" s="323"/>
      <c r="F1186" s="1"/>
      <c r="AF1186" s="322"/>
      <c r="AJ1186" s="322"/>
      <c r="BG1186" s="322"/>
      <c r="BH1186" s="322"/>
      <c r="BI1186" s="322"/>
      <c r="BJ1186" s="113"/>
    </row>
    <row r="1187" spans="1:66" hidden="1" x14ac:dyDescent="0.25">
      <c r="A1187" s="323"/>
      <c r="B1187" s="323"/>
      <c r="C1187" s="323"/>
      <c r="D1187" s="323"/>
      <c r="E1187" s="323"/>
      <c r="F1187" s="1"/>
      <c r="AF1187" s="322"/>
      <c r="AJ1187" s="322"/>
      <c r="BG1187" s="322"/>
      <c r="BH1187" s="322"/>
      <c r="BI1187" s="322"/>
      <c r="BJ1187" s="113"/>
    </row>
    <row r="1188" spans="1:66" hidden="1" x14ac:dyDescent="0.25">
      <c r="A1188" s="323"/>
      <c r="B1188" s="323"/>
      <c r="C1188" s="323"/>
      <c r="D1188" s="323"/>
      <c r="E1188" s="323"/>
      <c r="F1188" s="1"/>
      <c r="AF1188" s="322"/>
      <c r="AJ1188" s="322"/>
      <c r="BG1188" s="322"/>
      <c r="BH1188" s="322"/>
      <c r="BI1188" s="322"/>
      <c r="BJ1188" s="113"/>
    </row>
    <row r="1189" spans="1:66" hidden="1" x14ac:dyDescent="0.25">
      <c r="A1189" s="323"/>
      <c r="B1189" s="323"/>
      <c r="C1189" s="323"/>
      <c r="D1189" s="323"/>
      <c r="E1189" s="323"/>
      <c r="F1189" s="1"/>
      <c r="AF1189" s="322"/>
      <c r="AJ1189" s="322"/>
      <c r="BG1189" s="322"/>
      <c r="BH1189" s="322"/>
      <c r="BI1189" s="322"/>
      <c r="BJ1189" s="113"/>
    </row>
    <row r="1190" spans="1:66" hidden="1" x14ac:dyDescent="0.25">
      <c r="A1190" s="323"/>
      <c r="B1190" s="323"/>
      <c r="C1190" s="323"/>
      <c r="D1190" s="323"/>
      <c r="E1190" s="323"/>
      <c r="F1190" s="1"/>
      <c r="AF1190" s="322"/>
      <c r="AJ1190" s="322"/>
      <c r="BG1190" s="322"/>
      <c r="BH1190" s="322"/>
      <c r="BI1190" s="322"/>
      <c r="BJ1190" s="113"/>
    </row>
    <row r="1191" spans="1:66" hidden="1" x14ac:dyDescent="0.25">
      <c r="A1191" s="323"/>
      <c r="B1191" s="323"/>
      <c r="C1191" s="323"/>
      <c r="D1191" s="323"/>
      <c r="E1191" s="323"/>
      <c r="F1191" s="1"/>
      <c r="AF1191" s="322"/>
      <c r="AJ1191" s="322"/>
      <c r="BG1191" s="322"/>
      <c r="BH1191" s="322"/>
      <c r="BI1191" s="322"/>
      <c r="BJ1191" s="113"/>
    </row>
    <row r="1192" spans="1:66" hidden="1" x14ac:dyDescent="0.25">
      <c r="A1192" s="323"/>
      <c r="B1192" s="323"/>
      <c r="C1192" s="323"/>
      <c r="D1192" s="323"/>
      <c r="E1192" s="323"/>
      <c r="F1192" s="1"/>
      <c r="AF1192" s="322"/>
      <c r="AJ1192" s="322"/>
      <c r="BG1192" s="322"/>
      <c r="BH1192" s="322"/>
      <c r="BI1192" s="322"/>
      <c r="BJ1192" s="113"/>
    </row>
    <row r="1193" spans="1:66" hidden="1" x14ac:dyDescent="0.25">
      <c r="A1193" s="323"/>
      <c r="B1193" s="323"/>
      <c r="C1193" s="323"/>
      <c r="D1193" s="323"/>
      <c r="E1193" s="323"/>
      <c r="F1193" s="1"/>
      <c r="AF1193" s="322"/>
      <c r="AJ1193" s="322"/>
      <c r="BG1193" s="322"/>
      <c r="BH1193" s="322"/>
      <c r="BI1193" s="322"/>
      <c r="BJ1193" s="113"/>
    </row>
    <row r="1194" spans="1:66" ht="19.95" hidden="1" customHeight="1" x14ac:dyDescent="0.25">
      <c r="A1194" s="323"/>
      <c r="B1194" s="323"/>
      <c r="C1194" s="323"/>
      <c r="D1194" s="323"/>
      <c r="E1194" s="323"/>
      <c r="F1194" s="1"/>
      <c r="AF1194" s="322"/>
      <c r="AJ1194" s="322"/>
      <c r="BG1194" s="322"/>
      <c r="BH1194" s="322"/>
      <c r="BI1194" s="322"/>
      <c r="BJ1194" s="113"/>
    </row>
    <row r="1195" spans="1:66" ht="10.050000000000001" hidden="1" customHeight="1" x14ac:dyDescent="0.25">
      <c r="A1195" s="323"/>
      <c r="B1195" s="323"/>
      <c r="C1195" s="323"/>
      <c r="D1195" s="323"/>
      <c r="E1195" s="323"/>
      <c r="F1195" s="1"/>
      <c r="AF1195" s="322"/>
      <c r="AJ1195" s="322"/>
      <c r="BG1195" s="322"/>
      <c r="BH1195" s="322"/>
      <c r="BI1195" s="322"/>
      <c r="BJ1195" s="113"/>
    </row>
    <row r="1196" spans="1:66" ht="30" hidden="1" customHeight="1" x14ac:dyDescent="0.25">
      <c r="A1196" s="45" t="s">
        <v>98</v>
      </c>
      <c r="B1196" s="45" t="s">
        <v>843</v>
      </c>
      <c r="C1196" s="45"/>
      <c r="D1196" s="45"/>
      <c r="E1196" s="45"/>
      <c r="F1196" s="45"/>
      <c r="AC1196" s="60">
        <f>AC1202+AC1212+AC1222+AC1232+AC1242+AC1252+AC1262+AC1272+AC1282+AC1292+AC1302+AC1312+AC1322+AC1332+AC1342+AC1352+AC1362+AC1372+AC1382+AC1392+AC1402+AC1412+AC1422+AC1432</f>
        <v>1</v>
      </c>
      <c r="AD1196" s="6" t="s">
        <v>844</v>
      </c>
      <c r="AL1196" s="332" t="str">
        <f>TEXT(AC1196,"0")</f>
        <v>1</v>
      </c>
      <c r="AM1196" s="332"/>
      <c r="BN1196" s="333" t="str">
        <f>IF(NOT(C1205=AM1205),C1205,"")</f>
        <v/>
      </c>
    </row>
    <row r="1197" spans="1:66" ht="19.95" hidden="1" customHeight="1" x14ac:dyDescent="0.25">
      <c r="A1197" s="48"/>
      <c r="B1197" s="581" t="str">
        <f>BD1197</f>
        <v>Build up your Support Team, one supporter at a time.</v>
      </c>
      <c r="C1197" s="581"/>
      <c r="D1197" s="581"/>
      <c r="E1197" s="49"/>
      <c r="F1197" s="108"/>
      <c r="AC1197" s="334">
        <f>(AJ1197)/AC1196</f>
        <v>45</v>
      </c>
      <c r="AD1197" s="6" t="s">
        <v>845</v>
      </c>
      <c r="AJ1197" s="335">
        <f>50-5</f>
        <v>45</v>
      </c>
      <c r="AL1197" s="6">
        <v>50</v>
      </c>
      <c r="AO1197" s="6" t="s">
        <v>846</v>
      </c>
      <c r="BD1197" s="6" t="s">
        <v>847</v>
      </c>
    </row>
    <row r="1198" spans="1:66" ht="4.95" hidden="1" customHeight="1" x14ac:dyDescent="0.25">
      <c r="A1198" s="336"/>
      <c r="B1198" s="337"/>
      <c r="C1198" s="337"/>
      <c r="D1198" s="337"/>
      <c r="E1198" s="338"/>
      <c r="F1198" s="1"/>
      <c r="AC1198" s="334"/>
      <c r="AJ1198" s="335"/>
    </row>
    <row r="1199" spans="1:66" ht="75" hidden="1" customHeight="1" x14ac:dyDescent="0.25">
      <c r="A1199" s="338"/>
      <c r="B1199" s="339" t="s">
        <v>848</v>
      </c>
      <c r="C1199" s="613" t="str">
        <f>AC1200</f>
        <v>Invite supporters to help cover the weekly support fee, after claimant and proxy covers 10%. For step 1, you and your proxy will cover $5 while your support team covers the remaining $45. Later, for group video-chat, you and your proxy covers $10 while your support team covers the remaining $90. Only $45 to go for weekly support.</v>
      </c>
      <c r="D1199" s="613"/>
      <c r="E1199" s="338"/>
      <c r="F1199" s="1"/>
      <c r="AC1199" s="614">
        <f ca="1">TODAY()</f>
        <v>44336</v>
      </c>
      <c r="AD1199" s="614"/>
      <c r="AE1199" s="614"/>
      <c r="AF1199" s="615">
        <f ca="1">AC1199-365</f>
        <v>43971</v>
      </c>
      <c r="AG1199" s="615"/>
      <c r="AH1199" s="615"/>
      <c r="AI1199" s="615">
        <f ca="1">AC1199+365</f>
        <v>44701</v>
      </c>
      <c r="AJ1199" s="616"/>
      <c r="AK1199" s="616"/>
      <c r="AO1199" s="58" t="str">
        <f>IF(BD1201&lt;0,"Once over that amount, you can cover the possibility of attrition, when you may lose some supporters.","")</f>
        <v/>
      </c>
      <c r="BH1199" s="58" t="s">
        <v>849</v>
      </c>
    </row>
    <row r="1200" spans="1:66" ht="15" hidden="1" customHeight="1" thickBot="1" x14ac:dyDescent="0.4">
      <c r="A1200" s="338"/>
      <c r="B1200" s="340"/>
      <c r="C1200" s="341"/>
      <c r="D1200" s="342"/>
      <c r="E1200" s="338"/>
      <c r="F1200" s="1"/>
      <c r="AC1200" s="343" t="str">
        <f>CONCATENATE(AE1200,AZ1200)</f>
        <v>Invite supporters to help cover the weekly support fee, after claimant and proxy covers 10%. For step 1, you and your proxy will cover $5 while your support team covers the remaining $45. Later, for group video-chat, you and your proxy covers $10 while your support team covers the remaining $90. Only $45 to go for weekly support.</v>
      </c>
      <c r="AD1200" s="344"/>
      <c r="AE1200" s="343" t="s">
        <v>850</v>
      </c>
      <c r="AF1200" s="344"/>
      <c r="AG1200" s="344"/>
      <c r="AH1200" s="344"/>
      <c r="AI1200" s="344"/>
      <c r="AJ1200" s="345"/>
      <c r="AK1200" s="345"/>
      <c r="AZ1200" s="6" t="str">
        <f>IF(BD1201&gt;=0,CONCATENATE(BB1200,BF1200),AO1199)</f>
        <v>Only $45 to go for weekly support.</v>
      </c>
      <c r="BB1200" s="6" t="s">
        <v>851</v>
      </c>
      <c r="BD1200" s="346" t="str">
        <f>DOLLAR(AJ1197-(SUM(BD1207:BD1438)),0)</f>
        <v>$45</v>
      </c>
      <c r="BF1200" s="343" t="str">
        <f>CONCATENATE(BD1200,BH1199)</f>
        <v>$45 to go for weekly support.</v>
      </c>
    </row>
    <row r="1201" spans="1:69" ht="16.8" hidden="1" thickTop="1" thickBot="1" x14ac:dyDescent="0.35">
      <c r="A1201" s="347">
        <f>IF(C1201="",0,1+A1197)</f>
        <v>1</v>
      </c>
      <c r="B1201" s="348" t="s">
        <v>852</v>
      </c>
      <c r="C1201" s="349" t="str">
        <f>AM1201</f>
        <v>FIRST NAME</v>
      </c>
      <c r="D1201" s="350" t="str">
        <f>AQ1201</f>
        <v>LAST NAME</v>
      </c>
      <c r="E1201" s="338"/>
      <c r="F1201" s="1"/>
      <c r="AC1201" s="333" t="str">
        <f>IF(NOT(C1201=AM1201),C1201,"")</f>
        <v/>
      </c>
      <c r="AH1201" s="333" t="str">
        <f>IF(NOT(D1201=AQ1201),D1201,"")</f>
        <v/>
      </c>
      <c r="AM1201" s="351" t="s">
        <v>853</v>
      </c>
      <c r="AQ1201" s="351" t="s">
        <v>107</v>
      </c>
      <c r="BB1201" s="6"/>
      <c r="BD1201" s="322">
        <f>AJ1197-(SUM(BD1207:BD1439))</f>
        <v>45</v>
      </c>
      <c r="BM1201" s="352" t="s">
        <v>854</v>
      </c>
      <c r="BN1201" s="289" t="s">
        <v>855</v>
      </c>
    </row>
    <row r="1202" spans="1:69" ht="15.6" hidden="1" thickTop="1" thickBot="1" x14ac:dyDescent="0.35">
      <c r="A1202" s="336"/>
      <c r="B1202" s="338" t="s">
        <v>856</v>
      </c>
      <c r="C1202" s="353"/>
      <c r="D1202" s="5"/>
      <c r="E1202" s="338"/>
      <c r="F1202" s="1"/>
      <c r="AC1202" s="6">
        <f>IF(C1202="",0,1)</f>
        <v>0</v>
      </c>
      <c r="AE1202" s="6">
        <f>IF($AC$1202=1,AC$1197,0)</f>
        <v>0</v>
      </c>
      <c r="BB1202" s="6"/>
      <c r="BM1202" s="352" t="s">
        <v>857</v>
      </c>
      <c r="BN1202" s="289" t="s">
        <v>858</v>
      </c>
    </row>
    <row r="1203" spans="1:69" ht="13.95" hidden="1" customHeight="1" thickTop="1" thickBot="1" x14ac:dyDescent="0.35">
      <c r="A1203" s="336"/>
      <c r="B1203" s="354" t="s">
        <v>859</v>
      </c>
      <c r="C1203" s="353"/>
      <c r="D1203" s="355" t="str">
        <f>AS1203</f>
        <v>AWARENESS OF ISSUE</v>
      </c>
      <c r="E1203" s="338"/>
      <c r="F1203" s="1"/>
      <c r="AM1203" s="356"/>
      <c r="AN1203" s="356"/>
      <c r="AO1203" s="356"/>
      <c r="AP1203" s="356"/>
      <c r="AS1203" s="6" t="s">
        <v>860</v>
      </c>
      <c r="BB1203" s="6"/>
      <c r="BM1203" s="352" t="s">
        <v>861</v>
      </c>
      <c r="BN1203" s="289" t="s">
        <v>862</v>
      </c>
    </row>
    <row r="1204" spans="1:69" ht="13.95" hidden="1" customHeight="1" thickTop="1" thickBot="1" x14ac:dyDescent="0.35">
      <c r="A1204" s="336"/>
      <c r="B1204" s="348" t="s">
        <v>863</v>
      </c>
      <c r="C1204" s="357" t="s">
        <v>864</v>
      </c>
      <c r="D1204" s="357" t="s">
        <v>865</v>
      </c>
      <c r="E1204" s="338"/>
      <c r="F1204" s="1"/>
      <c r="AS1204" s="6" t="str">
        <f>CONCATENATE(AS1205,AX1205,AZ1205)</f>
        <v>This contribution is 0% of the average contribution.</v>
      </c>
      <c r="BB1204" s="6"/>
      <c r="BM1204" s="352" t="s">
        <v>866</v>
      </c>
      <c r="BN1204" s="289" t="s">
        <v>867</v>
      </c>
    </row>
    <row r="1205" spans="1:69" ht="13.95" hidden="1" customHeight="1" thickTop="1" thickBot="1" x14ac:dyDescent="0.35">
      <c r="A1205" s="336"/>
      <c r="B1205" s="337" t="s">
        <v>868</v>
      </c>
      <c r="C1205" s="358" t="str">
        <f>AM1205</f>
        <v>YYYY-MM-DD</v>
      </c>
      <c r="D1205" s="358" t="str">
        <f>AM1205</f>
        <v>YYYY-MM-DD</v>
      </c>
      <c r="E1205" s="338"/>
      <c r="F1205" s="1"/>
      <c r="AH1205" s="616" t="str">
        <f>IF(NOT(D1205=AQ1205),D1205,"")</f>
        <v>YYYY-MM-DD</v>
      </c>
      <c r="AI1205" s="616"/>
      <c r="AM1205" s="351" t="s">
        <v>869</v>
      </c>
      <c r="AQ1205" s="351"/>
      <c r="AS1205" s="6" t="s">
        <v>870</v>
      </c>
      <c r="AX1205" s="359">
        <f>ROUND((BB1207*100),0)</f>
        <v>0</v>
      </c>
      <c r="AZ1205" s="6" t="s">
        <v>871</v>
      </c>
      <c r="BB1205" s="6"/>
      <c r="BM1205" s="352" t="s">
        <v>872</v>
      </c>
      <c r="BN1205" s="289" t="s">
        <v>873</v>
      </c>
    </row>
    <row r="1206" spans="1:69" ht="13.95" hidden="1" customHeight="1" thickTop="1" thickBot="1" x14ac:dyDescent="0.3">
      <c r="A1206" s="336"/>
      <c r="B1206" s="337" t="s">
        <v>874</v>
      </c>
      <c r="C1206" s="360"/>
      <c r="D1206" s="361" t="str">
        <f>AC1206</f>
        <v/>
      </c>
      <c r="E1206" s="338"/>
      <c r="F1206" s="1"/>
      <c r="AC1206" s="58" t="str">
        <f>IF(AND(AC$1196&gt;0,C1206=BN$1201),BM$1201,IF(AND(AC$1196&gt;0,C1206=BN$1202),BM$1202,IF(AND(AC$1196&gt;0,C1206=BN$1203),BM$1203,IF(AND(AC$1196&gt;0,C1206=BN$1204),BM$1204,IF(AND(AC$1196&gt;0,C1206=BN$1205),BM$1205,"")))))</f>
        <v/>
      </c>
      <c r="AI1206" s="626">
        <f>AV1207/AL$1197</f>
        <v>0</v>
      </c>
      <c r="AJ1206" s="626"/>
      <c r="AK1206" s="6" t="s">
        <v>875</v>
      </c>
      <c r="AO1206" s="11" t="str">
        <f>IF(AI1206=0,"none",(AI1206*100))</f>
        <v>none</v>
      </c>
      <c r="AP1206" s="6" t="str">
        <f>IF(AO1206="none"," of weekly support cost.","% of weekly support cost.")</f>
        <v xml:space="preserve"> of weekly support cost.</v>
      </c>
      <c r="BB1206" s="6"/>
      <c r="BQ1206" s="6" t="s">
        <v>876</v>
      </c>
    </row>
    <row r="1207" spans="1:69" ht="13.95" hidden="1" customHeight="1" thickTop="1" thickBot="1" x14ac:dyDescent="0.3">
      <c r="A1207" s="336"/>
      <c r="B1207" s="337" t="s">
        <v>877</v>
      </c>
      <c r="C1207" s="362"/>
      <c r="D1207" s="337" t="str">
        <f>IF(NOT(AV1207&gt;0),"",AC1207)</f>
        <v/>
      </c>
      <c r="E1207" s="338"/>
      <c r="F1207" s="1"/>
      <c r="AC1207" s="263" t="str">
        <f>CONCATENATE(AO1207,AT1207)</f>
        <v>Weekly contribution: $0.00</v>
      </c>
      <c r="AO1207" s="6" t="s">
        <v>878</v>
      </c>
      <c r="AT1207" s="263" t="str">
        <f>DOLLAR(AV1207)</f>
        <v>$0.00</v>
      </c>
      <c r="AV1207" s="338">
        <f>IF(AND(D1206=BM$1205,C1207=B$2043),D$2043,IF(AND(D1206=BM$1205,C1207=B$2044),D$2044,IF(AND(D1206=BM$1205,C1207=B$2045),D$2045,IF(AND(D1206=BM$1205,C1207=B$2046),D$2046,IF(AND(D1206=BM$1205,C1207=B$2047),D$2047,IF(AND(D1206=BM$1205,C1207=B$2048),D$2048,0))))))</f>
        <v>0</v>
      </c>
      <c r="AX1207" s="11" t="str">
        <f>DOLLAR(AZ1207)</f>
        <v>$45.00</v>
      </c>
      <c r="AZ1207" s="363">
        <f>$AJ$1197-AV1207</f>
        <v>45</v>
      </c>
      <c r="BB1207" s="359"/>
      <c r="BD1207" s="322">
        <f>AV1207</f>
        <v>0</v>
      </c>
      <c r="BQ1207" s="6" t="s">
        <v>879</v>
      </c>
    </row>
    <row r="1208" spans="1:69" ht="13.95" hidden="1" customHeight="1" thickTop="1" x14ac:dyDescent="0.25">
      <c r="A1208" s="336"/>
      <c r="B1208" s="337"/>
      <c r="C1208" s="337" t="str">
        <f>CONCATENATE(AK1206,AO1206,AP1206)</f>
        <v>This covers none of weekly support cost.</v>
      </c>
      <c r="D1208" s="337" t="str">
        <f>BF$1200</f>
        <v>$45 to go for weekly support.</v>
      </c>
      <c r="E1208" s="338"/>
      <c r="F1208" s="1"/>
      <c r="AC1208" s="6" t="s">
        <v>880</v>
      </c>
      <c r="AI1208" s="154">
        <f>MIN(D1206,AE1202)</f>
        <v>0</v>
      </c>
      <c r="AJ1208" s="6">
        <f>ROUND(AI1208,2)</f>
        <v>0</v>
      </c>
      <c r="AK1208" s="6" t="str">
        <f>CONCATENATE(AC1208,AJ1208)</f>
        <v>contribution per exchange: $0</v>
      </c>
      <c r="BQ1208" s="6" t="s">
        <v>881</v>
      </c>
    </row>
    <row r="1209" spans="1:69" ht="13.95" hidden="1" customHeight="1" x14ac:dyDescent="0.25">
      <c r="A1209" s="336"/>
      <c r="B1209" s="337"/>
      <c r="C1209" s="337"/>
      <c r="D1209" s="337"/>
      <c r="E1209" s="338"/>
      <c r="F1209" s="1"/>
      <c r="BQ1209" s="6" t="s">
        <v>882</v>
      </c>
    </row>
    <row r="1210" spans="1:69" ht="4.95" hidden="1" customHeight="1" thickBot="1" x14ac:dyDescent="0.3">
      <c r="A1210" s="338"/>
      <c r="B1210" s="340"/>
      <c r="C1210" s="341"/>
      <c r="D1210" s="338"/>
      <c r="E1210" s="338"/>
      <c r="F1210" s="1"/>
      <c r="AC1210" s="334"/>
      <c r="AJ1210" s="335"/>
      <c r="BB1210" s="6"/>
    </row>
    <row r="1211" spans="1:69" ht="16.8" hidden="1" thickTop="1" thickBot="1" x14ac:dyDescent="0.3">
      <c r="A1211" s="347">
        <f>IF(C1211="",0,1+A1201)</f>
        <v>2</v>
      </c>
      <c r="B1211" s="348" t="s">
        <v>883</v>
      </c>
      <c r="C1211" s="349" t="str">
        <f>AM1211</f>
        <v>FIRST NAME</v>
      </c>
      <c r="D1211" s="350" t="str">
        <f>AQ1211</f>
        <v>LAST NAME</v>
      </c>
      <c r="E1211" s="338"/>
      <c r="F1211" s="1"/>
      <c r="AC1211" s="333" t="str">
        <f>IF(NOT(C1211=AM1211),C1211,"")</f>
        <v/>
      </c>
      <c r="AH1211" s="333" t="str">
        <f>IF(NOT(D1211=AQ1211),D1211,"")</f>
        <v/>
      </c>
      <c r="AM1211" s="351" t="s">
        <v>853</v>
      </c>
      <c r="AQ1211" s="351" t="s">
        <v>107</v>
      </c>
      <c r="BB1211" s="6"/>
    </row>
    <row r="1212" spans="1:69" ht="15" hidden="1" thickTop="1" thickBot="1" x14ac:dyDescent="0.3">
      <c r="A1212" s="336"/>
      <c r="B1212" s="338" t="s">
        <v>856</v>
      </c>
      <c r="C1212" s="353" t="s">
        <v>884</v>
      </c>
      <c r="D1212" s="5"/>
      <c r="E1212" s="338"/>
      <c r="F1212" s="1"/>
      <c r="AC1212" s="6">
        <f>IF(C1212="",0,1)</f>
        <v>1</v>
      </c>
      <c r="AE1212" s="6">
        <f>IF($AC$1202=1,AC$1197,0)</f>
        <v>0</v>
      </c>
      <c r="BB1212" s="6"/>
    </row>
    <row r="1213" spans="1:69" ht="13.95" hidden="1" customHeight="1" thickTop="1" thickBot="1" x14ac:dyDescent="0.3">
      <c r="A1213" s="336"/>
      <c r="B1213" s="354" t="s">
        <v>859</v>
      </c>
      <c r="C1213" s="353"/>
      <c r="D1213" s="355" t="str">
        <f>AS1213</f>
        <v>AWARENESS OF ISSUE</v>
      </c>
      <c r="E1213" s="338"/>
      <c r="F1213" s="1"/>
      <c r="AM1213" s="356"/>
      <c r="AN1213" s="356"/>
      <c r="AO1213" s="356"/>
      <c r="AP1213" s="356"/>
      <c r="AS1213" s="6" t="str">
        <f>AS1203</f>
        <v>AWARENESS OF ISSUE</v>
      </c>
      <c r="BB1213" s="6"/>
    </row>
    <row r="1214" spans="1:69" ht="13.95" hidden="1" customHeight="1" thickTop="1" thickBot="1" x14ac:dyDescent="0.3">
      <c r="A1214" s="336"/>
      <c r="B1214" s="348" t="s">
        <v>863</v>
      </c>
      <c r="C1214" s="357" t="s">
        <v>864</v>
      </c>
      <c r="D1214" s="357" t="s">
        <v>865</v>
      </c>
      <c r="E1214" s="338"/>
      <c r="F1214" s="1"/>
      <c r="BB1214" s="6"/>
    </row>
    <row r="1215" spans="1:69" ht="13.95" hidden="1" customHeight="1" thickTop="1" thickBot="1" x14ac:dyDescent="0.3">
      <c r="A1215" s="336"/>
      <c r="B1215" s="337" t="s">
        <v>868</v>
      </c>
      <c r="C1215" s="358" t="str">
        <f>AM1215</f>
        <v>YYYY-MM-DD</v>
      </c>
      <c r="D1215" s="358" t="str">
        <f>AM1215</f>
        <v>YYYY-MM-DD</v>
      </c>
      <c r="E1215" s="338"/>
      <c r="F1215" s="1"/>
      <c r="AH1215" s="616" t="str">
        <f>IF(NOT(D1215=AQ1215),D1215,"")</f>
        <v>YYYY-MM-DD</v>
      </c>
      <c r="AI1215" s="616"/>
      <c r="AM1215" s="351" t="s">
        <v>869</v>
      </c>
      <c r="AQ1215" s="351"/>
      <c r="BB1215" s="6"/>
    </row>
    <row r="1216" spans="1:69" ht="13.95" hidden="1" customHeight="1" thickTop="1" thickBot="1" x14ac:dyDescent="0.3">
      <c r="A1216" s="336"/>
      <c r="B1216" s="337" t="s">
        <v>874</v>
      </c>
      <c r="C1216" s="360"/>
      <c r="D1216" s="361" t="str">
        <f>AC1216</f>
        <v/>
      </c>
      <c r="E1216" s="338"/>
      <c r="F1216" s="1"/>
      <c r="AC1216" s="58" t="str">
        <f>IF(AND(AC$1196&gt;0,C1216=BN$1201),BM$1201,IF(AND(AC$1196&gt;0,C1216=BN$1202),BM$1202,IF(AND(AC$1196&gt;0,C1216=BN$1203),BM$1203,IF(AND(AC$1196&gt;0,C1216=BN$1204),BM$1204,IF(AND(AC$1196&gt;0,C1216=BN$1205),BM$1205,"")))))</f>
        <v/>
      </c>
      <c r="AI1216" s="626">
        <f>AV1217/AL$1197</f>
        <v>0</v>
      </c>
      <c r="AJ1216" s="626"/>
      <c r="AK1216" s="6" t="s">
        <v>875</v>
      </c>
      <c r="AO1216" s="11" t="str">
        <f>IF(AI1216=0,"none",(AI1216*100))</f>
        <v>none</v>
      </c>
      <c r="AP1216" s="6" t="str">
        <f>IF(AO1216="none"," of weekly support cost.","% of weekly support cost.")</f>
        <v xml:space="preserve"> of weekly support cost.</v>
      </c>
      <c r="BB1216" s="6"/>
    </row>
    <row r="1217" spans="1:56" ht="13.95" hidden="1" customHeight="1" thickTop="1" thickBot="1" x14ac:dyDescent="0.3">
      <c r="A1217" s="336"/>
      <c r="B1217" s="337" t="s">
        <v>877</v>
      </c>
      <c r="C1217" s="362"/>
      <c r="D1217" s="337" t="str">
        <f>IF(NOT(AV1217&gt;0),"",AC1217)</f>
        <v/>
      </c>
      <c r="E1217" s="338"/>
      <c r="F1217" s="1"/>
      <c r="AC1217" s="263" t="str">
        <f>CONCATENATE(AO1217,AT1217)</f>
        <v>Weekly contribution: $0.00</v>
      </c>
      <c r="AO1217" s="6" t="s">
        <v>878</v>
      </c>
      <c r="AT1217" s="263" t="str">
        <f>DOLLAR(AV1217)</f>
        <v>$0.00</v>
      </c>
      <c r="AV1217" s="338">
        <f>IF(AND(D1216=BM$1205,C1217=B$2043),D$2043,IF(AND(D1216=BM$1205,C1217=B$2044),D$2044,IF(AND(D1216=BM$1205,C1217=B$2045),D$2045,IF(AND(D1216=BM$1205,C1217=B$2046),D$2046,IF(AND(D1216=BM$1205,C1217=B$2047),D$2047,IF(AND(D1216=BM$1205,C1217=B$2048),D$2048,0))))))</f>
        <v>0</v>
      </c>
      <c r="AX1217" s="11" t="str">
        <f>DOLLAR(AZ1217)</f>
        <v>$45.00</v>
      </c>
      <c r="AZ1217" s="363">
        <f>$AJ$1197-AV1217</f>
        <v>45</v>
      </c>
      <c r="BB1217" s="359"/>
      <c r="BD1217" s="322">
        <f>AV1217</f>
        <v>0</v>
      </c>
    </row>
    <row r="1218" spans="1:56" ht="13.95" hidden="1" customHeight="1" thickTop="1" x14ac:dyDescent="0.25">
      <c r="A1218" s="336"/>
      <c r="B1218" s="337"/>
      <c r="C1218" s="337" t="str">
        <f>CONCATENATE(AK1216,AO1216,AP1216)</f>
        <v>This covers none of weekly support cost.</v>
      </c>
      <c r="D1218" s="337" t="str">
        <f>BF$1200</f>
        <v>$45 to go for weekly support.</v>
      </c>
      <c r="E1218" s="338"/>
      <c r="F1218" s="1"/>
      <c r="AC1218" s="6" t="s">
        <v>880</v>
      </c>
      <c r="AI1218" s="154">
        <f>MIN(D1216,AE1212)</f>
        <v>0</v>
      </c>
      <c r="AJ1218" s="6">
        <f>ROUND(AI1218,2)</f>
        <v>0</v>
      </c>
      <c r="AK1218" s="6" t="str">
        <f>CONCATENATE(AC1218,AJ1218)</f>
        <v>contribution per exchange: $0</v>
      </c>
    </row>
    <row r="1219" spans="1:56" ht="13.95" hidden="1" customHeight="1" x14ac:dyDescent="0.25">
      <c r="A1219" s="336"/>
      <c r="B1219" s="337"/>
      <c r="C1219" s="337"/>
      <c r="D1219" s="337"/>
      <c r="E1219" s="338"/>
      <c r="F1219" s="1"/>
    </row>
    <row r="1220" spans="1:56" ht="4.95" hidden="1" customHeight="1" thickBot="1" x14ac:dyDescent="0.3">
      <c r="A1220" s="338"/>
      <c r="B1220" s="340"/>
      <c r="C1220" s="341"/>
      <c r="D1220" s="338"/>
      <c r="E1220" s="338"/>
      <c r="F1220" s="1"/>
      <c r="AC1220" s="334"/>
      <c r="AJ1220" s="335"/>
      <c r="BB1220" s="6"/>
    </row>
    <row r="1221" spans="1:56" ht="16.8" hidden="1" thickTop="1" thickBot="1" x14ac:dyDescent="0.3">
      <c r="A1221" s="347">
        <f>IF(C1221="",0,1+A1211)</f>
        <v>3</v>
      </c>
      <c r="B1221" s="348" t="s">
        <v>885</v>
      </c>
      <c r="C1221" s="349" t="str">
        <f>AM1221</f>
        <v>FIRST NAME</v>
      </c>
      <c r="D1221" s="350" t="str">
        <f>AQ1221</f>
        <v>LAST NAME</v>
      </c>
      <c r="E1221" s="338"/>
      <c r="F1221" s="1"/>
      <c r="AC1221" s="333" t="str">
        <f>IF(NOT(C1221=AM1221),C1221,"")</f>
        <v/>
      </c>
      <c r="AH1221" s="333" t="str">
        <f>IF(NOT(D1221=AQ1221),D1221,"")</f>
        <v/>
      </c>
      <c r="AM1221" s="351" t="s">
        <v>853</v>
      </c>
      <c r="AQ1221" s="351" t="s">
        <v>107</v>
      </c>
      <c r="BB1221" s="6"/>
    </row>
    <row r="1222" spans="1:56" ht="15" hidden="1" thickTop="1" thickBot="1" x14ac:dyDescent="0.3">
      <c r="A1222" s="336"/>
      <c r="B1222" s="338" t="s">
        <v>856</v>
      </c>
      <c r="C1222" s="353"/>
      <c r="D1222" s="5"/>
      <c r="E1222" s="338"/>
      <c r="F1222" s="1"/>
      <c r="AC1222" s="6">
        <f>IF(C1222="",0,1)</f>
        <v>0</v>
      </c>
      <c r="AE1222" s="6">
        <f>IF($AC$1202=1,AC$1197,0)</f>
        <v>0</v>
      </c>
      <c r="BB1222" s="6"/>
    </row>
    <row r="1223" spans="1:56" ht="13.95" hidden="1" customHeight="1" thickTop="1" thickBot="1" x14ac:dyDescent="0.3">
      <c r="A1223" s="336"/>
      <c r="B1223" s="354" t="s">
        <v>859</v>
      </c>
      <c r="C1223" s="353"/>
      <c r="D1223" s="355" t="str">
        <f>AS1223</f>
        <v>AWARENESS OF ISSUE</v>
      </c>
      <c r="E1223" s="338"/>
      <c r="F1223" s="1"/>
      <c r="AM1223" s="356"/>
      <c r="AN1223" s="356"/>
      <c r="AO1223" s="356"/>
      <c r="AP1223" s="356"/>
      <c r="AS1223" s="6" t="str">
        <f>AS1213</f>
        <v>AWARENESS OF ISSUE</v>
      </c>
      <c r="BB1223" s="6"/>
    </row>
    <row r="1224" spans="1:56" ht="13.95" hidden="1" customHeight="1" thickTop="1" thickBot="1" x14ac:dyDescent="0.3">
      <c r="A1224" s="336"/>
      <c r="B1224" s="348" t="s">
        <v>863</v>
      </c>
      <c r="C1224" s="357" t="s">
        <v>864</v>
      </c>
      <c r="D1224" s="357" t="s">
        <v>865</v>
      </c>
      <c r="E1224" s="338"/>
      <c r="F1224" s="1"/>
      <c r="BB1224" s="6"/>
    </row>
    <row r="1225" spans="1:56" ht="13.95" hidden="1" customHeight="1" thickTop="1" thickBot="1" x14ac:dyDescent="0.3">
      <c r="A1225" s="336"/>
      <c r="B1225" s="337" t="s">
        <v>868</v>
      </c>
      <c r="C1225" s="358" t="str">
        <f>AM1225</f>
        <v>YYYY-MM-DD</v>
      </c>
      <c r="D1225" s="358" t="str">
        <f>AM1225</f>
        <v>YYYY-MM-DD</v>
      </c>
      <c r="E1225" s="338"/>
      <c r="F1225" s="1"/>
      <c r="AH1225" s="616" t="str">
        <f>IF(NOT(D1225=AQ1225),D1225,"")</f>
        <v>YYYY-MM-DD</v>
      </c>
      <c r="AI1225" s="616"/>
      <c r="AM1225" s="351" t="s">
        <v>869</v>
      </c>
      <c r="AQ1225" s="351"/>
      <c r="BB1225" s="6"/>
    </row>
    <row r="1226" spans="1:56" ht="13.95" hidden="1" customHeight="1" thickTop="1" thickBot="1" x14ac:dyDescent="0.3">
      <c r="A1226" s="336"/>
      <c r="B1226" s="337" t="s">
        <v>874</v>
      </c>
      <c r="C1226" s="360"/>
      <c r="D1226" s="361" t="str">
        <f>AC1226</f>
        <v/>
      </c>
      <c r="E1226" s="338"/>
      <c r="F1226" s="1"/>
      <c r="AC1226" s="58" t="str">
        <f>IF(AND(AC$1196&gt;0,C1226=BN$1201),BM$1201,IF(AND(AC$1196&gt;0,C1226=BN$1202),BM$1202,IF(AND(AC$1196&gt;0,C1226=BN$1203),BM$1203,IF(AND(AC$1196&gt;0,C1226=BN$1204),BM$1204,IF(AND(AC$1196&gt;0,C1226=BN$1205),BM$1205,"")))))</f>
        <v/>
      </c>
      <c r="AI1226" s="626">
        <f>AV1227/AL$1197</f>
        <v>0</v>
      </c>
      <c r="AJ1226" s="626"/>
      <c r="AK1226" s="6" t="s">
        <v>875</v>
      </c>
      <c r="AO1226" s="11" t="str">
        <f>IF(AI1226=0,"none",(AI1226*100))</f>
        <v>none</v>
      </c>
      <c r="AP1226" s="6" t="str">
        <f>IF(AO1226="none"," of weekly support cost.","% of weekly support cost.")</f>
        <v xml:space="preserve"> of weekly support cost.</v>
      </c>
      <c r="BB1226" s="6"/>
    </row>
    <row r="1227" spans="1:56" ht="13.95" hidden="1" customHeight="1" thickTop="1" thickBot="1" x14ac:dyDescent="0.3">
      <c r="A1227" s="336"/>
      <c r="B1227" s="337" t="s">
        <v>877</v>
      </c>
      <c r="C1227" s="362"/>
      <c r="D1227" s="337" t="str">
        <f>IF(NOT(AV1227&gt;0),"",AC1227)</f>
        <v/>
      </c>
      <c r="E1227" s="338"/>
      <c r="F1227" s="1"/>
      <c r="AC1227" s="263" t="str">
        <f>CONCATENATE(AO1227,AT1227)</f>
        <v>Weekly contribution: $0.00</v>
      </c>
      <c r="AO1227" s="6" t="s">
        <v>878</v>
      </c>
      <c r="AT1227" s="263" t="str">
        <f>DOLLAR(AV1227)</f>
        <v>$0.00</v>
      </c>
      <c r="AV1227" s="338">
        <f>IF(AND(D1226=BM$1205,C1227=B$2043),D$2043,IF(AND(D1226=BM$1205,C1227=B$2044),D$2044,IF(AND(D1226=BM$1205,C1227=B$2045),D$2045,IF(AND(D1226=BM$1205,C1227=B$2046),D$2046,IF(AND(D1226=BM$1205,C1227=B$2047),D$2047,IF(AND(D1226=BM$1205,C1227=B$2048),D$2048,0))))))</f>
        <v>0</v>
      </c>
      <c r="AX1227" s="11" t="str">
        <f>DOLLAR(AZ1227)</f>
        <v>$45.00</v>
      </c>
      <c r="AZ1227" s="363">
        <f>$AJ$1197-AV1227</f>
        <v>45</v>
      </c>
      <c r="BB1227" s="6"/>
      <c r="BD1227" s="322">
        <f>AV1227</f>
        <v>0</v>
      </c>
    </row>
    <row r="1228" spans="1:56" ht="13.95" hidden="1" customHeight="1" thickTop="1" x14ac:dyDescent="0.25">
      <c r="A1228" s="336"/>
      <c r="B1228" s="337"/>
      <c r="C1228" s="337" t="str">
        <f>CONCATENATE(AK1226,AO1226,AP1226)</f>
        <v>This covers none of weekly support cost.</v>
      </c>
      <c r="D1228" s="337" t="str">
        <f>BF$1200</f>
        <v>$45 to go for weekly support.</v>
      </c>
      <c r="E1228" s="338"/>
      <c r="F1228" s="1"/>
      <c r="AC1228" s="6" t="s">
        <v>880</v>
      </c>
      <c r="AI1228" s="154">
        <f>MIN(D1226,AE1222)</f>
        <v>0</v>
      </c>
      <c r="AJ1228" s="6">
        <f>ROUND(AI1228,2)</f>
        <v>0</v>
      </c>
      <c r="AK1228" s="6" t="str">
        <f>CONCATENATE(AC1228,AJ1228)</f>
        <v>contribution per exchange: $0</v>
      </c>
    </row>
    <row r="1229" spans="1:56" ht="13.95" hidden="1" customHeight="1" x14ac:dyDescent="0.25">
      <c r="A1229" s="336"/>
      <c r="B1229" s="337"/>
      <c r="C1229" s="337"/>
      <c r="D1229" s="337"/>
      <c r="E1229" s="338"/>
      <c r="F1229" s="1"/>
    </row>
    <row r="1230" spans="1:56" ht="4.95" hidden="1" customHeight="1" thickBot="1" x14ac:dyDescent="0.3">
      <c r="A1230" s="338"/>
      <c r="B1230" s="340"/>
      <c r="C1230" s="341"/>
      <c r="D1230" s="338"/>
      <c r="E1230" s="338"/>
      <c r="F1230" s="1"/>
      <c r="AC1230" s="334"/>
      <c r="AJ1230" s="335"/>
      <c r="BB1230" s="6"/>
    </row>
    <row r="1231" spans="1:56" ht="16.8" hidden="1" thickTop="1" thickBot="1" x14ac:dyDescent="0.3">
      <c r="A1231" s="347">
        <f>IF(C1231="",0,1+A1221)</f>
        <v>4</v>
      </c>
      <c r="B1231" s="348" t="s">
        <v>886</v>
      </c>
      <c r="C1231" s="349" t="str">
        <f>AM1231</f>
        <v>FIRST NAME</v>
      </c>
      <c r="D1231" s="350" t="str">
        <f>AQ1231</f>
        <v>LAST NAME</v>
      </c>
      <c r="E1231" s="338"/>
      <c r="F1231" s="1"/>
      <c r="AC1231" s="333" t="str">
        <f>IF(NOT(C1231=AM1231),C1231,"")</f>
        <v/>
      </c>
      <c r="AH1231" s="333" t="str">
        <f>IF(NOT(D1231=AQ1231),D1231,"")</f>
        <v/>
      </c>
      <c r="AM1231" s="351" t="s">
        <v>853</v>
      </c>
      <c r="AQ1231" s="351" t="s">
        <v>107</v>
      </c>
      <c r="BB1231" s="6"/>
    </row>
    <row r="1232" spans="1:56" ht="15" hidden="1" thickTop="1" thickBot="1" x14ac:dyDescent="0.3">
      <c r="A1232" s="336"/>
      <c r="B1232" s="338" t="s">
        <v>856</v>
      </c>
      <c r="C1232" s="353"/>
      <c r="D1232" s="5"/>
      <c r="E1232" s="338"/>
      <c r="F1232" s="1"/>
      <c r="AC1232" s="6">
        <f>IF(C1232="",0,1)</f>
        <v>0</v>
      </c>
      <c r="AE1232" s="6">
        <f>IF($AC$1202=1,AC$1197,0)</f>
        <v>0</v>
      </c>
      <c r="BB1232" s="6"/>
    </row>
    <row r="1233" spans="1:56" ht="13.95" hidden="1" customHeight="1" thickTop="1" thickBot="1" x14ac:dyDescent="0.3">
      <c r="A1233" s="336"/>
      <c r="B1233" s="354" t="s">
        <v>859</v>
      </c>
      <c r="C1233" s="353"/>
      <c r="D1233" s="355" t="str">
        <f>AS1233</f>
        <v>AWARENESS OF ISSUE</v>
      </c>
      <c r="E1233" s="338"/>
      <c r="F1233" s="1"/>
      <c r="AM1233" s="356"/>
      <c r="AN1233" s="356"/>
      <c r="AO1233" s="356"/>
      <c r="AP1233" s="356"/>
      <c r="AS1233" s="6" t="str">
        <f>AS1223</f>
        <v>AWARENESS OF ISSUE</v>
      </c>
      <c r="BB1233" s="6"/>
    </row>
    <row r="1234" spans="1:56" ht="13.95" hidden="1" customHeight="1" thickTop="1" thickBot="1" x14ac:dyDescent="0.3">
      <c r="A1234" s="336"/>
      <c r="B1234" s="348" t="s">
        <v>863</v>
      </c>
      <c r="C1234" s="357" t="s">
        <v>864</v>
      </c>
      <c r="D1234" s="357" t="s">
        <v>865</v>
      </c>
      <c r="E1234" s="338"/>
      <c r="F1234" s="1"/>
      <c r="BB1234" s="6"/>
    </row>
    <row r="1235" spans="1:56" ht="13.95" hidden="1" customHeight="1" thickTop="1" thickBot="1" x14ac:dyDescent="0.3">
      <c r="A1235" s="336"/>
      <c r="B1235" s="337" t="s">
        <v>868</v>
      </c>
      <c r="C1235" s="358" t="str">
        <f>AM1235</f>
        <v>YYYY-MM-DD</v>
      </c>
      <c r="D1235" s="358" t="str">
        <f>AM1235</f>
        <v>YYYY-MM-DD</v>
      </c>
      <c r="E1235" s="338"/>
      <c r="F1235" s="1"/>
      <c r="AH1235" s="616" t="str">
        <f>IF(NOT(D1235=AQ1235),D1235,"")</f>
        <v>YYYY-MM-DD</v>
      </c>
      <c r="AI1235" s="616"/>
      <c r="AM1235" s="351" t="s">
        <v>869</v>
      </c>
      <c r="AQ1235" s="351"/>
      <c r="BB1235" s="6"/>
    </row>
    <row r="1236" spans="1:56" ht="13.95" hidden="1" customHeight="1" thickTop="1" thickBot="1" x14ac:dyDescent="0.3">
      <c r="A1236" s="336"/>
      <c r="B1236" s="337" t="s">
        <v>874</v>
      </c>
      <c r="C1236" s="360"/>
      <c r="D1236" s="361" t="str">
        <f>AC1236</f>
        <v/>
      </c>
      <c r="E1236" s="338"/>
      <c r="F1236" s="1"/>
      <c r="AC1236" s="58" t="str">
        <f>IF(AND(AC$1196&gt;0,C1236=BN$1201),BM$1201,IF(AND(AC$1196&gt;0,C1236=BN$1202),BM$1202,IF(AND(AC$1196&gt;0,C1236=BN$1203),BM$1203,IF(AND(AC$1196&gt;0,C1236=BN$1204),BM$1204,IF(AND(AC$1196&gt;0,C1236=BN$1205),BM$1205,"")))))</f>
        <v/>
      </c>
      <c r="AI1236" s="626">
        <f>AV1237/AL$1197</f>
        <v>0</v>
      </c>
      <c r="AJ1236" s="626"/>
      <c r="AK1236" s="6" t="s">
        <v>875</v>
      </c>
      <c r="AO1236" s="11" t="str">
        <f>IF(AI1236=0,"none",(AI1236*100))</f>
        <v>none</v>
      </c>
      <c r="AP1236" s="6" t="str">
        <f>IF(AO1236="none"," of weekly support cost.","% of weekly support cost.")</f>
        <v xml:space="preserve"> of weekly support cost.</v>
      </c>
      <c r="BB1236" s="6"/>
    </row>
    <row r="1237" spans="1:56" ht="13.95" hidden="1" customHeight="1" thickTop="1" thickBot="1" x14ac:dyDescent="0.3">
      <c r="A1237" s="336"/>
      <c r="B1237" s="337" t="s">
        <v>877</v>
      </c>
      <c r="C1237" s="362"/>
      <c r="D1237" s="337" t="str">
        <f>IF(NOT(AV1237&gt;0),"",AC1237)</f>
        <v/>
      </c>
      <c r="E1237" s="338"/>
      <c r="F1237" s="1"/>
      <c r="AC1237" s="263" t="str">
        <f>CONCATENATE(AO1237,AT1237)</f>
        <v>Weekly contribution: $0.00</v>
      </c>
      <c r="AO1237" s="6" t="s">
        <v>878</v>
      </c>
      <c r="AT1237" s="263" t="str">
        <f>DOLLAR(AV1237)</f>
        <v>$0.00</v>
      </c>
      <c r="AV1237" s="338">
        <f>IF(AND(D1236=BM$1205,C1237=B$2043),D$2043,IF(AND(D1236=BM$1205,C1237=B$2044),D$2044,IF(AND(D1236=BM$1205,C1237=B$2045),D$2045,IF(AND(D1236=BM$1205,C1237=B$2046),D$2046,IF(AND(D1236=BM$1205,C1237=B$2047),D$2047,IF(AND(D1236=BM$1205,C1237=B$2048),D$2048,0))))))</f>
        <v>0</v>
      </c>
      <c r="AX1237" s="11" t="str">
        <f>DOLLAR(AZ1237)</f>
        <v>$45.00</v>
      </c>
      <c r="AZ1237" s="363">
        <f>$AJ$1197-AV1237</f>
        <v>45</v>
      </c>
      <c r="BB1237" s="6"/>
      <c r="BD1237" s="322">
        <f>AV1237</f>
        <v>0</v>
      </c>
    </row>
    <row r="1238" spans="1:56" ht="13.95" hidden="1" customHeight="1" thickTop="1" x14ac:dyDescent="0.25">
      <c r="A1238" s="336"/>
      <c r="B1238" s="337"/>
      <c r="C1238" s="337" t="str">
        <f>CONCATENATE(AK1236,AO1236,AP1236)</f>
        <v>This covers none of weekly support cost.</v>
      </c>
      <c r="D1238" s="337" t="str">
        <f>BF$1200</f>
        <v>$45 to go for weekly support.</v>
      </c>
      <c r="E1238" s="338"/>
      <c r="F1238" s="1"/>
      <c r="AC1238" s="6" t="s">
        <v>880</v>
      </c>
      <c r="AI1238" s="154">
        <f>MIN(D1236,AE1232)</f>
        <v>0</v>
      </c>
      <c r="AJ1238" s="6">
        <f>ROUND(AI1238,2)</f>
        <v>0</v>
      </c>
      <c r="AK1238" s="6" t="str">
        <f>CONCATENATE(AC1238,AJ1238)</f>
        <v>contribution per exchange: $0</v>
      </c>
    </row>
    <row r="1239" spans="1:56" ht="13.95" hidden="1" customHeight="1" x14ac:dyDescent="0.25">
      <c r="A1239" s="336"/>
      <c r="B1239" s="337"/>
      <c r="C1239" s="337"/>
      <c r="D1239" s="337"/>
      <c r="E1239" s="338"/>
      <c r="F1239" s="1"/>
    </row>
    <row r="1240" spans="1:56" ht="4.95" hidden="1" customHeight="1" thickBot="1" x14ac:dyDescent="0.3">
      <c r="A1240" s="338"/>
      <c r="B1240" s="340"/>
      <c r="C1240" s="341"/>
      <c r="D1240" s="338"/>
      <c r="E1240" s="338"/>
      <c r="F1240" s="1"/>
      <c r="AC1240" s="334"/>
      <c r="AJ1240" s="335"/>
      <c r="BB1240" s="6"/>
    </row>
    <row r="1241" spans="1:56" ht="16.8" hidden="1" thickTop="1" thickBot="1" x14ac:dyDescent="0.3">
      <c r="A1241" s="347">
        <f>IF(C1241="",0,1+A1231)</f>
        <v>5</v>
      </c>
      <c r="B1241" s="348" t="s">
        <v>887</v>
      </c>
      <c r="C1241" s="349" t="str">
        <f>AM1241</f>
        <v>FIRST NAME</v>
      </c>
      <c r="D1241" s="350" t="str">
        <f>AQ1241</f>
        <v>LAST NAME</v>
      </c>
      <c r="E1241" s="338"/>
      <c r="F1241" s="1"/>
      <c r="AC1241" s="333" t="str">
        <f>IF(NOT(C1241=AM1241),C1241,"")</f>
        <v/>
      </c>
      <c r="AH1241" s="333" t="str">
        <f>IF(NOT(D1241=AQ1241),D1241,"")</f>
        <v/>
      </c>
      <c r="AM1241" s="351" t="s">
        <v>853</v>
      </c>
      <c r="AQ1241" s="351" t="s">
        <v>107</v>
      </c>
      <c r="BB1241" s="6"/>
    </row>
    <row r="1242" spans="1:56" ht="15" hidden="1" thickTop="1" thickBot="1" x14ac:dyDescent="0.3">
      <c r="A1242" s="336"/>
      <c r="B1242" s="338" t="s">
        <v>856</v>
      </c>
      <c r="C1242" s="353"/>
      <c r="D1242" s="5"/>
      <c r="E1242" s="338"/>
      <c r="F1242" s="1"/>
      <c r="AC1242" s="6">
        <f>IF(C1242="",0,1)</f>
        <v>0</v>
      </c>
      <c r="AE1242" s="6">
        <f>IF($AC$1202=1,AC$1197,0)</f>
        <v>0</v>
      </c>
      <c r="BB1242" s="6"/>
    </row>
    <row r="1243" spans="1:56" ht="13.95" hidden="1" customHeight="1" thickTop="1" thickBot="1" x14ac:dyDescent="0.3">
      <c r="A1243" s="336"/>
      <c r="B1243" s="354" t="s">
        <v>859</v>
      </c>
      <c r="C1243" s="353"/>
      <c r="D1243" s="355" t="str">
        <f>AS1243</f>
        <v>AWARENESS OF ISSUE</v>
      </c>
      <c r="E1243" s="338"/>
      <c r="F1243" s="1"/>
      <c r="AM1243" s="356"/>
      <c r="AN1243" s="356"/>
      <c r="AO1243" s="356"/>
      <c r="AP1243" s="356"/>
      <c r="AS1243" s="6" t="str">
        <f>AS1233</f>
        <v>AWARENESS OF ISSUE</v>
      </c>
      <c r="BB1243" s="6"/>
    </row>
    <row r="1244" spans="1:56" ht="13.95" hidden="1" customHeight="1" thickTop="1" thickBot="1" x14ac:dyDescent="0.3">
      <c r="A1244" s="336"/>
      <c r="B1244" s="348" t="s">
        <v>863</v>
      </c>
      <c r="C1244" s="357" t="s">
        <v>864</v>
      </c>
      <c r="D1244" s="357" t="s">
        <v>865</v>
      </c>
      <c r="E1244" s="338"/>
      <c r="F1244" s="1"/>
      <c r="BB1244" s="6"/>
    </row>
    <row r="1245" spans="1:56" ht="13.95" hidden="1" customHeight="1" thickTop="1" thickBot="1" x14ac:dyDescent="0.3">
      <c r="A1245" s="336"/>
      <c r="B1245" s="337" t="s">
        <v>868</v>
      </c>
      <c r="C1245" s="358" t="str">
        <f>AM1245</f>
        <v>YYYY-MM-DD</v>
      </c>
      <c r="D1245" s="358" t="str">
        <f>AM1245</f>
        <v>YYYY-MM-DD</v>
      </c>
      <c r="E1245" s="338"/>
      <c r="F1245" s="1"/>
      <c r="AH1245" s="616" t="str">
        <f>IF(NOT(D1245=AQ1245),D1245,"")</f>
        <v>YYYY-MM-DD</v>
      </c>
      <c r="AI1245" s="616"/>
      <c r="AM1245" s="351" t="s">
        <v>869</v>
      </c>
      <c r="AQ1245" s="351"/>
      <c r="BB1245" s="6"/>
    </row>
    <row r="1246" spans="1:56" ht="13.95" hidden="1" customHeight="1" thickTop="1" thickBot="1" x14ac:dyDescent="0.3">
      <c r="A1246" s="336"/>
      <c r="B1246" s="337" t="s">
        <v>874</v>
      </c>
      <c r="C1246" s="360"/>
      <c r="D1246" s="361" t="str">
        <f>AC1246</f>
        <v/>
      </c>
      <c r="E1246" s="338"/>
      <c r="F1246" s="1"/>
      <c r="AC1246" s="58" t="str">
        <f>IF(AND(AC$1196&gt;0,C1246=BN$1201),BM$1201,IF(AND(AC$1196&gt;0,C1246=BN$1202),BM$1202,IF(AND(AC$1196&gt;0,C1246=BN$1203),BM$1203,IF(AND(AC$1196&gt;0,C1246=BN$1204),BM$1204,IF(AND(AC$1196&gt;0,C1246=BN$1205),BM$1205,"")))))</f>
        <v/>
      </c>
      <c r="AI1246" s="626">
        <f>AV1247/AL$1197</f>
        <v>0</v>
      </c>
      <c r="AJ1246" s="626"/>
      <c r="AK1246" s="6" t="s">
        <v>875</v>
      </c>
      <c r="AO1246" s="11" t="str">
        <f>IF(AI1246=0,"none",(AI1246*100))</f>
        <v>none</v>
      </c>
      <c r="AP1246" s="6" t="str">
        <f>IF(AO1246="none"," of weekly support cost.","% of weekly support cost.")</f>
        <v xml:space="preserve"> of weekly support cost.</v>
      </c>
      <c r="BB1246" s="6"/>
    </row>
    <row r="1247" spans="1:56" ht="13.95" hidden="1" customHeight="1" thickTop="1" thickBot="1" x14ac:dyDescent="0.3">
      <c r="A1247" s="336"/>
      <c r="B1247" s="337" t="s">
        <v>877</v>
      </c>
      <c r="C1247" s="362"/>
      <c r="D1247" s="337" t="str">
        <f>IF(NOT(AV1247&gt;0),"",AC1247)</f>
        <v/>
      </c>
      <c r="E1247" s="338"/>
      <c r="F1247" s="1"/>
      <c r="AC1247" s="263" t="str">
        <f>CONCATENATE(AO1247,AT1247)</f>
        <v>Weekly contribution: $0.00</v>
      </c>
      <c r="AO1247" s="6" t="s">
        <v>878</v>
      </c>
      <c r="AT1247" s="263" t="str">
        <f>DOLLAR(AV1247)</f>
        <v>$0.00</v>
      </c>
      <c r="AV1247" s="338">
        <f>IF(AND(D1246=BM$1205,C1247=B$2043),D$2043,IF(AND(D1246=BM$1205,C1247=B$2044),D$2044,IF(AND(D1246=BM$1205,C1247=B$2045),D$2045,IF(AND(D1246=BM$1205,C1247=B$2046),D$2046,IF(AND(D1246=BM$1205,C1247=B$2047),D$2047,IF(AND(D1246=BM$1205,C1247=B$2048),D$2048,0))))))</f>
        <v>0</v>
      </c>
      <c r="AX1247" s="11" t="str">
        <f>DOLLAR(AZ1247)</f>
        <v>$45.00</v>
      </c>
      <c r="AZ1247" s="363">
        <f>$AJ$1197-AV1247</f>
        <v>45</v>
      </c>
      <c r="BB1247" s="6"/>
      <c r="BD1247" s="322">
        <f>AV1247</f>
        <v>0</v>
      </c>
    </row>
    <row r="1248" spans="1:56" ht="13.95" hidden="1" customHeight="1" thickTop="1" x14ac:dyDescent="0.25">
      <c r="A1248" s="336"/>
      <c r="B1248" s="337"/>
      <c r="C1248" s="337" t="str">
        <f>CONCATENATE(AK1246,AO1246,AP1246)</f>
        <v>This covers none of weekly support cost.</v>
      </c>
      <c r="D1248" s="337" t="str">
        <f>BF$1200</f>
        <v>$45 to go for weekly support.</v>
      </c>
      <c r="E1248" s="338"/>
      <c r="F1248" s="1"/>
      <c r="AC1248" s="6" t="s">
        <v>880</v>
      </c>
      <c r="AI1248" s="154">
        <f>MIN(D1246,AE1242)</f>
        <v>0</v>
      </c>
      <c r="AJ1248" s="6">
        <f>ROUND(AI1248,2)</f>
        <v>0</v>
      </c>
      <c r="AK1248" s="6" t="str">
        <f>CONCATENATE(AC1248,AJ1248)</f>
        <v>contribution per exchange: $0</v>
      </c>
    </row>
    <row r="1249" spans="1:56" ht="13.95" hidden="1" customHeight="1" x14ac:dyDescent="0.25">
      <c r="A1249" s="336"/>
      <c r="B1249" s="337"/>
      <c r="C1249" s="337"/>
      <c r="D1249" s="337"/>
      <c r="E1249" s="338"/>
      <c r="F1249" s="1"/>
    </row>
    <row r="1250" spans="1:56" ht="4.95" hidden="1" customHeight="1" thickBot="1" x14ac:dyDescent="0.3">
      <c r="A1250" s="338"/>
      <c r="B1250" s="340"/>
      <c r="C1250" s="341"/>
      <c r="D1250" s="338"/>
      <c r="E1250" s="338"/>
      <c r="F1250" s="1"/>
      <c r="AC1250" s="334"/>
      <c r="AJ1250" s="335"/>
      <c r="BB1250" s="6"/>
    </row>
    <row r="1251" spans="1:56" ht="16.8" hidden="1" thickTop="1" thickBot="1" x14ac:dyDescent="0.3">
      <c r="A1251" s="347">
        <f>IF(C1251="",0,1+A1241)</f>
        <v>6</v>
      </c>
      <c r="B1251" s="348" t="s">
        <v>888</v>
      </c>
      <c r="C1251" s="349" t="str">
        <f>AM1251</f>
        <v>FIRST NAME</v>
      </c>
      <c r="D1251" s="350" t="str">
        <f>AQ1251</f>
        <v>LAST NAME</v>
      </c>
      <c r="E1251" s="338"/>
      <c r="F1251" s="1"/>
      <c r="AC1251" s="333" t="str">
        <f>IF(NOT(C1251=AM1251),C1251,"")</f>
        <v/>
      </c>
      <c r="AH1251" s="333" t="str">
        <f>IF(NOT(D1251=AQ1251),D1251,"")</f>
        <v/>
      </c>
      <c r="AM1251" s="351" t="s">
        <v>853</v>
      </c>
      <c r="AQ1251" s="351" t="s">
        <v>107</v>
      </c>
      <c r="BB1251" s="6"/>
    </row>
    <row r="1252" spans="1:56" ht="15" hidden="1" thickTop="1" thickBot="1" x14ac:dyDescent="0.3">
      <c r="A1252" s="336"/>
      <c r="B1252" s="338" t="s">
        <v>856</v>
      </c>
      <c r="C1252" s="353"/>
      <c r="D1252" s="5"/>
      <c r="E1252" s="338"/>
      <c r="F1252" s="1"/>
      <c r="AC1252" s="6">
        <f>IF(C1252="",0,1)</f>
        <v>0</v>
      </c>
      <c r="AE1252" s="6">
        <f>IF($AC$1202=1,AC$1197,0)</f>
        <v>0</v>
      </c>
      <c r="BB1252" s="6"/>
    </row>
    <row r="1253" spans="1:56" ht="13.95" hidden="1" customHeight="1" thickTop="1" thickBot="1" x14ac:dyDescent="0.3">
      <c r="A1253" s="336"/>
      <c r="B1253" s="354" t="s">
        <v>859</v>
      </c>
      <c r="C1253" s="353"/>
      <c r="D1253" s="355" t="str">
        <f>AS1253</f>
        <v>AWARENESS OF ISSUE</v>
      </c>
      <c r="E1253" s="338"/>
      <c r="F1253" s="1"/>
      <c r="AM1253" s="356"/>
      <c r="AN1253" s="356"/>
      <c r="AO1253" s="356"/>
      <c r="AP1253" s="356"/>
      <c r="AS1253" s="6" t="str">
        <f>AS1243</f>
        <v>AWARENESS OF ISSUE</v>
      </c>
      <c r="BB1253" s="6"/>
    </row>
    <row r="1254" spans="1:56" ht="13.95" hidden="1" customHeight="1" thickTop="1" thickBot="1" x14ac:dyDescent="0.3">
      <c r="A1254" s="336"/>
      <c r="B1254" s="348" t="s">
        <v>863</v>
      </c>
      <c r="C1254" s="357" t="s">
        <v>864</v>
      </c>
      <c r="D1254" s="357" t="s">
        <v>865</v>
      </c>
      <c r="E1254" s="338"/>
      <c r="F1254" s="1"/>
      <c r="BB1254" s="6"/>
    </row>
    <row r="1255" spans="1:56" ht="13.95" hidden="1" customHeight="1" thickTop="1" thickBot="1" x14ac:dyDescent="0.3">
      <c r="A1255" s="336"/>
      <c r="B1255" s="337" t="s">
        <v>868</v>
      </c>
      <c r="C1255" s="358" t="str">
        <f>AM1255</f>
        <v>YYYY-MM-DD</v>
      </c>
      <c r="D1255" s="358" t="str">
        <f>AM1255</f>
        <v>YYYY-MM-DD</v>
      </c>
      <c r="E1255" s="338"/>
      <c r="F1255" s="1"/>
      <c r="AH1255" s="616" t="str">
        <f>IF(NOT(D1255=AQ1255),D1255,"")</f>
        <v>YYYY-MM-DD</v>
      </c>
      <c r="AI1255" s="616"/>
      <c r="AM1255" s="351" t="s">
        <v>869</v>
      </c>
      <c r="AQ1255" s="351"/>
      <c r="BB1255" s="6"/>
    </row>
    <row r="1256" spans="1:56" ht="13.95" hidden="1" customHeight="1" thickTop="1" thickBot="1" x14ac:dyDescent="0.3">
      <c r="A1256" s="336"/>
      <c r="B1256" s="337" t="s">
        <v>874</v>
      </c>
      <c r="C1256" s="360"/>
      <c r="D1256" s="361" t="str">
        <f>AC1256</f>
        <v/>
      </c>
      <c r="E1256" s="338"/>
      <c r="F1256" s="1"/>
      <c r="AC1256" s="58" t="str">
        <f>IF(AND(AC$1196&gt;0,C1256=BN$1201),BM$1201,IF(AND(AC$1196&gt;0,C1256=BN$1202),BM$1202,IF(AND(AC$1196&gt;0,C1256=BN$1203),BM$1203,IF(AND(AC$1196&gt;0,C1256=BN$1204),BM$1204,IF(AND(AC$1196&gt;0,C1256=BN$1205),BM$1205,"")))))</f>
        <v/>
      </c>
      <c r="AI1256" s="626">
        <f>AV1257/AL$1197</f>
        <v>0</v>
      </c>
      <c r="AJ1256" s="626"/>
      <c r="AK1256" s="6" t="s">
        <v>875</v>
      </c>
      <c r="AO1256" s="11" t="str">
        <f>IF(AI1256=0,"none",(AI1256*100))</f>
        <v>none</v>
      </c>
      <c r="AP1256" s="6" t="str">
        <f>IF(AO1256="none"," of weekly support cost.","% of weekly support cost.")</f>
        <v xml:space="preserve"> of weekly support cost.</v>
      </c>
      <c r="BB1256" s="6"/>
    </row>
    <row r="1257" spans="1:56" ht="13.95" hidden="1" customHeight="1" thickTop="1" thickBot="1" x14ac:dyDescent="0.3">
      <c r="A1257" s="336"/>
      <c r="B1257" s="337" t="s">
        <v>877</v>
      </c>
      <c r="C1257" s="362"/>
      <c r="D1257" s="337" t="str">
        <f>IF(NOT(AV1257&gt;0),"",AC1257)</f>
        <v/>
      </c>
      <c r="E1257" s="338"/>
      <c r="F1257" s="1"/>
      <c r="AC1257" s="263" t="str">
        <f>CONCATENATE(AO1257,AT1257)</f>
        <v>Weekly contribution: $0.00</v>
      </c>
      <c r="AO1257" s="6" t="s">
        <v>878</v>
      </c>
      <c r="AT1257" s="263" t="str">
        <f>DOLLAR(AV1257)</f>
        <v>$0.00</v>
      </c>
      <c r="AV1257" s="338">
        <f>IF(AND(D1256=BM$1205,C1257=B$2043),D$2043,IF(AND(D1256=BM$1205,C1257=B$2044),D$2044,IF(AND(D1256=BM$1205,C1257=B$2045),D$2045,IF(AND(D1256=BM$1205,C1257=B$2046),D$2046,IF(AND(D1256=BM$1205,C1257=B$2047),D$2047,IF(AND(D1256=BM$1205,C1257=B$2048),D$2048,0))))))</f>
        <v>0</v>
      </c>
      <c r="AX1257" s="11" t="str">
        <f>DOLLAR(AZ1257)</f>
        <v>$45.00</v>
      </c>
      <c r="AZ1257" s="363">
        <f>$AJ$1197-AV1257</f>
        <v>45</v>
      </c>
      <c r="BB1257" s="359">
        <f>AV1257/AC$1197</f>
        <v>0</v>
      </c>
      <c r="BD1257" s="322">
        <f>AV1257</f>
        <v>0</v>
      </c>
    </row>
    <row r="1258" spans="1:56" ht="13.95" hidden="1" customHeight="1" thickTop="1" x14ac:dyDescent="0.25">
      <c r="A1258" s="336"/>
      <c r="B1258" s="337"/>
      <c r="C1258" s="337" t="str">
        <f>CONCATENATE(AK1256,AO1256,AP1256)</f>
        <v>This covers none of weekly support cost.</v>
      </c>
      <c r="D1258" s="337" t="str">
        <f>BF$1200</f>
        <v>$45 to go for weekly support.</v>
      </c>
      <c r="E1258" s="338"/>
      <c r="F1258" s="1"/>
      <c r="AC1258" s="6" t="s">
        <v>880</v>
      </c>
      <c r="AI1258" s="154">
        <f>MIN(D1256,AE1252)</f>
        <v>0</v>
      </c>
      <c r="AJ1258" s="6">
        <f>ROUND(AI1258,2)</f>
        <v>0</v>
      </c>
      <c r="AK1258" s="6" t="str">
        <f>CONCATENATE(AC1258,AJ1258)</f>
        <v>contribution per exchange: $0</v>
      </c>
    </row>
    <row r="1259" spans="1:56" ht="13.95" hidden="1" customHeight="1" x14ac:dyDescent="0.25">
      <c r="A1259" s="336"/>
      <c r="B1259" s="337"/>
      <c r="C1259" s="337"/>
      <c r="D1259" s="337"/>
      <c r="E1259" s="338"/>
      <c r="F1259" s="1"/>
    </row>
    <row r="1260" spans="1:56" ht="4.95" hidden="1" customHeight="1" thickBot="1" x14ac:dyDescent="0.3">
      <c r="A1260" s="338"/>
      <c r="B1260" s="340"/>
      <c r="C1260" s="341"/>
      <c r="D1260" s="338"/>
      <c r="E1260" s="338"/>
      <c r="F1260" s="1"/>
      <c r="AC1260" s="334"/>
      <c r="AJ1260" s="335"/>
      <c r="BB1260" s="6"/>
    </row>
    <row r="1261" spans="1:56" ht="16.8" hidden="1" thickTop="1" thickBot="1" x14ac:dyDescent="0.3">
      <c r="A1261" s="347">
        <f>IF(C1261="",0,1+A1251)</f>
        <v>7</v>
      </c>
      <c r="B1261" s="348" t="s">
        <v>889</v>
      </c>
      <c r="C1261" s="349" t="str">
        <f>AM1261</f>
        <v>FIRST NAME</v>
      </c>
      <c r="D1261" s="350" t="str">
        <f>AQ1261</f>
        <v>LAST NAME</v>
      </c>
      <c r="E1261" s="338"/>
      <c r="F1261" s="1"/>
      <c r="AC1261" s="333" t="str">
        <f>IF(NOT(C1261=AM1261),C1261,"")</f>
        <v/>
      </c>
      <c r="AH1261" s="333" t="str">
        <f>IF(NOT(D1261=AQ1261),D1261,"")</f>
        <v/>
      </c>
      <c r="AM1261" s="351" t="s">
        <v>853</v>
      </c>
      <c r="AQ1261" s="351" t="s">
        <v>107</v>
      </c>
      <c r="BB1261" s="6"/>
    </row>
    <row r="1262" spans="1:56" ht="15" hidden="1" thickTop="1" thickBot="1" x14ac:dyDescent="0.3">
      <c r="A1262" s="336"/>
      <c r="B1262" s="338" t="s">
        <v>856</v>
      </c>
      <c r="C1262" s="353"/>
      <c r="D1262" s="5"/>
      <c r="E1262" s="338"/>
      <c r="F1262" s="1"/>
      <c r="AC1262" s="6">
        <f>IF(C1262="",0,1)</f>
        <v>0</v>
      </c>
      <c r="AE1262" s="6">
        <f>IF($AC$1202=1,AC$1197,0)</f>
        <v>0</v>
      </c>
      <c r="BB1262" s="6"/>
    </row>
    <row r="1263" spans="1:56" ht="13.95" hidden="1" customHeight="1" thickTop="1" thickBot="1" x14ac:dyDescent="0.3">
      <c r="A1263" s="336"/>
      <c r="B1263" s="354" t="s">
        <v>859</v>
      </c>
      <c r="C1263" s="353"/>
      <c r="D1263" s="355" t="str">
        <f>AS1263</f>
        <v>AWARENESS OF ISSUE</v>
      </c>
      <c r="E1263" s="338"/>
      <c r="F1263" s="1"/>
      <c r="AM1263" s="356"/>
      <c r="AN1263" s="356"/>
      <c r="AO1263" s="356"/>
      <c r="AP1263" s="356"/>
      <c r="AS1263" s="6" t="str">
        <f>AS1253</f>
        <v>AWARENESS OF ISSUE</v>
      </c>
      <c r="BB1263" s="6"/>
    </row>
    <row r="1264" spans="1:56" ht="13.95" hidden="1" customHeight="1" thickTop="1" thickBot="1" x14ac:dyDescent="0.3">
      <c r="A1264" s="336"/>
      <c r="B1264" s="348" t="s">
        <v>863</v>
      </c>
      <c r="C1264" s="357" t="s">
        <v>864</v>
      </c>
      <c r="D1264" s="357" t="s">
        <v>865</v>
      </c>
      <c r="E1264" s="338"/>
      <c r="F1264" s="1"/>
      <c r="BB1264" s="6"/>
    </row>
    <row r="1265" spans="1:56" ht="13.95" hidden="1" customHeight="1" thickTop="1" thickBot="1" x14ac:dyDescent="0.3">
      <c r="A1265" s="336"/>
      <c r="B1265" s="337" t="s">
        <v>868</v>
      </c>
      <c r="C1265" s="358" t="str">
        <f>AM1265</f>
        <v>YYYY-MM-DD</v>
      </c>
      <c r="D1265" s="358" t="str">
        <f>AM1265</f>
        <v>YYYY-MM-DD</v>
      </c>
      <c r="E1265" s="338"/>
      <c r="F1265" s="1"/>
      <c r="AH1265" s="616" t="str">
        <f>IF(NOT(D1265=AQ1265),D1265,"")</f>
        <v>YYYY-MM-DD</v>
      </c>
      <c r="AI1265" s="616"/>
      <c r="AM1265" s="351" t="s">
        <v>869</v>
      </c>
      <c r="AQ1265" s="351"/>
      <c r="BB1265" s="6"/>
    </row>
    <row r="1266" spans="1:56" ht="13.95" hidden="1" customHeight="1" thickTop="1" thickBot="1" x14ac:dyDescent="0.3">
      <c r="A1266" s="336"/>
      <c r="B1266" s="337" t="s">
        <v>874</v>
      </c>
      <c r="C1266" s="360"/>
      <c r="D1266" s="361" t="str">
        <f>AC1266</f>
        <v/>
      </c>
      <c r="E1266" s="338"/>
      <c r="F1266" s="1"/>
      <c r="AC1266" s="58" t="str">
        <f>IF(AND(AC$1196&gt;0,C1266=BN$1201),BM$1201,IF(AND(AC$1196&gt;0,C1266=BN$1202),BM$1202,IF(AND(AC$1196&gt;0,C1266=BN$1203),BM$1203,IF(AND(AC$1196&gt;0,C1266=BN$1204),BM$1204,IF(AND(AC$1196&gt;0,C1266=BN$1205),BM$1205,"")))))</f>
        <v/>
      </c>
      <c r="AI1266" s="626">
        <f>AV1267/AL$1197</f>
        <v>0</v>
      </c>
      <c r="AJ1266" s="626"/>
      <c r="AK1266" s="6" t="s">
        <v>875</v>
      </c>
      <c r="AO1266" s="11" t="str">
        <f>IF(AI1266=0,"none",(AI1266*100))</f>
        <v>none</v>
      </c>
      <c r="AP1266" s="6" t="str">
        <f>IF(AO1266="none"," of weekly support cost.","% of weekly support cost.")</f>
        <v xml:space="preserve"> of weekly support cost.</v>
      </c>
      <c r="BB1266" s="6"/>
    </row>
    <row r="1267" spans="1:56" ht="13.95" hidden="1" customHeight="1" thickTop="1" thickBot="1" x14ac:dyDescent="0.3">
      <c r="A1267" s="336"/>
      <c r="B1267" s="337" t="s">
        <v>877</v>
      </c>
      <c r="C1267" s="362"/>
      <c r="D1267" s="337" t="str">
        <f>IF(NOT(AV1267&gt;0),"",AC1267)</f>
        <v/>
      </c>
      <c r="E1267" s="338"/>
      <c r="F1267" s="1"/>
      <c r="AC1267" s="263" t="str">
        <f>CONCATENATE(AO1267,AT1267)</f>
        <v>Weekly contribution: $0.00</v>
      </c>
      <c r="AO1267" s="6" t="s">
        <v>878</v>
      </c>
      <c r="AT1267" s="263" t="str">
        <f>DOLLAR(AV1267)</f>
        <v>$0.00</v>
      </c>
      <c r="AV1267" s="338">
        <f>IF(AND(D1266=BM$1205,C1267=B$2043),D$2043,IF(AND(D1266=BM$1205,C1267=B$2044),D$2044,IF(AND(D1266=BM$1205,C1267=B$2045),D$2045,IF(AND(D1266=BM$1205,C1267=B$2046),D$2046,IF(AND(D1266=BM$1205,C1267=B$2047),D$2047,IF(AND(D1266=BM$1205,C1267=B$2048),D$2048,0))))))</f>
        <v>0</v>
      </c>
      <c r="AX1267" s="11" t="str">
        <f>DOLLAR(AZ1267)</f>
        <v>$45.00</v>
      </c>
      <c r="AZ1267" s="363">
        <f>$AJ$1197-AV1267</f>
        <v>45</v>
      </c>
      <c r="BB1267" s="6"/>
      <c r="BD1267" s="322">
        <f>AV1267</f>
        <v>0</v>
      </c>
    </row>
    <row r="1268" spans="1:56" ht="13.95" hidden="1" customHeight="1" thickTop="1" x14ac:dyDescent="0.25">
      <c r="A1268" s="336"/>
      <c r="B1268" s="337"/>
      <c r="C1268" s="337" t="str">
        <f>CONCATENATE(AK1266,AO1266,AP1266)</f>
        <v>This covers none of weekly support cost.</v>
      </c>
      <c r="D1268" s="337" t="str">
        <f>BF$1200</f>
        <v>$45 to go for weekly support.</v>
      </c>
      <c r="E1268" s="338"/>
      <c r="F1268" s="1"/>
      <c r="AC1268" s="6" t="s">
        <v>880</v>
      </c>
      <c r="AI1268" s="154">
        <f>MIN(D1266,AE1262)</f>
        <v>0</v>
      </c>
      <c r="AJ1268" s="6">
        <f>ROUND(AI1268,2)</f>
        <v>0</v>
      </c>
      <c r="AK1268" s="6" t="str">
        <f>CONCATENATE(AC1268,AJ1268)</f>
        <v>contribution per exchange: $0</v>
      </c>
    </row>
    <row r="1269" spans="1:56" ht="13.95" hidden="1" customHeight="1" x14ac:dyDescent="0.25">
      <c r="A1269" s="336"/>
      <c r="B1269" s="337"/>
      <c r="C1269" s="337"/>
      <c r="D1269" s="337"/>
      <c r="E1269" s="338"/>
      <c r="F1269" s="1"/>
    </row>
    <row r="1270" spans="1:56" ht="4.95" hidden="1" customHeight="1" thickBot="1" x14ac:dyDescent="0.3">
      <c r="A1270" s="338"/>
      <c r="B1270" s="340"/>
      <c r="C1270" s="341"/>
      <c r="D1270" s="338"/>
      <c r="E1270" s="338"/>
      <c r="F1270" s="1"/>
      <c r="AC1270" s="334"/>
      <c r="AJ1270" s="335"/>
      <c r="BB1270" s="6"/>
    </row>
    <row r="1271" spans="1:56" ht="16.8" hidden="1" thickTop="1" thickBot="1" x14ac:dyDescent="0.3">
      <c r="A1271" s="347">
        <f>IF(C1271="",0,1+A1261)</f>
        <v>8</v>
      </c>
      <c r="B1271" s="348" t="s">
        <v>890</v>
      </c>
      <c r="C1271" s="349" t="str">
        <f>AM1271</f>
        <v>FIRST NAME</v>
      </c>
      <c r="D1271" s="350" t="str">
        <f>AQ1271</f>
        <v>LAST NAME</v>
      </c>
      <c r="E1271" s="338"/>
      <c r="F1271" s="1"/>
      <c r="AC1271" s="333" t="str">
        <f>IF(NOT(C1271=AM1271),C1271,"")</f>
        <v/>
      </c>
      <c r="AH1271" s="333" t="str">
        <f>IF(NOT(D1271=AQ1271),D1271,"")</f>
        <v/>
      </c>
      <c r="AM1271" s="351" t="s">
        <v>853</v>
      </c>
      <c r="AQ1271" s="351" t="s">
        <v>107</v>
      </c>
      <c r="BB1271" s="6"/>
    </row>
    <row r="1272" spans="1:56" ht="15" hidden="1" thickTop="1" thickBot="1" x14ac:dyDescent="0.3">
      <c r="A1272" s="336"/>
      <c r="B1272" s="338" t="s">
        <v>856</v>
      </c>
      <c r="C1272" s="353"/>
      <c r="D1272" s="5"/>
      <c r="E1272" s="338"/>
      <c r="F1272" s="1"/>
      <c r="AC1272" s="6">
        <f>IF(C1272="",0,1)</f>
        <v>0</v>
      </c>
      <c r="AE1272" s="6">
        <f>IF($AC$1202=1,AC$1197,0)</f>
        <v>0</v>
      </c>
      <c r="BB1272" s="6"/>
    </row>
    <row r="1273" spans="1:56" ht="13.95" hidden="1" customHeight="1" thickTop="1" thickBot="1" x14ac:dyDescent="0.3">
      <c r="A1273" s="336"/>
      <c r="B1273" s="354" t="s">
        <v>859</v>
      </c>
      <c r="C1273" s="353"/>
      <c r="D1273" s="355" t="str">
        <f>AS1273</f>
        <v>AWARENESS OF ISSUE</v>
      </c>
      <c r="E1273" s="338"/>
      <c r="F1273" s="1"/>
      <c r="AM1273" s="356"/>
      <c r="AN1273" s="356"/>
      <c r="AO1273" s="356"/>
      <c r="AP1273" s="356"/>
      <c r="AS1273" s="6" t="str">
        <f>AS1263</f>
        <v>AWARENESS OF ISSUE</v>
      </c>
      <c r="BB1273" s="6"/>
    </row>
    <row r="1274" spans="1:56" ht="13.95" hidden="1" customHeight="1" thickTop="1" thickBot="1" x14ac:dyDescent="0.3">
      <c r="A1274" s="336"/>
      <c r="B1274" s="348" t="s">
        <v>863</v>
      </c>
      <c r="C1274" s="357" t="s">
        <v>864</v>
      </c>
      <c r="D1274" s="357" t="s">
        <v>865</v>
      </c>
      <c r="E1274" s="338"/>
      <c r="F1274" s="1"/>
      <c r="BB1274" s="6"/>
    </row>
    <row r="1275" spans="1:56" ht="13.95" hidden="1" customHeight="1" thickTop="1" thickBot="1" x14ac:dyDescent="0.3">
      <c r="A1275" s="336"/>
      <c r="B1275" s="337" t="s">
        <v>868</v>
      </c>
      <c r="C1275" s="358" t="str">
        <f>AM1275</f>
        <v>YYYY-MM-DD</v>
      </c>
      <c r="D1275" s="358" t="str">
        <f>AM1275</f>
        <v>YYYY-MM-DD</v>
      </c>
      <c r="E1275" s="338"/>
      <c r="F1275" s="1"/>
      <c r="AH1275" s="616" t="str">
        <f>IF(NOT(D1275=AQ1275),D1275,"")</f>
        <v>YYYY-MM-DD</v>
      </c>
      <c r="AI1275" s="616"/>
      <c r="AM1275" s="351" t="s">
        <v>869</v>
      </c>
      <c r="AQ1275" s="351"/>
      <c r="BB1275" s="6"/>
    </row>
    <row r="1276" spans="1:56" ht="13.95" hidden="1" customHeight="1" thickTop="1" thickBot="1" x14ac:dyDescent="0.3">
      <c r="A1276" s="336"/>
      <c r="B1276" s="337" t="s">
        <v>874</v>
      </c>
      <c r="C1276" s="360"/>
      <c r="D1276" s="361" t="str">
        <f>AC1276</f>
        <v/>
      </c>
      <c r="E1276" s="338"/>
      <c r="F1276" s="1"/>
      <c r="AC1276" s="58" t="str">
        <f>IF(AND(AC$1196&gt;0,C1276=BN$1201),BM$1201,IF(AND(AC$1196&gt;0,C1276=BN$1202),BM$1202,IF(AND(AC$1196&gt;0,C1276=BN$1203),BM$1203,IF(AND(AC$1196&gt;0,C1276=BN$1204),BM$1204,IF(AND(AC$1196&gt;0,C1276=BN$1205),BM$1205,"")))))</f>
        <v/>
      </c>
      <c r="AI1276" s="626">
        <f>AV1277/AL$1197</f>
        <v>0</v>
      </c>
      <c r="AJ1276" s="626"/>
      <c r="AK1276" s="6" t="s">
        <v>875</v>
      </c>
      <c r="AO1276" s="11" t="str">
        <f>IF(AI1276=0,"none",(AI1276*100))</f>
        <v>none</v>
      </c>
      <c r="AP1276" s="6" t="str">
        <f>IF(AO1276="none"," of weekly support cost.","% of weekly support cost.")</f>
        <v xml:space="preserve"> of weekly support cost.</v>
      </c>
      <c r="BB1276" s="6"/>
    </row>
    <row r="1277" spans="1:56" ht="13.95" hidden="1" customHeight="1" thickTop="1" thickBot="1" x14ac:dyDescent="0.3">
      <c r="A1277" s="336"/>
      <c r="B1277" s="337" t="s">
        <v>877</v>
      </c>
      <c r="C1277" s="362"/>
      <c r="D1277" s="337" t="str">
        <f>IF(NOT(AV1277&gt;0),"",AC1277)</f>
        <v/>
      </c>
      <c r="E1277" s="338"/>
      <c r="F1277" s="1"/>
      <c r="AC1277" s="263" t="str">
        <f>CONCATENATE(AO1277,AT1277)</f>
        <v>Weekly contribution: $0.00</v>
      </c>
      <c r="AO1277" s="6" t="s">
        <v>878</v>
      </c>
      <c r="AT1277" s="263" t="str">
        <f>DOLLAR(AV1277)</f>
        <v>$0.00</v>
      </c>
      <c r="AV1277" s="338">
        <f>IF(AND(D1276=BM$1205,C1277=B$2043),D$2043,IF(AND(D1276=BM$1205,C1277=B$2044),D$2044,IF(AND(D1276=BM$1205,C1277=B$2045),D$2045,IF(AND(D1276=BM$1205,C1277=B$2046),D$2046,IF(AND(D1276=BM$1205,C1277=B$2047),D$2047,IF(AND(D1276=BM$1205,C1277=B$2048),D$2048,0))))))</f>
        <v>0</v>
      </c>
      <c r="AX1277" s="11" t="str">
        <f>DOLLAR(AZ1277)</f>
        <v>$45.00</v>
      </c>
      <c r="AZ1277" s="363">
        <f>$AJ$1197-AV1277</f>
        <v>45</v>
      </c>
      <c r="BB1277" s="6"/>
      <c r="BD1277" s="322">
        <f>AV1277</f>
        <v>0</v>
      </c>
    </row>
    <row r="1278" spans="1:56" ht="13.95" hidden="1" customHeight="1" thickTop="1" x14ac:dyDescent="0.25">
      <c r="A1278" s="336"/>
      <c r="B1278" s="337"/>
      <c r="C1278" s="337" t="str">
        <f>CONCATENATE(AK1276,AO1276,AP1276)</f>
        <v>This covers none of weekly support cost.</v>
      </c>
      <c r="D1278" s="337" t="str">
        <f>BF$1200</f>
        <v>$45 to go for weekly support.</v>
      </c>
      <c r="E1278" s="338"/>
      <c r="F1278" s="1"/>
      <c r="AC1278" s="6" t="s">
        <v>880</v>
      </c>
      <c r="AI1278" s="154">
        <f>MIN(D1276,AE1272)</f>
        <v>0</v>
      </c>
      <c r="AJ1278" s="6">
        <f>ROUND(AI1278,2)</f>
        <v>0</v>
      </c>
      <c r="AK1278" s="6" t="str">
        <f>CONCATENATE(AC1278,AJ1278)</f>
        <v>contribution per exchange: $0</v>
      </c>
    </row>
    <row r="1279" spans="1:56" ht="13.95" hidden="1" customHeight="1" x14ac:dyDescent="0.25">
      <c r="A1279" s="336"/>
      <c r="B1279" s="337"/>
      <c r="C1279" s="337"/>
      <c r="D1279" s="337"/>
      <c r="E1279" s="338"/>
      <c r="F1279" s="1"/>
    </row>
    <row r="1280" spans="1:56" ht="4.95" hidden="1" customHeight="1" thickBot="1" x14ac:dyDescent="0.3">
      <c r="A1280" s="338"/>
      <c r="B1280" s="340"/>
      <c r="C1280" s="341"/>
      <c r="D1280" s="338"/>
      <c r="E1280" s="338"/>
      <c r="F1280" s="1"/>
      <c r="AC1280" s="334"/>
      <c r="AJ1280" s="335"/>
      <c r="BB1280" s="6"/>
    </row>
    <row r="1281" spans="1:56" ht="16.8" hidden="1" thickTop="1" thickBot="1" x14ac:dyDescent="0.3">
      <c r="A1281" s="347">
        <f>IF(C1281="",0,1+A1271)</f>
        <v>9</v>
      </c>
      <c r="B1281" s="348" t="s">
        <v>891</v>
      </c>
      <c r="C1281" s="349" t="str">
        <f>AM1281</f>
        <v>FIRST NAME</v>
      </c>
      <c r="D1281" s="350" t="str">
        <f>AQ1281</f>
        <v>LAST NAME</v>
      </c>
      <c r="E1281" s="338"/>
      <c r="F1281" s="1"/>
      <c r="AC1281" s="333" t="str">
        <f>IF(NOT(C1281=AM1281),C1281,"")</f>
        <v/>
      </c>
      <c r="AH1281" s="333" t="str">
        <f>IF(NOT(D1281=AQ1281),D1281,"")</f>
        <v/>
      </c>
      <c r="AM1281" s="351" t="s">
        <v>853</v>
      </c>
      <c r="AQ1281" s="351" t="s">
        <v>107</v>
      </c>
      <c r="BB1281" s="6"/>
    </row>
    <row r="1282" spans="1:56" ht="15" hidden="1" thickTop="1" thickBot="1" x14ac:dyDescent="0.3">
      <c r="A1282" s="336"/>
      <c r="B1282" s="338" t="s">
        <v>856</v>
      </c>
      <c r="C1282" s="353"/>
      <c r="D1282" s="5"/>
      <c r="E1282" s="338"/>
      <c r="F1282" s="1"/>
      <c r="AC1282" s="6">
        <f>IF(C1282="",0,1)</f>
        <v>0</v>
      </c>
      <c r="AE1282" s="6">
        <f>IF($AC$1202=1,AC$1197,0)</f>
        <v>0</v>
      </c>
      <c r="BB1282" s="6"/>
    </row>
    <row r="1283" spans="1:56" ht="13.95" hidden="1" customHeight="1" thickTop="1" thickBot="1" x14ac:dyDescent="0.3">
      <c r="A1283" s="336"/>
      <c r="B1283" s="354" t="s">
        <v>859</v>
      </c>
      <c r="C1283" s="353"/>
      <c r="D1283" s="355" t="str">
        <f>AS1283</f>
        <v>AWARENESS OF ISSUE</v>
      </c>
      <c r="E1283" s="338"/>
      <c r="F1283" s="1"/>
      <c r="AM1283" s="356"/>
      <c r="AN1283" s="356"/>
      <c r="AO1283" s="356"/>
      <c r="AP1283" s="356"/>
      <c r="AS1283" s="6" t="str">
        <f>AS1273</f>
        <v>AWARENESS OF ISSUE</v>
      </c>
      <c r="BB1283" s="6"/>
    </row>
    <row r="1284" spans="1:56" ht="13.95" hidden="1" customHeight="1" thickTop="1" thickBot="1" x14ac:dyDescent="0.3">
      <c r="A1284" s="336"/>
      <c r="B1284" s="348" t="s">
        <v>863</v>
      </c>
      <c r="C1284" s="357" t="s">
        <v>864</v>
      </c>
      <c r="D1284" s="357" t="s">
        <v>865</v>
      </c>
      <c r="E1284" s="338"/>
      <c r="F1284" s="1"/>
      <c r="BB1284" s="6"/>
    </row>
    <row r="1285" spans="1:56" ht="13.95" hidden="1" customHeight="1" thickTop="1" thickBot="1" x14ac:dyDescent="0.3">
      <c r="A1285" s="336"/>
      <c r="B1285" s="337" t="s">
        <v>868</v>
      </c>
      <c r="C1285" s="358" t="str">
        <f>AM1285</f>
        <v>YYYY-MM-DD</v>
      </c>
      <c r="D1285" s="358" t="str">
        <f>AM1285</f>
        <v>YYYY-MM-DD</v>
      </c>
      <c r="E1285" s="338"/>
      <c r="F1285" s="1"/>
      <c r="AH1285" s="616" t="str">
        <f>IF(NOT(D1285=AQ1285),D1285,"")</f>
        <v>YYYY-MM-DD</v>
      </c>
      <c r="AI1285" s="616"/>
      <c r="AM1285" s="351" t="s">
        <v>869</v>
      </c>
      <c r="AQ1285" s="351"/>
      <c r="BB1285" s="6"/>
    </row>
    <row r="1286" spans="1:56" ht="13.95" hidden="1" customHeight="1" thickTop="1" thickBot="1" x14ac:dyDescent="0.3">
      <c r="A1286" s="336"/>
      <c r="B1286" s="337" t="s">
        <v>874</v>
      </c>
      <c r="C1286" s="360"/>
      <c r="D1286" s="361" t="str">
        <f>AC1286</f>
        <v/>
      </c>
      <c r="E1286" s="338"/>
      <c r="F1286" s="1"/>
      <c r="AC1286" s="58" t="str">
        <f>IF(AND(AC$1196&gt;0,C1286=BN$1201),BM$1201,IF(AND(AC$1196&gt;0,C1286=BN$1202),BM$1202,IF(AND(AC$1196&gt;0,C1286=BN$1203),BM$1203,IF(AND(AC$1196&gt;0,C1286=BN$1204),BM$1204,IF(AND(AC$1196&gt;0,C1286=BN$1205),BM$1205,"")))))</f>
        <v/>
      </c>
      <c r="AI1286" s="626">
        <f>AV1287/AL$1197</f>
        <v>0</v>
      </c>
      <c r="AJ1286" s="626"/>
      <c r="AK1286" s="6" t="s">
        <v>875</v>
      </c>
      <c r="AO1286" s="11" t="str">
        <f>IF(AI1286=0,"none",(AI1286*100))</f>
        <v>none</v>
      </c>
      <c r="AP1286" s="6" t="str">
        <f>IF(AO1286="none"," of weekly support cost.","% of weekly support cost.")</f>
        <v xml:space="preserve"> of weekly support cost.</v>
      </c>
      <c r="BB1286" s="6"/>
    </row>
    <row r="1287" spans="1:56" ht="13.95" hidden="1" customHeight="1" thickTop="1" thickBot="1" x14ac:dyDescent="0.3">
      <c r="A1287" s="336"/>
      <c r="B1287" s="337" t="s">
        <v>877</v>
      </c>
      <c r="C1287" s="362"/>
      <c r="D1287" s="337" t="str">
        <f>IF(NOT(AV1287&gt;0),"",AC1287)</f>
        <v/>
      </c>
      <c r="E1287" s="338"/>
      <c r="F1287" s="1"/>
      <c r="AC1287" s="263" t="str">
        <f>CONCATENATE(AO1287,AT1287)</f>
        <v>Weekly contribution: $0.00</v>
      </c>
      <c r="AO1287" s="6" t="s">
        <v>878</v>
      </c>
      <c r="AT1287" s="263" t="str">
        <f>DOLLAR(AV1287)</f>
        <v>$0.00</v>
      </c>
      <c r="AV1287" s="338">
        <f>IF(AND(D1286=BM$1205,C1287=B$2043),D$2043,IF(AND(D1286=BM$1205,C1287=B$2044),D$2044,IF(AND(D1286=BM$1205,C1287=B$2045),D$2045,IF(AND(D1286=BM$1205,C1287=B$2046),D$2046,IF(AND(D1286=BM$1205,C1287=B$2047),D$2047,IF(AND(D1286=BM$1205,C1287=B$2048),D$2048,0))))))</f>
        <v>0</v>
      </c>
      <c r="AX1287" s="11" t="str">
        <f>DOLLAR(AZ1287)</f>
        <v>$45.00</v>
      </c>
      <c r="AZ1287" s="363">
        <f>$AJ$1197-AV1287</f>
        <v>45</v>
      </c>
      <c r="BB1287" s="6"/>
      <c r="BD1287" s="322">
        <f>AV1287</f>
        <v>0</v>
      </c>
    </row>
    <row r="1288" spans="1:56" ht="13.95" hidden="1" customHeight="1" thickTop="1" x14ac:dyDescent="0.25">
      <c r="A1288" s="336"/>
      <c r="B1288" s="337"/>
      <c r="C1288" s="337" t="str">
        <f>CONCATENATE(AK1286,AO1286,AP1286)</f>
        <v>This covers none of weekly support cost.</v>
      </c>
      <c r="D1288" s="337" t="str">
        <f>BF$1200</f>
        <v>$45 to go for weekly support.</v>
      </c>
      <c r="E1288" s="338"/>
      <c r="F1288" s="1"/>
      <c r="AC1288" s="6" t="s">
        <v>880</v>
      </c>
      <c r="AI1288" s="154">
        <f>MIN(D1286,AE1282)</f>
        <v>0</v>
      </c>
      <c r="AJ1288" s="6">
        <f>ROUND(AI1288,2)</f>
        <v>0</v>
      </c>
      <c r="AK1288" s="6" t="str">
        <f>CONCATENATE(AC1288,AJ1288)</f>
        <v>contribution per exchange: $0</v>
      </c>
    </row>
    <row r="1289" spans="1:56" ht="18" hidden="1" customHeight="1" x14ac:dyDescent="0.25">
      <c r="A1289" s="336"/>
      <c r="B1289" s="337"/>
      <c r="C1289" s="337"/>
      <c r="D1289" s="337"/>
      <c r="E1289" s="338"/>
      <c r="F1289" s="1"/>
    </row>
    <row r="1290" spans="1:56" ht="4.95" hidden="1" customHeight="1" thickBot="1" x14ac:dyDescent="0.3">
      <c r="A1290" s="338"/>
      <c r="B1290" s="340"/>
      <c r="C1290" s="341"/>
      <c r="D1290" s="338"/>
      <c r="E1290" s="338"/>
      <c r="F1290" s="1"/>
      <c r="AC1290" s="334"/>
      <c r="AJ1290" s="335"/>
      <c r="BB1290" s="6"/>
    </row>
    <row r="1291" spans="1:56" ht="16.8" hidden="1" thickTop="1" thickBot="1" x14ac:dyDescent="0.3">
      <c r="A1291" s="347">
        <f>IF(C1291="",0,1+A1281)</f>
        <v>10</v>
      </c>
      <c r="B1291" s="348" t="s">
        <v>892</v>
      </c>
      <c r="C1291" s="349" t="str">
        <f>AM1291</f>
        <v>FIRST NAME</v>
      </c>
      <c r="D1291" s="350" t="str">
        <f>AQ1291</f>
        <v>LAST NAME</v>
      </c>
      <c r="E1291" s="338"/>
      <c r="F1291" s="1"/>
      <c r="AC1291" s="333" t="str">
        <f>IF(NOT(C1291=AM1291),C1291,"")</f>
        <v/>
      </c>
      <c r="AH1291" s="333" t="str">
        <f>IF(NOT(D1291=AQ1291),D1291,"")</f>
        <v/>
      </c>
      <c r="AM1291" s="351" t="s">
        <v>853</v>
      </c>
      <c r="AQ1291" s="351" t="s">
        <v>107</v>
      </c>
      <c r="BB1291" s="6"/>
    </row>
    <row r="1292" spans="1:56" ht="15" hidden="1" thickTop="1" thickBot="1" x14ac:dyDescent="0.3">
      <c r="A1292" s="336"/>
      <c r="B1292" s="338" t="s">
        <v>856</v>
      </c>
      <c r="C1292" s="353"/>
      <c r="D1292" s="5"/>
      <c r="E1292" s="338"/>
      <c r="F1292" s="1"/>
      <c r="AC1292" s="6">
        <f>IF(C1292="",0,1)</f>
        <v>0</v>
      </c>
      <c r="AE1292" s="6">
        <f>IF($AC$1202=1,AC$1197,0)</f>
        <v>0</v>
      </c>
      <c r="BB1292" s="6"/>
    </row>
    <row r="1293" spans="1:56" ht="13.95" hidden="1" customHeight="1" thickTop="1" thickBot="1" x14ac:dyDescent="0.3">
      <c r="A1293" s="336"/>
      <c r="B1293" s="354" t="s">
        <v>859</v>
      </c>
      <c r="C1293" s="353"/>
      <c r="D1293" s="355" t="str">
        <f>AS1293</f>
        <v>AWARENESS OF ISSUE</v>
      </c>
      <c r="E1293" s="338"/>
      <c r="F1293" s="1"/>
      <c r="AM1293" s="356"/>
      <c r="AN1293" s="356"/>
      <c r="AO1293" s="356"/>
      <c r="AP1293" s="356"/>
      <c r="AS1293" s="6" t="str">
        <f>AS1283</f>
        <v>AWARENESS OF ISSUE</v>
      </c>
      <c r="BB1293" s="6"/>
    </row>
    <row r="1294" spans="1:56" ht="13.95" hidden="1" customHeight="1" thickTop="1" thickBot="1" x14ac:dyDescent="0.3">
      <c r="A1294" s="336"/>
      <c r="B1294" s="348" t="s">
        <v>863</v>
      </c>
      <c r="C1294" s="357" t="s">
        <v>864</v>
      </c>
      <c r="D1294" s="357" t="s">
        <v>865</v>
      </c>
      <c r="E1294" s="338"/>
      <c r="F1294" s="1"/>
      <c r="BB1294" s="6"/>
    </row>
    <row r="1295" spans="1:56" ht="13.95" hidden="1" customHeight="1" thickTop="1" thickBot="1" x14ac:dyDescent="0.3">
      <c r="A1295" s="336"/>
      <c r="B1295" s="337" t="s">
        <v>868</v>
      </c>
      <c r="C1295" s="358" t="str">
        <f>AM1295</f>
        <v>YYYY-MM-DD</v>
      </c>
      <c r="D1295" s="358" t="str">
        <f>AM1295</f>
        <v>YYYY-MM-DD</v>
      </c>
      <c r="E1295" s="338"/>
      <c r="F1295" s="1"/>
      <c r="AH1295" s="616" t="str">
        <f>IF(NOT(D1295=AQ1295),D1295,"")</f>
        <v>YYYY-MM-DD</v>
      </c>
      <c r="AI1295" s="616"/>
      <c r="AM1295" s="351" t="s">
        <v>869</v>
      </c>
      <c r="AQ1295" s="351"/>
      <c r="BB1295" s="6"/>
    </row>
    <row r="1296" spans="1:56" ht="13.95" hidden="1" customHeight="1" thickTop="1" thickBot="1" x14ac:dyDescent="0.3">
      <c r="A1296" s="336"/>
      <c r="B1296" s="337" t="s">
        <v>874</v>
      </c>
      <c r="C1296" s="360"/>
      <c r="D1296" s="361" t="str">
        <f>AC1296</f>
        <v/>
      </c>
      <c r="E1296" s="338"/>
      <c r="F1296" s="1"/>
      <c r="AC1296" s="58" t="str">
        <f>IF(AND(AC$1196&gt;0,C1296=BN$1201),BM$1201,IF(AND(AC$1196&gt;0,C1296=BN$1202),BM$1202,IF(AND(AC$1196&gt;0,C1296=BN$1203),BM$1203,IF(AND(AC$1196&gt;0,C1296=BN$1204),BM$1204,IF(AND(AC$1196&gt;0,C1296=BN$1205),BM$1205,"")))))</f>
        <v/>
      </c>
      <c r="AI1296" s="626">
        <f>AV1297/AL$1197</f>
        <v>0</v>
      </c>
      <c r="AJ1296" s="626"/>
      <c r="AK1296" s="6" t="s">
        <v>875</v>
      </c>
      <c r="AO1296" s="11" t="str">
        <f>IF(AI1296=0,"none",(AI1296*100))</f>
        <v>none</v>
      </c>
      <c r="AP1296" s="6" t="str">
        <f>IF(AO1296="none"," of weekly support cost.","% of weekly support cost.")</f>
        <v xml:space="preserve"> of weekly support cost.</v>
      </c>
      <c r="BB1296" s="6"/>
    </row>
    <row r="1297" spans="1:56" ht="13.95" hidden="1" customHeight="1" thickTop="1" thickBot="1" x14ac:dyDescent="0.3">
      <c r="A1297" s="336"/>
      <c r="B1297" s="337" t="s">
        <v>877</v>
      </c>
      <c r="C1297" s="362"/>
      <c r="D1297" s="337" t="str">
        <f>IF(NOT(AV1297&gt;0),"",AC1297)</f>
        <v/>
      </c>
      <c r="E1297" s="338"/>
      <c r="F1297" s="1"/>
      <c r="AC1297" s="263" t="str">
        <f>CONCATENATE(AO1297,AT1297)</f>
        <v>Weekly contribution: $0.00</v>
      </c>
      <c r="AO1297" s="6" t="s">
        <v>878</v>
      </c>
      <c r="AT1297" s="263" t="str">
        <f>DOLLAR(AV1297)</f>
        <v>$0.00</v>
      </c>
      <c r="AV1297" s="338">
        <f>IF(AND(D1296=BM$1205,C1297=B$2043),D$2043,IF(AND(D1296=BM$1205,C1297=B$2044),D$2044,IF(AND(D1296=BM$1205,C1297=B$2045),D$2045,IF(AND(D1296=BM$1205,C1297=B$2046),D$2046,IF(AND(D1296=BM$1205,C1297=B$2047),D$2047,IF(AND(D1296=BM$1205,C1297=B$2048),D$2048,0))))))</f>
        <v>0</v>
      </c>
      <c r="AX1297" s="11" t="str">
        <f>DOLLAR(AZ1297)</f>
        <v>$45.00</v>
      </c>
      <c r="AZ1297" s="363">
        <f>$AJ$1197-AV1297</f>
        <v>45</v>
      </c>
      <c r="BB1297" s="359">
        <f>AV1297/AC$1197</f>
        <v>0</v>
      </c>
      <c r="BD1297" s="322">
        <f>AV1297</f>
        <v>0</v>
      </c>
    </row>
    <row r="1298" spans="1:56" ht="13.95" hidden="1" customHeight="1" thickTop="1" x14ac:dyDescent="0.25">
      <c r="A1298" s="336"/>
      <c r="B1298" s="337"/>
      <c r="C1298" s="337" t="str">
        <f>CONCATENATE(AK1296,AO1296,AP1296)</f>
        <v>This covers none of weekly support cost.</v>
      </c>
      <c r="D1298" s="337" t="str">
        <f>BF$1200</f>
        <v>$45 to go for weekly support.</v>
      </c>
      <c r="E1298" s="338"/>
      <c r="F1298" s="1"/>
      <c r="AC1298" s="6" t="s">
        <v>880</v>
      </c>
      <c r="AI1298" s="154">
        <f>MIN(D1296,AE1292)</f>
        <v>0</v>
      </c>
      <c r="AJ1298" s="6">
        <f>ROUND(AI1298,2)</f>
        <v>0</v>
      </c>
      <c r="AK1298" s="6" t="str">
        <f>CONCATENATE(AC1298,AJ1298)</f>
        <v>contribution per exchange: $0</v>
      </c>
    </row>
    <row r="1299" spans="1:56" ht="13.95" hidden="1" customHeight="1" x14ac:dyDescent="0.25">
      <c r="A1299" s="336"/>
      <c r="B1299" s="337"/>
      <c r="C1299" s="337"/>
      <c r="D1299" s="337"/>
      <c r="E1299" s="338"/>
      <c r="F1299" s="1"/>
    </row>
    <row r="1300" spans="1:56" ht="4.95" hidden="1" customHeight="1" thickBot="1" x14ac:dyDescent="0.3">
      <c r="A1300" s="338"/>
      <c r="B1300" s="340"/>
      <c r="C1300" s="341"/>
      <c r="D1300" s="338"/>
      <c r="E1300" s="338"/>
      <c r="F1300" s="1"/>
      <c r="AC1300" s="334"/>
      <c r="AJ1300" s="335"/>
      <c r="BB1300" s="6"/>
    </row>
    <row r="1301" spans="1:56" ht="16.8" hidden="1" thickTop="1" thickBot="1" x14ac:dyDescent="0.3">
      <c r="A1301" s="347">
        <f>IF(C1301="",0,1+A1291)</f>
        <v>11</v>
      </c>
      <c r="B1301" s="348" t="s">
        <v>893</v>
      </c>
      <c r="C1301" s="349" t="str">
        <f>AM1301</f>
        <v>FIRST NAME</v>
      </c>
      <c r="D1301" s="350" t="str">
        <f>AQ1301</f>
        <v>LAST NAME</v>
      </c>
      <c r="E1301" s="338"/>
      <c r="F1301" s="1"/>
      <c r="AC1301" s="333" t="str">
        <f>IF(NOT(C1301=AM1301),C1301,"")</f>
        <v/>
      </c>
      <c r="AH1301" s="333" t="str">
        <f>IF(NOT(D1301=AQ1301),D1301,"")</f>
        <v/>
      </c>
      <c r="AM1301" s="351" t="s">
        <v>853</v>
      </c>
      <c r="AQ1301" s="351" t="s">
        <v>107</v>
      </c>
      <c r="BB1301" s="6"/>
    </row>
    <row r="1302" spans="1:56" ht="15" hidden="1" thickTop="1" thickBot="1" x14ac:dyDescent="0.3">
      <c r="A1302" s="336"/>
      <c r="B1302" s="338" t="s">
        <v>856</v>
      </c>
      <c r="C1302" s="353"/>
      <c r="D1302" s="5"/>
      <c r="E1302" s="338"/>
      <c r="F1302" s="1"/>
      <c r="AC1302" s="6">
        <f>IF(C1302="",0,1)</f>
        <v>0</v>
      </c>
      <c r="AE1302" s="6">
        <f>IF($AC$1202=1,AC$1197,0)</f>
        <v>0</v>
      </c>
      <c r="BB1302" s="6"/>
    </row>
    <row r="1303" spans="1:56" ht="13.95" hidden="1" customHeight="1" thickTop="1" thickBot="1" x14ac:dyDescent="0.3">
      <c r="A1303" s="336"/>
      <c r="B1303" s="354" t="s">
        <v>859</v>
      </c>
      <c r="C1303" s="353"/>
      <c r="D1303" s="355" t="str">
        <f>AS1303</f>
        <v>AWARENESS OF ISSUE</v>
      </c>
      <c r="E1303" s="338"/>
      <c r="F1303" s="1"/>
      <c r="AM1303" s="356"/>
      <c r="AN1303" s="356"/>
      <c r="AO1303" s="356"/>
      <c r="AP1303" s="356"/>
      <c r="AS1303" s="6" t="str">
        <f>AS1293</f>
        <v>AWARENESS OF ISSUE</v>
      </c>
      <c r="BB1303" s="6"/>
    </row>
    <row r="1304" spans="1:56" ht="13.95" hidden="1" customHeight="1" thickTop="1" thickBot="1" x14ac:dyDescent="0.3">
      <c r="A1304" s="336"/>
      <c r="B1304" s="348" t="s">
        <v>863</v>
      </c>
      <c r="C1304" s="357" t="s">
        <v>864</v>
      </c>
      <c r="D1304" s="357" t="s">
        <v>865</v>
      </c>
      <c r="E1304" s="338"/>
      <c r="F1304" s="1"/>
      <c r="BB1304" s="6"/>
    </row>
    <row r="1305" spans="1:56" ht="13.95" hidden="1" customHeight="1" thickTop="1" thickBot="1" x14ac:dyDescent="0.3">
      <c r="A1305" s="336"/>
      <c r="B1305" s="337" t="s">
        <v>868</v>
      </c>
      <c r="C1305" s="358" t="str">
        <f>AM1305</f>
        <v>YYYY-MM-DD</v>
      </c>
      <c r="D1305" s="358" t="str">
        <f>AM1305</f>
        <v>YYYY-MM-DD</v>
      </c>
      <c r="E1305" s="338"/>
      <c r="F1305" s="1"/>
      <c r="AH1305" s="616" t="str">
        <f>IF(NOT(D1305=AQ1305),D1305,"")</f>
        <v>YYYY-MM-DD</v>
      </c>
      <c r="AI1305" s="616"/>
      <c r="AM1305" s="351" t="s">
        <v>869</v>
      </c>
      <c r="AQ1305" s="351"/>
      <c r="BB1305" s="6"/>
    </row>
    <row r="1306" spans="1:56" ht="13.95" hidden="1" customHeight="1" thickTop="1" thickBot="1" x14ac:dyDescent="0.3">
      <c r="A1306" s="336"/>
      <c r="B1306" s="337" t="s">
        <v>874</v>
      </c>
      <c r="C1306" s="360"/>
      <c r="D1306" s="361" t="str">
        <f>AC1306</f>
        <v/>
      </c>
      <c r="E1306" s="338"/>
      <c r="F1306" s="1"/>
      <c r="AC1306" s="58" t="str">
        <f>IF(AND(AC$1196&gt;0,C1306=BN$1201),BM$1201,IF(AND(AC$1196&gt;0,C1306=BN$1202),BM$1202,IF(AND(AC$1196&gt;0,C1306=BN$1203),BM$1203,IF(AND(AC$1196&gt;0,C1306=BN$1204),BM$1204,IF(AND(AC$1196&gt;0,C1306=BN$1205),BM$1205,"")))))</f>
        <v/>
      </c>
      <c r="AI1306" s="626">
        <f>AV1307/AL$1197</f>
        <v>0</v>
      </c>
      <c r="AJ1306" s="626"/>
      <c r="AK1306" s="6" t="s">
        <v>875</v>
      </c>
      <c r="AO1306" s="11" t="str">
        <f>IF(AI1306=0,"none",(AI1306*100))</f>
        <v>none</v>
      </c>
      <c r="AP1306" s="6" t="str">
        <f>IF(AO1306="none"," of weekly support cost.","% of weekly support cost.")</f>
        <v xml:space="preserve"> of weekly support cost.</v>
      </c>
      <c r="BB1306" s="6"/>
    </row>
    <row r="1307" spans="1:56" ht="13.95" hidden="1" customHeight="1" thickTop="1" thickBot="1" x14ac:dyDescent="0.3">
      <c r="A1307" s="336"/>
      <c r="B1307" s="337" t="s">
        <v>877</v>
      </c>
      <c r="C1307" s="362"/>
      <c r="D1307" s="337" t="str">
        <f>IF(NOT(AV1307&gt;0),"",AC1307)</f>
        <v/>
      </c>
      <c r="E1307" s="338"/>
      <c r="F1307" s="1"/>
      <c r="AC1307" s="263" t="str">
        <f>CONCATENATE(AO1307,AT1307)</f>
        <v>Weekly contribution: $0.00</v>
      </c>
      <c r="AO1307" s="6" t="s">
        <v>878</v>
      </c>
      <c r="AT1307" s="263" t="str">
        <f>DOLLAR(AV1307)</f>
        <v>$0.00</v>
      </c>
      <c r="AV1307" s="338">
        <f>IF(AND(D1306=BM$1205,C1307=B$2043),D$2043,IF(AND(D1306=BM$1205,C1307=B$2044),D$2044,IF(AND(D1306=BM$1205,C1307=B$2045),D$2045,IF(AND(D1306=BM$1205,C1307=B$2046),D$2046,IF(AND(D1306=BM$1205,C1307=B$2047),D$2047,IF(AND(D1306=BM$1205,C1307=B$2048),D$2048,0))))))</f>
        <v>0</v>
      </c>
      <c r="AX1307" s="11" t="str">
        <f>DOLLAR(AZ1307)</f>
        <v>$45.00</v>
      </c>
      <c r="AZ1307" s="363">
        <f>$AJ$1197-AV1307</f>
        <v>45</v>
      </c>
      <c r="BB1307" s="6"/>
      <c r="BD1307" s="322">
        <f>AV1307</f>
        <v>0</v>
      </c>
    </row>
    <row r="1308" spans="1:56" ht="13.95" hidden="1" customHeight="1" thickTop="1" x14ac:dyDescent="0.25">
      <c r="A1308" s="336"/>
      <c r="B1308" s="337"/>
      <c r="C1308" s="337" t="str">
        <f>CONCATENATE(AK1306,AO1306,AP1306)</f>
        <v>This covers none of weekly support cost.</v>
      </c>
      <c r="D1308" s="337" t="str">
        <f>BF$1200</f>
        <v>$45 to go for weekly support.</v>
      </c>
      <c r="E1308" s="338"/>
      <c r="F1308" s="1"/>
      <c r="AC1308" s="6" t="s">
        <v>880</v>
      </c>
      <c r="AI1308" s="154">
        <f>MIN(D1306,AE1302)</f>
        <v>0</v>
      </c>
      <c r="AJ1308" s="6">
        <f>ROUND(AI1308,2)</f>
        <v>0</v>
      </c>
      <c r="AK1308" s="6" t="str">
        <f>CONCATENATE(AC1308,AJ1308)</f>
        <v>contribution per exchange: $0</v>
      </c>
    </row>
    <row r="1309" spans="1:56" ht="13.95" hidden="1" customHeight="1" x14ac:dyDescent="0.25">
      <c r="A1309" s="336"/>
      <c r="B1309" s="337"/>
      <c r="C1309" s="337"/>
      <c r="D1309" s="337"/>
      <c r="E1309" s="338"/>
      <c r="F1309" s="1"/>
    </row>
    <row r="1310" spans="1:56" ht="4.95" hidden="1" customHeight="1" thickBot="1" x14ac:dyDescent="0.3">
      <c r="A1310" s="338"/>
      <c r="B1310" s="340"/>
      <c r="C1310" s="341"/>
      <c r="D1310" s="338"/>
      <c r="E1310" s="338"/>
      <c r="F1310" s="1"/>
      <c r="AC1310" s="334"/>
      <c r="AJ1310" s="335"/>
      <c r="BB1310" s="6"/>
    </row>
    <row r="1311" spans="1:56" ht="16.8" hidden="1" thickTop="1" thickBot="1" x14ac:dyDescent="0.3">
      <c r="A1311" s="347">
        <f>IF(C1311="",0,1+A1301)</f>
        <v>12</v>
      </c>
      <c r="B1311" s="348" t="s">
        <v>894</v>
      </c>
      <c r="C1311" s="349" t="str">
        <f>AM1311</f>
        <v>FIRST NAME</v>
      </c>
      <c r="D1311" s="350" t="str">
        <f>AQ1311</f>
        <v>LAST NAME</v>
      </c>
      <c r="E1311" s="338"/>
      <c r="F1311" s="1"/>
      <c r="AC1311" s="333" t="str">
        <f>IF(NOT(C1311=AM1311),C1311,"")</f>
        <v/>
      </c>
      <c r="AH1311" s="333" t="str">
        <f>IF(NOT(D1311=AQ1311),D1311,"")</f>
        <v/>
      </c>
      <c r="AM1311" s="351" t="s">
        <v>853</v>
      </c>
      <c r="AQ1311" s="351" t="s">
        <v>107</v>
      </c>
      <c r="BB1311" s="6"/>
    </row>
    <row r="1312" spans="1:56" ht="15" hidden="1" thickTop="1" thickBot="1" x14ac:dyDescent="0.3">
      <c r="A1312" s="336"/>
      <c r="B1312" s="338" t="s">
        <v>856</v>
      </c>
      <c r="C1312" s="353"/>
      <c r="D1312" s="5"/>
      <c r="E1312" s="338"/>
      <c r="F1312" s="1"/>
      <c r="AC1312" s="6">
        <f>IF(C1312="",0,1)</f>
        <v>0</v>
      </c>
      <c r="AE1312" s="6">
        <f>IF($AC$1202=1,AC$1197,0)</f>
        <v>0</v>
      </c>
      <c r="BB1312" s="6"/>
    </row>
    <row r="1313" spans="1:56" ht="13.95" hidden="1" customHeight="1" thickTop="1" thickBot="1" x14ac:dyDescent="0.3">
      <c r="A1313" s="336"/>
      <c r="B1313" s="354" t="s">
        <v>859</v>
      </c>
      <c r="C1313" s="353"/>
      <c r="D1313" s="355" t="str">
        <f>AS1313</f>
        <v>AWARENESS OF ISSUE</v>
      </c>
      <c r="E1313" s="338"/>
      <c r="F1313" s="1"/>
      <c r="AM1313" s="356"/>
      <c r="AN1313" s="356"/>
      <c r="AO1313" s="356"/>
      <c r="AP1313" s="356"/>
      <c r="AS1313" s="6" t="str">
        <f>AS1303</f>
        <v>AWARENESS OF ISSUE</v>
      </c>
      <c r="BB1313" s="6"/>
    </row>
    <row r="1314" spans="1:56" ht="13.95" hidden="1" customHeight="1" thickTop="1" thickBot="1" x14ac:dyDescent="0.3">
      <c r="A1314" s="336"/>
      <c r="B1314" s="348" t="s">
        <v>863</v>
      </c>
      <c r="C1314" s="357" t="s">
        <v>864</v>
      </c>
      <c r="D1314" s="357" t="s">
        <v>865</v>
      </c>
      <c r="E1314" s="338"/>
      <c r="F1314" s="1"/>
      <c r="BB1314" s="6"/>
    </row>
    <row r="1315" spans="1:56" ht="13.95" hidden="1" customHeight="1" thickTop="1" thickBot="1" x14ac:dyDescent="0.3">
      <c r="A1315" s="336"/>
      <c r="B1315" s="337" t="s">
        <v>868</v>
      </c>
      <c r="C1315" s="358" t="str">
        <f>AM1315</f>
        <v>YYYY-MM-DD</v>
      </c>
      <c r="D1315" s="358" t="str">
        <f>AM1315</f>
        <v>YYYY-MM-DD</v>
      </c>
      <c r="E1315" s="338"/>
      <c r="F1315" s="1"/>
      <c r="AH1315" s="616" t="str">
        <f>IF(NOT(D1315=AQ1315),D1315,"")</f>
        <v>YYYY-MM-DD</v>
      </c>
      <c r="AI1315" s="616"/>
      <c r="AM1315" s="351" t="s">
        <v>869</v>
      </c>
      <c r="AQ1315" s="351"/>
      <c r="BB1315" s="6"/>
    </row>
    <row r="1316" spans="1:56" ht="13.95" hidden="1" customHeight="1" thickTop="1" thickBot="1" x14ac:dyDescent="0.3">
      <c r="A1316" s="336"/>
      <c r="B1316" s="337" t="s">
        <v>874</v>
      </c>
      <c r="C1316" s="360"/>
      <c r="D1316" s="361" t="str">
        <f>AC1316</f>
        <v/>
      </c>
      <c r="E1316" s="338"/>
      <c r="F1316" s="1"/>
      <c r="AC1316" s="58" t="str">
        <f>IF(AND(AC$1196&gt;0,C1316=BN$1201),BM$1201,IF(AND(AC$1196&gt;0,C1316=BN$1202),BM$1202,IF(AND(AC$1196&gt;0,C1316=BN$1203),BM$1203,IF(AND(AC$1196&gt;0,C1316=BN$1204),BM$1204,IF(AND(AC$1196&gt;0,C1316=BN$1205),BM$1205,"")))))</f>
        <v/>
      </c>
      <c r="AI1316" s="626">
        <f>AV1317/AL$1197</f>
        <v>0</v>
      </c>
      <c r="AJ1316" s="626"/>
      <c r="AK1316" s="6" t="s">
        <v>875</v>
      </c>
      <c r="AO1316" s="11" t="str">
        <f>IF(AI1316=0,"none",(AI1316*100))</f>
        <v>none</v>
      </c>
      <c r="AP1316" s="6" t="str">
        <f>IF(AO1316="none"," of weekly support cost.","% of weekly support cost.")</f>
        <v xml:space="preserve"> of weekly support cost.</v>
      </c>
      <c r="BB1316" s="6"/>
    </row>
    <row r="1317" spans="1:56" ht="13.95" hidden="1" customHeight="1" thickTop="1" thickBot="1" x14ac:dyDescent="0.3">
      <c r="A1317" s="336"/>
      <c r="B1317" s="337" t="s">
        <v>877</v>
      </c>
      <c r="C1317" s="362"/>
      <c r="D1317" s="337" t="str">
        <f>IF(NOT(AV1317&gt;0),"",AC1317)</f>
        <v/>
      </c>
      <c r="E1317" s="338"/>
      <c r="F1317" s="1"/>
      <c r="AC1317" s="263" t="str">
        <f>CONCATENATE(AO1317,AT1317)</f>
        <v>Weekly contribution: $0.00</v>
      </c>
      <c r="AO1317" s="6" t="s">
        <v>878</v>
      </c>
      <c r="AT1317" s="263" t="str">
        <f>DOLLAR(AV1317)</f>
        <v>$0.00</v>
      </c>
      <c r="AV1317" s="338">
        <f>IF(AND(D1316=BM$1205,C1317=B$2043),D$2043,IF(AND(D1316=BM$1205,C1317=B$2044),D$2044,IF(AND(D1316=BM$1205,C1317=B$2045),D$2045,IF(AND(D1316=BM$1205,C1317=B$2046),D$2046,IF(AND(D1316=BM$1205,C1317=B$2047),D$2047,IF(AND(D1316=BM$1205,C1317=B$2048),D$2048,0))))))</f>
        <v>0</v>
      </c>
      <c r="AX1317" s="11" t="str">
        <f>DOLLAR(AZ1317)</f>
        <v>$45.00</v>
      </c>
      <c r="AZ1317" s="363">
        <f>$AJ$1197-AV1317</f>
        <v>45</v>
      </c>
      <c r="BB1317" s="6"/>
      <c r="BD1317" s="322">
        <f>AV1317</f>
        <v>0</v>
      </c>
    </row>
    <row r="1318" spans="1:56" ht="13.95" hidden="1" customHeight="1" thickTop="1" x14ac:dyDescent="0.25">
      <c r="A1318" s="336"/>
      <c r="B1318" s="337"/>
      <c r="C1318" s="337" t="str">
        <f>CONCATENATE(AK1316,AO1316,AP1316)</f>
        <v>This covers none of weekly support cost.</v>
      </c>
      <c r="D1318" s="337" t="str">
        <f>BF$1200</f>
        <v>$45 to go for weekly support.</v>
      </c>
      <c r="E1318" s="338"/>
      <c r="F1318" s="1"/>
      <c r="AC1318" s="6" t="s">
        <v>880</v>
      </c>
      <c r="AI1318" s="154">
        <f>MIN(D1316,AE1312)</f>
        <v>0</v>
      </c>
      <c r="AJ1318" s="6">
        <f>ROUND(AI1318,2)</f>
        <v>0</v>
      </c>
      <c r="AK1318" s="6" t="str">
        <f>CONCATENATE(AC1318,AJ1318)</f>
        <v>contribution per exchange: $0</v>
      </c>
    </row>
    <row r="1319" spans="1:56" ht="13.95" hidden="1" customHeight="1" x14ac:dyDescent="0.25">
      <c r="A1319" s="336"/>
      <c r="B1319" s="337"/>
      <c r="C1319" s="337"/>
      <c r="D1319" s="337"/>
      <c r="E1319" s="338"/>
      <c r="F1319" s="1"/>
    </row>
    <row r="1320" spans="1:56" ht="4.95" hidden="1" customHeight="1" thickBot="1" x14ac:dyDescent="0.3">
      <c r="A1320" s="338"/>
      <c r="B1320" s="340"/>
      <c r="C1320" s="341"/>
      <c r="D1320" s="338"/>
      <c r="E1320" s="338"/>
      <c r="F1320" s="1"/>
      <c r="AC1320" s="334"/>
      <c r="AJ1320" s="335"/>
      <c r="BB1320" s="6"/>
    </row>
    <row r="1321" spans="1:56" ht="16.8" hidden="1" thickTop="1" thickBot="1" x14ac:dyDescent="0.3">
      <c r="A1321" s="347">
        <f>IF(C1321="",0,1+A1311)</f>
        <v>13</v>
      </c>
      <c r="B1321" s="348" t="s">
        <v>895</v>
      </c>
      <c r="C1321" s="349" t="str">
        <f>AM1321</f>
        <v>FIRST NAME</v>
      </c>
      <c r="D1321" s="350" t="str">
        <f>AQ1321</f>
        <v>LAST NAME</v>
      </c>
      <c r="E1321" s="338"/>
      <c r="F1321" s="1"/>
      <c r="AC1321" s="333" t="str">
        <f>IF(NOT(C1321=AM1321),C1321,"")</f>
        <v/>
      </c>
      <c r="AH1321" s="333" t="str">
        <f>IF(NOT(D1321=AQ1321),D1321,"")</f>
        <v/>
      </c>
      <c r="AM1321" s="351" t="s">
        <v>853</v>
      </c>
      <c r="AQ1321" s="351" t="s">
        <v>107</v>
      </c>
      <c r="BB1321" s="6"/>
    </row>
    <row r="1322" spans="1:56" ht="15" hidden="1" thickTop="1" thickBot="1" x14ac:dyDescent="0.3">
      <c r="A1322" s="336"/>
      <c r="B1322" s="338" t="s">
        <v>856</v>
      </c>
      <c r="C1322" s="353"/>
      <c r="D1322" s="5"/>
      <c r="E1322" s="338"/>
      <c r="F1322" s="1"/>
      <c r="AC1322" s="6">
        <f>IF(C1322="",0,1)</f>
        <v>0</v>
      </c>
      <c r="AE1322" s="6">
        <f>IF($AC$1202=1,AC$1197,0)</f>
        <v>0</v>
      </c>
      <c r="BB1322" s="6"/>
    </row>
    <row r="1323" spans="1:56" ht="13.95" hidden="1" customHeight="1" thickTop="1" thickBot="1" x14ac:dyDescent="0.3">
      <c r="A1323" s="336"/>
      <c r="B1323" s="354" t="s">
        <v>859</v>
      </c>
      <c r="C1323" s="353"/>
      <c r="D1323" s="355" t="str">
        <f>AS1323</f>
        <v>AWARENESS OF ISSUE</v>
      </c>
      <c r="E1323" s="338"/>
      <c r="F1323" s="1"/>
      <c r="AM1323" s="356"/>
      <c r="AN1323" s="356"/>
      <c r="AO1323" s="356"/>
      <c r="AP1323" s="356"/>
      <c r="AS1323" s="6" t="str">
        <f>AS1313</f>
        <v>AWARENESS OF ISSUE</v>
      </c>
      <c r="BB1323" s="6"/>
    </row>
    <row r="1324" spans="1:56" ht="13.95" hidden="1" customHeight="1" thickTop="1" thickBot="1" x14ac:dyDescent="0.3">
      <c r="A1324" s="336"/>
      <c r="B1324" s="348" t="s">
        <v>863</v>
      </c>
      <c r="C1324" s="357" t="s">
        <v>864</v>
      </c>
      <c r="D1324" s="357" t="s">
        <v>865</v>
      </c>
      <c r="E1324" s="338"/>
      <c r="F1324" s="1"/>
      <c r="BB1324" s="6"/>
    </row>
    <row r="1325" spans="1:56" ht="13.95" hidden="1" customHeight="1" thickTop="1" thickBot="1" x14ac:dyDescent="0.3">
      <c r="A1325" s="336"/>
      <c r="B1325" s="337" t="s">
        <v>868</v>
      </c>
      <c r="C1325" s="358" t="str">
        <f>AM1325</f>
        <v>YYYY-MM-DD</v>
      </c>
      <c r="D1325" s="358" t="str">
        <f>AM1325</f>
        <v>YYYY-MM-DD</v>
      </c>
      <c r="E1325" s="338"/>
      <c r="F1325" s="1"/>
      <c r="AH1325" s="616" t="str">
        <f>IF(NOT(D1325=AQ1325),D1325,"")</f>
        <v>YYYY-MM-DD</v>
      </c>
      <c r="AI1325" s="616"/>
      <c r="AM1325" s="351" t="s">
        <v>869</v>
      </c>
      <c r="AQ1325" s="351"/>
      <c r="BB1325" s="6"/>
    </row>
    <row r="1326" spans="1:56" ht="13.95" hidden="1" customHeight="1" thickTop="1" thickBot="1" x14ac:dyDescent="0.3">
      <c r="A1326" s="336"/>
      <c r="B1326" s="337" t="s">
        <v>874</v>
      </c>
      <c r="C1326" s="360"/>
      <c r="D1326" s="361" t="str">
        <f>AC1326</f>
        <v/>
      </c>
      <c r="E1326" s="338"/>
      <c r="F1326" s="1"/>
      <c r="AC1326" s="58" t="str">
        <f>IF(AND(AC$1196&gt;0,C1326=BN$1201),BM$1201,IF(AND(AC$1196&gt;0,C1326=BN$1202),BM$1202,IF(AND(AC$1196&gt;0,C1326=BN$1203),BM$1203,IF(AND(AC$1196&gt;0,C1326=BN$1204),BM$1204,IF(AND(AC$1196&gt;0,C1326=BN$1205),BM$1205,"")))))</f>
        <v/>
      </c>
      <c r="AI1326" s="626">
        <f>AV1327/AL$1197</f>
        <v>0</v>
      </c>
      <c r="AJ1326" s="626"/>
      <c r="AK1326" s="6" t="s">
        <v>875</v>
      </c>
      <c r="AO1326" s="11" t="str">
        <f>IF(AI1326=0,"none",(AI1326*100))</f>
        <v>none</v>
      </c>
      <c r="AP1326" s="6" t="str">
        <f>IF(AO1326="none"," of weekly support cost.","% of weekly support cost.")</f>
        <v xml:space="preserve"> of weekly support cost.</v>
      </c>
      <c r="BB1326" s="6"/>
    </row>
    <row r="1327" spans="1:56" ht="13.95" hidden="1" customHeight="1" thickTop="1" thickBot="1" x14ac:dyDescent="0.3">
      <c r="A1327" s="336"/>
      <c r="B1327" s="337" t="s">
        <v>877</v>
      </c>
      <c r="C1327" s="362"/>
      <c r="D1327" s="337" t="str">
        <f>IF(NOT(AV1327&gt;0),"",AC1327)</f>
        <v/>
      </c>
      <c r="E1327" s="338"/>
      <c r="F1327" s="1"/>
      <c r="AC1327" s="263" t="str">
        <f>CONCATENATE(AO1327,AT1327)</f>
        <v>Weekly contribution: $0.00</v>
      </c>
      <c r="AO1327" s="6" t="s">
        <v>878</v>
      </c>
      <c r="AT1327" s="263" t="str">
        <f>DOLLAR(AV1327)</f>
        <v>$0.00</v>
      </c>
      <c r="AV1327" s="338">
        <f>IF(AND(D1326=BM$1205,C1327=B$2043),D$2043,IF(AND(D1326=BM$1205,C1327=B$2044),D$2044,IF(AND(D1326=BM$1205,C1327=B$2045),D$2045,IF(AND(D1326=BM$1205,C1327=B$2046),D$2046,IF(AND(D1326=BM$1205,C1327=B$2047),D$2047,IF(AND(D1326=BM$1205,C1327=B$2048),D$2048,0))))))</f>
        <v>0</v>
      </c>
      <c r="AX1327" s="11" t="str">
        <f>DOLLAR(AZ1327)</f>
        <v>$45.00</v>
      </c>
      <c r="AZ1327" s="363">
        <f>$AJ$1197-AV1327</f>
        <v>45</v>
      </c>
      <c r="BB1327" s="6"/>
      <c r="BD1327" s="322">
        <f>AV1327</f>
        <v>0</v>
      </c>
    </row>
    <row r="1328" spans="1:56" ht="13.95" hidden="1" customHeight="1" thickTop="1" x14ac:dyDescent="0.25">
      <c r="A1328" s="336"/>
      <c r="B1328" s="337"/>
      <c r="C1328" s="337" t="str">
        <f>CONCATENATE(AK1326,AO1326,AP1326)</f>
        <v>This covers none of weekly support cost.</v>
      </c>
      <c r="D1328" s="337" t="str">
        <f>BF$1200</f>
        <v>$45 to go for weekly support.</v>
      </c>
      <c r="E1328" s="338"/>
      <c r="F1328" s="1"/>
      <c r="AC1328" s="6" t="s">
        <v>880</v>
      </c>
      <c r="AI1328" s="154">
        <f>MIN(D1326,AE1322)</f>
        <v>0</v>
      </c>
      <c r="AJ1328" s="6">
        <f>ROUND(AI1328,2)</f>
        <v>0</v>
      </c>
      <c r="AK1328" s="6" t="str">
        <f>CONCATENATE(AC1328,AJ1328)</f>
        <v>contribution per exchange: $0</v>
      </c>
    </row>
    <row r="1329" spans="1:56" ht="13.95" hidden="1" customHeight="1" x14ac:dyDescent="0.25">
      <c r="A1329" s="336"/>
      <c r="B1329" s="337"/>
      <c r="C1329" s="337"/>
      <c r="D1329" s="337"/>
      <c r="E1329" s="338"/>
      <c r="F1329" s="1"/>
    </row>
    <row r="1330" spans="1:56" ht="4.95" hidden="1" customHeight="1" thickBot="1" x14ac:dyDescent="0.3">
      <c r="A1330" s="338"/>
      <c r="B1330" s="340"/>
      <c r="C1330" s="341"/>
      <c r="D1330" s="338"/>
      <c r="E1330" s="338"/>
      <c r="F1330" s="1"/>
      <c r="AC1330" s="334"/>
      <c r="AJ1330" s="335"/>
      <c r="BB1330" s="6"/>
    </row>
    <row r="1331" spans="1:56" ht="16.8" hidden="1" thickTop="1" thickBot="1" x14ac:dyDescent="0.3">
      <c r="A1331" s="347">
        <f>IF(C1331="",0,1+A1321)</f>
        <v>14</v>
      </c>
      <c r="B1331" s="348" t="s">
        <v>896</v>
      </c>
      <c r="C1331" s="349" t="str">
        <f>AM1331</f>
        <v>FIRST NAME</v>
      </c>
      <c r="D1331" s="350" t="str">
        <f>AQ1331</f>
        <v>LAST NAME</v>
      </c>
      <c r="E1331" s="338"/>
      <c r="F1331" s="1"/>
      <c r="AC1331" s="333" t="str">
        <f>IF(NOT(C1331=AM1331),C1331,"")</f>
        <v/>
      </c>
      <c r="AH1331" s="333" t="str">
        <f>IF(NOT(D1331=AQ1331),D1331,"")</f>
        <v/>
      </c>
      <c r="AM1331" s="351" t="s">
        <v>853</v>
      </c>
      <c r="AQ1331" s="351" t="s">
        <v>107</v>
      </c>
      <c r="BB1331" s="6"/>
    </row>
    <row r="1332" spans="1:56" ht="15" hidden="1" thickTop="1" thickBot="1" x14ac:dyDescent="0.3">
      <c r="A1332" s="336"/>
      <c r="B1332" s="338" t="s">
        <v>856</v>
      </c>
      <c r="C1332" s="353"/>
      <c r="D1332" s="5"/>
      <c r="E1332" s="338"/>
      <c r="F1332" s="1"/>
      <c r="AC1332" s="6">
        <f>IF(C1332="",0,1)</f>
        <v>0</v>
      </c>
      <c r="AE1332" s="6">
        <f>IF($AC$1202=1,AC$1197,0)</f>
        <v>0</v>
      </c>
      <c r="BB1332" s="6"/>
    </row>
    <row r="1333" spans="1:56" ht="13.95" hidden="1" customHeight="1" thickTop="1" thickBot="1" x14ac:dyDescent="0.3">
      <c r="A1333" s="336"/>
      <c r="B1333" s="354" t="s">
        <v>859</v>
      </c>
      <c r="C1333" s="353"/>
      <c r="D1333" s="355" t="str">
        <f>AS1333</f>
        <v>AWARENESS OF ISSUE</v>
      </c>
      <c r="E1333" s="338"/>
      <c r="F1333" s="1"/>
      <c r="AM1333" s="356"/>
      <c r="AN1333" s="356"/>
      <c r="AO1333" s="356"/>
      <c r="AP1333" s="356"/>
      <c r="AS1333" s="6" t="str">
        <f>AS1323</f>
        <v>AWARENESS OF ISSUE</v>
      </c>
      <c r="BB1333" s="6"/>
    </row>
    <row r="1334" spans="1:56" ht="13.95" hidden="1" customHeight="1" thickTop="1" thickBot="1" x14ac:dyDescent="0.3">
      <c r="A1334" s="336"/>
      <c r="B1334" s="348" t="s">
        <v>863</v>
      </c>
      <c r="C1334" s="357" t="s">
        <v>864</v>
      </c>
      <c r="D1334" s="357" t="s">
        <v>865</v>
      </c>
      <c r="E1334" s="338"/>
      <c r="F1334" s="1"/>
      <c r="BB1334" s="6"/>
    </row>
    <row r="1335" spans="1:56" ht="13.95" hidden="1" customHeight="1" thickTop="1" thickBot="1" x14ac:dyDescent="0.3">
      <c r="A1335" s="336"/>
      <c r="B1335" s="337" t="s">
        <v>868</v>
      </c>
      <c r="C1335" s="358" t="str">
        <f>AM1335</f>
        <v>YYYY-MM-DD</v>
      </c>
      <c r="D1335" s="358" t="str">
        <f>AM1335</f>
        <v>YYYY-MM-DD</v>
      </c>
      <c r="E1335" s="338"/>
      <c r="F1335" s="1"/>
      <c r="AH1335" s="616" t="str">
        <f>IF(NOT(D1335=AQ1335),D1335,"")</f>
        <v>YYYY-MM-DD</v>
      </c>
      <c r="AI1335" s="616"/>
      <c r="AM1335" s="351" t="s">
        <v>869</v>
      </c>
      <c r="AQ1335" s="351"/>
      <c r="BB1335" s="6"/>
    </row>
    <row r="1336" spans="1:56" ht="13.95" hidden="1" customHeight="1" thickTop="1" thickBot="1" x14ac:dyDescent="0.3">
      <c r="A1336" s="336"/>
      <c r="B1336" s="337" t="s">
        <v>874</v>
      </c>
      <c r="C1336" s="360"/>
      <c r="D1336" s="361" t="str">
        <f>AC1336</f>
        <v/>
      </c>
      <c r="E1336" s="338"/>
      <c r="F1336" s="1"/>
      <c r="AC1336" s="58" t="str">
        <f>IF(AND(AC$1196&gt;0,C1336=BN$1201),BM$1201,IF(AND(AC$1196&gt;0,C1336=BN$1202),BM$1202,IF(AND(AC$1196&gt;0,C1336=BN$1203),BM$1203,IF(AND(AC$1196&gt;0,C1336=BN$1204),BM$1204,IF(AND(AC$1196&gt;0,C1336=BN$1205),BM$1205,"")))))</f>
        <v/>
      </c>
      <c r="AI1336" s="626">
        <f>AV1337/AL$1197</f>
        <v>0</v>
      </c>
      <c r="AJ1336" s="626"/>
      <c r="AK1336" s="6" t="s">
        <v>875</v>
      </c>
      <c r="AO1336" s="11" t="str">
        <f>IF(AI1336=0,"none",(AI1336*100))</f>
        <v>none</v>
      </c>
      <c r="AP1336" s="6" t="str">
        <f>IF(AO1336="none"," of weekly support cost.","% of weekly support cost.")</f>
        <v xml:space="preserve"> of weekly support cost.</v>
      </c>
      <c r="BB1336" s="6"/>
    </row>
    <row r="1337" spans="1:56" ht="13.95" hidden="1" customHeight="1" thickTop="1" thickBot="1" x14ac:dyDescent="0.3">
      <c r="A1337" s="336"/>
      <c r="B1337" s="337" t="s">
        <v>877</v>
      </c>
      <c r="C1337" s="362"/>
      <c r="D1337" s="337" t="str">
        <f>IF(NOT(AV1337&gt;0),"",AC1337)</f>
        <v/>
      </c>
      <c r="E1337" s="338"/>
      <c r="F1337" s="1"/>
      <c r="AC1337" s="263" t="str">
        <f>CONCATENATE(AO1337,AT1337)</f>
        <v>Weekly contribution: $0.00</v>
      </c>
      <c r="AO1337" s="6" t="s">
        <v>878</v>
      </c>
      <c r="AT1337" s="263" t="str">
        <f>DOLLAR(AV1337)</f>
        <v>$0.00</v>
      </c>
      <c r="AV1337" s="338">
        <f>IF(AND(D1336=BM$1205,C1337=B$2043),D$2043,IF(AND(D1336=BM$1205,C1337=B$2044),D$2044,IF(AND(D1336=BM$1205,C1337=B$2045),D$2045,IF(AND(D1336=BM$1205,C1337=B$2046),D$2046,IF(AND(D1336=BM$1205,C1337=B$2047),D$2047,IF(AND(D1336=BM$1205,C1337=B$2048),D$2048,0))))))</f>
        <v>0</v>
      </c>
      <c r="AX1337" s="11" t="str">
        <f>DOLLAR(AZ1337)</f>
        <v>$45.00</v>
      </c>
      <c r="AZ1337" s="363">
        <f>$AJ$1197-AV1337</f>
        <v>45</v>
      </c>
      <c r="BB1337" s="359">
        <f>AV1337/AC$1197</f>
        <v>0</v>
      </c>
      <c r="BD1337" s="322">
        <f>AV1337</f>
        <v>0</v>
      </c>
    </row>
    <row r="1338" spans="1:56" ht="13.95" hidden="1" customHeight="1" thickTop="1" x14ac:dyDescent="0.25">
      <c r="A1338" s="336"/>
      <c r="B1338" s="337"/>
      <c r="C1338" s="337" t="str">
        <f>CONCATENATE(AK1336,AO1336,AP1336)</f>
        <v>This covers none of weekly support cost.</v>
      </c>
      <c r="D1338" s="337" t="str">
        <f>BF$1200</f>
        <v>$45 to go for weekly support.</v>
      </c>
      <c r="E1338" s="338"/>
      <c r="F1338" s="1"/>
      <c r="AC1338" s="6" t="s">
        <v>880</v>
      </c>
      <c r="AI1338" s="154">
        <f>MIN(D1336,AE1332)</f>
        <v>0</v>
      </c>
      <c r="AJ1338" s="6">
        <f>ROUND(AI1338,2)</f>
        <v>0</v>
      </c>
      <c r="AK1338" s="6" t="str">
        <f>CONCATENATE(AC1338,AJ1338)</f>
        <v>contribution per exchange: $0</v>
      </c>
    </row>
    <row r="1339" spans="1:56" ht="18" hidden="1" customHeight="1" x14ac:dyDescent="0.25">
      <c r="A1339" s="336"/>
      <c r="B1339" s="337"/>
      <c r="C1339" s="337"/>
      <c r="D1339" s="337"/>
      <c r="E1339" s="338"/>
      <c r="F1339" s="1"/>
    </row>
    <row r="1340" spans="1:56" ht="4.95" hidden="1" customHeight="1" thickBot="1" x14ac:dyDescent="0.3">
      <c r="A1340" s="338"/>
      <c r="B1340" s="340"/>
      <c r="C1340" s="341"/>
      <c r="D1340" s="338"/>
      <c r="E1340" s="338"/>
      <c r="F1340" s="1"/>
      <c r="AC1340" s="334"/>
      <c r="AJ1340" s="335"/>
      <c r="BB1340" s="6"/>
    </row>
    <row r="1341" spans="1:56" ht="16.8" hidden="1" thickTop="1" thickBot="1" x14ac:dyDescent="0.3">
      <c r="A1341" s="347">
        <f>IF(C1341="",0,1+A1331)</f>
        <v>15</v>
      </c>
      <c r="B1341" s="348" t="s">
        <v>897</v>
      </c>
      <c r="C1341" s="349" t="str">
        <f>AM1341</f>
        <v>FIRST NAME</v>
      </c>
      <c r="D1341" s="350" t="str">
        <f>AQ1341</f>
        <v>LAST NAME</v>
      </c>
      <c r="E1341" s="338"/>
      <c r="F1341" s="1"/>
      <c r="AC1341" s="333" t="str">
        <f>IF(NOT(C1341=AM1341),C1341,"")</f>
        <v/>
      </c>
      <c r="AH1341" s="333" t="str">
        <f>IF(NOT(D1341=AQ1341),D1341,"")</f>
        <v/>
      </c>
      <c r="AM1341" s="351" t="s">
        <v>853</v>
      </c>
      <c r="AQ1341" s="351" t="s">
        <v>107</v>
      </c>
      <c r="BB1341" s="6"/>
    </row>
    <row r="1342" spans="1:56" ht="15" hidden="1" thickTop="1" thickBot="1" x14ac:dyDescent="0.3">
      <c r="A1342" s="336"/>
      <c r="B1342" s="338" t="s">
        <v>856</v>
      </c>
      <c r="C1342" s="353"/>
      <c r="D1342" s="5"/>
      <c r="E1342" s="338"/>
      <c r="F1342" s="1"/>
      <c r="AC1342" s="6">
        <f>IF(C1342="",0,1)</f>
        <v>0</v>
      </c>
      <c r="AE1342" s="6">
        <f>IF($AC$1202=1,AC$1197,0)</f>
        <v>0</v>
      </c>
      <c r="BB1342" s="6"/>
    </row>
    <row r="1343" spans="1:56" ht="13.95" hidden="1" customHeight="1" thickTop="1" thickBot="1" x14ac:dyDescent="0.3">
      <c r="A1343" s="336"/>
      <c r="B1343" s="354" t="s">
        <v>859</v>
      </c>
      <c r="C1343" s="353"/>
      <c r="D1343" s="355" t="str">
        <f>AS1343</f>
        <v>AWARENESS OF ISSUE</v>
      </c>
      <c r="E1343" s="338"/>
      <c r="F1343" s="1"/>
      <c r="AM1343" s="356"/>
      <c r="AN1343" s="356"/>
      <c r="AO1343" s="356"/>
      <c r="AP1343" s="356"/>
      <c r="AS1343" s="6" t="str">
        <f>AS1333</f>
        <v>AWARENESS OF ISSUE</v>
      </c>
      <c r="BB1343" s="6"/>
    </row>
    <row r="1344" spans="1:56" ht="13.95" hidden="1" customHeight="1" thickTop="1" thickBot="1" x14ac:dyDescent="0.3">
      <c r="A1344" s="336"/>
      <c r="B1344" s="348" t="s">
        <v>863</v>
      </c>
      <c r="C1344" s="357" t="s">
        <v>864</v>
      </c>
      <c r="D1344" s="357" t="s">
        <v>865</v>
      </c>
      <c r="E1344" s="338"/>
      <c r="F1344" s="1"/>
      <c r="BB1344" s="6"/>
    </row>
    <row r="1345" spans="1:56" ht="13.95" hidden="1" customHeight="1" thickTop="1" thickBot="1" x14ac:dyDescent="0.3">
      <c r="A1345" s="336"/>
      <c r="B1345" s="337" t="s">
        <v>868</v>
      </c>
      <c r="C1345" s="358" t="str">
        <f>AM1345</f>
        <v>YYYY-MM-DD</v>
      </c>
      <c r="D1345" s="358" t="str">
        <f>AM1345</f>
        <v>YYYY-MM-DD</v>
      </c>
      <c r="E1345" s="338"/>
      <c r="F1345" s="1"/>
      <c r="AH1345" s="616" t="str">
        <f>IF(NOT(D1345=AQ1345),D1345,"")</f>
        <v>YYYY-MM-DD</v>
      </c>
      <c r="AI1345" s="616"/>
      <c r="AM1345" s="351" t="s">
        <v>869</v>
      </c>
      <c r="AQ1345" s="351"/>
      <c r="BB1345" s="6"/>
    </row>
    <row r="1346" spans="1:56" ht="13.95" hidden="1" customHeight="1" thickTop="1" thickBot="1" x14ac:dyDescent="0.3">
      <c r="A1346" s="336"/>
      <c r="B1346" s="337" t="s">
        <v>874</v>
      </c>
      <c r="C1346" s="360"/>
      <c r="D1346" s="361" t="str">
        <f>AC1346</f>
        <v/>
      </c>
      <c r="E1346" s="338"/>
      <c r="F1346" s="1"/>
      <c r="AC1346" s="58" t="str">
        <f>IF(AND(AC$1196&gt;0,C1346=BN$1201),BM$1201,IF(AND(AC$1196&gt;0,C1346=BN$1202),BM$1202,IF(AND(AC$1196&gt;0,C1346=BN$1203),BM$1203,IF(AND(AC$1196&gt;0,C1346=BN$1204),BM$1204,IF(AND(AC$1196&gt;0,C1346=BN$1205),BM$1205,"")))))</f>
        <v/>
      </c>
      <c r="AI1346" s="626">
        <f>AV1347/AL$1197</f>
        <v>0</v>
      </c>
      <c r="AJ1346" s="626"/>
      <c r="AK1346" s="6" t="s">
        <v>875</v>
      </c>
      <c r="AO1346" s="11" t="str">
        <f>IF(AI1346=0,"none",(AI1346*100))</f>
        <v>none</v>
      </c>
      <c r="AP1346" s="6" t="str">
        <f>IF(AO1346="none"," of weekly support cost.","% of weekly support cost.")</f>
        <v xml:space="preserve"> of weekly support cost.</v>
      </c>
      <c r="BB1346" s="6"/>
    </row>
    <row r="1347" spans="1:56" ht="13.95" hidden="1" customHeight="1" thickTop="1" thickBot="1" x14ac:dyDescent="0.3">
      <c r="A1347" s="336"/>
      <c r="B1347" s="337" t="s">
        <v>877</v>
      </c>
      <c r="C1347" s="362"/>
      <c r="D1347" s="337" t="str">
        <f>IF(NOT(AV1347&gt;0),"",AC1347)</f>
        <v/>
      </c>
      <c r="E1347" s="338"/>
      <c r="F1347" s="1"/>
      <c r="AC1347" s="263" t="str">
        <f>CONCATENATE(AO1347,AT1347)</f>
        <v>Weekly contribution: $0.00</v>
      </c>
      <c r="AO1347" s="6" t="s">
        <v>878</v>
      </c>
      <c r="AT1347" s="263" t="str">
        <f>DOLLAR(AV1347)</f>
        <v>$0.00</v>
      </c>
      <c r="AV1347" s="338">
        <f>IF(AND(D1346=BM$1205,C1347=B$2043),D$2043,IF(AND(D1346=BM$1205,C1347=B$2044),D$2044,IF(AND(D1346=BM$1205,C1347=B$2045),D$2045,IF(AND(D1346=BM$1205,C1347=B$2046),D$2046,IF(AND(D1346=BM$1205,C1347=B$2047),D$2047,IF(AND(D1346=BM$1205,C1347=B$2048),D$2048,0))))))</f>
        <v>0</v>
      </c>
      <c r="AX1347" s="11" t="str">
        <f>DOLLAR(AZ1347)</f>
        <v>$45.00</v>
      </c>
      <c r="AZ1347" s="363">
        <f>$AJ$1197-AV1347</f>
        <v>45</v>
      </c>
      <c r="BB1347" s="6"/>
      <c r="BD1347" s="322">
        <f>AV1347</f>
        <v>0</v>
      </c>
    </row>
    <row r="1348" spans="1:56" ht="13.95" hidden="1" customHeight="1" thickTop="1" x14ac:dyDescent="0.25">
      <c r="A1348" s="336"/>
      <c r="B1348" s="337"/>
      <c r="C1348" s="337" t="str">
        <f>CONCATENATE(AK1346,AO1346,AP1346)</f>
        <v>This covers none of weekly support cost.</v>
      </c>
      <c r="D1348" s="337" t="str">
        <f>BF$1200</f>
        <v>$45 to go for weekly support.</v>
      </c>
      <c r="E1348" s="338"/>
      <c r="F1348" s="1"/>
      <c r="AC1348" s="6" t="s">
        <v>880</v>
      </c>
      <c r="AI1348" s="154">
        <f>MIN(D1346,AE1342)</f>
        <v>0</v>
      </c>
      <c r="AJ1348" s="6">
        <f>ROUND(AI1348,2)</f>
        <v>0</v>
      </c>
      <c r="AK1348" s="6" t="str">
        <f>CONCATENATE(AC1348,AJ1348)</f>
        <v>contribution per exchange: $0</v>
      </c>
    </row>
    <row r="1349" spans="1:56" ht="13.95" hidden="1" customHeight="1" x14ac:dyDescent="0.25">
      <c r="A1349" s="336"/>
      <c r="B1349" s="337"/>
      <c r="C1349" s="337"/>
      <c r="D1349" s="337"/>
      <c r="E1349" s="338"/>
      <c r="F1349" s="1"/>
    </row>
    <row r="1350" spans="1:56" ht="4.95" hidden="1" customHeight="1" thickBot="1" x14ac:dyDescent="0.3">
      <c r="A1350" s="338"/>
      <c r="B1350" s="340"/>
      <c r="C1350" s="341"/>
      <c r="D1350" s="338"/>
      <c r="E1350" s="338"/>
      <c r="F1350" s="1"/>
      <c r="AC1350" s="334"/>
      <c r="AJ1350" s="335"/>
      <c r="BB1350" s="6"/>
    </row>
    <row r="1351" spans="1:56" ht="16.8" hidden="1" thickTop="1" thickBot="1" x14ac:dyDescent="0.3">
      <c r="A1351" s="347">
        <f>IF(C1351="",0,1+A1341)</f>
        <v>16</v>
      </c>
      <c r="B1351" s="348" t="s">
        <v>898</v>
      </c>
      <c r="C1351" s="349" t="str">
        <f>AM1351</f>
        <v>FIRST NAME</v>
      </c>
      <c r="D1351" s="350" t="str">
        <f>AQ1351</f>
        <v>LAST NAME</v>
      </c>
      <c r="E1351" s="338"/>
      <c r="F1351" s="1"/>
      <c r="AC1351" s="333" t="str">
        <f>IF(NOT(C1351=AM1351),C1351,"")</f>
        <v/>
      </c>
      <c r="AH1351" s="333" t="str">
        <f>IF(NOT(D1351=AQ1351),D1351,"")</f>
        <v/>
      </c>
      <c r="AM1351" s="351" t="s">
        <v>853</v>
      </c>
      <c r="AQ1351" s="351" t="s">
        <v>107</v>
      </c>
      <c r="BB1351" s="6"/>
    </row>
    <row r="1352" spans="1:56" ht="15" hidden="1" thickTop="1" thickBot="1" x14ac:dyDescent="0.3">
      <c r="A1352" s="336"/>
      <c r="B1352" s="338" t="s">
        <v>856</v>
      </c>
      <c r="C1352" s="353"/>
      <c r="D1352" s="5"/>
      <c r="E1352" s="338"/>
      <c r="F1352" s="1"/>
      <c r="AC1352" s="6">
        <f>IF(C1352="",0,1)</f>
        <v>0</v>
      </c>
      <c r="AE1352" s="6">
        <f>IF($AC$1202=1,AC$1197,0)</f>
        <v>0</v>
      </c>
      <c r="BB1352" s="6"/>
    </row>
    <row r="1353" spans="1:56" ht="13.95" hidden="1" customHeight="1" thickTop="1" thickBot="1" x14ac:dyDescent="0.3">
      <c r="A1353" s="336"/>
      <c r="B1353" s="354" t="s">
        <v>859</v>
      </c>
      <c r="C1353" s="353"/>
      <c r="D1353" s="355" t="str">
        <f>AS1353</f>
        <v>AWARENESS OF ISSUE</v>
      </c>
      <c r="E1353" s="338"/>
      <c r="F1353" s="1"/>
      <c r="AM1353" s="356"/>
      <c r="AN1353" s="356"/>
      <c r="AO1353" s="356"/>
      <c r="AP1353" s="356"/>
      <c r="AS1353" s="6" t="str">
        <f>AS1343</f>
        <v>AWARENESS OF ISSUE</v>
      </c>
      <c r="BB1353" s="6"/>
    </row>
    <row r="1354" spans="1:56" ht="13.95" hidden="1" customHeight="1" thickTop="1" thickBot="1" x14ac:dyDescent="0.3">
      <c r="A1354" s="336"/>
      <c r="B1354" s="348" t="s">
        <v>863</v>
      </c>
      <c r="C1354" s="357" t="s">
        <v>864</v>
      </c>
      <c r="D1354" s="357" t="s">
        <v>865</v>
      </c>
      <c r="E1354" s="338"/>
      <c r="F1354" s="1"/>
      <c r="BB1354" s="6"/>
    </row>
    <row r="1355" spans="1:56" ht="13.95" hidden="1" customHeight="1" thickTop="1" thickBot="1" x14ac:dyDescent="0.3">
      <c r="A1355" s="336"/>
      <c r="B1355" s="337" t="s">
        <v>868</v>
      </c>
      <c r="C1355" s="358" t="str">
        <f>AM1355</f>
        <v>YYYY-MM-DD</v>
      </c>
      <c r="D1355" s="358" t="str">
        <f>AM1355</f>
        <v>YYYY-MM-DD</v>
      </c>
      <c r="E1355" s="338"/>
      <c r="F1355" s="1"/>
      <c r="AH1355" s="616" t="str">
        <f>IF(NOT(D1355=AQ1355),D1355,"")</f>
        <v>YYYY-MM-DD</v>
      </c>
      <c r="AI1355" s="616"/>
      <c r="AM1355" s="351" t="s">
        <v>869</v>
      </c>
      <c r="AQ1355" s="351"/>
      <c r="BB1355" s="6"/>
    </row>
    <row r="1356" spans="1:56" ht="13.95" hidden="1" customHeight="1" thickTop="1" thickBot="1" x14ac:dyDescent="0.3">
      <c r="A1356" s="336"/>
      <c r="B1356" s="337" t="s">
        <v>874</v>
      </c>
      <c r="C1356" s="360"/>
      <c r="D1356" s="361" t="str">
        <f>AC1356</f>
        <v/>
      </c>
      <c r="E1356" s="338"/>
      <c r="F1356" s="1"/>
      <c r="AC1356" s="58" t="str">
        <f>IF(AND(AC$1196&gt;0,C1356=BN$1201),BM$1201,IF(AND(AC$1196&gt;0,C1356=BN$1202),BM$1202,IF(AND(AC$1196&gt;0,C1356=BN$1203),BM$1203,IF(AND(AC$1196&gt;0,C1356=BN$1204),BM$1204,IF(AND(AC$1196&gt;0,C1356=BN$1205),BM$1205,"")))))</f>
        <v/>
      </c>
      <c r="AI1356" s="626">
        <f>AV1357/AL$1197</f>
        <v>0</v>
      </c>
      <c r="AJ1356" s="626"/>
      <c r="AK1356" s="6" t="s">
        <v>875</v>
      </c>
      <c r="AO1356" s="11" t="str">
        <f>IF(AI1356=0,"none",(AI1356*100))</f>
        <v>none</v>
      </c>
      <c r="AP1356" s="6" t="str">
        <f>IF(AO1356="none"," of weekly support cost.","% of weekly support cost.")</f>
        <v xml:space="preserve"> of weekly support cost.</v>
      </c>
      <c r="BB1356" s="6"/>
    </row>
    <row r="1357" spans="1:56" ht="13.95" hidden="1" customHeight="1" thickTop="1" thickBot="1" x14ac:dyDescent="0.3">
      <c r="A1357" s="336"/>
      <c r="B1357" s="337" t="s">
        <v>877</v>
      </c>
      <c r="C1357" s="362"/>
      <c r="D1357" s="337" t="str">
        <f>IF(NOT(AV1357&gt;0),"",AC1357)</f>
        <v/>
      </c>
      <c r="E1357" s="338"/>
      <c r="F1357" s="1"/>
      <c r="AC1357" s="263" t="str">
        <f>CONCATENATE(AO1357,AT1357)</f>
        <v>Weekly contribution: $0.00</v>
      </c>
      <c r="AO1357" s="6" t="s">
        <v>878</v>
      </c>
      <c r="AT1357" s="263" t="str">
        <f>DOLLAR(AV1357)</f>
        <v>$0.00</v>
      </c>
      <c r="AV1357" s="338">
        <f>IF(AND(D1356=BM$1205,C1357=B$2043),D$2043,IF(AND(D1356=BM$1205,C1357=B$2044),D$2044,IF(AND(D1356=BM$1205,C1357=B$2045),D$2045,IF(AND(D1356=BM$1205,C1357=B$2046),D$2046,IF(AND(D1356=BM$1205,C1357=B$2047),D$2047,IF(AND(D1356=BM$1205,C1357=B$2048),D$2048,0))))))</f>
        <v>0</v>
      </c>
      <c r="AX1357" s="11" t="str">
        <f>DOLLAR(AZ1357)</f>
        <v>$45.00</v>
      </c>
      <c r="AZ1357" s="363">
        <f>$AJ$1197-AV1357</f>
        <v>45</v>
      </c>
      <c r="BB1357" s="6"/>
      <c r="BD1357" s="322">
        <f>AV1357</f>
        <v>0</v>
      </c>
    </row>
    <row r="1358" spans="1:56" ht="13.95" hidden="1" customHeight="1" thickTop="1" x14ac:dyDescent="0.25">
      <c r="A1358" s="336"/>
      <c r="B1358" s="337"/>
      <c r="C1358" s="337" t="str">
        <f>CONCATENATE(AK1356,AO1356,AP1356)</f>
        <v>This covers none of weekly support cost.</v>
      </c>
      <c r="D1358" s="337" t="str">
        <f>BF$1200</f>
        <v>$45 to go for weekly support.</v>
      </c>
      <c r="E1358" s="338"/>
      <c r="F1358" s="1"/>
      <c r="AC1358" s="6" t="s">
        <v>880</v>
      </c>
      <c r="AI1358" s="154">
        <f>MIN(D1356,AE1352)</f>
        <v>0</v>
      </c>
      <c r="AJ1358" s="6">
        <f>ROUND(AI1358,2)</f>
        <v>0</v>
      </c>
      <c r="AK1358" s="6" t="str">
        <f>CONCATENATE(AC1358,AJ1358)</f>
        <v>contribution per exchange: $0</v>
      </c>
    </row>
    <row r="1359" spans="1:56" ht="13.95" hidden="1" customHeight="1" x14ac:dyDescent="0.25">
      <c r="A1359" s="336"/>
      <c r="B1359" s="337"/>
      <c r="C1359" s="337"/>
      <c r="D1359" s="337"/>
      <c r="E1359" s="338"/>
      <c r="F1359" s="1"/>
    </row>
    <row r="1360" spans="1:56" ht="4.95" hidden="1" customHeight="1" thickBot="1" x14ac:dyDescent="0.3">
      <c r="A1360" s="338"/>
      <c r="B1360" s="340"/>
      <c r="C1360" s="341"/>
      <c r="D1360" s="338"/>
      <c r="E1360" s="338"/>
      <c r="F1360" s="1"/>
      <c r="AC1360" s="334"/>
      <c r="AJ1360" s="335"/>
      <c r="BB1360" s="6"/>
    </row>
    <row r="1361" spans="1:56" ht="16.8" hidden="1" thickTop="1" thickBot="1" x14ac:dyDescent="0.3">
      <c r="A1361" s="347">
        <f>IF(C1361="",0,1+A1351)</f>
        <v>17</v>
      </c>
      <c r="B1361" s="348" t="s">
        <v>899</v>
      </c>
      <c r="C1361" s="349" t="str">
        <f>AM1361</f>
        <v>FIRST NAME</v>
      </c>
      <c r="D1361" s="350" t="str">
        <f>AQ1361</f>
        <v>LAST NAME</v>
      </c>
      <c r="E1361" s="338"/>
      <c r="F1361" s="1"/>
      <c r="AC1361" s="333" t="str">
        <f>IF(NOT(C1361=AM1361),C1361,"")</f>
        <v/>
      </c>
      <c r="AH1361" s="333" t="str">
        <f>IF(NOT(D1361=AQ1361),D1361,"")</f>
        <v/>
      </c>
      <c r="AM1361" s="351" t="s">
        <v>853</v>
      </c>
      <c r="AQ1361" s="351" t="s">
        <v>107</v>
      </c>
      <c r="BB1361" s="6"/>
    </row>
    <row r="1362" spans="1:56" ht="15" hidden="1" thickTop="1" thickBot="1" x14ac:dyDescent="0.3">
      <c r="A1362" s="336"/>
      <c r="B1362" s="338" t="s">
        <v>856</v>
      </c>
      <c r="C1362" s="353"/>
      <c r="D1362" s="5"/>
      <c r="E1362" s="338"/>
      <c r="F1362" s="1"/>
      <c r="AC1362" s="6">
        <f>IF(C1362="",0,1)</f>
        <v>0</v>
      </c>
      <c r="AE1362" s="6">
        <f>IF($AC$1202=1,AC$1197,0)</f>
        <v>0</v>
      </c>
      <c r="BB1362" s="6"/>
    </row>
    <row r="1363" spans="1:56" ht="13.95" hidden="1" customHeight="1" thickTop="1" thickBot="1" x14ac:dyDescent="0.3">
      <c r="A1363" s="336"/>
      <c r="B1363" s="354" t="s">
        <v>859</v>
      </c>
      <c r="C1363" s="353"/>
      <c r="D1363" s="355" t="str">
        <f>AS1363</f>
        <v>AWARENESS OF ISSUE</v>
      </c>
      <c r="E1363" s="338"/>
      <c r="F1363" s="1"/>
      <c r="AM1363" s="356"/>
      <c r="AN1363" s="356"/>
      <c r="AO1363" s="356"/>
      <c r="AP1363" s="356"/>
      <c r="AS1363" s="6" t="str">
        <f>AS1353</f>
        <v>AWARENESS OF ISSUE</v>
      </c>
      <c r="BB1363" s="6"/>
    </row>
    <row r="1364" spans="1:56" ht="13.95" hidden="1" customHeight="1" thickTop="1" thickBot="1" x14ac:dyDescent="0.3">
      <c r="A1364" s="336"/>
      <c r="B1364" s="348" t="s">
        <v>863</v>
      </c>
      <c r="C1364" s="357" t="s">
        <v>864</v>
      </c>
      <c r="D1364" s="357" t="s">
        <v>865</v>
      </c>
      <c r="E1364" s="338"/>
      <c r="F1364" s="1"/>
      <c r="BB1364" s="6"/>
    </row>
    <row r="1365" spans="1:56" ht="13.95" hidden="1" customHeight="1" thickTop="1" thickBot="1" x14ac:dyDescent="0.3">
      <c r="A1365" s="336"/>
      <c r="B1365" s="337" t="s">
        <v>868</v>
      </c>
      <c r="C1365" s="358" t="str">
        <f>AM1365</f>
        <v>YYYY-MM-DD</v>
      </c>
      <c r="D1365" s="358" t="str">
        <f>AM1365</f>
        <v>YYYY-MM-DD</v>
      </c>
      <c r="E1365" s="338"/>
      <c r="F1365" s="1"/>
      <c r="AH1365" s="616" t="str">
        <f>IF(NOT(D1365=AQ1365),D1365,"")</f>
        <v>YYYY-MM-DD</v>
      </c>
      <c r="AI1365" s="616"/>
      <c r="AM1365" s="351" t="s">
        <v>869</v>
      </c>
      <c r="AQ1365" s="351"/>
      <c r="BB1365" s="6"/>
    </row>
    <row r="1366" spans="1:56" ht="13.95" hidden="1" customHeight="1" thickTop="1" thickBot="1" x14ac:dyDescent="0.3">
      <c r="A1366" s="336"/>
      <c r="B1366" s="337" t="s">
        <v>874</v>
      </c>
      <c r="C1366" s="360"/>
      <c r="D1366" s="361" t="str">
        <f>AC1366</f>
        <v/>
      </c>
      <c r="E1366" s="338"/>
      <c r="F1366" s="1"/>
      <c r="AC1366" s="58" t="str">
        <f>IF(AND(AC$1196&gt;0,C1366=BN$1201),BM$1201,IF(AND(AC$1196&gt;0,C1366=BN$1202),BM$1202,IF(AND(AC$1196&gt;0,C1366=BN$1203),BM$1203,IF(AND(AC$1196&gt;0,C1366=BN$1204),BM$1204,IF(AND(AC$1196&gt;0,C1366=BN$1205),BM$1205,"")))))</f>
        <v/>
      </c>
      <c r="AI1366" s="626">
        <f>AV1367/AL$1197</f>
        <v>0</v>
      </c>
      <c r="AJ1366" s="626"/>
      <c r="AK1366" s="6" t="s">
        <v>875</v>
      </c>
      <c r="AO1366" s="11" t="str">
        <f>IF(AI1366=0,"none",(AI1366*100))</f>
        <v>none</v>
      </c>
      <c r="AP1366" s="6" t="str">
        <f>IF(AO1366="none"," of weekly support cost.","% of weekly support cost.")</f>
        <v xml:space="preserve"> of weekly support cost.</v>
      </c>
      <c r="BB1366" s="6"/>
    </row>
    <row r="1367" spans="1:56" ht="13.95" hidden="1" customHeight="1" thickTop="1" thickBot="1" x14ac:dyDescent="0.3">
      <c r="A1367" s="336"/>
      <c r="B1367" s="337" t="s">
        <v>877</v>
      </c>
      <c r="C1367" s="362"/>
      <c r="D1367" s="337" t="str">
        <f>IF(NOT(AV1367&gt;0),"",AC1367)</f>
        <v/>
      </c>
      <c r="E1367" s="338"/>
      <c r="F1367" s="1"/>
      <c r="AC1367" s="263" t="str">
        <f>CONCATENATE(AO1367,AT1367)</f>
        <v>Weekly contribution: $0.00</v>
      </c>
      <c r="AO1367" s="6" t="s">
        <v>878</v>
      </c>
      <c r="AT1367" s="263" t="str">
        <f>DOLLAR(AV1367)</f>
        <v>$0.00</v>
      </c>
      <c r="AV1367" s="338">
        <f>IF(AND(D1366=BM$1205,C1367=B$2043),D$2043,IF(AND(D1366=BM$1205,C1367=B$2044),D$2044,IF(AND(D1366=BM$1205,C1367=B$2045),D$2045,IF(AND(D1366=BM$1205,C1367=B$2046),D$2046,IF(AND(D1366=BM$1205,C1367=B$2047),D$2047,IF(AND(D1366=BM$1205,C1367=B$2048),D$2048,0))))))</f>
        <v>0</v>
      </c>
      <c r="AX1367" s="11" t="str">
        <f>DOLLAR(AZ1367)</f>
        <v>$45.00</v>
      </c>
      <c r="AZ1367" s="363">
        <f>$AJ$1197-AV1367</f>
        <v>45</v>
      </c>
      <c r="BB1367" s="6"/>
      <c r="BD1367" s="322">
        <f>AV1367</f>
        <v>0</v>
      </c>
    </row>
    <row r="1368" spans="1:56" ht="13.95" hidden="1" customHeight="1" thickTop="1" x14ac:dyDescent="0.25">
      <c r="A1368" s="336"/>
      <c r="B1368" s="337"/>
      <c r="C1368" s="337" t="str">
        <f>CONCATENATE(AK1366,AO1366,AP1366)</f>
        <v>This covers none of weekly support cost.</v>
      </c>
      <c r="D1368" s="337" t="str">
        <f>BF$1200</f>
        <v>$45 to go for weekly support.</v>
      </c>
      <c r="E1368" s="338"/>
      <c r="F1368" s="1"/>
      <c r="AC1368" s="6" t="s">
        <v>880</v>
      </c>
      <c r="AI1368" s="154">
        <f>MIN(D1366,AE1362)</f>
        <v>0</v>
      </c>
      <c r="AJ1368" s="6">
        <f>ROUND(AI1368,2)</f>
        <v>0</v>
      </c>
      <c r="AK1368" s="6" t="str">
        <f>CONCATENATE(AC1368,AJ1368)</f>
        <v>contribution per exchange: $0</v>
      </c>
    </row>
    <row r="1369" spans="1:56" ht="13.95" hidden="1" customHeight="1" x14ac:dyDescent="0.25">
      <c r="A1369" s="336"/>
      <c r="B1369" s="337"/>
      <c r="C1369" s="337"/>
      <c r="D1369" s="337"/>
      <c r="E1369" s="338"/>
      <c r="F1369" s="1"/>
    </row>
    <row r="1370" spans="1:56" ht="4.95" hidden="1" customHeight="1" thickBot="1" x14ac:dyDescent="0.3">
      <c r="A1370" s="338"/>
      <c r="B1370" s="340"/>
      <c r="C1370" s="341"/>
      <c r="D1370" s="338"/>
      <c r="E1370" s="338"/>
      <c r="F1370" s="1"/>
      <c r="AC1370" s="334"/>
      <c r="AJ1370" s="335"/>
      <c r="BB1370" s="6"/>
    </row>
    <row r="1371" spans="1:56" ht="16.8" hidden="1" thickTop="1" thickBot="1" x14ac:dyDescent="0.3">
      <c r="A1371" s="347">
        <f>IF(C1371="",0,1+A1361)</f>
        <v>18</v>
      </c>
      <c r="B1371" s="348" t="s">
        <v>900</v>
      </c>
      <c r="C1371" s="349" t="str">
        <f>AM1371</f>
        <v>FIRST NAME</v>
      </c>
      <c r="D1371" s="350" t="str">
        <f>AQ1371</f>
        <v>LAST NAME</v>
      </c>
      <c r="E1371" s="338"/>
      <c r="F1371" s="1"/>
      <c r="AC1371" s="333" t="str">
        <f>IF(NOT(C1371=AM1371),C1371,"")</f>
        <v/>
      </c>
      <c r="AH1371" s="333" t="str">
        <f>IF(NOT(D1371=AQ1371),D1371,"")</f>
        <v/>
      </c>
      <c r="AM1371" s="351" t="s">
        <v>853</v>
      </c>
      <c r="AQ1371" s="351" t="s">
        <v>107</v>
      </c>
      <c r="BB1371" s="6"/>
    </row>
    <row r="1372" spans="1:56" ht="15" hidden="1" thickTop="1" thickBot="1" x14ac:dyDescent="0.3">
      <c r="A1372" s="336"/>
      <c r="B1372" s="338" t="s">
        <v>856</v>
      </c>
      <c r="C1372" s="353"/>
      <c r="D1372" s="5"/>
      <c r="E1372" s="338"/>
      <c r="F1372" s="1"/>
      <c r="AC1372" s="6">
        <f>IF(C1372="",0,1)</f>
        <v>0</v>
      </c>
      <c r="AE1372" s="6">
        <f>IF($AC$1202=1,AC$1197,0)</f>
        <v>0</v>
      </c>
      <c r="BB1372" s="6"/>
    </row>
    <row r="1373" spans="1:56" ht="13.95" hidden="1" customHeight="1" thickTop="1" thickBot="1" x14ac:dyDescent="0.3">
      <c r="A1373" s="336"/>
      <c r="B1373" s="354" t="s">
        <v>859</v>
      </c>
      <c r="C1373" s="353"/>
      <c r="D1373" s="355" t="str">
        <f>AS1373</f>
        <v>AWARENESS OF ISSUE</v>
      </c>
      <c r="E1373" s="338"/>
      <c r="F1373" s="1"/>
      <c r="AM1373" s="356"/>
      <c r="AN1373" s="356"/>
      <c r="AO1373" s="356"/>
      <c r="AP1373" s="356"/>
      <c r="AS1373" s="6" t="str">
        <f>AS1363</f>
        <v>AWARENESS OF ISSUE</v>
      </c>
      <c r="BB1373" s="6"/>
    </row>
    <row r="1374" spans="1:56" ht="13.95" hidden="1" customHeight="1" thickTop="1" thickBot="1" x14ac:dyDescent="0.3">
      <c r="A1374" s="336"/>
      <c r="B1374" s="348" t="s">
        <v>863</v>
      </c>
      <c r="C1374" s="357" t="s">
        <v>864</v>
      </c>
      <c r="D1374" s="357" t="s">
        <v>865</v>
      </c>
      <c r="E1374" s="338"/>
      <c r="F1374" s="1"/>
      <c r="BB1374" s="6"/>
    </row>
    <row r="1375" spans="1:56" ht="13.95" hidden="1" customHeight="1" thickTop="1" thickBot="1" x14ac:dyDescent="0.3">
      <c r="A1375" s="336"/>
      <c r="B1375" s="337" t="s">
        <v>868</v>
      </c>
      <c r="C1375" s="358" t="str">
        <f>AM1375</f>
        <v>YYYY-MM-DD</v>
      </c>
      <c r="D1375" s="358" t="str">
        <f>AM1375</f>
        <v>YYYY-MM-DD</v>
      </c>
      <c r="E1375" s="338"/>
      <c r="F1375" s="1"/>
      <c r="AH1375" s="616" t="str">
        <f>IF(NOT(D1375=AQ1375),D1375,"")</f>
        <v>YYYY-MM-DD</v>
      </c>
      <c r="AI1375" s="616"/>
      <c r="AM1375" s="351" t="s">
        <v>869</v>
      </c>
      <c r="AQ1375" s="351"/>
      <c r="BB1375" s="6"/>
    </row>
    <row r="1376" spans="1:56" ht="13.95" hidden="1" customHeight="1" thickTop="1" thickBot="1" x14ac:dyDescent="0.3">
      <c r="A1376" s="336"/>
      <c r="B1376" s="337" t="s">
        <v>874</v>
      </c>
      <c r="C1376" s="360"/>
      <c r="D1376" s="361" t="str">
        <f>AC1376</f>
        <v/>
      </c>
      <c r="E1376" s="338"/>
      <c r="F1376" s="1"/>
      <c r="AC1376" s="58" t="str">
        <f>IF(AND(AC$1196&gt;0,C1376=BN$1201),BM$1201,IF(AND(AC$1196&gt;0,C1376=BN$1202),BM$1202,IF(AND(AC$1196&gt;0,C1376=BN$1203),BM$1203,IF(AND(AC$1196&gt;0,C1376=BN$1204),BM$1204,IF(AND(AC$1196&gt;0,C1376=BN$1205),BM$1205,"")))))</f>
        <v/>
      </c>
      <c r="AI1376" s="626">
        <f>AV1377/AL$1197</f>
        <v>0</v>
      </c>
      <c r="AJ1376" s="626"/>
      <c r="AK1376" s="6" t="s">
        <v>875</v>
      </c>
      <c r="AO1376" s="11" t="str">
        <f>IF(AI1376=0,"none",(AI1376*100))</f>
        <v>none</v>
      </c>
      <c r="AP1376" s="6" t="str">
        <f>IF(AO1376="none"," of weekly support cost.","% of weekly support cost.")</f>
        <v xml:space="preserve"> of weekly support cost.</v>
      </c>
      <c r="BB1376" s="6"/>
    </row>
    <row r="1377" spans="1:56" ht="13.95" hidden="1" customHeight="1" thickTop="1" thickBot="1" x14ac:dyDescent="0.3">
      <c r="A1377" s="336"/>
      <c r="B1377" s="337" t="s">
        <v>877</v>
      </c>
      <c r="C1377" s="362"/>
      <c r="D1377" s="337" t="str">
        <f>IF(NOT(AV1377&gt;0),"",AC1377)</f>
        <v/>
      </c>
      <c r="E1377" s="338"/>
      <c r="F1377" s="1"/>
      <c r="AC1377" s="263" t="str">
        <f>CONCATENATE(AO1377,AT1377)</f>
        <v>Weekly contribution: $0.00</v>
      </c>
      <c r="AO1377" s="6" t="s">
        <v>878</v>
      </c>
      <c r="AT1377" s="263" t="str">
        <f>DOLLAR(AV1377)</f>
        <v>$0.00</v>
      </c>
      <c r="AV1377" s="338">
        <f>IF(AND(D1376=BM$1205,C1377=B$2043),D$2043,IF(AND(D1376=BM$1205,C1377=B$2044),D$2044,IF(AND(D1376=BM$1205,C1377=B$2045),D$2045,IF(AND(D1376=BM$1205,C1377=B$2046),D$2046,IF(AND(D1376=BM$1205,C1377=B$2047),D$2047,IF(AND(D1376=BM$1205,C1377=B$2048),D$2048,0))))))</f>
        <v>0</v>
      </c>
      <c r="AX1377" s="11" t="str">
        <f>DOLLAR(AZ1377)</f>
        <v>$45.00</v>
      </c>
      <c r="AZ1377" s="363">
        <f>$AJ$1197-AV1377</f>
        <v>45</v>
      </c>
      <c r="BB1377" s="6"/>
      <c r="BD1377" s="322">
        <f>AV1377</f>
        <v>0</v>
      </c>
    </row>
    <row r="1378" spans="1:56" ht="13.95" hidden="1" customHeight="1" thickTop="1" x14ac:dyDescent="0.25">
      <c r="A1378" s="336"/>
      <c r="B1378" s="337"/>
      <c r="C1378" s="337" t="str">
        <f>CONCATENATE(AK1376,AO1376,AP1376)</f>
        <v>This covers none of weekly support cost.</v>
      </c>
      <c r="D1378" s="337" t="str">
        <f>BF$1200</f>
        <v>$45 to go for weekly support.</v>
      </c>
      <c r="E1378" s="338"/>
      <c r="F1378" s="1"/>
      <c r="AC1378" s="6" t="s">
        <v>880</v>
      </c>
      <c r="AI1378" s="154">
        <f>MIN(D1376,AE1372)</f>
        <v>0</v>
      </c>
      <c r="AJ1378" s="6">
        <f>ROUND(AI1378,2)</f>
        <v>0</v>
      </c>
      <c r="AK1378" s="6" t="str">
        <f>CONCATENATE(AC1378,AJ1378)</f>
        <v>contribution per exchange: $0</v>
      </c>
    </row>
    <row r="1379" spans="1:56" ht="13.95" hidden="1" customHeight="1" x14ac:dyDescent="0.25">
      <c r="A1379" s="336"/>
      <c r="B1379" s="337"/>
      <c r="C1379" s="337"/>
      <c r="D1379" s="337"/>
      <c r="E1379" s="338"/>
      <c r="F1379" s="1"/>
    </row>
    <row r="1380" spans="1:56" ht="4.95" hidden="1" customHeight="1" thickBot="1" x14ac:dyDescent="0.3">
      <c r="A1380" s="338"/>
      <c r="B1380" s="340"/>
      <c r="C1380" s="341"/>
      <c r="D1380" s="338"/>
      <c r="E1380" s="338"/>
      <c r="F1380" s="1"/>
      <c r="AC1380" s="334"/>
      <c r="AJ1380" s="335"/>
      <c r="BB1380" s="6"/>
    </row>
    <row r="1381" spans="1:56" ht="16.8" hidden="1" thickTop="1" thickBot="1" x14ac:dyDescent="0.3">
      <c r="A1381" s="347">
        <f>IF(C1381="",0,1+A1371)</f>
        <v>19</v>
      </c>
      <c r="B1381" s="348" t="s">
        <v>901</v>
      </c>
      <c r="C1381" s="349" t="str">
        <f>AM1381</f>
        <v>FIRST NAME</v>
      </c>
      <c r="D1381" s="350" t="str">
        <f>AQ1381</f>
        <v>LAST NAME</v>
      </c>
      <c r="E1381" s="338"/>
      <c r="F1381" s="1"/>
      <c r="AC1381" s="333" t="str">
        <f>IF(NOT(C1381=AM1381),C1381,"")</f>
        <v/>
      </c>
      <c r="AH1381" s="333" t="str">
        <f>IF(NOT(D1381=AQ1381),D1381,"")</f>
        <v/>
      </c>
      <c r="AM1381" s="351" t="s">
        <v>853</v>
      </c>
      <c r="AQ1381" s="351" t="s">
        <v>107</v>
      </c>
      <c r="BB1381" s="6"/>
    </row>
    <row r="1382" spans="1:56" ht="15" hidden="1" thickTop="1" thickBot="1" x14ac:dyDescent="0.3">
      <c r="A1382" s="336"/>
      <c r="B1382" s="338" t="s">
        <v>856</v>
      </c>
      <c r="C1382" s="353"/>
      <c r="D1382" s="5"/>
      <c r="E1382" s="338"/>
      <c r="F1382" s="1"/>
      <c r="AC1382" s="6">
        <f>IF(C1382="",0,1)</f>
        <v>0</v>
      </c>
      <c r="AE1382" s="6">
        <f>IF($AC$1202=1,AC$1197,0)</f>
        <v>0</v>
      </c>
      <c r="BB1382" s="6"/>
    </row>
    <row r="1383" spans="1:56" ht="13.95" hidden="1" customHeight="1" thickTop="1" thickBot="1" x14ac:dyDescent="0.3">
      <c r="A1383" s="336"/>
      <c r="B1383" s="354" t="s">
        <v>859</v>
      </c>
      <c r="C1383" s="353"/>
      <c r="D1383" s="355" t="str">
        <f>AS1383</f>
        <v>AWARENESS OF ISSUE</v>
      </c>
      <c r="E1383" s="338"/>
      <c r="F1383" s="1"/>
      <c r="AM1383" s="356"/>
      <c r="AN1383" s="356"/>
      <c r="AO1383" s="356"/>
      <c r="AP1383" s="356"/>
      <c r="AS1383" s="6" t="str">
        <f>AS1373</f>
        <v>AWARENESS OF ISSUE</v>
      </c>
      <c r="BB1383" s="6"/>
    </row>
    <row r="1384" spans="1:56" ht="13.95" hidden="1" customHeight="1" thickTop="1" thickBot="1" x14ac:dyDescent="0.3">
      <c r="A1384" s="336"/>
      <c r="B1384" s="348" t="s">
        <v>863</v>
      </c>
      <c r="C1384" s="357" t="s">
        <v>864</v>
      </c>
      <c r="D1384" s="357" t="s">
        <v>865</v>
      </c>
      <c r="E1384" s="338"/>
      <c r="F1384" s="1"/>
      <c r="BB1384" s="6"/>
    </row>
    <row r="1385" spans="1:56" ht="13.95" hidden="1" customHeight="1" thickTop="1" thickBot="1" x14ac:dyDescent="0.3">
      <c r="A1385" s="336"/>
      <c r="B1385" s="337" t="s">
        <v>868</v>
      </c>
      <c r="C1385" s="358" t="str">
        <f>AM1385</f>
        <v>YYYY-MM-DD</v>
      </c>
      <c r="D1385" s="358" t="str">
        <f>AM1385</f>
        <v>YYYY-MM-DD</v>
      </c>
      <c r="E1385" s="338"/>
      <c r="F1385" s="1"/>
      <c r="AH1385" s="616" t="str">
        <f>IF(NOT(D1385=AQ1385),D1385,"")</f>
        <v>YYYY-MM-DD</v>
      </c>
      <c r="AI1385" s="616"/>
      <c r="AM1385" s="351" t="s">
        <v>869</v>
      </c>
      <c r="AQ1385" s="351"/>
      <c r="BB1385" s="6"/>
    </row>
    <row r="1386" spans="1:56" ht="13.95" hidden="1" customHeight="1" thickTop="1" thickBot="1" x14ac:dyDescent="0.3">
      <c r="A1386" s="336"/>
      <c r="B1386" s="337" t="s">
        <v>874</v>
      </c>
      <c r="C1386" s="360"/>
      <c r="D1386" s="361" t="str">
        <f>AC1386</f>
        <v/>
      </c>
      <c r="E1386" s="338"/>
      <c r="F1386" s="1"/>
      <c r="AC1386" s="58" t="str">
        <f>IF(AND(AC$1196&gt;0,C1386=BN$1201),BM$1201,IF(AND(AC$1196&gt;0,C1386=BN$1202),BM$1202,IF(AND(AC$1196&gt;0,C1386=BN$1203),BM$1203,IF(AND(AC$1196&gt;0,C1386=BN$1204),BM$1204,IF(AND(AC$1196&gt;0,C1386=BN$1205),BM$1205,"")))))</f>
        <v/>
      </c>
      <c r="AI1386" s="626">
        <f>AV1387/AL$1197</f>
        <v>0</v>
      </c>
      <c r="AJ1386" s="626"/>
      <c r="AK1386" s="6" t="s">
        <v>875</v>
      </c>
      <c r="AO1386" s="11" t="str">
        <f>IF(AI1386=0,"none",(AI1386*100))</f>
        <v>none</v>
      </c>
      <c r="AP1386" s="6" t="str">
        <f>IF(AO1386="none"," of weekly support cost.","% of weekly support cost.")</f>
        <v xml:space="preserve"> of weekly support cost.</v>
      </c>
      <c r="BB1386" s="6"/>
    </row>
    <row r="1387" spans="1:56" ht="13.95" hidden="1" customHeight="1" thickTop="1" thickBot="1" x14ac:dyDescent="0.3">
      <c r="A1387" s="336"/>
      <c r="B1387" s="337" t="s">
        <v>877</v>
      </c>
      <c r="C1387" s="362"/>
      <c r="D1387" s="337" t="str">
        <f>IF(NOT(AV1387&gt;0),"",AC1387)</f>
        <v/>
      </c>
      <c r="E1387" s="338"/>
      <c r="F1387" s="1"/>
      <c r="AC1387" s="263" t="str">
        <f>CONCATENATE(AO1387,AT1387)</f>
        <v>Weekly contribution: $0.00</v>
      </c>
      <c r="AO1387" s="6" t="s">
        <v>878</v>
      </c>
      <c r="AT1387" s="263" t="str">
        <f>DOLLAR(AV1387)</f>
        <v>$0.00</v>
      </c>
      <c r="AV1387" s="338">
        <f>IF(AND(D1386=BM$1205,C1387=B$2043),D$2043,IF(AND(D1386=BM$1205,C1387=B$2044),D$2044,IF(AND(D1386=BM$1205,C1387=B$2045),D$2045,IF(AND(D1386=BM$1205,C1387=B$2046),D$2046,IF(AND(D1386=BM$1205,C1387=B$2047),D$2047,IF(AND(D1386=BM$1205,C1387=B$2048),D$2048,0))))))</f>
        <v>0</v>
      </c>
      <c r="AX1387" s="11" t="str">
        <f>DOLLAR(AZ1387)</f>
        <v>$45.00</v>
      </c>
      <c r="AZ1387" s="363">
        <f>$AJ$1197-AV1387</f>
        <v>45</v>
      </c>
      <c r="BB1387" s="6"/>
      <c r="BD1387" s="322">
        <f>AV1387</f>
        <v>0</v>
      </c>
    </row>
    <row r="1388" spans="1:56" ht="13.95" hidden="1" customHeight="1" thickTop="1" x14ac:dyDescent="0.25">
      <c r="A1388" s="336"/>
      <c r="B1388" s="337"/>
      <c r="C1388" s="337" t="str">
        <f>CONCATENATE(AK1386,AO1386,AP1386)</f>
        <v>This covers none of weekly support cost.</v>
      </c>
      <c r="D1388" s="337" t="str">
        <f>BF$1200</f>
        <v>$45 to go for weekly support.</v>
      </c>
      <c r="E1388" s="338"/>
      <c r="F1388" s="1"/>
      <c r="AC1388" s="6" t="s">
        <v>880</v>
      </c>
      <c r="AI1388" s="154">
        <f>MIN(D1386,AE1382)</f>
        <v>0</v>
      </c>
      <c r="AJ1388" s="6">
        <f>ROUND(AI1388,2)</f>
        <v>0</v>
      </c>
      <c r="AK1388" s="6" t="str">
        <f>CONCATENATE(AC1388,AJ1388)</f>
        <v>contribution per exchange: $0</v>
      </c>
    </row>
    <row r="1389" spans="1:56" ht="18" hidden="1" customHeight="1" x14ac:dyDescent="0.25">
      <c r="A1389" s="336"/>
      <c r="B1389" s="337"/>
      <c r="C1389" s="337"/>
      <c r="D1389" s="337"/>
      <c r="E1389" s="338"/>
      <c r="F1389" s="1"/>
    </row>
    <row r="1390" spans="1:56" ht="4.95" hidden="1" customHeight="1" thickBot="1" x14ac:dyDescent="0.3">
      <c r="A1390" s="338"/>
      <c r="B1390" s="340"/>
      <c r="C1390" s="341"/>
      <c r="D1390" s="338"/>
      <c r="E1390" s="338"/>
      <c r="F1390" s="1"/>
      <c r="AC1390" s="334"/>
      <c r="AJ1390" s="335"/>
      <c r="BB1390" s="6"/>
    </row>
    <row r="1391" spans="1:56" ht="16.8" hidden="1" thickTop="1" thickBot="1" x14ac:dyDescent="0.3">
      <c r="A1391" s="347">
        <f>IF(C1391="",0,1+A1381)</f>
        <v>20</v>
      </c>
      <c r="B1391" s="348" t="s">
        <v>902</v>
      </c>
      <c r="C1391" s="349" t="str">
        <f>AM1391</f>
        <v>FIRST NAME</v>
      </c>
      <c r="D1391" s="350" t="str">
        <f>AQ1391</f>
        <v>LAST NAME</v>
      </c>
      <c r="E1391" s="338"/>
      <c r="F1391" s="1"/>
      <c r="AC1391" s="333" t="str">
        <f>IF(NOT(C1391=AM1391),C1391,"")</f>
        <v/>
      </c>
      <c r="AH1391" s="333" t="str">
        <f>IF(NOT(D1391=AQ1391),D1391,"")</f>
        <v/>
      </c>
      <c r="AM1391" s="351" t="s">
        <v>853</v>
      </c>
      <c r="AQ1391" s="351" t="s">
        <v>107</v>
      </c>
      <c r="BB1391" s="6"/>
    </row>
    <row r="1392" spans="1:56" ht="15" hidden="1" thickTop="1" thickBot="1" x14ac:dyDescent="0.3">
      <c r="A1392" s="336"/>
      <c r="B1392" s="338" t="s">
        <v>856</v>
      </c>
      <c r="C1392" s="353"/>
      <c r="D1392" s="5"/>
      <c r="E1392" s="338"/>
      <c r="F1392" s="1"/>
      <c r="AC1392" s="6">
        <f>IF(C1392="",0,1)</f>
        <v>0</v>
      </c>
      <c r="AE1392" s="6">
        <f>IF($AC$1202=1,AC$1197,0)</f>
        <v>0</v>
      </c>
      <c r="BB1392" s="6"/>
    </row>
    <row r="1393" spans="1:56" ht="13.95" hidden="1" customHeight="1" thickTop="1" thickBot="1" x14ac:dyDescent="0.3">
      <c r="A1393" s="336"/>
      <c r="B1393" s="354" t="s">
        <v>859</v>
      </c>
      <c r="C1393" s="353"/>
      <c r="D1393" s="355" t="str">
        <f>AS1393</f>
        <v>AWARENESS OF ISSUE</v>
      </c>
      <c r="E1393" s="338"/>
      <c r="F1393" s="1"/>
      <c r="AM1393" s="356"/>
      <c r="AN1393" s="356"/>
      <c r="AO1393" s="356"/>
      <c r="AP1393" s="356"/>
      <c r="AS1393" s="6" t="str">
        <f>AS1383</f>
        <v>AWARENESS OF ISSUE</v>
      </c>
      <c r="BB1393" s="6"/>
    </row>
    <row r="1394" spans="1:56" ht="13.95" hidden="1" customHeight="1" thickTop="1" thickBot="1" x14ac:dyDescent="0.3">
      <c r="A1394" s="336"/>
      <c r="B1394" s="348" t="s">
        <v>863</v>
      </c>
      <c r="C1394" s="357" t="s">
        <v>864</v>
      </c>
      <c r="D1394" s="357" t="s">
        <v>865</v>
      </c>
      <c r="E1394" s="338"/>
      <c r="F1394" s="1"/>
      <c r="BB1394" s="6"/>
    </row>
    <row r="1395" spans="1:56" ht="13.95" hidden="1" customHeight="1" thickTop="1" thickBot="1" x14ac:dyDescent="0.3">
      <c r="A1395" s="336"/>
      <c r="B1395" s="337" t="s">
        <v>868</v>
      </c>
      <c r="C1395" s="358" t="str">
        <f>AM1395</f>
        <v>YYYY-MM-DD</v>
      </c>
      <c r="D1395" s="358" t="str">
        <f>AM1395</f>
        <v>YYYY-MM-DD</v>
      </c>
      <c r="E1395" s="338"/>
      <c r="F1395" s="1"/>
      <c r="AH1395" s="616" t="str">
        <f>IF(NOT(D1395=AQ1395),D1395,"")</f>
        <v>YYYY-MM-DD</v>
      </c>
      <c r="AI1395" s="616"/>
      <c r="AM1395" s="351" t="s">
        <v>869</v>
      </c>
      <c r="AQ1395" s="351"/>
      <c r="BB1395" s="6"/>
    </row>
    <row r="1396" spans="1:56" ht="13.95" hidden="1" customHeight="1" thickTop="1" thickBot="1" x14ac:dyDescent="0.3">
      <c r="A1396" s="336"/>
      <c r="B1396" s="337" t="s">
        <v>874</v>
      </c>
      <c r="C1396" s="360"/>
      <c r="D1396" s="361" t="str">
        <f>AC1396</f>
        <v/>
      </c>
      <c r="E1396" s="338"/>
      <c r="F1396" s="1"/>
      <c r="AC1396" s="58" t="str">
        <f>IF(AND(AC$1196&gt;0,C1396=BN$1201),BM$1201,IF(AND(AC$1196&gt;0,C1396=BN$1202),BM$1202,IF(AND(AC$1196&gt;0,C1396=BN$1203),BM$1203,IF(AND(AC$1196&gt;0,C1396=BN$1204),BM$1204,IF(AND(AC$1196&gt;0,C1396=BN$1205),BM$1205,"")))))</f>
        <v/>
      </c>
      <c r="AI1396" s="626">
        <f>AV1397/AL$1197</f>
        <v>0</v>
      </c>
      <c r="AJ1396" s="626"/>
      <c r="AK1396" s="6" t="s">
        <v>875</v>
      </c>
      <c r="AO1396" s="11" t="str">
        <f>IF(AI1396=0,"none",(AI1396*100))</f>
        <v>none</v>
      </c>
      <c r="AP1396" s="6" t="str">
        <f>IF(AO1396="none"," of weekly support cost.","% of weekly support cost.")</f>
        <v xml:space="preserve"> of weekly support cost.</v>
      </c>
      <c r="BB1396" s="6"/>
    </row>
    <row r="1397" spans="1:56" ht="13.95" hidden="1" customHeight="1" thickTop="1" thickBot="1" x14ac:dyDescent="0.3">
      <c r="A1397" s="336"/>
      <c r="B1397" s="337" t="s">
        <v>877</v>
      </c>
      <c r="C1397" s="362"/>
      <c r="D1397" s="337" t="str">
        <f>IF(NOT(AV1397&gt;0),"",AC1397)</f>
        <v/>
      </c>
      <c r="E1397" s="338"/>
      <c r="F1397" s="1"/>
      <c r="AC1397" s="263" t="str">
        <f>CONCATENATE(AO1397,AT1397)</f>
        <v>Weekly contribution: $0.00</v>
      </c>
      <c r="AO1397" s="6" t="s">
        <v>878</v>
      </c>
      <c r="AT1397" s="263" t="str">
        <f>DOLLAR(AV1397)</f>
        <v>$0.00</v>
      </c>
      <c r="AV1397" s="338">
        <f>IF(AND(D1396=BM$1205,C1397=B$2043),D$2043,IF(AND(D1396=BM$1205,C1397=B$2044),D$2044,IF(AND(D1396=BM$1205,C1397=B$2045),D$2045,IF(AND(D1396=BM$1205,C1397=B$2046),D$2046,IF(AND(D1396=BM$1205,C1397=B$2047),D$2047,IF(AND(D1396=BM$1205,C1397=B$2048),D$2048,0))))))</f>
        <v>0</v>
      </c>
      <c r="AX1397" s="11" t="str">
        <f>DOLLAR(AZ1397)</f>
        <v>$45.00</v>
      </c>
      <c r="AZ1397" s="363">
        <f>$AJ$1197-AV1397</f>
        <v>45</v>
      </c>
      <c r="BB1397" s="6"/>
      <c r="BD1397" s="322">
        <f>AV1397</f>
        <v>0</v>
      </c>
    </row>
    <row r="1398" spans="1:56" ht="13.95" hidden="1" customHeight="1" thickTop="1" x14ac:dyDescent="0.25">
      <c r="A1398" s="336"/>
      <c r="B1398" s="337"/>
      <c r="C1398" s="337" t="str">
        <f>CONCATENATE(AK1396,AO1396,AP1396)</f>
        <v>This covers none of weekly support cost.</v>
      </c>
      <c r="D1398" s="337" t="str">
        <f>BF$1200</f>
        <v>$45 to go for weekly support.</v>
      </c>
      <c r="E1398" s="338"/>
      <c r="F1398" s="1"/>
      <c r="AC1398" s="6" t="s">
        <v>880</v>
      </c>
      <c r="AI1398" s="154">
        <f>MIN(D1396,AE1392)</f>
        <v>0</v>
      </c>
      <c r="AJ1398" s="6">
        <f>ROUND(AI1398,2)</f>
        <v>0</v>
      </c>
      <c r="AK1398" s="6" t="str">
        <f>CONCATENATE(AC1398,AJ1398)</f>
        <v>contribution per exchange: $0</v>
      </c>
    </row>
    <row r="1399" spans="1:56" ht="13.95" hidden="1" customHeight="1" x14ac:dyDescent="0.25">
      <c r="A1399" s="336"/>
      <c r="B1399" s="337"/>
      <c r="C1399" s="337"/>
      <c r="D1399" s="337"/>
      <c r="E1399" s="338"/>
      <c r="F1399" s="1"/>
    </row>
    <row r="1400" spans="1:56" ht="4.95" hidden="1" customHeight="1" thickBot="1" x14ac:dyDescent="0.3">
      <c r="A1400" s="338"/>
      <c r="B1400" s="340"/>
      <c r="C1400" s="341"/>
      <c r="D1400" s="338"/>
      <c r="E1400" s="338"/>
      <c r="F1400" s="1"/>
      <c r="AC1400" s="334"/>
      <c r="AJ1400" s="335"/>
      <c r="BB1400" s="6"/>
    </row>
    <row r="1401" spans="1:56" ht="16.8" hidden="1" thickTop="1" thickBot="1" x14ac:dyDescent="0.3">
      <c r="A1401" s="347">
        <f>IF(C1401="",0,1+A1391)</f>
        <v>21</v>
      </c>
      <c r="B1401" s="348" t="s">
        <v>903</v>
      </c>
      <c r="C1401" s="349" t="str">
        <f>AM1401</f>
        <v>FIRST NAME</v>
      </c>
      <c r="D1401" s="350" t="str">
        <f>AQ1401</f>
        <v>LAST NAME</v>
      </c>
      <c r="E1401" s="338"/>
      <c r="F1401" s="1"/>
      <c r="AC1401" s="333" t="str">
        <f>IF(NOT(C1401=AM1401),C1401,"")</f>
        <v/>
      </c>
      <c r="AH1401" s="333" t="str">
        <f>IF(NOT(D1401=AQ1401),D1401,"")</f>
        <v/>
      </c>
      <c r="AM1401" s="351" t="s">
        <v>853</v>
      </c>
      <c r="AQ1401" s="351" t="s">
        <v>107</v>
      </c>
      <c r="BB1401" s="6"/>
    </row>
    <row r="1402" spans="1:56" ht="15" hidden="1" thickTop="1" thickBot="1" x14ac:dyDescent="0.3">
      <c r="A1402" s="336"/>
      <c r="B1402" s="338" t="s">
        <v>856</v>
      </c>
      <c r="C1402" s="353"/>
      <c r="D1402" s="5"/>
      <c r="E1402" s="338"/>
      <c r="F1402" s="1"/>
      <c r="AC1402" s="6">
        <f>IF(C1402="",0,1)</f>
        <v>0</v>
      </c>
      <c r="AE1402" s="6">
        <f>IF($AC$1202=1,AC$1197,0)</f>
        <v>0</v>
      </c>
      <c r="BB1402" s="6"/>
    </row>
    <row r="1403" spans="1:56" ht="13.95" hidden="1" customHeight="1" thickTop="1" thickBot="1" x14ac:dyDescent="0.3">
      <c r="A1403" s="336"/>
      <c r="B1403" s="354" t="s">
        <v>859</v>
      </c>
      <c r="C1403" s="353"/>
      <c r="D1403" s="355" t="str">
        <f>AS1403</f>
        <v>AWARENESS OF ISSUE</v>
      </c>
      <c r="E1403" s="338"/>
      <c r="F1403" s="1"/>
      <c r="AM1403" s="356"/>
      <c r="AN1403" s="356"/>
      <c r="AO1403" s="356"/>
      <c r="AP1403" s="356"/>
      <c r="AS1403" s="6" t="str">
        <f>AS1393</f>
        <v>AWARENESS OF ISSUE</v>
      </c>
      <c r="BB1403" s="6"/>
    </row>
    <row r="1404" spans="1:56" ht="13.95" hidden="1" customHeight="1" thickTop="1" thickBot="1" x14ac:dyDescent="0.3">
      <c r="A1404" s="336"/>
      <c r="B1404" s="348" t="s">
        <v>863</v>
      </c>
      <c r="C1404" s="357" t="s">
        <v>864</v>
      </c>
      <c r="D1404" s="357" t="s">
        <v>865</v>
      </c>
      <c r="E1404" s="338"/>
      <c r="F1404" s="1"/>
      <c r="BB1404" s="6"/>
    </row>
    <row r="1405" spans="1:56" ht="13.95" hidden="1" customHeight="1" thickTop="1" thickBot="1" x14ac:dyDescent="0.3">
      <c r="A1405" s="336"/>
      <c r="B1405" s="337" t="s">
        <v>868</v>
      </c>
      <c r="C1405" s="358" t="str">
        <f>AM1405</f>
        <v>YYYY-MM-DD</v>
      </c>
      <c r="D1405" s="358" t="str">
        <f>AM1405</f>
        <v>YYYY-MM-DD</v>
      </c>
      <c r="E1405" s="338"/>
      <c r="F1405" s="1"/>
      <c r="AH1405" s="616" t="str">
        <f>IF(NOT(D1405=AQ1405),D1405,"")</f>
        <v>YYYY-MM-DD</v>
      </c>
      <c r="AI1405" s="616"/>
      <c r="AM1405" s="351" t="s">
        <v>869</v>
      </c>
      <c r="AQ1405" s="351"/>
      <c r="BB1405" s="6"/>
    </row>
    <row r="1406" spans="1:56" ht="13.95" hidden="1" customHeight="1" thickTop="1" thickBot="1" x14ac:dyDescent="0.3">
      <c r="A1406" s="336"/>
      <c r="B1406" s="337" t="s">
        <v>874</v>
      </c>
      <c r="C1406" s="360"/>
      <c r="D1406" s="361" t="str">
        <f>AC1406</f>
        <v/>
      </c>
      <c r="E1406" s="338"/>
      <c r="F1406" s="1"/>
      <c r="AC1406" s="58" t="str">
        <f>IF(AND(AC$1196&gt;0,C1406=BN$1201),BM$1201,IF(AND(AC$1196&gt;0,C1406=BN$1202),BM$1202,IF(AND(AC$1196&gt;0,C1406=BN$1203),BM$1203,IF(AND(AC$1196&gt;0,C1406=BN$1204),BM$1204,IF(AND(AC$1196&gt;0,C1406=BN$1205),BM$1205,"")))))</f>
        <v/>
      </c>
      <c r="AI1406" s="626">
        <f>AV1407/AL$1197</f>
        <v>0</v>
      </c>
      <c r="AJ1406" s="626"/>
      <c r="AK1406" s="6" t="s">
        <v>875</v>
      </c>
      <c r="AO1406" s="11" t="str">
        <f>IF(AI1406=0,"none",(AI1406*100))</f>
        <v>none</v>
      </c>
      <c r="AP1406" s="6" t="str">
        <f>IF(AO1406="none"," of weekly support cost.","% of weekly support cost.")</f>
        <v xml:space="preserve"> of weekly support cost.</v>
      </c>
      <c r="BB1406" s="6"/>
    </row>
    <row r="1407" spans="1:56" ht="13.95" hidden="1" customHeight="1" thickTop="1" thickBot="1" x14ac:dyDescent="0.3">
      <c r="A1407" s="336"/>
      <c r="B1407" s="337" t="s">
        <v>877</v>
      </c>
      <c r="C1407" s="362"/>
      <c r="D1407" s="337" t="str">
        <f>IF(NOT(AV1407&gt;0),"",AC1407)</f>
        <v/>
      </c>
      <c r="E1407" s="338"/>
      <c r="F1407" s="1"/>
      <c r="AC1407" s="263" t="str">
        <f>CONCATENATE(AO1407,AT1407)</f>
        <v>Weekly contribution: $0.00</v>
      </c>
      <c r="AO1407" s="6" t="s">
        <v>878</v>
      </c>
      <c r="AT1407" s="263" t="str">
        <f>DOLLAR(AV1407)</f>
        <v>$0.00</v>
      </c>
      <c r="AV1407" s="338">
        <f>IF(AND(D1406=BM$1205,C1407=B$2043),D$2043,IF(AND(D1406=BM$1205,C1407=B$2044),D$2044,IF(AND(D1406=BM$1205,C1407=B$2045),D$2045,IF(AND(D1406=BM$1205,C1407=B$2046),D$2046,IF(AND(D1406=BM$1205,C1407=B$2047),D$2047,IF(AND(D1406=BM$1205,C1407=B$2048),D$2048,0))))))</f>
        <v>0</v>
      </c>
      <c r="AX1407" s="11" t="str">
        <f>DOLLAR(AZ1407)</f>
        <v>$45.00</v>
      </c>
      <c r="AZ1407" s="363">
        <f>$AJ$1197-AV1407</f>
        <v>45</v>
      </c>
      <c r="BB1407" s="6"/>
      <c r="BD1407" s="322">
        <f>AV1407</f>
        <v>0</v>
      </c>
    </row>
    <row r="1408" spans="1:56" ht="13.95" hidden="1" customHeight="1" thickTop="1" x14ac:dyDescent="0.25">
      <c r="A1408" s="336"/>
      <c r="B1408" s="337"/>
      <c r="C1408" s="337" t="str">
        <f>CONCATENATE(AK1406,AO1406,AP1406)</f>
        <v>This covers none of weekly support cost.</v>
      </c>
      <c r="D1408" s="337" t="str">
        <f>BF$1200</f>
        <v>$45 to go for weekly support.</v>
      </c>
      <c r="E1408" s="338"/>
      <c r="F1408" s="1"/>
      <c r="AC1408" s="6" t="s">
        <v>880</v>
      </c>
      <c r="AI1408" s="154">
        <f>MIN(D1406,AE1402)</f>
        <v>0</v>
      </c>
      <c r="AJ1408" s="6">
        <f>ROUND(AI1408,2)</f>
        <v>0</v>
      </c>
      <c r="AK1408" s="6" t="str">
        <f>CONCATENATE(AC1408,AJ1408)</f>
        <v>contribution per exchange: $0</v>
      </c>
    </row>
    <row r="1409" spans="1:56" ht="13.95" hidden="1" customHeight="1" x14ac:dyDescent="0.25">
      <c r="A1409" s="336"/>
      <c r="B1409" s="337"/>
      <c r="C1409" s="337"/>
      <c r="D1409" s="337"/>
      <c r="E1409" s="338"/>
      <c r="F1409" s="1"/>
    </row>
    <row r="1410" spans="1:56" ht="4.95" hidden="1" customHeight="1" thickBot="1" x14ac:dyDescent="0.3">
      <c r="A1410" s="338"/>
      <c r="B1410" s="340"/>
      <c r="C1410" s="341"/>
      <c r="D1410" s="338"/>
      <c r="E1410" s="338"/>
      <c r="F1410" s="1"/>
      <c r="AC1410" s="334"/>
      <c r="AJ1410" s="335"/>
      <c r="BB1410" s="6"/>
    </row>
    <row r="1411" spans="1:56" ht="16.8" hidden="1" thickTop="1" thickBot="1" x14ac:dyDescent="0.3">
      <c r="A1411" s="347">
        <f>IF(C1411="",0,1+A1401)</f>
        <v>22</v>
      </c>
      <c r="B1411" s="348" t="s">
        <v>904</v>
      </c>
      <c r="C1411" s="349" t="str">
        <f>AM1411</f>
        <v>FIRST NAME</v>
      </c>
      <c r="D1411" s="350" t="str">
        <f>AQ1411</f>
        <v>LAST NAME</v>
      </c>
      <c r="E1411" s="338"/>
      <c r="F1411" s="1"/>
      <c r="AC1411" s="333" t="str">
        <f>IF(NOT(C1411=AM1411),C1411,"")</f>
        <v/>
      </c>
      <c r="AH1411" s="333" t="str">
        <f>IF(NOT(D1411=AQ1411),D1411,"")</f>
        <v/>
      </c>
      <c r="AM1411" s="351" t="s">
        <v>853</v>
      </c>
      <c r="AQ1411" s="351" t="s">
        <v>107</v>
      </c>
      <c r="BB1411" s="6"/>
    </row>
    <row r="1412" spans="1:56" ht="15" hidden="1" thickTop="1" thickBot="1" x14ac:dyDescent="0.3">
      <c r="A1412" s="336"/>
      <c r="B1412" s="338" t="s">
        <v>856</v>
      </c>
      <c r="C1412" s="353"/>
      <c r="D1412" s="5"/>
      <c r="E1412" s="338"/>
      <c r="F1412" s="1"/>
      <c r="AC1412" s="6">
        <f>IF(C1412="",0,1)</f>
        <v>0</v>
      </c>
      <c r="AE1412" s="6">
        <f>IF($AC$1202=1,AC$1197,0)</f>
        <v>0</v>
      </c>
      <c r="BB1412" s="6"/>
    </row>
    <row r="1413" spans="1:56" ht="13.95" hidden="1" customHeight="1" thickTop="1" thickBot="1" x14ac:dyDescent="0.3">
      <c r="A1413" s="336"/>
      <c r="B1413" s="354" t="s">
        <v>859</v>
      </c>
      <c r="C1413" s="353"/>
      <c r="D1413" s="355" t="str">
        <f>AS1413</f>
        <v>AWARENESS OF ISSUE</v>
      </c>
      <c r="E1413" s="338"/>
      <c r="F1413" s="1"/>
      <c r="AM1413" s="356"/>
      <c r="AN1413" s="356"/>
      <c r="AO1413" s="356"/>
      <c r="AP1413" s="356"/>
      <c r="AS1413" s="6" t="str">
        <f>AS1403</f>
        <v>AWARENESS OF ISSUE</v>
      </c>
      <c r="BB1413" s="6"/>
    </row>
    <row r="1414" spans="1:56" ht="13.95" hidden="1" customHeight="1" thickTop="1" thickBot="1" x14ac:dyDescent="0.3">
      <c r="A1414" s="336"/>
      <c r="B1414" s="348" t="s">
        <v>863</v>
      </c>
      <c r="C1414" s="357" t="s">
        <v>864</v>
      </c>
      <c r="D1414" s="357" t="s">
        <v>865</v>
      </c>
      <c r="E1414" s="338"/>
      <c r="F1414" s="1"/>
      <c r="BB1414" s="6"/>
    </row>
    <row r="1415" spans="1:56" ht="13.95" hidden="1" customHeight="1" thickTop="1" thickBot="1" x14ac:dyDescent="0.3">
      <c r="A1415" s="336"/>
      <c r="B1415" s="337" t="s">
        <v>868</v>
      </c>
      <c r="C1415" s="358" t="str">
        <f>AM1415</f>
        <v>YYYY-MM-DD</v>
      </c>
      <c r="D1415" s="358" t="str">
        <f>AM1415</f>
        <v>YYYY-MM-DD</v>
      </c>
      <c r="E1415" s="338"/>
      <c r="F1415" s="1"/>
      <c r="AH1415" s="616" t="str">
        <f>IF(NOT(D1415=AQ1415),D1415,"")</f>
        <v>YYYY-MM-DD</v>
      </c>
      <c r="AI1415" s="616"/>
      <c r="AM1415" s="351" t="s">
        <v>869</v>
      </c>
      <c r="AQ1415" s="351"/>
      <c r="BB1415" s="6"/>
    </row>
    <row r="1416" spans="1:56" ht="13.95" hidden="1" customHeight="1" thickTop="1" thickBot="1" x14ac:dyDescent="0.3">
      <c r="A1416" s="336"/>
      <c r="B1416" s="337" t="s">
        <v>874</v>
      </c>
      <c r="C1416" s="360"/>
      <c r="D1416" s="361" t="str">
        <f>AC1416</f>
        <v/>
      </c>
      <c r="E1416" s="338"/>
      <c r="F1416" s="1"/>
      <c r="AC1416" s="58" t="str">
        <f>IF(AND(AC$1196&gt;0,C1416=BN$1201),BM$1201,IF(AND(AC$1196&gt;0,C1416=BN$1202),BM$1202,IF(AND(AC$1196&gt;0,C1416=BN$1203),BM$1203,IF(AND(AC$1196&gt;0,C1416=BN$1204),BM$1204,IF(AND(AC$1196&gt;0,C1416=BN$1205),BM$1205,"")))))</f>
        <v/>
      </c>
      <c r="AI1416" s="626">
        <f>AV1417/AL$1197</f>
        <v>0</v>
      </c>
      <c r="AJ1416" s="626"/>
      <c r="AK1416" s="6" t="s">
        <v>875</v>
      </c>
      <c r="AO1416" s="11" t="str">
        <f>IF(AI1416=0,"none",(AI1416*100))</f>
        <v>none</v>
      </c>
      <c r="AP1416" s="6" t="str">
        <f>IF(AO1416="none"," of weekly support cost.","% of weekly support cost.")</f>
        <v xml:space="preserve"> of weekly support cost.</v>
      </c>
      <c r="BB1416" s="6"/>
    </row>
    <row r="1417" spans="1:56" ht="13.95" hidden="1" customHeight="1" thickTop="1" thickBot="1" x14ac:dyDescent="0.3">
      <c r="A1417" s="336"/>
      <c r="B1417" s="337" t="s">
        <v>877</v>
      </c>
      <c r="C1417" s="362"/>
      <c r="D1417" s="337" t="str">
        <f>IF(NOT(AV1417&gt;0),"",AC1417)</f>
        <v/>
      </c>
      <c r="E1417" s="338"/>
      <c r="F1417" s="1"/>
      <c r="AC1417" s="263" t="str">
        <f>CONCATENATE(AO1417,AT1417)</f>
        <v>Weekly contribution: $0.00</v>
      </c>
      <c r="AO1417" s="6" t="s">
        <v>878</v>
      </c>
      <c r="AT1417" s="263" t="str">
        <f>DOLLAR(AV1417)</f>
        <v>$0.00</v>
      </c>
      <c r="AV1417" s="338">
        <f>IF(AND(D1416=BM$1205,C1417=B$2043),D$2043,IF(AND(D1416=BM$1205,C1417=B$2044),D$2044,IF(AND(D1416=BM$1205,C1417=B$2045),D$2045,IF(AND(D1416=BM$1205,C1417=B$2046),D$2046,IF(AND(D1416=BM$1205,C1417=B$2047),D$2047,IF(AND(D1416=BM$1205,C1417=B$2048),D$2048,0))))))</f>
        <v>0</v>
      </c>
      <c r="AX1417" s="11" t="str">
        <f>DOLLAR(AZ1417)</f>
        <v>$45.00</v>
      </c>
      <c r="AZ1417" s="363">
        <f>$AJ$1197-AV1417</f>
        <v>45</v>
      </c>
      <c r="BB1417" s="6"/>
      <c r="BD1417" s="322">
        <f>AV1417</f>
        <v>0</v>
      </c>
    </row>
    <row r="1418" spans="1:56" ht="13.95" hidden="1" customHeight="1" thickTop="1" x14ac:dyDescent="0.25">
      <c r="A1418" s="336"/>
      <c r="B1418" s="337"/>
      <c r="C1418" s="337" t="str">
        <f>CONCATENATE(AK1416,AO1416,AP1416)</f>
        <v>This covers none of weekly support cost.</v>
      </c>
      <c r="D1418" s="337" t="str">
        <f>BF$1200</f>
        <v>$45 to go for weekly support.</v>
      </c>
      <c r="E1418" s="338"/>
      <c r="F1418" s="1"/>
      <c r="AC1418" s="6" t="s">
        <v>880</v>
      </c>
      <c r="AI1418" s="154">
        <f>MIN(D1416,AE1412)</f>
        <v>0</v>
      </c>
      <c r="AJ1418" s="6">
        <f>ROUND(AI1418,2)</f>
        <v>0</v>
      </c>
      <c r="AK1418" s="6" t="str">
        <f>CONCATENATE(AC1418,AJ1418)</f>
        <v>contribution per exchange: $0</v>
      </c>
    </row>
    <row r="1419" spans="1:56" ht="13.95" hidden="1" customHeight="1" x14ac:dyDescent="0.25">
      <c r="A1419" s="336"/>
      <c r="B1419" s="337"/>
      <c r="C1419" s="337"/>
      <c r="D1419" s="337"/>
      <c r="E1419" s="338"/>
      <c r="F1419" s="1"/>
    </row>
    <row r="1420" spans="1:56" ht="4.95" hidden="1" customHeight="1" thickBot="1" x14ac:dyDescent="0.3">
      <c r="A1420" s="338"/>
      <c r="B1420" s="340"/>
      <c r="C1420" s="341"/>
      <c r="D1420" s="338"/>
      <c r="E1420" s="338"/>
      <c r="F1420" s="1"/>
      <c r="AC1420" s="334"/>
      <c r="AJ1420" s="335"/>
      <c r="BB1420" s="6"/>
    </row>
    <row r="1421" spans="1:56" ht="16.8" hidden="1" thickTop="1" thickBot="1" x14ac:dyDescent="0.3">
      <c r="A1421" s="347">
        <f>IF(C1421="",0,1+A1411)</f>
        <v>23</v>
      </c>
      <c r="B1421" s="348" t="s">
        <v>905</v>
      </c>
      <c r="C1421" s="349" t="str">
        <f>AM1421</f>
        <v>FIRST NAME</v>
      </c>
      <c r="D1421" s="350" t="str">
        <f>AQ1421</f>
        <v>LAST NAME</v>
      </c>
      <c r="E1421" s="338"/>
      <c r="F1421" s="1"/>
      <c r="AC1421" s="333" t="str">
        <f>IF(NOT(C1421=AM1421),C1421,"")</f>
        <v/>
      </c>
      <c r="AH1421" s="333" t="str">
        <f>IF(NOT(D1421=AQ1421),D1421,"")</f>
        <v/>
      </c>
      <c r="AM1421" s="351" t="s">
        <v>853</v>
      </c>
      <c r="AQ1421" s="351" t="s">
        <v>107</v>
      </c>
      <c r="BB1421" s="6"/>
    </row>
    <row r="1422" spans="1:56" ht="15" hidden="1" thickTop="1" thickBot="1" x14ac:dyDescent="0.3">
      <c r="A1422" s="336"/>
      <c r="B1422" s="338" t="s">
        <v>856</v>
      </c>
      <c r="C1422" s="353"/>
      <c r="D1422" s="5"/>
      <c r="E1422" s="338"/>
      <c r="F1422" s="1"/>
      <c r="AC1422" s="6">
        <f>IF(C1422="",0,1)</f>
        <v>0</v>
      </c>
      <c r="AE1422" s="6">
        <f>IF($AC$1202=1,AC$1197,0)</f>
        <v>0</v>
      </c>
      <c r="BB1422" s="6"/>
    </row>
    <row r="1423" spans="1:56" ht="13.95" hidden="1" customHeight="1" thickTop="1" thickBot="1" x14ac:dyDescent="0.3">
      <c r="A1423" s="336"/>
      <c r="B1423" s="354" t="s">
        <v>859</v>
      </c>
      <c r="C1423" s="353"/>
      <c r="D1423" s="355" t="str">
        <f>AS1423</f>
        <v>AWARENESS OF ISSUE</v>
      </c>
      <c r="E1423" s="338"/>
      <c r="F1423" s="1"/>
      <c r="AM1423" s="356"/>
      <c r="AN1423" s="356"/>
      <c r="AO1423" s="356"/>
      <c r="AP1423" s="356"/>
      <c r="AS1423" s="6" t="str">
        <f>AS1413</f>
        <v>AWARENESS OF ISSUE</v>
      </c>
      <c r="BB1423" s="6"/>
    </row>
    <row r="1424" spans="1:56" ht="13.95" hidden="1" customHeight="1" thickTop="1" thickBot="1" x14ac:dyDescent="0.3">
      <c r="A1424" s="336"/>
      <c r="B1424" s="348" t="s">
        <v>863</v>
      </c>
      <c r="C1424" s="357" t="s">
        <v>864</v>
      </c>
      <c r="D1424" s="357" t="s">
        <v>865</v>
      </c>
      <c r="E1424" s="338"/>
      <c r="F1424" s="1"/>
      <c r="BB1424" s="6"/>
    </row>
    <row r="1425" spans="1:56" ht="13.95" hidden="1" customHeight="1" thickTop="1" thickBot="1" x14ac:dyDescent="0.3">
      <c r="A1425" s="336"/>
      <c r="B1425" s="337" t="s">
        <v>868</v>
      </c>
      <c r="C1425" s="358" t="str">
        <f>AM1425</f>
        <v>YYYY-MM-DD</v>
      </c>
      <c r="D1425" s="358" t="str">
        <f>AM1425</f>
        <v>YYYY-MM-DD</v>
      </c>
      <c r="E1425" s="338"/>
      <c r="F1425" s="1"/>
      <c r="AH1425" s="616" t="str">
        <f>IF(NOT(D1425=AQ1425),D1425,"")</f>
        <v>YYYY-MM-DD</v>
      </c>
      <c r="AI1425" s="616"/>
      <c r="AM1425" s="351" t="s">
        <v>869</v>
      </c>
      <c r="AQ1425" s="351"/>
      <c r="BB1425" s="6"/>
    </row>
    <row r="1426" spans="1:56" ht="13.95" hidden="1" customHeight="1" thickTop="1" thickBot="1" x14ac:dyDescent="0.3">
      <c r="A1426" s="336"/>
      <c r="B1426" s="337" t="s">
        <v>874</v>
      </c>
      <c r="C1426" s="360"/>
      <c r="D1426" s="361" t="str">
        <f>AC1426</f>
        <v/>
      </c>
      <c r="E1426" s="338"/>
      <c r="F1426" s="1"/>
      <c r="AC1426" s="58" t="str">
        <f>IF(AND(AC$1196&gt;0,C1426=BN$1201),BM$1201,IF(AND(AC$1196&gt;0,C1426=BN$1202),BM$1202,IF(AND(AC$1196&gt;0,C1426=BN$1203),BM$1203,IF(AND(AC$1196&gt;0,C1426=BN$1204),BM$1204,IF(AND(AC$1196&gt;0,C1426=BN$1205),BM$1205,"")))))</f>
        <v/>
      </c>
      <c r="AI1426" s="626">
        <f>AV1427/AL$1197</f>
        <v>0</v>
      </c>
      <c r="AJ1426" s="626"/>
      <c r="AK1426" s="6" t="s">
        <v>875</v>
      </c>
      <c r="AO1426" s="11" t="str">
        <f>IF(AI1426=0,"none",(AI1426*100))</f>
        <v>none</v>
      </c>
      <c r="AP1426" s="6" t="str">
        <f>IF(AO1426="none"," of weekly support cost.","% of weekly support cost.")</f>
        <v xml:space="preserve"> of weekly support cost.</v>
      </c>
      <c r="BB1426" s="6"/>
    </row>
    <row r="1427" spans="1:56" ht="13.95" hidden="1" customHeight="1" thickTop="1" thickBot="1" x14ac:dyDescent="0.3">
      <c r="A1427" s="336"/>
      <c r="B1427" s="337" t="s">
        <v>877</v>
      </c>
      <c r="C1427" s="362"/>
      <c r="D1427" s="337" t="str">
        <f>IF(NOT(AV1427&gt;0),"",AC1427)</f>
        <v/>
      </c>
      <c r="E1427" s="338"/>
      <c r="F1427" s="1"/>
      <c r="AC1427" s="263" t="str">
        <f>CONCATENATE(AO1427,AT1427)</f>
        <v>Weekly contribution: $0.00</v>
      </c>
      <c r="AO1427" s="6" t="s">
        <v>878</v>
      </c>
      <c r="AT1427" s="263" t="str">
        <f>DOLLAR(AV1427)</f>
        <v>$0.00</v>
      </c>
      <c r="AV1427" s="338">
        <f>IF(AND(D1426=BM$1205,C1427=B$2043),D$2043,IF(AND(D1426=BM$1205,C1427=B$2044),D$2044,IF(AND(D1426=BM$1205,C1427=B$2045),D$2045,IF(AND(D1426=BM$1205,C1427=B$2046),D$2046,IF(AND(D1426=BM$1205,C1427=B$2047),D$2047,IF(AND(D1426=BM$1205,C1427=B$2048),D$2048,0))))))</f>
        <v>0</v>
      </c>
      <c r="AX1427" s="11" t="str">
        <f>DOLLAR(AZ1427)</f>
        <v>$45.00</v>
      </c>
      <c r="AZ1427" s="363">
        <f>$AJ$1197-AV1427</f>
        <v>45</v>
      </c>
      <c r="BB1427" s="6"/>
      <c r="BD1427" s="322">
        <f>AV1427</f>
        <v>0</v>
      </c>
    </row>
    <row r="1428" spans="1:56" ht="13.95" hidden="1" customHeight="1" thickTop="1" x14ac:dyDescent="0.25">
      <c r="A1428" s="336"/>
      <c r="B1428" s="337"/>
      <c r="C1428" s="337" t="str">
        <f>CONCATENATE(AK1426,AO1426,AP1426)</f>
        <v>This covers none of weekly support cost.</v>
      </c>
      <c r="D1428" s="337" t="str">
        <f>BF$1200</f>
        <v>$45 to go for weekly support.</v>
      </c>
      <c r="E1428" s="338"/>
      <c r="F1428" s="1"/>
      <c r="AC1428" s="6" t="s">
        <v>880</v>
      </c>
      <c r="AI1428" s="154">
        <f>MIN(D1426,AE1422)</f>
        <v>0</v>
      </c>
      <c r="AJ1428" s="6">
        <f>ROUND(AI1428,2)</f>
        <v>0</v>
      </c>
      <c r="AK1428" s="6" t="str">
        <f>CONCATENATE(AC1428,AJ1428)</f>
        <v>contribution per exchange: $0</v>
      </c>
    </row>
    <row r="1429" spans="1:56" ht="13.95" hidden="1" customHeight="1" x14ac:dyDescent="0.25">
      <c r="A1429" s="336"/>
      <c r="B1429" s="337"/>
      <c r="C1429" s="337"/>
      <c r="D1429" s="337"/>
      <c r="E1429" s="338"/>
      <c r="F1429" s="1"/>
    </row>
    <row r="1430" spans="1:56" ht="4.95" hidden="1" customHeight="1" thickBot="1" x14ac:dyDescent="0.3">
      <c r="A1430" s="338"/>
      <c r="B1430" s="340"/>
      <c r="C1430" s="341"/>
      <c r="D1430" s="338"/>
      <c r="E1430" s="338"/>
      <c r="F1430" s="1"/>
      <c r="AC1430" s="334"/>
      <c r="AJ1430" s="335"/>
      <c r="BB1430" s="6"/>
    </row>
    <row r="1431" spans="1:56" ht="16.8" hidden="1" thickTop="1" thickBot="1" x14ac:dyDescent="0.3">
      <c r="A1431" s="347">
        <f>IF(C1431="",0,1+A1421)</f>
        <v>24</v>
      </c>
      <c r="B1431" s="348" t="s">
        <v>906</v>
      </c>
      <c r="C1431" s="349" t="str">
        <f>AM1431</f>
        <v>FIRST NAME</v>
      </c>
      <c r="D1431" s="350" t="str">
        <f>AQ1431</f>
        <v>LAST NAME</v>
      </c>
      <c r="E1431" s="338"/>
      <c r="F1431" s="1"/>
      <c r="AC1431" s="333" t="str">
        <f>IF(NOT(C1431=AM1431),C1431,"")</f>
        <v/>
      </c>
      <c r="AH1431" s="333" t="str">
        <f>IF(NOT(D1431=AQ1431),D1431,"")</f>
        <v/>
      </c>
      <c r="AM1431" s="351" t="s">
        <v>853</v>
      </c>
      <c r="AQ1431" s="351" t="s">
        <v>107</v>
      </c>
      <c r="BB1431" s="6"/>
    </row>
    <row r="1432" spans="1:56" ht="15" hidden="1" thickTop="1" thickBot="1" x14ac:dyDescent="0.3">
      <c r="A1432" s="336"/>
      <c r="B1432" s="338" t="s">
        <v>856</v>
      </c>
      <c r="C1432" s="353"/>
      <c r="D1432" s="5"/>
      <c r="E1432" s="338"/>
      <c r="F1432" s="1"/>
      <c r="AC1432" s="6">
        <f>IF(C1432="",0,1)</f>
        <v>0</v>
      </c>
      <c r="AE1432" s="6">
        <f>IF($AC$1202=1,AC$1197,0)</f>
        <v>0</v>
      </c>
      <c r="BB1432" s="6"/>
    </row>
    <row r="1433" spans="1:56" ht="13.95" hidden="1" customHeight="1" thickTop="1" thickBot="1" x14ac:dyDescent="0.3">
      <c r="A1433" s="336"/>
      <c r="B1433" s="354" t="s">
        <v>859</v>
      </c>
      <c r="C1433" s="353"/>
      <c r="D1433" s="355" t="str">
        <f>AS1433</f>
        <v>AWARENESS OF ISSUE</v>
      </c>
      <c r="E1433" s="338"/>
      <c r="F1433" s="1"/>
      <c r="AM1433" s="356"/>
      <c r="AN1433" s="356"/>
      <c r="AO1433" s="356"/>
      <c r="AP1433" s="356"/>
      <c r="AS1433" s="6" t="str">
        <f>AS1423</f>
        <v>AWARENESS OF ISSUE</v>
      </c>
      <c r="BB1433" s="6"/>
    </row>
    <row r="1434" spans="1:56" ht="13.95" hidden="1" customHeight="1" thickTop="1" thickBot="1" x14ac:dyDescent="0.3">
      <c r="A1434" s="336"/>
      <c r="B1434" s="348" t="s">
        <v>863</v>
      </c>
      <c r="C1434" s="357" t="s">
        <v>864</v>
      </c>
      <c r="D1434" s="357" t="s">
        <v>865</v>
      </c>
      <c r="E1434" s="338"/>
      <c r="F1434" s="1"/>
      <c r="BB1434" s="6"/>
    </row>
    <row r="1435" spans="1:56" ht="13.95" hidden="1" customHeight="1" thickTop="1" thickBot="1" x14ac:dyDescent="0.3">
      <c r="A1435" s="336"/>
      <c r="B1435" s="337" t="s">
        <v>868</v>
      </c>
      <c r="C1435" s="358" t="str">
        <f>AM1435</f>
        <v>YYYY-MM-DD</v>
      </c>
      <c r="D1435" s="358" t="str">
        <f>AM1435</f>
        <v>YYYY-MM-DD</v>
      </c>
      <c r="E1435" s="338"/>
      <c r="F1435" s="1"/>
      <c r="AH1435" s="616" t="str">
        <f>IF(NOT(D1435=AQ1435),D1435,"")</f>
        <v>YYYY-MM-DD</v>
      </c>
      <c r="AI1435" s="616"/>
      <c r="AM1435" s="351" t="s">
        <v>869</v>
      </c>
      <c r="AQ1435" s="351"/>
      <c r="BB1435" s="6"/>
    </row>
    <row r="1436" spans="1:56" ht="13.95" hidden="1" customHeight="1" thickTop="1" thickBot="1" x14ac:dyDescent="0.3">
      <c r="A1436" s="336"/>
      <c r="B1436" s="337" t="s">
        <v>874</v>
      </c>
      <c r="C1436" s="360"/>
      <c r="D1436" s="361" t="str">
        <f>AC1436</f>
        <v/>
      </c>
      <c r="E1436" s="338"/>
      <c r="F1436" s="1"/>
      <c r="AC1436" s="58" t="str">
        <f>IF(AND(AC$1196&gt;0,C1436=BN$1201),BM$1201,IF(AND(AC$1196&gt;0,C1436=BN$1202),BM$1202,IF(AND(AC$1196&gt;0,C1436=BN$1203),BM$1203,IF(AND(AC$1196&gt;0,C1436=BN$1204),BM$1204,IF(AND(AC$1196&gt;0,C1436=BN$1205),BM$1205,"")))))</f>
        <v/>
      </c>
      <c r="AI1436" s="626">
        <f>AV1437/AL$1197</f>
        <v>0</v>
      </c>
      <c r="AJ1436" s="626"/>
      <c r="AK1436" s="6" t="s">
        <v>875</v>
      </c>
      <c r="AO1436" s="11" t="str">
        <f>IF(AI1436=0,"none",(AI1436*100))</f>
        <v>none</v>
      </c>
      <c r="AP1436" s="6" t="str">
        <f>IF(AO1436="none"," of weekly support cost.","% of weekly support cost.")</f>
        <v xml:space="preserve"> of weekly support cost.</v>
      </c>
      <c r="BB1436" s="6"/>
    </row>
    <row r="1437" spans="1:56" ht="13.95" hidden="1" customHeight="1" thickTop="1" thickBot="1" x14ac:dyDescent="0.3">
      <c r="A1437" s="336"/>
      <c r="B1437" s="337" t="s">
        <v>877</v>
      </c>
      <c r="C1437" s="362"/>
      <c r="D1437" s="337" t="str">
        <f>IF(NOT(AV1437&gt;0),"",AC1437)</f>
        <v/>
      </c>
      <c r="E1437" s="338"/>
      <c r="F1437" s="1"/>
      <c r="AC1437" s="263" t="str">
        <f>CONCATENATE(AO1437,AT1437)</f>
        <v>Weekly contribution: $0.00</v>
      </c>
      <c r="AO1437" s="6" t="s">
        <v>878</v>
      </c>
      <c r="AT1437" s="263" t="str">
        <f>DOLLAR(AV1437)</f>
        <v>$0.00</v>
      </c>
      <c r="AV1437" s="338">
        <f>IF(AND(D1436=BM$1205,C1437=B$2043),D$2043,IF(AND(D1436=BM$1205,C1437=B$2044),D$2044,IF(AND(D1436=BM$1205,C1437=B$2045),D$2045,IF(AND(D1436=BM$1205,C1437=B$2046),D$2046,IF(AND(D1436=BM$1205,C1437=B$2047),D$2047,IF(AND(D1436=BM$1205,C1437=B$2048),D$2048,0))))))</f>
        <v>0</v>
      </c>
      <c r="AX1437" s="11" t="str">
        <f>DOLLAR(AZ1437)</f>
        <v>$45.00</v>
      </c>
      <c r="AZ1437" s="363">
        <f>$AJ$1197-AV1437</f>
        <v>45</v>
      </c>
      <c r="BB1437" s="6"/>
      <c r="BD1437" s="322">
        <f>AV1437</f>
        <v>0</v>
      </c>
    </row>
    <row r="1438" spans="1:56" ht="13.95" hidden="1" customHeight="1" thickTop="1" x14ac:dyDescent="0.25">
      <c r="A1438" s="336"/>
      <c r="B1438" s="337"/>
      <c r="C1438" s="337" t="str">
        <f>CONCATENATE(AK1436,AO1436,AP1436)</f>
        <v>This covers none of weekly support cost.</v>
      </c>
      <c r="D1438" s="337" t="str">
        <f>BF$1200</f>
        <v>$45 to go for weekly support.</v>
      </c>
      <c r="E1438" s="338"/>
      <c r="F1438" s="1"/>
      <c r="AC1438" s="6" t="s">
        <v>880</v>
      </c>
      <c r="AI1438" s="154">
        <f>MIN(D1436,AE1432)</f>
        <v>0</v>
      </c>
      <c r="AJ1438" s="6">
        <f>ROUND(AI1438,2)</f>
        <v>0</v>
      </c>
      <c r="AK1438" s="6" t="str">
        <f>CONCATENATE(AC1438,AJ1438)</f>
        <v>contribution per exchange: $0</v>
      </c>
    </row>
    <row r="1439" spans="1:56" ht="13.95" hidden="1" customHeight="1" x14ac:dyDescent="0.25">
      <c r="A1439" s="336"/>
      <c r="B1439" s="337"/>
      <c r="C1439" s="337"/>
      <c r="D1439" s="337"/>
      <c r="E1439" s="338"/>
      <c r="F1439" s="1"/>
    </row>
    <row r="1440" spans="1:56" ht="4.95" hidden="1" customHeight="1" x14ac:dyDescent="0.25">
      <c r="A1440" s="338"/>
      <c r="B1440" s="340"/>
      <c r="C1440" s="341"/>
      <c r="D1440" s="338"/>
      <c r="E1440" s="338"/>
      <c r="F1440" s="1"/>
      <c r="BB1440" s="6"/>
    </row>
    <row r="1441" spans="1:54" ht="30" hidden="1" customHeight="1" x14ac:dyDescent="0.25">
      <c r="A1441" s="340"/>
      <c r="B1441" s="340"/>
      <c r="C1441" s="341"/>
      <c r="D1441" s="338"/>
      <c r="E1441" s="338"/>
      <c r="F1441" s="338"/>
      <c r="BB1441" s="6"/>
    </row>
    <row r="1442" spans="1:54" ht="45" hidden="1" customHeight="1" x14ac:dyDescent="0.25">
      <c r="A1442" s="340"/>
      <c r="B1442" s="339"/>
      <c r="C1442" s="613"/>
      <c r="D1442" s="613"/>
      <c r="E1442" s="338"/>
      <c r="F1442" s="338"/>
      <c r="BB1442" s="6"/>
    </row>
    <row r="1443" spans="1:54" ht="18" hidden="1" customHeight="1" x14ac:dyDescent="0.25">
      <c r="A1443" s="340"/>
      <c r="B1443" s="340"/>
      <c r="C1443" s="341"/>
      <c r="D1443" s="338"/>
      <c r="E1443" s="338"/>
      <c r="F1443" s="338"/>
      <c r="BB1443" s="6"/>
    </row>
    <row r="1444" spans="1:54" ht="18" hidden="1" customHeight="1" x14ac:dyDescent="0.25">
      <c r="A1444" s="340"/>
      <c r="B1444" s="340"/>
      <c r="C1444" s="341"/>
      <c r="D1444" s="338"/>
      <c r="E1444" s="338"/>
      <c r="F1444" s="338"/>
      <c r="BB1444" s="6"/>
    </row>
    <row r="1445" spans="1:54" ht="18" hidden="1" customHeight="1" x14ac:dyDescent="0.25">
      <c r="A1445" s="340"/>
      <c r="B1445" s="340"/>
      <c r="C1445" s="341"/>
      <c r="D1445" s="338"/>
      <c r="E1445" s="338"/>
      <c r="F1445" s="338"/>
      <c r="BB1445" s="6"/>
    </row>
    <row r="1446" spans="1:54" ht="18" hidden="1" customHeight="1" x14ac:dyDescent="0.25">
      <c r="A1446" s="340"/>
      <c r="B1446" s="340"/>
      <c r="C1446" s="341"/>
      <c r="D1446" s="338"/>
      <c r="E1446" s="338"/>
      <c r="F1446" s="338"/>
      <c r="BB1446" s="6"/>
    </row>
    <row r="1447" spans="1:54" ht="18" hidden="1" customHeight="1" x14ac:dyDescent="0.25">
      <c r="A1447" s="340"/>
      <c r="B1447" s="340"/>
      <c r="C1447" s="341"/>
      <c r="D1447" s="338"/>
      <c r="E1447" s="338"/>
      <c r="F1447" s="338"/>
      <c r="BB1447" s="6"/>
    </row>
    <row r="1448" spans="1:54" ht="18" hidden="1" customHeight="1" x14ac:dyDescent="0.25">
      <c r="A1448" s="340"/>
      <c r="B1448" s="340"/>
      <c r="C1448" s="341"/>
      <c r="D1448" s="338"/>
      <c r="E1448" s="338"/>
      <c r="F1448" s="338"/>
      <c r="BB1448" s="6"/>
    </row>
    <row r="1449" spans="1:54" ht="18" hidden="1" customHeight="1" x14ac:dyDescent="0.25">
      <c r="A1449" s="340"/>
      <c r="B1449" s="340"/>
      <c r="C1449" s="341"/>
      <c r="D1449" s="338"/>
      <c r="E1449" s="338"/>
      <c r="F1449" s="338"/>
      <c r="BB1449" s="6"/>
    </row>
    <row r="1450" spans="1:54" ht="18" hidden="1" customHeight="1" x14ac:dyDescent="0.25">
      <c r="A1450" s="340"/>
      <c r="B1450" s="340"/>
      <c r="C1450" s="341"/>
      <c r="D1450" s="338"/>
      <c r="E1450" s="338"/>
      <c r="F1450" s="338"/>
      <c r="BB1450" s="6"/>
    </row>
    <row r="1451" spans="1:54" ht="18" hidden="1" customHeight="1" x14ac:dyDescent="0.25">
      <c r="A1451" s="340"/>
      <c r="B1451" s="340"/>
      <c r="C1451" s="341"/>
      <c r="D1451" s="338"/>
      <c r="E1451" s="338"/>
      <c r="F1451" s="338"/>
      <c r="AI1451" s="340" t="s">
        <v>907</v>
      </c>
      <c r="BB1451" s="6"/>
    </row>
    <row r="1452" spans="1:54" ht="18" hidden="1" customHeight="1" x14ac:dyDescent="0.25">
      <c r="A1452" s="340"/>
      <c r="B1452" s="340"/>
      <c r="C1452" s="341"/>
      <c r="D1452" s="338"/>
      <c r="E1452" s="338"/>
      <c r="F1452" s="338"/>
      <c r="AI1452" s="340" t="s">
        <v>907</v>
      </c>
      <c r="BB1452" s="6"/>
    </row>
    <row r="1453" spans="1:54" ht="18" hidden="1" customHeight="1" x14ac:dyDescent="0.25">
      <c r="A1453" s="340"/>
      <c r="B1453" s="340"/>
      <c r="C1453" s="341"/>
      <c r="D1453" s="338"/>
      <c r="E1453" s="338"/>
      <c r="F1453" s="338"/>
      <c r="AI1453" s="364" t="s">
        <v>908</v>
      </c>
      <c r="BB1453" s="6"/>
    </row>
    <row r="1454" spans="1:54" ht="18" hidden="1" customHeight="1" x14ac:dyDescent="0.25">
      <c r="A1454" s="340"/>
      <c r="B1454" s="364"/>
      <c r="C1454" s="341"/>
      <c r="D1454" s="338"/>
      <c r="E1454" s="338"/>
      <c r="F1454" s="338"/>
      <c r="BB1454" s="6"/>
    </row>
    <row r="1455" spans="1:54" ht="18" hidden="1" customHeight="1" x14ac:dyDescent="0.25">
      <c r="A1455" s="340"/>
      <c r="B1455" s="340"/>
      <c r="C1455" s="341"/>
      <c r="D1455" s="338"/>
      <c r="E1455" s="338"/>
      <c r="F1455" s="338"/>
      <c r="BB1455" s="6"/>
    </row>
    <row r="1456" spans="1:54" ht="18" hidden="1" customHeight="1" x14ac:dyDescent="0.25">
      <c r="A1456" s="340"/>
      <c r="B1456" s="340"/>
      <c r="C1456" s="341"/>
      <c r="D1456" s="338"/>
      <c r="E1456" s="338"/>
      <c r="F1456" s="338"/>
      <c r="BB1456" s="6"/>
    </row>
    <row r="1457" spans="1:54" ht="18" hidden="1" customHeight="1" x14ac:dyDescent="0.25">
      <c r="A1457" s="340"/>
      <c r="B1457" s="340"/>
      <c r="C1457" s="341"/>
      <c r="D1457" s="338"/>
      <c r="E1457" s="338"/>
      <c r="F1457" s="338"/>
      <c r="BB1457" s="6"/>
    </row>
    <row r="1458" spans="1:54" ht="18" hidden="1" customHeight="1" x14ac:dyDescent="0.25">
      <c r="A1458" s="340"/>
      <c r="B1458" s="340"/>
      <c r="C1458" s="341"/>
      <c r="D1458" s="338"/>
      <c r="E1458" s="338"/>
      <c r="F1458" s="338"/>
      <c r="BB1458" s="6"/>
    </row>
    <row r="1459" spans="1:54" ht="18" hidden="1" customHeight="1" x14ac:dyDescent="0.25">
      <c r="A1459" s="340"/>
      <c r="B1459" s="340"/>
      <c r="C1459" s="341"/>
      <c r="D1459" s="338"/>
      <c r="E1459" s="338"/>
      <c r="F1459" s="338"/>
      <c r="BB1459" s="6"/>
    </row>
    <row r="1460" spans="1:54" ht="18" hidden="1" customHeight="1" x14ac:dyDescent="0.25">
      <c r="A1460" s="340"/>
      <c r="B1460" s="340"/>
      <c r="C1460" s="341"/>
      <c r="D1460" s="338"/>
      <c r="E1460" s="338"/>
      <c r="F1460" s="338"/>
      <c r="BB1460" s="6"/>
    </row>
    <row r="1461" spans="1:54" ht="18" hidden="1" customHeight="1" x14ac:dyDescent="0.25">
      <c r="A1461" s="340"/>
      <c r="B1461" s="340"/>
      <c r="C1461" s="341"/>
      <c r="D1461" s="338"/>
      <c r="E1461" s="338"/>
      <c r="F1461" s="338"/>
      <c r="BB1461" s="6"/>
    </row>
    <row r="1462" spans="1:54" ht="18" hidden="1" customHeight="1" x14ac:dyDescent="0.25">
      <c r="A1462" s="340"/>
      <c r="B1462" s="340"/>
      <c r="C1462" s="341"/>
      <c r="D1462" s="338"/>
      <c r="E1462" s="338"/>
      <c r="F1462" s="338"/>
      <c r="BB1462" s="6"/>
    </row>
    <row r="1463" spans="1:54" ht="18" hidden="1" customHeight="1" x14ac:dyDescent="0.25">
      <c r="A1463" s="340"/>
      <c r="B1463" s="340"/>
      <c r="C1463" s="341"/>
      <c r="D1463" s="338"/>
      <c r="E1463" s="338"/>
      <c r="F1463" s="338"/>
      <c r="BB1463" s="6"/>
    </row>
    <row r="1464" spans="1:54" ht="18" hidden="1" customHeight="1" x14ac:dyDescent="0.25">
      <c r="A1464" s="340"/>
      <c r="B1464" s="340"/>
      <c r="C1464" s="341"/>
      <c r="D1464" s="338"/>
      <c r="E1464" s="338"/>
      <c r="F1464" s="338"/>
      <c r="BB1464" s="6"/>
    </row>
    <row r="1465" spans="1:54" ht="18" hidden="1" customHeight="1" x14ac:dyDescent="0.25">
      <c r="A1465" s="340"/>
      <c r="B1465" s="340"/>
      <c r="C1465" s="341"/>
      <c r="D1465" s="338"/>
      <c r="E1465" s="338"/>
      <c r="F1465" s="338"/>
      <c r="BB1465" s="6"/>
    </row>
    <row r="1466" spans="1:54" ht="18" hidden="1" customHeight="1" x14ac:dyDescent="0.25">
      <c r="A1466" s="340"/>
      <c r="B1466" s="340"/>
      <c r="C1466" s="341"/>
      <c r="D1466" s="338"/>
      <c r="E1466" s="338"/>
      <c r="F1466" s="338"/>
      <c r="BB1466" s="6"/>
    </row>
    <row r="1467" spans="1:54" ht="18" hidden="1" customHeight="1" x14ac:dyDescent="0.25">
      <c r="A1467" s="340"/>
      <c r="B1467" s="340"/>
      <c r="C1467" s="341"/>
      <c r="D1467" s="338"/>
      <c r="E1467" s="338"/>
      <c r="F1467" s="338"/>
      <c r="BB1467" s="6"/>
    </row>
    <row r="1468" spans="1:54" ht="18" hidden="1" customHeight="1" x14ac:dyDescent="0.25">
      <c r="A1468" s="340"/>
      <c r="B1468" s="340"/>
      <c r="C1468" s="341"/>
      <c r="D1468" s="338"/>
      <c r="E1468" s="338"/>
      <c r="F1468" s="338"/>
      <c r="BB1468" s="6"/>
    </row>
    <row r="1469" spans="1:54" ht="18" hidden="1" customHeight="1" x14ac:dyDescent="0.25">
      <c r="A1469" s="340"/>
      <c r="B1469" s="340"/>
      <c r="C1469" s="341"/>
      <c r="D1469" s="338"/>
      <c r="E1469" s="338"/>
      <c r="F1469" s="338"/>
      <c r="BB1469" s="6"/>
    </row>
    <row r="1470" spans="1:54" ht="18" hidden="1" customHeight="1" x14ac:dyDescent="0.25">
      <c r="A1470" s="340"/>
      <c r="B1470" s="340"/>
      <c r="C1470" s="341"/>
      <c r="D1470" s="338"/>
      <c r="E1470" s="338"/>
      <c r="F1470" s="338"/>
      <c r="BB1470" s="6"/>
    </row>
    <row r="1471" spans="1:54" ht="18" hidden="1" customHeight="1" x14ac:dyDescent="0.25">
      <c r="A1471" s="340"/>
      <c r="B1471" s="340"/>
      <c r="C1471" s="341"/>
      <c r="D1471" s="338"/>
      <c r="E1471" s="338"/>
      <c r="F1471" s="338"/>
      <c r="BB1471" s="6"/>
    </row>
    <row r="1472" spans="1:54" ht="18" hidden="1" customHeight="1" x14ac:dyDescent="0.25">
      <c r="A1472" s="340"/>
      <c r="B1472" s="340"/>
      <c r="C1472" s="341"/>
      <c r="D1472" s="338"/>
      <c r="E1472" s="338"/>
      <c r="F1472" s="338"/>
      <c r="BB1472" s="6"/>
    </row>
    <row r="1473" spans="1:87" ht="18" hidden="1" customHeight="1" x14ac:dyDescent="0.25">
      <c r="A1473" s="340"/>
      <c r="B1473" s="340"/>
      <c r="C1473" s="341"/>
      <c r="D1473" s="338"/>
      <c r="E1473" s="338"/>
      <c r="F1473" s="338"/>
      <c r="BB1473" s="6"/>
    </row>
    <row r="1474" spans="1:87" ht="18" hidden="1" customHeight="1" x14ac:dyDescent="0.25">
      <c r="A1474" s="340"/>
      <c r="B1474" s="340"/>
      <c r="C1474" s="341"/>
      <c r="D1474" s="338"/>
      <c r="E1474" s="338"/>
      <c r="F1474" s="338"/>
      <c r="BB1474" s="6"/>
    </row>
    <row r="1475" spans="1:87" ht="18" hidden="1" customHeight="1" x14ac:dyDescent="0.25">
      <c r="A1475" s="340"/>
      <c r="B1475" s="340"/>
      <c r="C1475" s="341"/>
      <c r="D1475" s="338"/>
      <c r="E1475" s="338"/>
      <c r="F1475" s="338"/>
      <c r="BB1475" s="6"/>
    </row>
    <row r="1476" spans="1:87" ht="30" hidden="1" customHeight="1" x14ac:dyDescent="0.25">
      <c r="A1476" s="340"/>
      <c r="B1476" s="365" t="s">
        <v>27</v>
      </c>
      <c r="C1476" s="366"/>
      <c r="D1476" s="366"/>
      <c r="E1476" s="366"/>
      <c r="F1476" s="366"/>
      <c r="BB1476" s="6"/>
    </row>
    <row r="1477" spans="1:87" ht="64.95" hidden="1" customHeight="1" x14ac:dyDescent="0.25">
      <c r="A1477" s="340"/>
      <c r="B1477" s="630" t="s">
        <v>626</v>
      </c>
      <c r="C1477" s="630"/>
      <c r="D1477" s="630"/>
      <c r="E1477" s="367"/>
      <c r="F1477" s="368"/>
      <c r="BB1477" s="6"/>
    </row>
    <row r="1478" spans="1:87" s="371" customFormat="1" ht="30" hidden="1" customHeight="1" x14ac:dyDescent="0.25">
      <c r="A1478" s="340"/>
      <c r="B1478" s="631" t="s">
        <v>909</v>
      </c>
      <c r="C1478" s="631"/>
      <c r="D1478" s="631"/>
      <c r="E1478" s="369"/>
      <c r="F1478" s="369"/>
      <c r="G1478" s="370"/>
      <c r="H1478" s="370"/>
      <c r="I1478" s="370"/>
      <c r="J1478" s="370"/>
      <c r="K1478" s="370"/>
      <c r="L1478" s="370"/>
      <c r="M1478" s="370"/>
      <c r="N1478" s="370"/>
      <c r="O1478" s="370"/>
      <c r="P1478" s="370"/>
      <c r="Q1478" s="370"/>
      <c r="R1478" s="370"/>
      <c r="S1478" s="370"/>
      <c r="T1478" s="370"/>
      <c r="U1478" s="370"/>
      <c r="V1478" s="370"/>
      <c r="W1478" s="370"/>
      <c r="X1478" s="370"/>
      <c r="Y1478" s="370"/>
      <c r="Z1478" s="370"/>
      <c r="AJ1478" s="371" t="s">
        <v>627</v>
      </c>
    </row>
    <row r="1479" spans="1:87" ht="28.05" hidden="1" customHeight="1" x14ac:dyDescent="0.25">
      <c r="A1479" s="340"/>
      <c r="B1479" s="632" t="s">
        <v>910</v>
      </c>
      <c r="C1479" s="632"/>
      <c r="D1479" s="632"/>
      <c r="E1479" s="338"/>
      <c r="F1479" s="338"/>
      <c r="BB1479" s="6"/>
    </row>
    <row r="1480" spans="1:87" ht="4.95" hidden="1" customHeight="1" x14ac:dyDescent="0.25">
      <c r="A1480" s="340"/>
      <c r="B1480" s="338"/>
      <c r="C1480" s="338"/>
      <c r="D1480" s="338"/>
      <c r="E1480" s="338"/>
      <c r="F1480" s="338"/>
      <c r="AJ1480" s="6" t="s">
        <v>911</v>
      </c>
    </row>
    <row r="1481" spans="1:87" ht="25.05" hidden="1" customHeight="1" x14ac:dyDescent="0.25">
      <c r="A1481" s="340"/>
      <c r="B1481" s="372" t="s">
        <v>912</v>
      </c>
      <c r="C1481" s="372"/>
      <c r="D1481" s="373" t="str">
        <f>AJ1481</f>
        <v>Accumulative total: $5</v>
      </c>
      <c r="E1481" s="338"/>
      <c r="F1481" s="338"/>
      <c r="AD1481" s="60">
        <f>SUM(AE1481:AG1481)</f>
        <v>5</v>
      </c>
      <c r="AE1481" s="6">
        <f>IF(B1482=CI$1483,BY$1483,0)</f>
        <v>0</v>
      </c>
      <c r="AF1481" s="6">
        <f>IF(C1482=CI$1484,BY$1484,0)</f>
        <v>5</v>
      </c>
      <c r="AG1481" s="6">
        <f>IF(C1482=CI$1485,BY$1485,0)</f>
        <v>0</v>
      </c>
      <c r="AJ1481" s="6" t="str">
        <f>CONCATENATE(AS1481,AT1481)</f>
        <v>Accumulative total: $5</v>
      </c>
      <c r="AS1481" s="374" t="s">
        <v>913</v>
      </c>
      <c r="AT1481" s="6" t="str">
        <f>DOLLAR(AU1481,0)</f>
        <v>$5</v>
      </c>
      <c r="AU1481" s="6">
        <f>AD1481+AK1480</f>
        <v>5</v>
      </c>
    </row>
    <row r="1482" spans="1:87" ht="15" hidden="1" customHeight="1" x14ac:dyDescent="0.3">
      <c r="A1482" s="340"/>
      <c r="B1482" s="375" t="s">
        <v>914</v>
      </c>
      <c r="C1482" s="629" t="s">
        <v>915</v>
      </c>
      <c r="D1482" s="629"/>
      <c r="E1482" s="338"/>
      <c r="F1482" s="338"/>
      <c r="AC1482" s="376" t="s">
        <v>916</v>
      </c>
      <c r="AD1482" s="376"/>
      <c r="AE1482" s="376"/>
      <c r="AF1482" s="376"/>
      <c r="AG1482" s="376"/>
      <c r="AH1482" s="376"/>
      <c r="AI1482" s="376"/>
      <c r="AJ1482" s="376"/>
      <c r="BB1482" s="6"/>
      <c r="BN1482" s="6" t="s">
        <v>916</v>
      </c>
      <c r="CB1482" s="6" t="s">
        <v>917</v>
      </c>
    </row>
    <row r="1483" spans="1:87" ht="15" hidden="1" customHeight="1" thickBot="1" x14ac:dyDescent="0.3">
      <c r="A1483" s="340"/>
      <c r="B1483" s="377" t="s">
        <v>918</v>
      </c>
      <c r="C1483" s="627" t="str">
        <f>AC1483</f>
        <v>click to go to N1</v>
      </c>
      <c r="D1483" s="627"/>
      <c r="E1483" s="338"/>
      <c r="F1483" s="338"/>
      <c r="AC1483" s="6" t="str">
        <f>IF(SUM(AD1484,AD1485,AD1486,AD1487,AD1488,AC1489,AD1489,AE1489)&lt;8,"click to go to N1",AI1483)</f>
        <v>click to go to N1</v>
      </c>
      <c r="AI1483" s="6" t="str">
        <f>CONCATENATE(AO1483,AQ1483,AT1483)</f>
        <v>Go to Employer 1  tab &gt;&gt;</v>
      </c>
      <c r="AO1483" s="6" t="s">
        <v>919</v>
      </c>
      <c r="AQ1483" s="6" t="str">
        <f>IF(C1484="","Employer 1 ",C1484)</f>
        <v xml:space="preserve">Employer 1 </v>
      </c>
      <c r="AT1483" s="6" t="s">
        <v>920</v>
      </c>
      <c r="BB1483" s="6" t="s">
        <v>912</v>
      </c>
      <c r="BE1483" s="378">
        <v>1</v>
      </c>
      <c r="BF1483" s="378" t="s">
        <v>912</v>
      </c>
      <c r="BG1483" s="378"/>
      <c r="BH1483" s="378" t="str">
        <f>IF(B1481=BF1484,"",CONCATENATE(BF$1483,BE1483))</f>
        <v>Employer 1</v>
      </c>
      <c r="BI1483" s="378"/>
      <c r="BJ1483" s="378" t="str">
        <f>CONCATENATE(BF$1483,BE1483)</f>
        <v>Employer 1</v>
      </c>
      <c r="BK1483" s="378"/>
      <c r="BO1483" s="6" t="s">
        <v>921</v>
      </c>
      <c r="BX1483" s="262" t="s">
        <v>922</v>
      </c>
      <c r="BY1483" s="107">
        <v>0</v>
      </c>
      <c r="BZ1483" s="6" t="s">
        <v>923</v>
      </c>
      <c r="CA1483" s="262" t="s">
        <v>924</v>
      </c>
      <c r="CI1483" s="6" t="str">
        <f>CONCATENATE(BO1483,BX1483,BZ1483,CA1483)</f>
        <v>Send notification yourself [DIY FREE]</v>
      </c>
    </row>
    <row r="1484" spans="1:87" ht="16.95" hidden="1" customHeight="1" thickTop="1" thickBot="1" x14ac:dyDescent="0.3">
      <c r="A1484" s="340"/>
      <c r="B1484" s="338" t="s">
        <v>925</v>
      </c>
      <c r="C1484" s="379"/>
      <c r="D1484" s="380"/>
      <c r="E1484" s="338"/>
      <c r="F1484" s="338"/>
      <c r="AD1484" s="6">
        <f t="shared" ref="AD1484:AD1489" si="55">IF(C1484&lt;&gt;"",1,0)</f>
        <v>0</v>
      </c>
      <c r="BB1484" s="6" t="s">
        <v>926</v>
      </c>
      <c r="BE1484" s="378">
        <v>2</v>
      </c>
      <c r="BF1484" s="378" t="str">
        <f>IF(B1481=BJ1483,BF1485,CONCATENATE(BF$1483,BE1483))</f>
        <v>Employer 1</v>
      </c>
      <c r="BG1484" s="378"/>
      <c r="BH1484" s="378" t="str">
        <f>CONCATENATE(BF$1483,BE1484)</f>
        <v>Employer 2</v>
      </c>
      <c r="BI1484" s="378"/>
      <c r="BJ1484" s="378" t="str">
        <f>CONCATENATE(BF$1483,BE1484)</f>
        <v>Employer 2</v>
      </c>
      <c r="BK1484" s="378"/>
      <c r="BO1484" s="6" t="s">
        <v>927</v>
      </c>
      <c r="BX1484" s="6" t="s">
        <v>922</v>
      </c>
      <c r="BY1484" s="107">
        <v>5</v>
      </c>
      <c r="BZ1484" s="374" t="str">
        <f>DOLLAR(BY1484,0)</f>
        <v>$5</v>
      </c>
      <c r="CA1484" s="6" t="s">
        <v>924</v>
      </c>
      <c r="CB1484" s="6" t="str">
        <f>IF(CB$1482="Y",CONCATENATE(CC1484,CE1484,CF1484,CG1484,CH1484),"")</f>
        <v>. Only $1 if done by Jan 1st.</v>
      </c>
      <c r="CC1484" s="6" t="s">
        <v>928</v>
      </c>
      <c r="CD1484" s="107">
        <f>BY1484/5</f>
        <v>1</v>
      </c>
      <c r="CE1484" s="374" t="str">
        <f>DOLLAR(CD1484,0)</f>
        <v>$1</v>
      </c>
      <c r="CF1484" s="6" t="s">
        <v>929</v>
      </c>
      <c r="CG1484" s="6" t="s">
        <v>930</v>
      </c>
      <c r="CH1484" s="6" t="s">
        <v>931</v>
      </c>
      <c r="CI1484" s="6" t="str">
        <f>CONCATENATE(BO1484,BX1484,BZ1484,CA1484,CB1484)</f>
        <v>We send notification on your behalf [$5]. Only $1 if done by Jan 1st.</v>
      </c>
    </row>
    <row r="1485" spans="1:87" ht="16.95" hidden="1" customHeight="1" thickTop="1" thickBot="1" x14ac:dyDescent="0.3">
      <c r="A1485" s="340"/>
      <c r="B1485" s="338" t="s">
        <v>932</v>
      </c>
      <c r="C1485" s="379"/>
      <c r="D1485" s="380"/>
      <c r="E1485" s="338"/>
      <c r="F1485" s="338"/>
      <c r="AD1485" s="6">
        <f t="shared" si="55"/>
        <v>0</v>
      </c>
      <c r="BB1485" s="6" t="s">
        <v>933</v>
      </c>
      <c r="BE1485" s="378">
        <v>3</v>
      </c>
      <c r="BF1485" s="378" t="str">
        <f>CONCATENATE(BF$1483,BE1484)</f>
        <v>Employer 2</v>
      </c>
      <c r="BG1485" s="378"/>
      <c r="BH1485" s="378" t="str">
        <f>CONCATENATE(BF$1483,BE1485)</f>
        <v>Employer 3</v>
      </c>
      <c r="BI1485" s="378"/>
      <c r="BJ1485" s="378" t="str">
        <f>CONCATENATE(BF$1483,BE1485)</f>
        <v>Employer 3</v>
      </c>
      <c r="BK1485" s="378"/>
      <c r="BO1485" s="6" t="s">
        <v>934</v>
      </c>
      <c r="BX1485" s="6" t="s">
        <v>922</v>
      </c>
      <c r="BY1485" s="107">
        <v>15</v>
      </c>
      <c r="BZ1485" s="374" t="str">
        <f>DOLLAR(BY1485,0)</f>
        <v>$15</v>
      </c>
      <c r="CA1485" s="6" t="s">
        <v>924</v>
      </c>
      <c r="CB1485" s="6" t="str">
        <f>IF(CB$1482="Y",CONCATENATE(CC1485,CE1485,CF1485,CG1485,CH1485),"")</f>
        <v>. Only $3 if done by Jan 1st.</v>
      </c>
      <c r="CC1485" s="6" t="s">
        <v>928</v>
      </c>
      <c r="CD1485" s="107">
        <f>BY1485/5</f>
        <v>3</v>
      </c>
      <c r="CE1485" s="374" t="str">
        <f>DOLLAR(CD1485,0)</f>
        <v>$3</v>
      </c>
      <c r="CF1485" s="6" t="s">
        <v>929</v>
      </c>
      <c r="CG1485" s="6" t="str">
        <f>CG1484</f>
        <v>Jan 1st</v>
      </c>
      <c r="CH1485" s="6" t="s">
        <v>931</v>
      </c>
      <c r="CI1485" s="6" t="str">
        <f>CONCATENATE(BO1485,BX1485,BZ1485,CA1485,CB1485)</f>
        <v>We qualify then notify them [$15]. Only $3 if done by Jan 1st.</v>
      </c>
    </row>
    <row r="1486" spans="1:87" ht="16.95" hidden="1" customHeight="1" thickTop="1" thickBot="1" x14ac:dyDescent="0.3">
      <c r="A1486" s="340"/>
      <c r="B1486" s="338" t="s">
        <v>935</v>
      </c>
      <c r="C1486" s="379"/>
      <c r="D1486" s="380"/>
      <c r="E1486" s="338"/>
      <c r="F1486" s="338"/>
      <c r="AD1486" s="6">
        <f t="shared" si="55"/>
        <v>0</v>
      </c>
      <c r="BB1486" s="6"/>
      <c r="BE1486" s="378">
        <v>4</v>
      </c>
      <c r="BF1486" s="378" t="str">
        <f>CONCATENATE(BF$1483,BE1485)</f>
        <v>Employer 3</v>
      </c>
      <c r="BG1486" s="378"/>
      <c r="BH1486" s="378" t="str">
        <f>CONCATENATE(BF$1483,BE1486)</f>
        <v>Employer 4</v>
      </c>
      <c r="BI1486" s="378"/>
      <c r="BJ1486" s="378" t="str">
        <f>CONCATENATE(BF$1483,BE1486)</f>
        <v>Employer 4</v>
      </c>
      <c r="BK1486" s="378"/>
    </row>
    <row r="1487" spans="1:87" ht="16.95" hidden="1" customHeight="1" thickTop="1" thickBot="1" x14ac:dyDescent="0.3">
      <c r="A1487" s="340"/>
      <c r="B1487" s="338" t="s">
        <v>936</v>
      </c>
      <c r="C1487" s="379"/>
      <c r="D1487" s="379"/>
      <c r="E1487" s="338"/>
      <c r="F1487" s="338"/>
      <c r="AD1487" s="6">
        <f t="shared" si="55"/>
        <v>0</v>
      </c>
      <c r="BE1487" s="378"/>
      <c r="BF1487" s="378" t="str">
        <f>CONCATENATE(BF$1483,BE1486)</f>
        <v>Employer 4</v>
      </c>
      <c r="BG1487" s="378"/>
      <c r="BH1487" s="378" t="str">
        <f>CONCATENATE(BF$1488,BE1483)</f>
        <v>Housing 1</v>
      </c>
      <c r="BI1487" s="378"/>
      <c r="BJ1487" s="378" t="str">
        <f>CONCATENATE(BF$1488,BE1483)</f>
        <v>Housing 1</v>
      </c>
      <c r="BK1487" s="378"/>
    </row>
    <row r="1488" spans="1:87" ht="16.95" hidden="1" customHeight="1" thickTop="1" thickBot="1" x14ac:dyDescent="0.3">
      <c r="A1488" s="340"/>
      <c r="B1488" s="338" t="s">
        <v>937</v>
      </c>
      <c r="C1488" s="381"/>
      <c r="D1488" s="381"/>
      <c r="E1488" s="338"/>
      <c r="F1488" s="338"/>
      <c r="AD1488" s="6">
        <f t="shared" si="55"/>
        <v>0</v>
      </c>
      <c r="BE1488" s="378"/>
      <c r="BF1488" s="378" t="s">
        <v>926</v>
      </c>
      <c r="BG1488" s="378"/>
      <c r="BH1488" s="378" t="str">
        <f>CONCATENATE(BF$1488,BE1484)</f>
        <v>Housing 2</v>
      </c>
      <c r="BI1488" s="378"/>
      <c r="BJ1488" s="378" t="str">
        <f>CONCATENATE(BF$1488,BE1484)</f>
        <v>Housing 2</v>
      </c>
      <c r="BK1488" s="378"/>
    </row>
    <row r="1489" spans="1:63" ht="16.95" hidden="1" customHeight="1" thickTop="1" thickBot="1" x14ac:dyDescent="0.3">
      <c r="A1489" s="340"/>
      <c r="B1489" s="382"/>
      <c r="C1489" s="381"/>
      <c r="D1489" s="381"/>
      <c r="E1489" s="338"/>
      <c r="F1489" s="338"/>
      <c r="AC1489" s="6">
        <f>IF(B1489&lt;&gt;"",1,0)</f>
        <v>0</v>
      </c>
      <c r="AD1489" s="6">
        <f t="shared" si="55"/>
        <v>0</v>
      </c>
      <c r="AE1489" s="6">
        <f>IF(D1489&lt;&gt;"",1,0)</f>
        <v>0</v>
      </c>
      <c r="BE1489" s="378"/>
      <c r="BF1489" s="378" t="str">
        <f>CONCATENATE(BF$1488,BE1483)</f>
        <v>Housing 1</v>
      </c>
      <c r="BG1489" s="378"/>
      <c r="BH1489" s="378" t="str">
        <f>CONCATENATE(BF$1488,BE1485)</f>
        <v>Housing 3</v>
      </c>
      <c r="BI1489" s="378"/>
      <c r="BJ1489" s="378" t="str">
        <f>CONCATENATE(BF$1488,BE1485)</f>
        <v>Housing 3</v>
      </c>
      <c r="BK1489" s="378"/>
    </row>
    <row r="1490" spans="1:63" hidden="1" x14ac:dyDescent="0.25">
      <c r="A1490" s="340"/>
      <c r="B1490" s="338"/>
      <c r="C1490" s="338"/>
      <c r="D1490" s="338"/>
      <c r="E1490" s="338"/>
      <c r="F1490" s="338"/>
      <c r="BE1490" s="378"/>
      <c r="BF1490" s="378" t="str">
        <f>CONCATENATE(BF$1488,BE1484)</f>
        <v>Housing 2</v>
      </c>
      <c r="BG1490" s="378"/>
      <c r="BH1490" s="378" t="str">
        <f>CONCATENATE(BF$1488,BE1486)</f>
        <v>Housing 4</v>
      </c>
      <c r="BI1490" s="378"/>
      <c r="BJ1490" s="378" t="str">
        <f>CONCATENATE(BF$1488,BE1486)</f>
        <v>Housing 4</v>
      </c>
      <c r="BK1490" s="378"/>
    </row>
    <row r="1491" spans="1:63" ht="25.05" hidden="1" customHeight="1" x14ac:dyDescent="0.25">
      <c r="A1491" s="340"/>
      <c r="B1491" s="372" t="s">
        <v>912</v>
      </c>
      <c r="C1491" s="372"/>
      <c r="D1491" s="373" t="str">
        <f>AJ1491</f>
        <v>Accumulative total: $10</v>
      </c>
      <c r="E1491" s="338"/>
      <c r="F1491" s="338"/>
      <c r="AD1491" s="60">
        <f>SUM(AE1491:AG1491)</f>
        <v>5</v>
      </c>
      <c r="AE1491" s="6">
        <f>IF(B1492=CI$1483,BY$1483,0)</f>
        <v>0</v>
      </c>
      <c r="AF1491" s="6">
        <f>IF(C1492=CI$1484,BY$1484,0)</f>
        <v>5</v>
      </c>
      <c r="AG1491" s="6">
        <f>IF(C1492=CI$1485,BY$1485,0)</f>
        <v>0</v>
      </c>
      <c r="AJ1491" s="6" t="str">
        <f>CONCATENATE(AS1491,AT1491)</f>
        <v>Accumulative total: $10</v>
      </c>
      <c r="AS1491" s="374" t="s">
        <v>913</v>
      </c>
      <c r="AT1491" s="6" t="str">
        <f>DOLLAR(AU1491,0)</f>
        <v>$10</v>
      </c>
      <c r="AU1491" s="6">
        <f>AD1491+AU1481</f>
        <v>10</v>
      </c>
      <c r="BE1491" s="378"/>
      <c r="BF1491" s="378" t="str">
        <f>CONCATENATE(BF$1488,BE1485)</f>
        <v>Housing 3</v>
      </c>
      <c r="BG1491" s="378"/>
      <c r="BH1491" s="378" t="str">
        <f>CONCATENATE(BF$1493,BE1483)</f>
        <v>Debt collector 1</v>
      </c>
      <c r="BI1491" s="378"/>
      <c r="BJ1491" s="378" t="str">
        <f>CONCATENATE(BF$1493,BE1483)</f>
        <v>Debt collector 1</v>
      </c>
      <c r="BK1491" s="378"/>
    </row>
    <row r="1492" spans="1:63" ht="15.6" hidden="1" x14ac:dyDescent="0.3">
      <c r="A1492" s="340"/>
      <c r="B1492" s="375" t="s">
        <v>914</v>
      </c>
      <c r="C1492" s="629" t="s">
        <v>915</v>
      </c>
      <c r="D1492" s="629"/>
      <c r="E1492" s="338"/>
      <c r="F1492" s="338"/>
      <c r="AC1492" s="376" t="s">
        <v>916</v>
      </c>
      <c r="AD1492" s="376"/>
      <c r="AE1492" s="376"/>
      <c r="AF1492" s="376"/>
      <c r="AG1492" s="376"/>
      <c r="AH1492" s="376"/>
      <c r="AI1492" s="376"/>
      <c r="AJ1492" s="376"/>
      <c r="BE1492" s="378"/>
      <c r="BF1492" s="378" t="str">
        <f>CONCATENATE(BF$1488,BE1486)</f>
        <v>Housing 4</v>
      </c>
      <c r="BG1492" s="378"/>
      <c r="BH1492" s="378" t="str">
        <f>CONCATENATE(BF$1493,BE1484)</f>
        <v>Debt collector 2</v>
      </c>
      <c r="BI1492" s="378"/>
      <c r="BJ1492" s="378" t="str">
        <f>CONCATENATE(BF$1493,BE1484)</f>
        <v>Debt collector 2</v>
      </c>
      <c r="BK1492" s="378"/>
    </row>
    <row r="1493" spans="1:63" ht="14.4" hidden="1" thickBot="1" x14ac:dyDescent="0.3">
      <c r="A1493" s="340"/>
      <c r="B1493" s="377" t="s">
        <v>938</v>
      </c>
      <c r="C1493" s="627" t="str">
        <f>AC1493</f>
        <v>click to go to N2</v>
      </c>
      <c r="D1493" s="627"/>
      <c r="E1493" s="338"/>
      <c r="F1493" s="338"/>
      <c r="AC1493" s="6" t="str">
        <f>IF(SUM(AD1494,AD1495,AD1496,AD1497,AD1498,AC1499,AD1499,AE1499)&lt;8,"click to go to N2",AI1493)</f>
        <v>click to go to N2</v>
      </c>
      <c r="AI1493" s="6" t="str">
        <f>CONCATENATE(AO1493,AQ1493,AT1493)</f>
        <v>Go to Employer 1  tab &gt;&gt;</v>
      </c>
      <c r="AO1493" s="6" t="s">
        <v>919</v>
      </c>
      <c r="AQ1493" s="6" t="str">
        <f>IF(C1494="","Employer 1 ",C1494)</f>
        <v xml:space="preserve">Employer 1 </v>
      </c>
      <c r="AT1493" s="6" t="s">
        <v>920</v>
      </c>
      <c r="BE1493" s="378"/>
      <c r="BF1493" s="378" t="s">
        <v>933</v>
      </c>
      <c r="BG1493" s="378"/>
      <c r="BH1493" s="378" t="str">
        <f>CONCATENATE(BF$1493,BE1485)</f>
        <v>Debt collector 3</v>
      </c>
      <c r="BI1493" s="378"/>
      <c r="BJ1493" s="378" t="str">
        <f>CONCATENATE(BF$1493,BE1485)</f>
        <v>Debt collector 3</v>
      </c>
      <c r="BK1493" s="378"/>
    </row>
    <row r="1494" spans="1:63" ht="16.95" hidden="1" customHeight="1" thickTop="1" thickBot="1" x14ac:dyDescent="0.3">
      <c r="A1494" s="340"/>
      <c r="B1494" s="338" t="s">
        <v>925</v>
      </c>
      <c r="C1494" s="379"/>
      <c r="D1494" s="380"/>
      <c r="E1494" s="338"/>
      <c r="F1494" s="338"/>
      <c r="AD1494" s="6">
        <f t="shared" ref="AD1494:AD1499" si="56">IF(C1494&lt;&gt;"",1,0)</f>
        <v>0</v>
      </c>
      <c r="BE1494" s="378"/>
      <c r="BF1494" s="378" t="str">
        <f>CONCATENATE(BF$1493,BE1483)</f>
        <v>Debt collector 1</v>
      </c>
      <c r="BG1494" s="378"/>
      <c r="BH1494" s="378" t="str">
        <f>CONCATENATE(BF$1493,BE1486)</f>
        <v>Debt collector 4</v>
      </c>
      <c r="BI1494" s="378"/>
      <c r="BJ1494" s="378" t="str">
        <f>CONCATENATE(BF$1493,BE1486)</f>
        <v>Debt collector 4</v>
      </c>
      <c r="BK1494" s="378"/>
    </row>
    <row r="1495" spans="1:63" ht="16.95" hidden="1" customHeight="1" thickTop="1" thickBot="1" x14ac:dyDescent="0.3">
      <c r="A1495" s="340"/>
      <c r="B1495" s="338" t="s">
        <v>932</v>
      </c>
      <c r="C1495" s="379"/>
      <c r="D1495" s="380"/>
      <c r="E1495" s="338"/>
      <c r="F1495" s="338"/>
      <c r="AD1495" s="6">
        <f t="shared" si="56"/>
        <v>0</v>
      </c>
      <c r="BE1495" s="378"/>
      <c r="BF1495" s="378" t="str">
        <f>CONCATENATE(BF$1493,BE1484)</f>
        <v>Debt collector 2</v>
      </c>
      <c r="BG1495" s="378"/>
      <c r="BH1495" s="378"/>
      <c r="BI1495" s="378"/>
      <c r="BJ1495" s="378"/>
      <c r="BK1495" s="378"/>
    </row>
    <row r="1496" spans="1:63" ht="16.95" hidden="1" customHeight="1" thickTop="1" thickBot="1" x14ac:dyDescent="0.3">
      <c r="A1496" s="340"/>
      <c r="B1496" s="338" t="s">
        <v>935</v>
      </c>
      <c r="C1496" s="379"/>
      <c r="D1496" s="380"/>
      <c r="E1496" s="338"/>
      <c r="F1496" s="338"/>
      <c r="AD1496" s="6">
        <f t="shared" si="56"/>
        <v>0</v>
      </c>
      <c r="BE1496" s="378"/>
      <c r="BF1496" s="378" t="str">
        <f>CONCATENATE(BF$1493,BE1485)</f>
        <v>Debt collector 3</v>
      </c>
      <c r="BG1496" s="378"/>
      <c r="BH1496" s="378"/>
      <c r="BI1496" s="378"/>
      <c r="BJ1496" s="378"/>
      <c r="BK1496" s="378"/>
    </row>
    <row r="1497" spans="1:63" ht="16.95" hidden="1" customHeight="1" thickTop="1" thickBot="1" x14ac:dyDescent="0.3">
      <c r="A1497" s="340"/>
      <c r="B1497" s="338" t="s">
        <v>936</v>
      </c>
      <c r="C1497" s="628"/>
      <c r="D1497" s="628"/>
      <c r="E1497" s="338"/>
      <c r="F1497" s="338"/>
      <c r="AD1497" s="6">
        <f t="shared" si="56"/>
        <v>0</v>
      </c>
      <c r="BE1497" s="378"/>
      <c r="BF1497" s="378" t="str">
        <f>CONCATENATE(BF$1493,BE1486)</f>
        <v>Debt collector 4</v>
      </c>
      <c r="BG1497" s="378"/>
      <c r="BH1497" s="378"/>
      <c r="BI1497" s="378"/>
      <c r="BJ1497" s="378"/>
      <c r="BK1497" s="378"/>
    </row>
    <row r="1498" spans="1:63" ht="16.95" hidden="1" customHeight="1" thickTop="1" thickBot="1" x14ac:dyDescent="0.3">
      <c r="A1498" s="340"/>
      <c r="B1498" s="338" t="s">
        <v>937</v>
      </c>
      <c r="C1498" s="381"/>
      <c r="D1498" s="381"/>
      <c r="E1498" s="338"/>
      <c r="F1498" s="338"/>
      <c r="AD1498" s="6">
        <f t="shared" si="56"/>
        <v>0</v>
      </c>
    </row>
    <row r="1499" spans="1:63" ht="16.95" hidden="1" customHeight="1" thickTop="1" thickBot="1" x14ac:dyDescent="0.3">
      <c r="A1499" s="340"/>
      <c r="B1499" s="382"/>
      <c r="C1499" s="381"/>
      <c r="D1499" s="381"/>
      <c r="E1499" s="338"/>
      <c r="F1499" s="338"/>
      <c r="AC1499" s="6">
        <f>IF(B1499&lt;&gt;"",1,0)</f>
        <v>0</v>
      </c>
      <c r="AD1499" s="6">
        <f t="shared" si="56"/>
        <v>0</v>
      </c>
      <c r="AE1499" s="6">
        <f>IF(D1499&lt;&gt;"",1,0)</f>
        <v>0</v>
      </c>
    </row>
    <row r="1500" spans="1:63" hidden="1" x14ac:dyDescent="0.25">
      <c r="A1500" s="340"/>
      <c r="B1500" s="338"/>
      <c r="C1500" s="338"/>
      <c r="D1500" s="338"/>
      <c r="E1500" s="338"/>
      <c r="F1500" s="338"/>
    </row>
    <row r="1501" spans="1:63" ht="25.05" hidden="1" customHeight="1" x14ac:dyDescent="0.25">
      <c r="A1501" s="340"/>
      <c r="B1501" s="372" t="s">
        <v>926</v>
      </c>
      <c r="C1501" s="372"/>
      <c r="D1501" s="373" t="str">
        <f>AJ1501</f>
        <v>Accumulative total: $10</v>
      </c>
      <c r="E1501" s="338"/>
      <c r="F1501" s="338"/>
      <c r="AD1501" s="60">
        <f>SUM(AE1501:AG1501)</f>
        <v>0</v>
      </c>
      <c r="AE1501" s="6">
        <f>IF(B1502=CI$1483,BY$1483,0)</f>
        <v>0</v>
      </c>
      <c r="AF1501" s="6">
        <f>IF(C1502=CI$1484,BY$1484,0)</f>
        <v>0</v>
      </c>
      <c r="AG1501" s="6">
        <f>IF(C1502=CI$1485,BY$1485,0)</f>
        <v>0</v>
      </c>
      <c r="AJ1501" s="6" t="str">
        <f>CONCATENATE(AS1501,AT1501)</f>
        <v>Accumulative total: $10</v>
      </c>
      <c r="AS1501" s="374" t="s">
        <v>913</v>
      </c>
      <c r="AT1501" s="6" t="str">
        <f>DOLLAR(AU1501,0)</f>
        <v>$10</v>
      </c>
      <c r="AU1501" s="6">
        <f>AD1501+AU1491</f>
        <v>10</v>
      </c>
    </row>
    <row r="1502" spans="1:63" ht="15.6" hidden="1" x14ac:dyDescent="0.3">
      <c r="A1502" s="340"/>
      <c r="B1502" s="375" t="s">
        <v>914</v>
      </c>
      <c r="C1502" s="629" t="str">
        <f>AC1502</f>
        <v>PICK AN OPTION BEST FOR YOU</v>
      </c>
      <c r="D1502" s="629"/>
      <c r="E1502" s="338"/>
      <c r="F1502" s="338"/>
      <c r="AC1502" s="376" t="s">
        <v>916</v>
      </c>
      <c r="AD1502" s="376"/>
      <c r="AE1502" s="376"/>
      <c r="AF1502" s="376"/>
      <c r="AG1502" s="376"/>
      <c r="AH1502" s="376"/>
      <c r="AI1502" s="376"/>
      <c r="AJ1502" s="376"/>
    </row>
    <row r="1503" spans="1:63" ht="14.4" hidden="1" thickBot="1" x14ac:dyDescent="0.3">
      <c r="A1503" s="340"/>
      <c r="B1503" s="377" t="s">
        <v>939</v>
      </c>
      <c r="C1503" s="627" t="str">
        <f>AC1503</f>
        <v>click to go to N3</v>
      </c>
      <c r="D1503" s="627"/>
      <c r="E1503" s="338"/>
      <c r="F1503" s="338"/>
      <c r="AC1503" s="6" t="str">
        <f>IF(SUM(AD1504,AD1505,AD1506,AD1507,AD1508,AC1509,AD1509,AE1509)&lt;8,"click to go to N3",AI1503)</f>
        <v>click to go to N3</v>
      </c>
      <c r="AI1503" s="6" t="str">
        <f>CONCATENATE(AO1503,AQ1503,AT1503)</f>
        <v>Go to Employer 1  tab &gt;&gt;</v>
      </c>
      <c r="AO1503" s="6" t="s">
        <v>919</v>
      </c>
      <c r="AQ1503" s="6" t="str">
        <f>IF(C1504="","Employer 1 ",C1504)</f>
        <v xml:space="preserve">Employer 1 </v>
      </c>
      <c r="AT1503" s="6" t="s">
        <v>920</v>
      </c>
    </row>
    <row r="1504" spans="1:63" ht="16.95" hidden="1" customHeight="1" thickTop="1" thickBot="1" x14ac:dyDescent="0.3">
      <c r="A1504" s="340"/>
      <c r="B1504" s="338" t="s">
        <v>925</v>
      </c>
      <c r="C1504" s="379"/>
      <c r="D1504" s="380"/>
      <c r="E1504" s="338"/>
      <c r="F1504" s="338"/>
      <c r="AD1504" s="6">
        <f t="shared" ref="AD1504:AD1509" si="57">IF(C1504&lt;&gt;"",1,0)</f>
        <v>0</v>
      </c>
    </row>
    <row r="1505" spans="1:80" ht="16.95" hidden="1" customHeight="1" thickTop="1" thickBot="1" x14ac:dyDescent="0.3">
      <c r="A1505" s="340"/>
      <c r="B1505" s="338" t="s">
        <v>932</v>
      </c>
      <c r="C1505" s="379"/>
      <c r="D1505" s="380"/>
      <c r="E1505" s="338"/>
      <c r="F1505" s="338"/>
      <c r="AD1505" s="6">
        <f t="shared" si="57"/>
        <v>0</v>
      </c>
    </row>
    <row r="1506" spans="1:80" ht="16.95" hidden="1" customHeight="1" thickTop="1" thickBot="1" x14ac:dyDescent="0.3">
      <c r="A1506" s="340"/>
      <c r="B1506" s="338" t="s">
        <v>935</v>
      </c>
      <c r="C1506" s="379"/>
      <c r="D1506" s="380"/>
      <c r="E1506" s="338"/>
      <c r="F1506" s="338"/>
      <c r="AD1506" s="6">
        <f t="shared" si="57"/>
        <v>0</v>
      </c>
    </row>
    <row r="1507" spans="1:80" ht="16.95" hidden="1" customHeight="1" thickTop="1" thickBot="1" x14ac:dyDescent="0.3">
      <c r="A1507" s="340"/>
      <c r="B1507" s="338" t="s">
        <v>936</v>
      </c>
      <c r="C1507" s="628"/>
      <c r="D1507" s="628"/>
      <c r="E1507" s="338"/>
      <c r="F1507" s="338"/>
      <c r="AD1507" s="6">
        <f t="shared" si="57"/>
        <v>0</v>
      </c>
    </row>
    <row r="1508" spans="1:80" ht="16.95" hidden="1" customHeight="1" thickTop="1" thickBot="1" x14ac:dyDescent="0.3">
      <c r="A1508" s="340"/>
      <c r="B1508" s="338" t="s">
        <v>937</v>
      </c>
      <c r="C1508" s="381"/>
      <c r="D1508" s="381"/>
      <c r="E1508" s="338"/>
      <c r="F1508" s="338"/>
      <c r="AD1508" s="6">
        <f t="shared" si="57"/>
        <v>0</v>
      </c>
    </row>
    <row r="1509" spans="1:80" ht="16.95" hidden="1" customHeight="1" thickTop="1" thickBot="1" x14ac:dyDescent="0.3">
      <c r="A1509" s="340"/>
      <c r="B1509" s="382"/>
      <c r="C1509" s="381"/>
      <c r="D1509" s="381"/>
      <c r="E1509" s="338"/>
      <c r="F1509" s="338"/>
      <c r="AC1509" s="6">
        <f>IF(B1509&lt;&gt;"",1,0)</f>
        <v>0</v>
      </c>
      <c r="AD1509" s="6">
        <f t="shared" si="57"/>
        <v>0</v>
      </c>
      <c r="AE1509" s="6">
        <f>IF(D1509&lt;&gt;"",1,0)</f>
        <v>0</v>
      </c>
    </row>
    <row r="1510" spans="1:80" hidden="1" x14ac:dyDescent="0.25">
      <c r="A1510" s="340"/>
      <c r="B1510" s="338"/>
      <c r="C1510" s="338"/>
      <c r="D1510" s="338"/>
      <c r="E1510" s="338"/>
      <c r="F1510" s="338"/>
    </row>
    <row r="1511" spans="1:80" ht="25.05" hidden="1" customHeight="1" x14ac:dyDescent="0.25">
      <c r="A1511" s="340"/>
      <c r="B1511" s="372" t="s">
        <v>926</v>
      </c>
      <c r="C1511" s="372"/>
      <c r="D1511" s="373" t="str">
        <f>AJ1511</f>
        <v>Accumulative total: $10</v>
      </c>
      <c r="E1511" s="338"/>
      <c r="F1511" s="338"/>
      <c r="AD1511" s="60">
        <f>SUM(AE1511:AG1511)</f>
        <v>0</v>
      </c>
      <c r="AE1511" s="6">
        <f>IF(B1512=CI$1483,BY$1483,0)</f>
        <v>0</v>
      </c>
      <c r="AF1511" s="6">
        <f>IF(C1512=CI$1484,BY$1484,0)</f>
        <v>0</v>
      </c>
      <c r="AG1511" s="6">
        <f>IF(C1512=CI$1485,BY$1485,0)</f>
        <v>0</v>
      </c>
      <c r="AJ1511" s="6" t="str">
        <f>CONCATENATE(AS1511,AT1511)</f>
        <v>Accumulative total: $10</v>
      </c>
      <c r="AS1511" s="374" t="s">
        <v>913</v>
      </c>
      <c r="AT1511" s="6" t="str">
        <f>DOLLAR(AU1511,0)</f>
        <v>$10</v>
      </c>
      <c r="AU1511" s="6">
        <f>AD1511+AU1501</f>
        <v>10</v>
      </c>
    </row>
    <row r="1512" spans="1:80" ht="15" hidden="1" customHeight="1" x14ac:dyDescent="0.3">
      <c r="A1512" s="340"/>
      <c r="B1512" s="375" t="s">
        <v>914</v>
      </c>
      <c r="C1512" s="629" t="str">
        <f>AC1512</f>
        <v>PICK AN OPTION BEST FOR YOU</v>
      </c>
      <c r="D1512" s="629"/>
      <c r="E1512" s="338"/>
      <c r="F1512" s="338"/>
      <c r="AC1512" s="376" t="s">
        <v>916</v>
      </c>
      <c r="AD1512" s="376"/>
      <c r="AE1512" s="376"/>
      <c r="AF1512" s="376"/>
      <c r="AG1512" s="376"/>
      <c r="AH1512" s="376"/>
      <c r="AI1512" s="376"/>
      <c r="AJ1512" s="376"/>
    </row>
    <row r="1513" spans="1:80" ht="15" hidden="1" customHeight="1" thickBot="1" x14ac:dyDescent="0.3">
      <c r="A1513" s="340"/>
      <c r="B1513" s="377" t="s">
        <v>940</v>
      </c>
      <c r="C1513" s="627" t="str">
        <f>AC1513</f>
        <v>click to go to AI04</v>
      </c>
      <c r="D1513" s="627"/>
      <c r="E1513" s="338"/>
      <c r="F1513" s="338"/>
      <c r="AC1513" s="6" t="str">
        <f>IF(SUM(AD1514,AD1515,AD1516,AD1517,AD1518,AC1519,AD1519,AE1519)&lt;8,"click to go to AI04",AI1513)</f>
        <v>click to go to AI04</v>
      </c>
      <c r="AI1513" s="6" t="str">
        <f>CONCATENATE(AO1513,AQ1513,AT1513)</f>
        <v>Go to Employer 1  tab &gt;&gt;</v>
      </c>
      <c r="AO1513" s="6" t="s">
        <v>919</v>
      </c>
      <c r="AQ1513" s="6" t="str">
        <f>IF(C1514="","Employer 1 ",C1514)</f>
        <v xml:space="preserve">Employer 1 </v>
      </c>
      <c r="AT1513" s="6" t="s">
        <v>920</v>
      </c>
      <c r="BX1513" s="262" t="s">
        <v>922</v>
      </c>
      <c r="BY1513" s="6">
        <v>0</v>
      </c>
      <c r="BZ1513" s="6" t="s">
        <v>923</v>
      </c>
      <c r="CA1513" s="262" t="s">
        <v>924</v>
      </c>
      <c r="CB1513" s="6" t="str">
        <f>CONCATENATE(BO1513,BX1513,BZ1513,CA1513)</f>
        <v>[DIY FREE]</v>
      </c>
    </row>
    <row r="1514" spans="1:80" ht="16.95" hidden="1" customHeight="1" thickTop="1" thickBot="1" x14ac:dyDescent="0.3">
      <c r="A1514" s="340"/>
      <c r="B1514" s="338" t="s">
        <v>925</v>
      </c>
      <c r="C1514" s="379"/>
      <c r="D1514" s="380"/>
      <c r="E1514" s="338"/>
      <c r="F1514" s="338"/>
      <c r="AD1514" s="6">
        <f t="shared" ref="AD1514:AD1519" si="58">IF(C1514&lt;&gt;"",1,0)</f>
        <v>0</v>
      </c>
      <c r="BX1514" s="6" t="s">
        <v>922</v>
      </c>
      <c r="BY1514" s="6">
        <v>5</v>
      </c>
      <c r="BZ1514" s="374" t="str">
        <f>DOLLAR(BY1514,0)</f>
        <v>$5</v>
      </c>
      <c r="CA1514" s="6" t="s">
        <v>924</v>
      </c>
      <c r="CB1514" s="6" t="str">
        <f>CONCATENATE(BO1514,BX1514,BZ1514,CA1514)</f>
        <v>[$5]</v>
      </c>
    </row>
    <row r="1515" spans="1:80" ht="16.95" hidden="1" customHeight="1" thickTop="1" thickBot="1" x14ac:dyDescent="0.3">
      <c r="A1515" s="340"/>
      <c r="B1515" s="338" t="s">
        <v>932</v>
      </c>
      <c r="C1515" s="379"/>
      <c r="D1515" s="380"/>
      <c r="E1515" s="338"/>
      <c r="F1515" s="338"/>
      <c r="AD1515" s="6">
        <f t="shared" si="58"/>
        <v>0</v>
      </c>
      <c r="BX1515" s="6" t="s">
        <v>922</v>
      </c>
      <c r="BY1515" s="6">
        <v>15</v>
      </c>
      <c r="BZ1515" s="374" t="str">
        <f>DOLLAR(BY1515,0)</f>
        <v>$15</v>
      </c>
      <c r="CA1515" s="6" t="s">
        <v>924</v>
      </c>
      <c r="CB1515" s="6" t="str">
        <f>CONCATENATE(BO1515,BX1515,BZ1515,CA1515)</f>
        <v>[$15]</v>
      </c>
    </row>
    <row r="1516" spans="1:80" ht="16.95" hidden="1" customHeight="1" thickTop="1" thickBot="1" x14ac:dyDescent="0.3">
      <c r="A1516" s="340"/>
      <c r="B1516" s="338" t="s">
        <v>935</v>
      </c>
      <c r="C1516" s="379"/>
      <c r="D1516" s="380"/>
      <c r="E1516" s="338"/>
      <c r="F1516" s="338"/>
      <c r="AD1516" s="6">
        <f t="shared" si="58"/>
        <v>0</v>
      </c>
    </row>
    <row r="1517" spans="1:80" ht="16.95" hidden="1" customHeight="1" thickTop="1" thickBot="1" x14ac:dyDescent="0.3">
      <c r="A1517" s="340"/>
      <c r="B1517" s="338" t="s">
        <v>936</v>
      </c>
      <c r="C1517" s="628"/>
      <c r="D1517" s="628"/>
      <c r="E1517" s="338"/>
      <c r="F1517" s="338"/>
      <c r="AD1517" s="6">
        <f t="shared" si="58"/>
        <v>0</v>
      </c>
    </row>
    <row r="1518" spans="1:80" ht="16.95" hidden="1" customHeight="1" thickTop="1" thickBot="1" x14ac:dyDescent="0.3">
      <c r="A1518" s="340"/>
      <c r="B1518" s="338" t="s">
        <v>937</v>
      </c>
      <c r="C1518" s="381"/>
      <c r="D1518" s="381"/>
      <c r="E1518" s="338"/>
      <c r="F1518" s="338"/>
      <c r="AD1518" s="6">
        <f t="shared" si="58"/>
        <v>0</v>
      </c>
    </row>
    <row r="1519" spans="1:80" ht="16.95" hidden="1" customHeight="1" thickTop="1" thickBot="1" x14ac:dyDescent="0.3">
      <c r="A1519" s="340"/>
      <c r="B1519" s="382"/>
      <c r="C1519" s="381"/>
      <c r="D1519" s="381"/>
      <c r="E1519" s="338"/>
      <c r="F1519" s="338"/>
      <c r="AC1519" s="6">
        <f>IF(B1519&lt;&gt;"",1,0)</f>
        <v>0</v>
      </c>
      <c r="AD1519" s="6">
        <f t="shared" si="58"/>
        <v>0</v>
      </c>
      <c r="AE1519" s="6">
        <f>IF(D1519&lt;&gt;"",1,0)</f>
        <v>0</v>
      </c>
    </row>
    <row r="1520" spans="1:80" hidden="1" x14ac:dyDescent="0.25">
      <c r="A1520" s="340"/>
      <c r="B1520" s="338"/>
      <c r="C1520" s="338"/>
      <c r="D1520" s="338"/>
      <c r="E1520" s="338"/>
      <c r="F1520" s="338"/>
    </row>
    <row r="1521" spans="1:47" ht="25.05" hidden="1" customHeight="1" x14ac:dyDescent="0.25">
      <c r="A1521" s="340"/>
      <c r="B1521" s="372" t="s">
        <v>933</v>
      </c>
      <c r="C1521" s="372"/>
      <c r="D1521" s="373" t="str">
        <f>AJ1521</f>
        <v>Accumulative total: $10</v>
      </c>
      <c r="E1521" s="338"/>
      <c r="F1521" s="338"/>
      <c r="AD1521" s="60">
        <f>SUM(AE1521:AG1521)</f>
        <v>0</v>
      </c>
      <c r="AE1521" s="6">
        <f>IF(B1522=CI$1483,BY$1483,0)</f>
        <v>0</v>
      </c>
      <c r="AF1521" s="6">
        <f>IF(C1522=CI$1484,BY$1484,0)</f>
        <v>0</v>
      </c>
      <c r="AG1521" s="6">
        <f>IF(C1522=CI$1485,BY$1485,0)</f>
        <v>0</v>
      </c>
      <c r="AJ1521" s="6" t="str">
        <f>CONCATENATE(AS1521,AT1521)</f>
        <v>Accumulative total: $10</v>
      </c>
      <c r="AS1521" s="374" t="s">
        <v>913</v>
      </c>
      <c r="AT1521" s="6" t="str">
        <f>DOLLAR(AU1521,0)</f>
        <v>$10</v>
      </c>
      <c r="AU1521" s="6">
        <f>AD1521+AU1511</f>
        <v>10</v>
      </c>
    </row>
    <row r="1522" spans="1:47" ht="15.6" hidden="1" x14ac:dyDescent="0.3">
      <c r="A1522" s="340"/>
      <c r="B1522" s="375" t="s">
        <v>914</v>
      </c>
      <c r="C1522" s="629" t="str">
        <f>AC1522</f>
        <v>PICK AN OPTION BEST FOR YOU</v>
      </c>
      <c r="D1522" s="629"/>
      <c r="E1522" s="338"/>
      <c r="F1522" s="338"/>
      <c r="AC1522" s="376" t="s">
        <v>916</v>
      </c>
      <c r="AD1522" s="376"/>
      <c r="AE1522" s="376"/>
      <c r="AF1522" s="376"/>
      <c r="AG1522" s="376"/>
      <c r="AH1522" s="376"/>
      <c r="AI1522" s="376"/>
      <c r="AJ1522" s="376"/>
    </row>
    <row r="1523" spans="1:47" ht="14.4" hidden="1" thickBot="1" x14ac:dyDescent="0.3">
      <c r="A1523" s="340"/>
      <c r="B1523" s="377" t="s">
        <v>941</v>
      </c>
      <c r="C1523" s="627" t="str">
        <f>AC1523</f>
        <v>click to go to AI05</v>
      </c>
      <c r="D1523" s="627"/>
      <c r="E1523" s="338"/>
      <c r="F1523" s="338"/>
      <c r="AC1523" s="6" t="str">
        <f>IF(SUM(AD1524,AD1525,AD1526,AD1527,AD1528,AC1529,AD1529,AE1529)&lt;8,"click to go to AI05",AI1523)</f>
        <v>click to go to AI05</v>
      </c>
      <c r="AI1523" s="6" t="str">
        <f>CONCATENATE(AO1523,AQ1523,AT1523)</f>
        <v>Go to Employer 1  tab &gt;&gt;</v>
      </c>
      <c r="AO1523" s="6" t="s">
        <v>919</v>
      </c>
      <c r="AQ1523" s="6" t="str">
        <f>IF(C1524="","Employer 1 ",C1524)</f>
        <v xml:space="preserve">Employer 1 </v>
      </c>
      <c r="AT1523" s="6" t="s">
        <v>920</v>
      </c>
    </row>
    <row r="1524" spans="1:47" ht="16.95" hidden="1" customHeight="1" thickTop="1" thickBot="1" x14ac:dyDescent="0.3">
      <c r="A1524" s="340"/>
      <c r="B1524" s="338" t="s">
        <v>925</v>
      </c>
      <c r="C1524" s="379"/>
      <c r="D1524" s="380"/>
      <c r="E1524" s="338"/>
      <c r="F1524" s="338"/>
      <c r="AD1524" s="6">
        <f t="shared" ref="AD1524:AD1529" si="59">IF(C1524&lt;&gt;"",1,0)</f>
        <v>0</v>
      </c>
    </row>
    <row r="1525" spans="1:47" ht="16.95" hidden="1" customHeight="1" thickTop="1" thickBot="1" x14ac:dyDescent="0.3">
      <c r="A1525" s="340"/>
      <c r="B1525" s="338" t="s">
        <v>932</v>
      </c>
      <c r="C1525" s="379"/>
      <c r="D1525" s="380"/>
      <c r="E1525" s="338"/>
      <c r="F1525" s="338"/>
      <c r="AD1525" s="6">
        <f t="shared" si="59"/>
        <v>0</v>
      </c>
    </row>
    <row r="1526" spans="1:47" ht="16.95" hidden="1" customHeight="1" thickTop="1" thickBot="1" x14ac:dyDescent="0.3">
      <c r="A1526" s="340"/>
      <c r="B1526" s="338" t="s">
        <v>935</v>
      </c>
      <c r="C1526" s="379"/>
      <c r="D1526" s="380"/>
      <c r="E1526" s="338"/>
      <c r="F1526" s="338"/>
      <c r="AD1526" s="6">
        <f t="shared" si="59"/>
        <v>0</v>
      </c>
    </row>
    <row r="1527" spans="1:47" ht="16.95" hidden="1" customHeight="1" thickTop="1" thickBot="1" x14ac:dyDescent="0.3">
      <c r="A1527" s="340"/>
      <c r="B1527" s="338" t="s">
        <v>936</v>
      </c>
      <c r="C1527" s="628"/>
      <c r="D1527" s="628"/>
      <c r="E1527" s="338"/>
      <c r="F1527" s="338"/>
      <c r="AD1527" s="6">
        <f t="shared" si="59"/>
        <v>0</v>
      </c>
    </row>
    <row r="1528" spans="1:47" ht="16.95" hidden="1" customHeight="1" thickTop="1" thickBot="1" x14ac:dyDescent="0.3">
      <c r="A1528" s="340"/>
      <c r="B1528" s="338" t="s">
        <v>937</v>
      </c>
      <c r="C1528" s="381"/>
      <c r="D1528" s="381"/>
      <c r="E1528" s="338"/>
      <c r="F1528" s="338"/>
      <c r="AD1528" s="6">
        <f t="shared" si="59"/>
        <v>0</v>
      </c>
    </row>
    <row r="1529" spans="1:47" ht="16.95" hidden="1" customHeight="1" thickTop="1" thickBot="1" x14ac:dyDescent="0.3">
      <c r="A1529" s="340"/>
      <c r="B1529" s="382"/>
      <c r="C1529" s="381"/>
      <c r="D1529" s="381"/>
      <c r="E1529" s="338"/>
      <c r="F1529" s="338"/>
      <c r="AC1529" s="6">
        <f>IF(B1529&lt;&gt;"",1,0)</f>
        <v>0</v>
      </c>
      <c r="AD1529" s="6">
        <f t="shared" si="59"/>
        <v>0</v>
      </c>
      <c r="AE1529" s="6">
        <f>IF(D1529&lt;&gt;"",1,0)</f>
        <v>0</v>
      </c>
    </row>
    <row r="1530" spans="1:47" hidden="1" x14ac:dyDescent="0.25">
      <c r="A1530" s="340"/>
      <c r="B1530" s="338"/>
      <c r="C1530" s="338"/>
      <c r="D1530" s="338"/>
      <c r="E1530" s="338"/>
      <c r="F1530" s="338"/>
    </row>
    <row r="1531" spans="1:47" ht="25.05" hidden="1" customHeight="1" x14ac:dyDescent="0.25">
      <c r="A1531" s="340"/>
      <c r="B1531" s="372" t="s">
        <v>933</v>
      </c>
      <c r="C1531" s="372"/>
      <c r="D1531" s="373" t="str">
        <f>AJ1531</f>
        <v>Accumulative total: $10</v>
      </c>
      <c r="E1531" s="338"/>
      <c r="F1531" s="338"/>
      <c r="AD1531" s="60">
        <f>SUM(AE1531:AG1531)</f>
        <v>0</v>
      </c>
      <c r="AE1531" s="6">
        <f>IF(B1532=CI$1483,BY$1483,0)</f>
        <v>0</v>
      </c>
      <c r="AF1531" s="6">
        <f>IF(C1532=CI$1484,BY$1484,0)</f>
        <v>0</v>
      </c>
      <c r="AG1531" s="6">
        <f>IF(C1532=CI$1485,BY$1485,0)</f>
        <v>0</v>
      </c>
      <c r="AJ1531" s="6" t="str">
        <f>CONCATENATE(AS1531,AT1531)</f>
        <v>Accumulative total: $10</v>
      </c>
      <c r="AS1531" s="374" t="s">
        <v>913</v>
      </c>
      <c r="AT1531" s="6" t="str">
        <f>DOLLAR(AU1531,0)</f>
        <v>$10</v>
      </c>
      <c r="AU1531" s="6">
        <f>AD1531+AU1521</f>
        <v>10</v>
      </c>
    </row>
    <row r="1532" spans="1:47" ht="15.6" hidden="1" x14ac:dyDescent="0.3">
      <c r="A1532" s="340"/>
      <c r="B1532" s="375" t="s">
        <v>914</v>
      </c>
      <c r="C1532" s="629" t="str">
        <f>AC1532</f>
        <v>PICK AN OPTION BEST FOR YOU</v>
      </c>
      <c r="D1532" s="629"/>
      <c r="E1532" s="338"/>
      <c r="F1532" s="338"/>
      <c r="AC1532" s="376" t="s">
        <v>916</v>
      </c>
      <c r="AD1532" s="376"/>
      <c r="AE1532" s="376"/>
      <c r="AF1532" s="376"/>
      <c r="AG1532" s="376"/>
      <c r="AH1532" s="376"/>
      <c r="AI1532" s="376"/>
      <c r="AJ1532" s="376"/>
    </row>
    <row r="1533" spans="1:47" ht="14.4" hidden="1" thickBot="1" x14ac:dyDescent="0.3">
      <c r="A1533" s="340"/>
      <c r="B1533" s="377" t="s">
        <v>942</v>
      </c>
      <c r="C1533" s="627" t="str">
        <f>AC1533</f>
        <v>click to go to AI06</v>
      </c>
      <c r="D1533" s="627"/>
      <c r="E1533" s="338"/>
      <c r="F1533" s="338"/>
      <c r="AC1533" s="6" t="str">
        <f>IF(SUM(AD1534,AD1535,AD1536,AD1537,AD1538,AC1539,AD1539,AE1539)&lt;8,"click to go to AI06",AI1533)</f>
        <v>click to go to AI06</v>
      </c>
      <c r="AI1533" s="6" t="str">
        <f>CONCATENATE(AO1533,AQ1533,AT1533)</f>
        <v>Go to Employer 1  tab &gt;&gt;</v>
      </c>
      <c r="AO1533" s="6" t="s">
        <v>919</v>
      </c>
      <c r="AQ1533" s="6" t="str">
        <f>IF(C1534="","Employer 1 ",C1534)</f>
        <v xml:space="preserve">Employer 1 </v>
      </c>
      <c r="AT1533" s="6" t="s">
        <v>920</v>
      </c>
    </row>
    <row r="1534" spans="1:47" ht="16.95" hidden="1" customHeight="1" thickTop="1" thickBot="1" x14ac:dyDescent="0.3">
      <c r="A1534" s="340"/>
      <c r="B1534" s="338" t="s">
        <v>925</v>
      </c>
      <c r="C1534" s="379"/>
      <c r="D1534" s="380"/>
      <c r="E1534" s="338"/>
      <c r="F1534" s="338"/>
      <c r="AD1534" s="6">
        <f t="shared" ref="AD1534:AD1539" si="60">IF(C1534&lt;&gt;"",1,0)</f>
        <v>0</v>
      </c>
    </row>
    <row r="1535" spans="1:47" ht="16.95" hidden="1" customHeight="1" thickTop="1" thickBot="1" x14ac:dyDescent="0.3">
      <c r="A1535" s="340"/>
      <c r="B1535" s="338" t="s">
        <v>932</v>
      </c>
      <c r="C1535" s="379"/>
      <c r="D1535" s="380"/>
      <c r="E1535" s="338"/>
      <c r="F1535" s="338"/>
      <c r="AD1535" s="6">
        <f t="shared" si="60"/>
        <v>0</v>
      </c>
    </row>
    <row r="1536" spans="1:47" ht="16.95" hidden="1" customHeight="1" thickTop="1" thickBot="1" x14ac:dyDescent="0.3">
      <c r="A1536" s="340"/>
      <c r="B1536" s="338" t="s">
        <v>935</v>
      </c>
      <c r="C1536" s="379"/>
      <c r="D1536" s="380"/>
      <c r="E1536" s="338"/>
      <c r="F1536" s="338"/>
      <c r="AD1536" s="6">
        <f t="shared" si="60"/>
        <v>0</v>
      </c>
    </row>
    <row r="1537" spans="1:54" ht="16.95" hidden="1" customHeight="1" thickTop="1" thickBot="1" x14ac:dyDescent="0.3">
      <c r="A1537" s="340"/>
      <c r="B1537" s="338" t="s">
        <v>936</v>
      </c>
      <c r="C1537" s="628"/>
      <c r="D1537" s="628"/>
      <c r="E1537" s="338"/>
      <c r="F1537" s="338"/>
      <c r="AD1537" s="6">
        <f t="shared" si="60"/>
        <v>0</v>
      </c>
    </row>
    <row r="1538" spans="1:54" ht="16.95" hidden="1" customHeight="1" thickTop="1" thickBot="1" x14ac:dyDescent="0.3">
      <c r="A1538" s="340"/>
      <c r="B1538" s="338" t="s">
        <v>937</v>
      </c>
      <c r="C1538" s="381"/>
      <c r="D1538" s="381"/>
      <c r="E1538" s="338"/>
      <c r="F1538" s="338"/>
      <c r="AD1538" s="6">
        <f t="shared" si="60"/>
        <v>0</v>
      </c>
    </row>
    <row r="1539" spans="1:54" ht="16.95" hidden="1" customHeight="1" thickTop="1" thickBot="1" x14ac:dyDescent="0.3">
      <c r="A1539" s="340"/>
      <c r="B1539" s="382"/>
      <c r="C1539" s="381"/>
      <c r="D1539" s="381"/>
      <c r="E1539" s="338"/>
      <c r="F1539" s="338"/>
      <c r="AC1539" s="6">
        <f>IF(B1539&lt;&gt;"",1,0)</f>
        <v>0</v>
      </c>
      <c r="AD1539" s="6">
        <f t="shared" si="60"/>
        <v>0</v>
      </c>
      <c r="AE1539" s="6">
        <f>IF(D1539&lt;&gt;"",1,0)</f>
        <v>0</v>
      </c>
    </row>
    <row r="1540" spans="1:54" hidden="1" x14ac:dyDescent="0.25">
      <c r="A1540" s="340"/>
      <c r="B1540" s="338"/>
      <c r="C1540" s="338"/>
      <c r="D1540" s="338"/>
      <c r="E1540" s="338"/>
      <c r="F1540" s="338"/>
    </row>
    <row r="1541" spans="1:54" hidden="1" x14ac:dyDescent="0.25">
      <c r="A1541" s="340"/>
      <c r="B1541" s="338"/>
      <c r="C1541" s="338"/>
      <c r="D1541" s="338"/>
      <c r="E1541" s="338"/>
      <c r="F1541" s="338"/>
    </row>
    <row r="1542" spans="1:54" ht="15" hidden="1" customHeight="1" x14ac:dyDescent="0.25">
      <c r="A1542" s="340"/>
      <c r="B1542" s="338"/>
      <c r="C1542" s="384"/>
      <c r="D1542" s="384"/>
      <c r="E1542" s="338"/>
      <c r="F1542" s="338"/>
    </row>
    <row r="1543" spans="1:54" hidden="1" x14ac:dyDescent="0.25">
      <c r="A1543" s="340"/>
      <c r="B1543" s="338"/>
      <c r="C1543" s="338"/>
      <c r="D1543" s="338"/>
      <c r="E1543" s="338"/>
      <c r="F1543" s="338"/>
    </row>
    <row r="1544" spans="1:54" hidden="1" x14ac:dyDescent="0.25">
      <c r="A1544" s="340"/>
      <c r="B1544" s="338"/>
      <c r="C1544" s="338"/>
      <c r="D1544" s="338"/>
      <c r="E1544" s="338"/>
      <c r="F1544" s="338"/>
    </row>
    <row r="1545" spans="1:54" hidden="1" x14ac:dyDescent="0.25">
      <c r="A1545" s="340"/>
      <c r="B1545" s="338"/>
      <c r="C1545" s="338"/>
      <c r="D1545" s="338"/>
      <c r="E1545" s="338"/>
      <c r="F1545" s="338"/>
    </row>
    <row r="1546" spans="1:54" hidden="1" x14ac:dyDescent="0.25">
      <c r="A1546" s="340"/>
      <c r="B1546" s="338"/>
      <c r="C1546" s="338"/>
      <c r="D1546" s="338"/>
      <c r="E1546" s="338"/>
      <c r="F1546" s="338"/>
    </row>
    <row r="1547" spans="1:54" hidden="1" x14ac:dyDescent="0.25">
      <c r="A1547" s="340"/>
      <c r="B1547" s="338"/>
      <c r="C1547" s="338"/>
      <c r="D1547" s="338"/>
      <c r="E1547" s="338"/>
      <c r="F1547" s="338"/>
    </row>
    <row r="1548" spans="1:54" ht="30" hidden="1" customHeight="1" x14ac:dyDescent="0.25">
      <c r="A1548" s="340"/>
      <c r="B1548" s="338"/>
      <c r="C1548" s="338"/>
      <c r="D1548" s="338"/>
      <c r="E1548" s="338"/>
      <c r="F1548" s="338"/>
    </row>
    <row r="1549" spans="1:54" ht="10.050000000000001" hidden="1" customHeight="1" x14ac:dyDescent="0.25">
      <c r="A1549" s="340"/>
      <c r="B1549" s="385"/>
      <c r="C1549" s="338"/>
      <c r="D1549" s="338"/>
      <c r="E1549" s="338"/>
      <c r="F1549" s="338"/>
    </row>
    <row r="1550" spans="1:54" ht="30" hidden="1" customHeight="1" x14ac:dyDescent="0.25">
      <c r="A1550" s="45" t="s">
        <v>99</v>
      </c>
      <c r="B1550" s="46" t="s">
        <v>943</v>
      </c>
      <c r="C1550" s="45"/>
      <c r="D1550" s="45"/>
      <c r="E1550" s="45"/>
      <c r="F1550" s="45"/>
      <c r="BB1550" s="6"/>
    </row>
    <row r="1551" spans="1:54" ht="17.399999999999999" hidden="1" x14ac:dyDescent="0.25">
      <c r="A1551" s="48"/>
      <c r="B1551" s="531"/>
      <c r="C1551" s="531"/>
      <c r="D1551" s="531"/>
      <c r="E1551" s="49"/>
      <c r="F1551" s="108"/>
      <c r="BB1551" s="6"/>
    </row>
    <row r="1552" spans="1:54" hidden="1" x14ac:dyDescent="0.25">
      <c r="A1552" s="386"/>
      <c r="B1552" s="386"/>
      <c r="C1552" s="386"/>
      <c r="D1552" s="386"/>
      <c r="E1552" s="386"/>
      <c r="F1552" s="1"/>
      <c r="AC1552" s="6" t="s">
        <v>265</v>
      </c>
      <c r="AE1552" s="6" t="s">
        <v>944</v>
      </c>
      <c r="AJ1552" s="6">
        <v>200</v>
      </c>
      <c r="BB1552" s="6"/>
    </row>
    <row r="1553" spans="1:54" hidden="1" x14ac:dyDescent="0.25">
      <c r="A1553" s="386"/>
      <c r="B1553" s="250" t="s">
        <v>945</v>
      </c>
      <c r="C1553" s="250" t="s">
        <v>946</v>
      </c>
      <c r="D1553" s="250" t="s">
        <v>947</v>
      </c>
      <c r="E1553" s="386"/>
      <c r="F1553" s="1"/>
      <c r="BB1553" s="6"/>
    </row>
    <row r="1554" spans="1:54" hidden="1" x14ac:dyDescent="0.25">
      <c r="A1554" s="386"/>
      <c r="B1554" s="5"/>
      <c r="C1554" s="5"/>
      <c r="D1554" s="5"/>
      <c r="E1554" s="386"/>
      <c r="F1554" s="1"/>
      <c r="BB1554" s="6"/>
    </row>
    <row r="1555" spans="1:54" hidden="1" x14ac:dyDescent="0.25">
      <c r="A1555" s="386"/>
      <c r="B1555" s="387" t="s">
        <v>948</v>
      </c>
      <c r="C1555" s="387" t="str">
        <f>CONCATENATE(AD1555,AE1555)</f>
        <v>572 hours</v>
      </c>
      <c r="D1555" s="164"/>
      <c r="E1555" s="386"/>
      <c r="F1555" s="1"/>
      <c r="AD1555" s="6">
        <f>ROUND($AX$440,0)</f>
        <v>572</v>
      </c>
      <c r="AE1555" s="6" t="str">
        <f>AL440</f>
        <v xml:space="preserve"> hours</v>
      </c>
      <c r="BB1555" s="6"/>
    </row>
    <row r="1556" spans="1:54" ht="14.4" hidden="1" x14ac:dyDescent="0.3">
      <c r="A1556" s="386"/>
      <c r="B1556" s="388" t="str">
        <f>CONCATENATE(AE1556,AB1556,AC1556)</f>
        <v>Min. rate $10</v>
      </c>
      <c r="C1556" s="388" t="str">
        <f>CONCATENATE(AL1556,AB1556,AI1556)</f>
        <v xml:space="preserve"> low bid  $5720</v>
      </c>
      <c r="D1556" s="388" t="str">
        <f>CONCATENATE(AO1556,AU1556,AQ1556)</f>
        <v>10% down to start</v>
      </c>
      <c r="E1556" s="386"/>
      <c r="F1556" s="1"/>
      <c r="AB1556" s="6" t="s">
        <v>949</v>
      </c>
      <c r="AC1556" s="633">
        <v>10</v>
      </c>
      <c r="AD1556" s="527"/>
      <c r="AE1556" s="360" t="s">
        <v>950</v>
      </c>
      <c r="AI1556" s="633">
        <f>AD1555*AC1556</f>
        <v>5720</v>
      </c>
      <c r="AJ1556" s="527"/>
      <c r="AK1556" s="527"/>
      <c r="AL1556" s="6" t="s">
        <v>951</v>
      </c>
      <c r="AO1556" s="532">
        <f>$BH$297*100</f>
        <v>10</v>
      </c>
      <c r="AP1556" s="527"/>
      <c r="AQ1556" s="6" t="s">
        <v>952</v>
      </c>
      <c r="BB1556" s="6"/>
    </row>
    <row r="1557" spans="1:54" ht="14.4" hidden="1" x14ac:dyDescent="0.3">
      <c r="A1557" s="386"/>
      <c r="B1557" s="388" t="str">
        <f>CONCATENATE(AE1557,AB1557,AC1557)</f>
        <v>Max. rate $25</v>
      </c>
      <c r="C1557" s="388" t="str">
        <f>CONCATENATE(AL1557,AB1557,AI1557)</f>
        <v xml:space="preserve"> high bid  $14300</v>
      </c>
      <c r="D1557" s="388" t="str">
        <f>CONCATENATE(AQ1557,AB1557,AO1557)</f>
        <v>minimum to start:  $572</v>
      </c>
      <c r="E1557" s="386"/>
      <c r="F1557" s="1"/>
      <c r="AB1557" s="6" t="s">
        <v>949</v>
      </c>
      <c r="AC1557" s="633">
        <v>25</v>
      </c>
      <c r="AD1557" s="527"/>
      <c r="AE1557" s="360" t="s">
        <v>953</v>
      </c>
      <c r="AI1557" s="633">
        <f>AD1555*AC1557</f>
        <v>14300</v>
      </c>
      <c r="AJ1557" s="527"/>
      <c r="AK1557" s="527"/>
      <c r="AL1557" s="6" t="s">
        <v>954</v>
      </c>
      <c r="AO1557" s="566">
        <f>AI1556*(AO1556*0.01)</f>
        <v>572</v>
      </c>
      <c r="AP1557" s="609"/>
      <c r="AQ1557" s="6" t="s">
        <v>955</v>
      </c>
      <c r="BB1557" s="6"/>
    </row>
    <row r="1558" spans="1:54" hidden="1" x14ac:dyDescent="0.25">
      <c r="A1558" s="386"/>
      <c r="B1558" s="386"/>
      <c r="C1558" s="386"/>
      <c r="D1558" s="386"/>
      <c r="E1558" s="386"/>
      <c r="F1558" s="1"/>
      <c r="BB1558" s="6"/>
    </row>
    <row r="1559" spans="1:54" hidden="1" x14ac:dyDescent="0.25">
      <c r="A1559" s="386"/>
      <c r="B1559" s="250" t="s">
        <v>945</v>
      </c>
      <c r="C1559" s="250" t="s">
        <v>946</v>
      </c>
      <c r="D1559" s="250" t="s">
        <v>947</v>
      </c>
      <c r="E1559" s="386"/>
      <c r="F1559" s="1"/>
      <c r="BB1559" s="6"/>
    </row>
    <row r="1560" spans="1:54" hidden="1" x14ac:dyDescent="0.25">
      <c r="A1560" s="386"/>
      <c r="B1560" s="5"/>
      <c r="C1560" s="5"/>
      <c r="D1560" s="5"/>
      <c r="E1560" s="386"/>
      <c r="F1560" s="1"/>
      <c r="BB1560" s="6"/>
    </row>
    <row r="1561" spans="1:54" hidden="1" x14ac:dyDescent="0.25">
      <c r="A1561" s="386"/>
      <c r="B1561" s="387" t="s">
        <v>948</v>
      </c>
      <c r="C1561" s="387" t="str">
        <f>CONCATENATE(AD1561,AE1561)</f>
        <v>572 hours</v>
      </c>
      <c r="D1561" s="164"/>
      <c r="E1561" s="386"/>
      <c r="F1561" s="1"/>
      <c r="AD1561" s="6">
        <f>ROUND($AX$440,0)</f>
        <v>572</v>
      </c>
      <c r="AE1561" s="6" t="str">
        <f>AE1555</f>
        <v xml:space="preserve"> hours</v>
      </c>
      <c r="BB1561" s="6"/>
    </row>
    <row r="1562" spans="1:54" ht="14.4" hidden="1" x14ac:dyDescent="0.3">
      <c r="A1562" s="386"/>
      <c r="B1562" s="388" t="str">
        <f>CONCATENATE(AE1562,AB1562,AC1562)</f>
        <v>Min. rate $10</v>
      </c>
      <c r="C1562" s="388" t="str">
        <f>CONCATENATE(AL1562,AB1562,AI1562)</f>
        <v xml:space="preserve"> low bid  $5720</v>
      </c>
      <c r="D1562" s="388" t="str">
        <f>CONCATENATE(AO1562,AU1562,AQ1562)</f>
        <v>10% down to start</v>
      </c>
      <c r="E1562" s="386"/>
      <c r="F1562" s="1"/>
      <c r="AB1562" s="6" t="s">
        <v>949</v>
      </c>
      <c r="AC1562" s="633">
        <v>10</v>
      </c>
      <c r="AD1562" s="527"/>
      <c r="AE1562" s="360" t="s">
        <v>950</v>
      </c>
      <c r="AI1562" s="633">
        <f>AD1561*AC1562</f>
        <v>5720</v>
      </c>
      <c r="AJ1562" s="527"/>
      <c r="AK1562" s="527"/>
      <c r="AL1562" s="6" t="s">
        <v>951</v>
      </c>
      <c r="AO1562" s="532">
        <f>$BH$297*100</f>
        <v>10</v>
      </c>
      <c r="AP1562" s="527"/>
      <c r="AQ1562" s="6" t="s">
        <v>952</v>
      </c>
      <c r="BB1562" s="6"/>
    </row>
    <row r="1563" spans="1:54" ht="14.4" hidden="1" x14ac:dyDescent="0.3">
      <c r="A1563" s="386"/>
      <c r="B1563" s="388" t="str">
        <f>CONCATENATE(AE1563,AB1563,AC1563)</f>
        <v>Max. rate $25</v>
      </c>
      <c r="C1563" s="388" t="str">
        <f>CONCATENATE(AL1563,AB1563,AI1563)</f>
        <v xml:space="preserve"> high bid  $14300</v>
      </c>
      <c r="D1563" s="388" t="str">
        <f>CONCATENATE(AQ1563,AB1563,AO1563)</f>
        <v>minimum to start:  $572</v>
      </c>
      <c r="E1563" s="386"/>
      <c r="F1563" s="1"/>
      <c r="AB1563" s="6" t="s">
        <v>949</v>
      </c>
      <c r="AC1563" s="633">
        <v>25</v>
      </c>
      <c r="AD1563" s="527"/>
      <c r="AE1563" s="360" t="s">
        <v>953</v>
      </c>
      <c r="AI1563" s="633">
        <f>AD1561*AC1563</f>
        <v>14300</v>
      </c>
      <c r="AJ1563" s="527"/>
      <c r="AK1563" s="527"/>
      <c r="AL1563" s="6" t="s">
        <v>954</v>
      </c>
      <c r="AO1563" s="566">
        <f>AI1562*(AO1562*0.01)</f>
        <v>572</v>
      </c>
      <c r="AP1563" s="609"/>
      <c r="AQ1563" s="6" t="s">
        <v>955</v>
      </c>
      <c r="BB1563" s="6"/>
    </row>
    <row r="1564" spans="1:54" hidden="1" x14ac:dyDescent="0.25">
      <c r="A1564" s="386"/>
      <c r="B1564" s="386"/>
      <c r="C1564" s="386"/>
      <c r="D1564" s="386"/>
      <c r="E1564" s="386"/>
      <c r="F1564" s="1"/>
      <c r="BB1564" s="6"/>
    </row>
    <row r="1565" spans="1:54" hidden="1" x14ac:dyDescent="0.25">
      <c r="A1565" s="386"/>
      <c r="B1565" s="250" t="s">
        <v>945</v>
      </c>
      <c r="C1565" s="250" t="s">
        <v>946</v>
      </c>
      <c r="D1565" s="250" t="s">
        <v>947</v>
      </c>
      <c r="E1565" s="386"/>
      <c r="F1565" s="1"/>
      <c r="BB1565" s="6"/>
    </row>
    <row r="1566" spans="1:54" hidden="1" x14ac:dyDescent="0.25">
      <c r="A1566" s="386"/>
      <c r="B1566" s="5"/>
      <c r="C1566" s="5"/>
      <c r="D1566" s="5"/>
      <c r="E1566" s="386"/>
      <c r="F1566" s="1"/>
      <c r="BB1566" s="6"/>
    </row>
    <row r="1567" spans="1:54" hidden="1" x14ac:dyDescent="0.25">
      <c r="A1567" s="386"/>
      <c r="B1567" s="387" t="s">
        <v>948</v>
      </c>
      <c r="C1567" s="387" t="str">
        <f>CONCATENATE(AD1567,AE1567)</f>
        <v>572 hours</v>
      </c>
      <c r="D1567" s="164"/>
      <c r="E1567" s="386"/>
      <c r="F1567" s="1"/>
      <c r="AD1567" s="6">
        <f>ROUND($AX$440,0)</f>
        <v>572</v>
      </c>
      <c r="AE1567" s="6" t="str">
        <f>AE1561</f>
        <v xml:space="preserve"> hours</v>
      </c>
      <c r="BB1567" s="6"/>
    </row>
    <row r="1568" spans="1:54" ht="14.4" hidden="1" x14ac:dyDescent="0.3">
      <c r="A1568" s="386"/>
      <c r="B1568" s="388" t="str">
        <f>CONCATENATE(AE1568,AB1568,AC1568)</f>
        <v>Min. rate $40</v>
      </c>
      <c r="C1568" s="388" t="str">
        <f>CONCATENATE(AL1568,AB1568,AI1568)</f>
        <v xml:space="preserve"> low bid  $22880</v>
      </c>
      <c r="D1568" s="388" t="str">
        <f>CONCATENATE(AO1568,AU1568,AQ1568)</f>
        <v>10% down to start</v>
      </c>
      <c r="E1568" s="386"/>
      <c r="F1568" s="1"/>
      <c r="AB1568" s="6" t="s">
        <v>949</v>
      </c>
      <c r="AC1568" s="633">
        <v>40</v>
      </c>
      <c r="AD1568" s="527"/>
      <c r="AE1568" s="360" t="s">
        <v>950</v>
      </c>
      <c r="AI1568" s="633">
        <f>AD1567*AC1568</f>
        <v>22880</v>
      </c>
      <c r="AJ1568" s="527"/>
      <c r="AK1568" s="527"/>
      <c r="AL1568" s="6" t="s">
        <v>951</v>
      </c>
      <c r="AO1568" s="532">
        <f>$BH$297*100</f>
        <v>10</v>
      </c>
      <c r="AP1568" s="527"/>
      <c r="AQ1568" s="6" t="s">
        <v>952</v>
      </c>
      <c r="BB1568" s="6"/>
    </row>
    <row r="1569" spans="1:54" ht="14.4" hidden="1" x14ac:dyDescent="0.3">
      <c r="A1569" s="386"/>
      <c r="B1569" s="388" t="str">
        <f>CONCATENATE(AE1569,AB1569,AC1569)</f>
        <v>Max. rate $55</v>
      </c>
      <c r="C1569" s="388" t="str">
        <f>CONCATENATE(AL1569,AB1569,AI1569)</f>
        <v xml:space="preserve"> high bid  $31460</v>
      </c>
      <c r="D1569" s="388" t="str">
        <f>CONCATENATE(AQ1569,AB1569,AO1569)</f>
        <v>minimum to start:  $2288</v>
      </c>
      <c r="E1569" s="386"/>
      <c r="F1569" s="1"/>
      <c r="AB1569" s="6" t="s">
        <v>949</v>
      </c>
      <c r="AC1569" s="633">
        <v>55</v>
      </c>
      <c r="AD1569" s="527"/>
      <c r="AE1569" s="360" t="s">
        <v>953</v>
      </c>
      <c r="AI1569" s="633">
        <f>AD1567*AC1569</f>
        <v>31460</v>
      </c>
      <c r="AJ1569" s="527"/>
      <c r="AK1569" s="527"/>
      <c r="AL1569" s="6" t="s">
        <v>954</v>
      </c>
      <c r="AO1569" s="566">
        <f>AI1568*(AO1568*0.01)</f>
        <v>2288</v>
      </c>
      <c r="AP1569" s="609"/>
      <c r="AQ1569" s="6" t="s">
        <v>955</v>
      </c>
      <c r="BB1569" s="6"/>
    </row>
    <row r="1570" spans="1:54" hidden="1" x14ac:dyDescent="0.25">
      <c r="A1570" s="386"/>
      <c r="B1570" s="386"/>
      <c r="C1570" s="386"/>
      <c r="D1570" s="386"/>
      <c r="E1570" s="386"/>
      <c r="F1570" s="1"/>
      <c r="BB1570" s="6"/>
    </row>
    <row r="1571" spans="1:54" hidden="1" x14ac:dyDescent="0.25">
      <c r="A1571" s="386"/>
      <c r="B1571" s="250" t="s">
        <v>945</v>
      </c>
      <c r="C1571" s="250" t="s">
        <v>946</v>
      </c>
      <c r="D1571" s="250" t="s">
        <v>947</v>
      </c>
      <c r="E1571" s="386"/>
      <c r="F1571" s="1"/>
      <c r="BB1571" s="6"/>
    </row>
    <row r="1572" spans="1:54" hidden="1" x14ac:dyDescent="0.25">
      <c r="A1572" s="386"/>
      <c r="B1572" s="5"/>
      <c r="C1572" s="5"/>
      <c r="D1572" s="5"/>
      <c r="E1572" s="386"/>
      <c r="F1572" s="1"/>
      <c r="BB1572" s="6"/>
    </row>
    <row r="1573" spans="1:54" hidden="1" x14ac:dyDescent="0.25">
      <c r="A1573" s="386"/>
      <c r="B1573" s="387" t="s">
        <v>948</v>
      </c>
      <c r="C1573" s="387" t="str">
        <f>CONCATENATE(AD1573,AE1573)</f>
        <v>572 hours</v>
      </c>
      <c r="D1573" s="164"/>
      <c r="E1573" s="386"/>
      <c r="F1573" s="1"/>
      <c r="AD1573" s="6">
        <f>ROUND($AX$440,0)</f>
        <v>572</v>
      </c>
      <c r="AE1573" s="6" t="str">
        <f>AE1567</f>
        <v xml:space="preserve"> hours</v>
      </c>
      <c r="BB1573" s="6"/>
    </row>
    <row r="1574" spans="1:54" ht="14.4" hidden="1" x14ac:dyDescent="0.3">
      <c r="A1574" s="386"/>
      <c r="B1574" s="388" t="str">
        <f>CONCATENATE(AE1574,AB1574,AC1574)</f>
        <v>Min. rate $70</v>
      </c>
      <c r="C1574" s="388" t="str">
        <f>CONCATENATE(AL1574,AB1574,AI1574)</f>
        <v xml:space="preserve"> low bid  $40040</v>
      </c>
      <c r="D1574" s="388" t="str">
        <f>CONCATENATE(AO1574,AU1574,AQ1574)</f>
        <v>10% down to start</v>
      </c>
      <c r="E1574" s="386"/>
      <c r="F1574" s="1"/>
      <c r="AB1574" s="6" t="s">
        <v>949</v>
      </c>
      <c r="AC1574" s="633">
        <v>70</v>
      </c>
      <c r="AD1574" s="527"/>
      <c r="AE1574" s="360" t="s">
        <v>950</v>
      </c>
      <c r="AI1574" s="633">
        <f>AD1573*AC1574</f>
        <v>40040</v>
      </c>
      <c r="AJ1574" s="527"/>
      <c r="AK1574" s="527"/>
      <c r="AL1574" s="6" t="s">
        <v>951</v>
      </c>
      <c r="AO1574" s="532">
        <f>$BH$297*100</f>
        <v>10</v>
      </c>
      <c r="AP1574" s="527"/>
      <c r="AQ1574" s="6" t="s">
        <v>952</v>
      </c>
      <c r="BB1574" s="6"/>
    </row>
    <row r="1575" spans="1:54" ht="14.4" hidden="1" x14ac:dyDescent="0.3">
      <c r="A1575" s="386"/>
      <c r="B1575" s="388" t="str">
        <f>CONCATENATE(AE1575,AB1575,AC1575)</f>
        <v>Max. rate $85</v>
      </c>
      <c r="C1575" s="388" t="str">
        <f>CONCATENATE(AL1575,AB1575,AI1575)</f>
        <v xml:space="preserve"> high bid  $48620</v>
      </c>
      <c r="D1575" s="388" t="str">
        <f>CONCATENATE(AQ1575,AB1575,AO1575)</f>
        <v>minimum to start:  $4004</v>
      </c>
      <c r="E1575" s="386"/>
      <c r="F1575" s="1"/>
      <c r="AB1575" s="6" t="s">
        <v>949</v>
      </c>
      <c r="AC1575" s="633">
        <v>85</v>
      </c>
      <c r="AD1575" s="527"/>
      <c r="AE1575" s="360" t="s">
        <v>953</v>
      </c>
      <c r="AI1575" s="633">
        <f>AD1573*AC1575</f>
        <v>48620</v>
      </c>
      <c r="AJ1575" s="527"/>
      <c r="AK1575" s="527"/>
      <c r="AL1575" s="6" t="s">
        <v>954</v>
      </c>
      <c r="AO1575" s="566">
        <f>AI1574*(AO1574*0.01)</f>
        <v>4004</v>
      </c>
      <c r="AP1575" s="609"/>
      <c r="AQ1575" s="6" t="s">
        <v>955</v>
      </c>
      <c r="BB1575" s="6"/>
    </row>
    <row r="1576" spans="1:54" hidden="1" x14ac:dyDescent="0.25">
      <c r="A1576" s="386"/>
      <c r="B1576" s="386"/>
      <c r="C1576" s="386"/>
      <c r="D1576" s="386"/>
      <c r="E1576" s="386"/>
      <c r="F1576" s="1"/>
      <c r="BB1576" s="6"/>
    </row>
    <row r="1577" spans="1:54" hidden="1" x14ac:dyDescent="0.25">
      <c r="A1577" s="386"/>
      <c r="B1577" s="250" t="s">
        <v>945</v>
      </c>
      <c r="C1577" s="250" t="s">
        <v>946</v>
      </c>
      <c r="D1577" s="250" t="s">
        <v>947</v>
      </c>
      <c r="E1577" s="386"/>
      <c r="F1577" s="1"/>
      <c r="BB1577" s="6"/>
    </row>
    <row r="1578" spans="1:54" hidden="1" x14ac:dyDescent="0.25">
      <c r="A1578" s="386"/>
      <c r="B1578" s="5"/>
      <c r="C1578" s="5"/>
      <c r="D1578" s="5"/>
      <c r="E1578" s="386"/>
      <c r="F1578" s="1"/>
      <c r="BB1578" s="6"/>
    </row>
    <row r="1579" spans="1:54" hidden="1" x14ac:dyDescent="0.25">
      <c r="A1579" s="386"/>
      <c r="B1579" s="387" t="s">
        <v>948</v>
      </c>
      <c r="C1579" s="387" t="str">
        <f>CONCATENATE(AD1579,AE1579)</f>
        <v>572 hours</v>
      </c>
      <c r="D1579" s="164"/>
      <c r="E1579" s="386"/>
      <c r="F1579" s="1"/>
      <c r="AD1579" s="6">
        <f>ROUND($AX$440,0)</f>
        <v>572</v>
      </c>
      <c r="AE1579" s="6" t="str">
        <f>AE1573</f>
        <v xml:space="preserve"> hours</v>
      </c>
      <c r="BB1579" s="6"/>
    </row>
    <row r="1580" spans="1:54" ht="14.4" hidden="1" x14ac:dyDescent="0.3">
      <c r="A1580" s="386"/>
      <c r="B1580" s="388" t="str">
        <f>CONCATENATE(AE1580,AB1580,AC1580)</f>
        <v>Min. rate $100</v>
      </c>
      <c r="C1580" s="388" t="str">
        <f>CONCATENATE(AL1580,AB1580,AI1580)</f>
        <v xml:space="preserve"> low bid  $57200</v>
      </c>
      <c r="D1580" s="388" t="str">
        <f>CONCATENATE(AO1580,AU1580,AQ1580)</f>
        <v>10% down to start</v>
      </c>
      <c r="E1580" s="386"/>
      <c r="F1580" s="1"/>
      <c r="AB1580" s="6" t="s">
        <v>949</v>
      </c>
      <c r="AC1580" s="633">
        <v>100</v>
      </c>
      <c r="AD1580" s="527"/>
      <c r="AE1580" s="360" t="s">
        <v>950</v>
      </c>
      <c r="AI1580" s="633">
        <f>AD1579*AC1580</f>
        <v>57200</v>
      </c>
      <c r="AJ1580" s="527"/>
      <c r="AK1580" s="527"/>
      <c r="AL1580" s="6" t="s">
        <v>951</v>
      </c>
      <c r="AO1580" s="532">
        <f>$BH$297*100</f>
        <v>10</v>
      </c>
      <c r="AP1580" s="527"/>
      <c r="AQ1580" s="6" t="s">
        <v>952</v>
      </c>
      <c r="BB1580" s="6"/>
    </row>
    <row r="1581" spans="1:54" ht="14.4" hidden="1" x14ac:dyDescent="0.3">
      <c r="A1581" s="386"/>
      <c r="B1581" s="388" t="str">
        <f>CONCATENATE(AE1581,AB1581,AC1581)</f>
        <v>Max. rate $115</v>
      </c>
      <c r="C1581" s="388" t="str">
        <f>CONCATENATE(AL1581,AB1581,AI1581)</f>
        <v xml:space="preserve"> high bid  $65780</v>
      </c>
      <c r="D1581" s="388" t="str">
        <f>CONCATENATE(AQ1581,AB1581,AO1581)</f>
        <v>minimum to start:  $5720</v>
      </c>
      <c r="E1581" s="386"/>
      <c r="F1581" s="1"/>
      <c r="AB1581" s="6" t="s">
        <v>949</v>
      </c>
      <c r="AC1581" s="633">
        <v>115</v>
      </c>
      <c r="AD1581" s="527"/>
      <c r="AE1581" s="360" t="s">
        <v>953</v>
      </c>
      <c r="AI1581" s="633">
        <f>AD1579*AC1581</f>
        <v>65780</v>
      </c>
      <c r="AJ1581" s="527"/>
      <c r="AK1581" s="527"/>
      <c r="AL1581" s="6" t="s">
        <v>954</v>
      </c>
      <c r="AO1581" s="566">
        <f>AI1580*(AO1580*0.01)</f>
        <v>5720</v>
      </c>
      <c r="AP1581" s="609"/>
      <c r="AQ1581" s="6" t="s">
        <v>955</v>
      </c>
      <c r="BB1581" s="6"/>
    </row>
    <row r="1582" spans="1:54" hidden="1" x14ac:dyDescent="0.25">
      <c r="A1582" s="386"/>
      <c r="B1582" s="386"/>
      <c r="C1582" s="386"/>
      <c r="D1582" s="386"/>
      <c r="E1582" s="386"/>
      <c r="F1582" s="1"/>
      <c r="BB1582" s="6"/>
    </row>
    <row r="1583" spans="1:54" hidden="1" x14ac:dyDescent="0.25">
      <c r="A1583" s="386"/>
      <c r="B1583" s="386"/>
      <c r="C1583" s="386"/>
      <c r="D1583" s="386"/>
      <c r="E1583" s="386"/>
      <c r="F1583" s="1"/>
      <c r="BB1583" s="6"/>
    </row>
    <row r="1584" spans="1:54" hidden="1" x14ac:dyDescent="0.25">
      <c r="A1584" s="386"/>
      <c r="B1584" s="386"/>
      <c r="C1584" s="386"/>
      <c r="D1584" s="386"/>
      <c r="E1584" s="386"/>
      <c r="F1584" s="1"/>
      <c r="BB1584" s="6"/>
    </row>
    <row r="1585" spans="1:56" hidden="1" x14ac:dyDescent="0.25">
      <c r="A1585" s="386"/>
      <c r="B1585" s="386"/>
      <c r="C1585" s="386"/>
      <c r="D1585" s="386"/>
      <c r="E1585" s="386"/>
      <c r="F1585" s="1"/>
      <c r="BB1585" s="6"/>
    </row>
    <row r="1586" spans="1:56" hidden="1" x14ac:dyDescent="0.25">
      <c r="A1586" s="386"/>
      <c r="B1586" s="386"/>
      <c r="C1586" s="386"/>
      <c r="D1586" s="386"/>
      <c r="E1586" s="386"/>
      <c r="F1586" s="1"/>
      <c r="BB1586" s="6"/>
    </row>
    <row r="1587" spans="1:56" hidden="1" x14ac:dyDescent="0.25">
      <c r="A1587" s="386"/>
      <c r="B1587" s="386"/>
      <c r="C1587" s="386"/>
      <c r="D1587" s="386"/>
      <c r="E1587" s="386"/>
      <c r="F1587" s="1"/>
    </row>
    <row r="1588" spans="1:56" hidden="1" x14ac:dyDescent="0.25">
      <c r="A1588" s="386"/>
      <c r="B1588" s="386"/>
      <c r="C1588" s="386"/>
      <c r="D1588" s="386"/>
      <c r="E1588" s="386"/>
      <c r="F1588" s="1"/>
    </row>
    <row r="1589" spans="1:56" hidden="1" x14ac:dyDescent="0.25">
      <c r="A1589" s="386"/>
      <c r="B1589" s="386"/>
      <c r="C1589" s="386"/>
      <c r="D1589" s="386"/>
      <c r="E1589" s="386"/>
      <c r="F1589" s="1"/>
    </row>
    <row r="1590" spans="1:56" hidden="1" x14ac:dyDescent="0.25">
      <c r="A1590" s="386"/>
      <c r="B1590" s="386"/>
      <c r="C1590" s="386"/>
      <c r="D1590" s="386"/>
      <c r="E1590" s="386"/>
      <c r="F1590" s="1"/>
    </row>
    <row r="1591" spans="1:56" hidden="1" x14ac:dyDescent="0.25">
      <c r="A1591" s="386"/>
      <c r="B1591" s="386"/>
      <c r="C1591" s="386"/>
      <c r="D1591" s="386"/>
      <c r="E1591" s="386"/>
      <c r="F1591" s="1"/>
    </row>
    <row r="1592" spans="1:56" hidden="1" x14ac:dyDescent="0.25">
      <c r="A1592" s="386"/>
      <c r="B1592" s="386"/>
      <c r="C1592" s="386"/>
      <c r="D1592" s="386"/>
      <c r="E1592" s="386"/>
      <c r="F1592" s="1"/>
    </row>
    <row r="1593" spans="1:56" hidden="1" x14ac:dyDescent="0.25">
      <c r="A1593" s="386"/>
      <c r="B1593" s="386"/>
      <c r="C1593" s="386"/>
      <c r="D1593" s="386"/>
      <c r="E1593" s="386"/>
      <c r="F1593" s="1"/>
    </row>
    <row r="1594" spans="1:56" hidden="1" x14ac:dyDescent="0.25">
      <c r="A1594" s="386"/>
      <c r="B1594" s="386"/>
      <c r="C1594" s="386"/>
      <c r="D1594" s="386"/>
      <c r="E1594" s="386"/>
      <c r="F1594" s="1"/>
    </row>
    <row r="1595" spans="1:56" hidden="1" x14ac:dyDescent="0.25">
      <c r="A1595" s="386"/>
      <c r="B1595" s="386"/>
      <c r="C1595" s="386"/>
      <c r="D1595" s="386"/>
      <c r="E1595" s="386"/>
      <c r="F1595" s="1"/>
    </row>
    <row r="1596" spans="1:56" hidden="1" x14ac:dyDescent="0.25">
      <c r="A1596" s="386"/>
      <c r="B1596" s="386"/>
      <c r="C1596" s="386"/>
      <c r="D1596" s="386"/>
      <c r="E1596" s="386"/>
      <c r="F1596" s="1"/>
    </row>
    <row r="1597" spans="1:56" ht="30" customHeight="1" x14ac:dyDescent="0.25">
      <c r="A1597" s="46" t="s">
        <v>96</v>
      </c>
      <c r="B1597" s="46" t="s">
        <v>956</v>
      </c>
      <c r="C1597" s="46"/>
      <c r="D1597" s="45"/>
      <c r="E1597" s="45"/>
      <c r="F1597" s="475" t="s">
        <v>1541</v>
      </c>
      <c r="BB1597" s="6"/>
    </row>
    <row r="1598" spans="1:56" ht="17.399999999999999" customHeight="1" x14ac:dyDescent="0.25">
      <c r="A1598" s="48"/>
      <c r="B1598" s="531" t="s">
        <v>957</v>
      </c>
      <c r="C1598" s="531"/>
      <c r="D1598" s="531"/>
      <c r="E1598" s="531"/>
      <c r="F1598" s="108"/>
      <c r="BB1598" s="6"/>
    </row>
    <row r="1599" spans="1:56" ht="6" customHeight="1" x14ac:dyDescent="0.25">
      <c r="A1599" s="57"/>
      <c r="B1599" s="57"/>
      <c r="C1599" s="57"/>
      <c r="D1599" s="57"/>
      <c r="E1599" s="57"/>
      <c r="F1599" s="1"/>
    </row>
    <row r="1600" spans="1:56" ht="6" customHeight="1" x14ac:dyDescent="0.25">
      <c r="A1600" s="57"/>
      <c r="B1600" s="57"/>
      <c r="C1600" s="57"/>
      <c r="D1600" s="57"/>
      <c r="E1600" s="57"/>
      <c r="F1600" s="1"/>
      <c r="AC1600" s="390" t="str">
        <f>IF(B1603=AF1601,AR1601,IF(B1603=AF1602,AR1602,IF(B1603=AF1603,AR1603,IF(B1603=AF1604,AR1604,IF(B1603=AF1605,AR1605,"")))))</f>
        <v>of 0.9 million applied to various estimated rates of wrongful conviction</v>
      </c>
      <c r="AD1600" s="390"/>
      <c r="AE1600" s="390"/>
      <c r="AF1600" s="390"/>
      <c r="AG1600" s="390"/>
      <c r="AH1600" s="391"/>
      <c r="AI1600" s="391"/>
      <c r="AJ1600" s="391"/>
      <c r="AK1600" s="391"/>
      <c r="AL1600" s="390"/>
      <c r="AM1600" s="390"/>
      <c r="AN1600" s="390"/>
      <c r="AO1600" s="390"/>
      <c r="AP1600" s="390"/>
      <c r="AQ1600" s="390"/>
      <c r="AR1600" s="390"/>
      <c r="AU1600" s="6" t="s">
        <v>958</v>
      </c>
      <c r="AX1600" s="392" t="str">
        <f>IF(B1603=AF1601,AI1601,IF(B1603=AF1602,AI1602,IF(B1603=AF1603,AI1603,IF(B1603=AF1604,AI1604,IF(B1603=AF1605,AI1605,"")))))</f>
        <v>registered sex offenders</v>
      </c>
      <c r="BD1600" s="6" t="s">
        <v>959</v>
      </c>
    </row>
    <row r="1601" spans="1:84" ht="14.4" x14ac:dyDescent="0.3">
      <c r="A1601" s="57"/>
      <c r="B1601" s="393">
        <v>2783</v>
      </c>
      <c r="C1601" s="394" t="s">
        <v>960</v>
      </c>
      <c r="D1601" s="57"/>
      <c r="E1601" s="57"/>
      <c r="F1601" s="1"/>
      <c r="AC1601" s="634">
        <v>20000000</v>
      </c>
      <c r="AD1601" s="527"/>
      <c r="AE1601" s="527"/>
      <c r="AF1601" s="6" t="s">
        <v>961</v>
      </c>
      <c r="AI1601" s="6" t="s">
        <v>962</v>
      </c>
      <c r="AK1601" s="395" t="s">
        <v>963</v>
      </c>
      <c r="AL1601" s="396">
        <f>AC1601/1000000</f>
        <v>20</v>
      </c>
      <c r="AM1601" s="6" t="s">
        <v>964</v>
      </c>
      <c r="AO1601" s="397" t="s">
        <v>965</v>
      </c>
      <c r="AQ1601" s="262" t="s">
        <v>966</v>
      </c>
      <c r="AR1601" s="6" t="str">
        <f>CONCATENATE(AK1601,AL1601,AM1601,AO1601)</f>
        <v>of 20 million applied to various estimated rates of wrongful conviction</v>
      </c>
      <c r="BB1601" s="6"/>
    </row>
    <row r="1602" spans="1:84" ht="14.4" x14ac:dyDescent="0.3">
      <c r="A1602" s="57"/>
      <c r="B1602" s="57"/>
      <c r="C1602" s="57"/>
      <c r="D1602" s="57"/>
      <c r="E1602" s="57"/>
      <c r="F1602" s="1"/>
      <c r="AC1602" s="634">
        <v>9700000</v>
      </c>
      <c r="AD1602" s="527"/>
      <c r="AE1602" s="527"/>
      <c r="AF1602" s="6" t="s">
        <v>967</v>
      </c>
      <c r="AI1602" s="6" t="s">
        <v>968</v>
      </c>
      <c r="AK1602" s="395" t="s">
        <v>963</v>
      </c>
      <c r="AL1602" s="398">
        <f>AC1602/1000000</f>
        <v>9.6999999999999993</v>
      </c>
      <c r="AM1602" s="6" t="s">
        <v>964</v>
      </c>
      <c r="AO1602" s="397" t="s">
        <v>965</v>
      </c>
      <c r="AQ1602" s="262" t="s">
        <v>966</v>
      </c>
      <c r="AR1602" s="6" t="str">
        <f>CONCATENATE(AK1602,AL1602,AM1602,AO1602)</f>
        <v>of 9.7 million applied to various estimated rates of wrongful conviction</v>
      </c>
      <c r="BB1602" s="6"/>
    </row>
    <row r="1603" spans="1:84" ht="14.4" x14ac:dyDescent="0.3">
      <c r="A1603" s="57"/>
      <c r="B1603" s="399" t="s">
        <v>969</v>
      </c>
      <c r="C1603" s="394" t="str">
        <f>AC1600</f>
        <v>of 0.9 million applied to various estimated rates of wrongful conviction</v>
      </c>
      <c r="D1603" s="57"/>
      <c r="E1603" s="57"/>
      <c r="F1603" s="1"/>
      <c r="AC1603" s="634">
        <v>6900000</v>
      </c>
      <c r="AD1603" s="527"/>
      <c r="AE1603" s="527"/>
      <c r="AF1603" s="6" t="s">
        <v>970</v>
      </c>
      <c r="AI1603" s="6" t="s">
        <v>971</v>
      </c>
      <c r="AK1603" s="395" t="s">
        <v>963</v>
      </c>
      <c r="AL1603" s="398">
        <f>AC1603/1000000</f>
        <v>6.9</v>
      </c>
      <c r="AM1603" s="6" t="s">
        <v>964</v>
      </c>
      <c r="AO1603" s="397" t="s">
        <v>965</v>
      </c>
      <c r="AQ1603" s="262" t="s">
        <v>966</v>
      </c>
      <c r="AR1603" s="6" t="str">
        <f>CONCATENATE(AK1603,AL1603,AM1603,AO1603)</f>
        <v>of 6.9 million applied to various estimated rates of wrongful conviction</v>
      </c>
      <c r="BB1603" s="6"/>
    </row>
    <row r="1604" spans="1:84" ht="14.4" x14ac:dyDescent="0.3">
      <c r="A1604" s="57"/>
      <c r="B1604" s="57"/>
      <c r="C1604" s="57"/>
      <c r="D1604" s="57"/>
      <c r="E1604" s="57"/>
      <c r="F1604" s="1"/>
      <c r="AC1604" s="634">
        <v>2200000</v>
      </c>
      <c r="AD1604" s="527"/>
      <c r="AE1604" s="527"/>
      <c r="AF1604" s="6" t="s">
        <v>972</v>
      </c>
      <c r="AI1604" s="6" t="s">
        <v>973</v>
      </c>
      <c r="AK1604" s="395" t="s">
        <v>963</v>
      </c>
      <c r="AL1604" s="398">
        <f>AC1604/1000000</f>
        <v>2.2000000000000002</v>
      </c>
      <c r="AM1604" s="6" t="s">
        <v>964</v>
      </c>
      <c r="AO1604" s="397" t="s">
        <v>965</v>
      </c>
      <c r="AQ1604" s="262" t="s">
        <v>966</v>
      </c>
      <c r="AR1604" s="6" t="str">
        <f>CONCATENATE(AK1604,AL1604,AM1604,AO1604)</f>
        <v>of 2.2 million applied to various estimated rates of wrongful conviction</v>
      </c>
      <c r="BB1604" s="6"/>
    </row>
    <row r="1605" spans="1:84" ht="14.4" x14ac:dyDescent="0.3">
      <c r="A1605" s="57"/>
      <c r="B1605" s="57" t="s">
        <v>974</v>
      </c>
      <c r="C1605" s="57"/>
      <c r="D1605" s="57"/>
      <c r="E1605" s="57"/>
      <c r="F1605" s="1"/>
      <c r="AC1605" s="635">
        <v>917771</v>
      </c>
      <c r="AD1605" s="636"/>
      <c r="AE1605" s="636"/>
      <c r="AF1605" s="6" t="s">
        <v>969</v>
      </c>
      <c r="AI1605" s="6" t="s">
        <v>975</v>
      </c>
      <c r="AK1605" s="395" t="s">
        <v>963</v>
      </c>
      <c r="AL1605" s="398">
        <f>AC1605/1000000</f>
        <v>0.917771</v>
      </c>
      <c r="AM1605" s="6" t="s">
        <v>964</v>
      </c>
      <c r="AO1605" s="397" t="s">
        <v>965</v>
      </c>
      <c r="AQ1605" s="262">
        <v>0.9</v>
      </c>
      <c r="AR1605" s="6" t="str">
        <f>CONCATENATE(AK1605,AQ1605,AM1605,AO1605)</f>
        <v>of 0.9 million applied to various estimated rates of wrongful conviction</v>
      </c>
      <c r="BB1605" s="6"/>
    </row>
    <row r="1606" spans="1:84" x14ac:dyDescent="0.25">
      <c r="A1606" s="57"/>
      <c r="B1606" s="57"/>
      <c r="C1606" s="57"/>
      <c r="D1606" s="57"/>
      <c r="E1606" s="57"/>
      <c r="F1606" s="1"/>
    </row>
    <row r="1607" spans="1:84" ht="14.4" x14ac:dyDescent="0.3">
      <c r="A1607" s="400">
        <v>1</v>
      </c>
      <c r="B1607" s="401" t="str">
        <f>AM1607</f>
        <v>0.0016% to 1.95%</v>
      </c>
      <c r="C1607" s="637" t="str">
        <f>BO1607</f>
        <v>applied to registered sex offenders totals 15 to 17,897. This represents over 100% to 7.31% cleared cases.</v>
      </c>
      <c r="D1607" s="637"/>
      <c r="E1607" s="57"/>
      <c r="F1607" s="1"/>
      <c r="AC1607" s="638">
        <v>1.5999999999999999E-5</v>
      </c>
      <c r="AD1607" s="639"/>
      <c r="AE1607" s="640">
        <v>1.95E-2</v>
      </c>
      <c r="AF1607" s="641"/>
      <c r="AH1607" s="646" t="str">
        <f>TEXT(AC1607,"0.0000%")</f>
        <v>0.0016%</v>
      </c>
      <c r="AI1607" s="609"/>
      <c r="AJ1607" s="646" t="str">
        <f>TEXT(AE1607,"0.00%")</f>
        <v>1.95%</v>
      </c>
      <c r="AK1607" s="609"/>
      <c r="AM1607" s="6" t="str">
        <f>CONCATENATE(AH1607," to ",AJ1607)</f>
        <v>0.0016% to 1.95%</v>
      </c>
      <c r="AR1607" s="6" t="str">
        <f>CONCATENATE($AU$1600,$AX$1600,$BD$1600,$BF$1600)</f>
        <v xml:space="preserve">applied to registered sex offenders totals </v>
      </c>
      <c r="BB1607" s="261">
        <f>ROUND(BB1608,0)</f>
        <v>15</v>
      </c>
      <c r="BC1607" s="6" t="s">
        <v>976</v>
      </c>
      <c r="BD1607" s="634" t="str">
        <f>TEXT(ROUND(BD1608,0),"00,000")</f>
        <v>17,897</v>
      </c>
      <c r="BE1607" s="647"/>
      <c r="BF1607" s="647"/>
      <c r="BG1607" s="6" t="s">
        <v>977</v>
      </c>
      <c r="BH1607" s="403" t="str">
        <f>IF($B$1601&gt;BB1607,"over 100%",TEXT($B$1601/BB1607,"00.00%"))</f>
        <v>over 100%</v>
      </c>
      <c r="BI1607" s="6" t="s">
        <v>976</v>
      </c>
      <c r="BJ1607" s="403" t="str">
        <f>IF(B1603=AF1605,TEXT(($B$1601*0.47)/BD1607,"0.00%"),TEXT($B$1601/BD1607,"0.00%"))</f>
        <v>7.31%</v>
      </c>
      <c r="BK1607" s="6" t="s">
        <v>978</v>
      </c>
      <c r="BO1607" s="390" t="str">
        <f>CONCATENATE(AR1607,BB1607,BC1607,BD1607,BG1607,BH1607,BI1607,BJ1607,BK1607)</f>
        <v>applied to registered sex offenders totals 15 to 17,897. This represents over 100% to 7.31% cleared cases.</v>
      </c>
      <c r="BP1607" s="390"/>
      <c r="BQ1607" s="390"/>
      <c r="BR1607" s="390"/>
      <c r="BS1607" s="390"/>
      <c r="BT1607" s="390"/>
      <c r="BU1607" s="390"/>
      <c r="BV1607" s="390"/>
      <c r="BW1607" s="390"/>
      <c r="BX1607" s="390"/>
      <c r="BY1607" s="390"/>
      <c r="BZ1607" s="390"/>
      <c r="CA1607" s="390"/>
      <c r="CB1607" s="390"/>
      <c r="CC1607" s="390"/>
      <c r="CD1607" s="390"/>
      <c r="CE1607" s="390"/>
      <c r="CF1607" s="390"/>
    </row>
    <row r="1608" spans="1:84" ht="14.4" x14ac:dyDescent="0.3">
      <c r="A1608" s="400"/>
      <c r="B1608" s="404" t="s">
        <v>979</v>
      </c>
      <c r="C1608" s="637"/>
      <c r="D1608" s="637"/>
      <c r="E1608" s="57"/>
      <c r="F1608" s="1"/>
      <c r="BB1608" s="16">
        <f>IF($B$1603=$AF$1601,AC$1601*AC1607,IF($B$1603=$AF$1602,AC1607*AC$1602,IF($B$1603=$AF$1603,AC1607*AC$1603,IF($B$1603=$AF$1604,AC1607*AC$1604,IF($B$1603=$AF$1605,AC1607*AC$1605,"")))))</f>
        <v>14.684336</v>
      </c>
      <c r="BD1608" s="642">
        <f>IF($B$1603=$AF$1601,AC$1601*AE1607,IF($B$1603=$AF$1602,AE1607*AC$1602,IF($B$1603=$AF$1603,AE1607*AC$1603,IF($B$1603=$AF$1604,AE1607*AC$1604,IF($B$1603=$AF$1605,AE1607*AC$1605,"")))))</f>
        <v>17896.534500000002</v>
      </c>
      <c r="BE1608" s="643"/>
      <c r="BF1608" s="643"/>
    </row>
    <row r="1609" spans="1:84" ht="9" customHeight="1" x14ac:dyDescent="0.3">
      <c r="A1609" s="400"/>
      <c r="B1609" s="405"/>
      <c r="C1609" s="405"/>
      <c r="D1609" s="405"/>
      <c r="E1609" s="57"/>
      <c r="F1609" s="1"/>
      <c r="BD1609" s="16"/>
      <c r="BE1609"/>
      <c r="BF1609"/>
    </row>
    <row r="1610" spans="1:84" ht="14.4" x14ac:dyDescent="0.3">
      <c r="A1610" s="400">
        <v>2</v>
      </c>
      <c r="B1610" s="401" t="str">
        <f>AM1610</f>
        <v>0.016% to 0.062%</v>
      </c>
      <c r="C1610" s="637" t="str">
        <f>BO1610</f>
        <v>applied to registered sex offenders totals 147 to 569. This represents over 100% to over 100% cleared cases.</v>
      </c>
      <c r="D1610" s="637"/>
      <c r="E1610" s="57"/>
      <c r="F1610" s="1"/>
      <c r="AC1610" s="644">
        <v>1.6000000000000001E-4</v>
      </c>
      <c r="AD1610" s="645"/>
      <c r="AE1610" s="640">
        <v>6.2E-4</v>
      </c>
      <c r="AF1610" s="641"/>
      <c r="AH1610" s="646" t="str">
        <f>TEXT(AC1610,"0.000%")</f>
        <v>0.016%</v>
      </c>
      <c r="AI1610" s="609"/>
      <c r="AJ1610" s="646" t="str">
        <f>TEXT(AE1610,"0.000%")</f>
        <v>0.062%</v>
      </c>
      <c r="AK1610" s="609"/>
      <c r="AM1610" s="6" t="str">
        <f>CONCATENATE(AH1610," to ",AJ1610)</f>
        <v>0.016% to 0.062%</v>
      </c>
      <c r="AR1610" s="6" t="str">
        <f>CONCATENATE($AU$1600,$AX$1600,$BD$1600,$BF$1600)</f>
        <v xml:space="preserve">applied to registered sex offenders totals </v>
      </c>
      <c r="BB1610" s="261">
        <f>ROUND(BB1611,0)</f>
        <v>147</v>
      </c>
      <c r="BC1610" s="6" t="s">
        <v>976</v>
      </c>
      <c r="BD1610" s="650" t="str">
        <f>IF(BD1611&lt;1000,TEXT(BD1611,"000"),TEXT(ROUND(BD1611,0),"0,000"))</f>
        <v>569</v>
      </c>
      <c r="BE1610" s="651"/>
      <c r="BF1610" s="651"/>
      <c r="BG1610" s="6" t="s">
        <v>977</v>
      </c>
      <c r="BH1610" s="403" t="str">
        <f>IF($B$1601&gt;BB1610,"over 100%",TEXT($B$1601/BB1610,"00.00%"))</f>
        <v>over 100%</v>
      </c>
      <c r="BI1610" s="6" t="s">
        <v>976</v>
      </c>
      <c r="BJ1610" s="403" t="str">
        <f>IF(B1601&gt;BD1611,"over 100%",TEXT($B$1601/BD1610,"0.00%"))</f>
        <v>over 100%</v>
      </c>
      <c r="BK1610" s="6" t="s">
        <v>978</v>
      </c>
      <c r="BO1610" s="390" t="str">
        <f>CONCATENATE(AR1610,BB1610,BC1610,BD1610,BG1610,BH1610,BI1610,BJ1610,BK1610)</f>
        <v>applied to registered sex offenders totals 147 to 569. This represents over 100% to over 100% cleared cases.</v>
      </c>
      <c r="BP1610" s="390"/>
      <c r="BQ1610" s="390"/>
      <c r="BR1610" s="390"/>
      <c r="BS1610" s="390"/>
      <c r="BT1610" s="390"/>
      <c r="BU1610" s="390"/>
      <c r="BV1610" s="390"/>
      <c r="BW1610" s="390"/>
      <c r="BX1610" s="390"/>
      <c r="BY1610" s="390"/>
      <c r="BZ1610" s="390"/>
      <c r="CA1610" s="390"/>
      <c r="CB1610" s="390"/>
      <c r="CC1610" s="390"/>
      <c r="CD1610" s="390"/>
      <c r="CE1610" s="390"/>
      <c r="CF1610" s="390"/>
    </row>
    <row r="1611" spans="1:84" ht="14.4" x14ac:dyDescent="0.3">
      <c r="A1611" s="404"/>
      <c r="B1611" s="404" t="s">
        <v>980</v>
      </c>
      <c r="C1611" s="637"/>
      <c r="D1611" s="637"/>
      <c r="E1611" s="404"/>
      <c r="F1611" s="1"/>
      <c r="BB1611" s="406">
        <f>IF($B$1603=$AF$1601,AC$1601*AC1610,IF($B$1603=$AF$1602,AC1610*AC$1602,IF($B$1603=$AF$1603,AC1610*AC$1603,IF($B$1603=$AF$1604,AC1610*AC$1604,IF($B$1603=$AF$1605,AC1610*AC$1605,"")))))</f>
        <v>146.84336000000002</v>
      </c>
      <c r="BD1611" s="642">
        <f>IF($B$1603=$AF$1601,AC$1601*AE1610,IF($B$1603=$AF$1602,AE1610*AC$1602,IF($B$1603=$AF$1603,AE1610*AC$1603,IF($B$1603=$AF$1604,AE1610*AC$1604,IF($B$1603=$AF$1605,AE1610*AC$1605,"")))))</f>
        <v>569.01801999999998</v>
      </c>
      <c r="BE1611" s="643"/>
      <c r="BF1611" s="643"/>
    </row>
    <row r="1612" spans="1:84" ht="9" customHeight="1" x14ac:dyDescent="0.3">
      <c r="A1612" s="400"/>
      <c r="B1612" s="57"/>
      <c r="C1612" s="57"/>
      <c r="D1612" s="57"/>
      <c r="E1612" s="57"/>
      <c r="F1612" s="1"/>
      <c r="BD1612" s="16"/>
      <c r="BE1612"/>
      <c r="BF1612"/>
    </row>
    <row r="1613" spans="1:84" ht="14.4" x14ac:dyDescent="0.3">
      <c r="A1613" s="400">
        <v>3</v>
      </c>
      <c r="B1613" s="401" t="str">
        <f>AM1613</f>
        <v>0.027%</v>
      </c>
      <c r="C1613" s="637" t="str">
        <f>BO1613</f>
        <v>applied to registered sex offenders totals 248. This represents over 100% cleared cases.</v>
      </c>
      <c r="D1613" s="637"/>
      <c r="E1613" s="57"/>
      <c r="F1613" s="1"/>
      <c r="AC1613" s="644">
        <v>2.7E-4</v>
      </c>
      <c r="AD1613" s="645"/>
      <c r="AH1613" s="646" t="str">
        <f>TEXT(AC1613,"0.000%")</f>
        <v>0.027%</v>
      </c>
      <c r="AI1613" s="609"/>
      <c r="AM1613" s="6" t="str">
        <f>CONCATENATE(AH1613,AJ1613)</f>
        <v>0.027%</v>
      </c>
      <c r="AR1613" s="6" t="str">
        <f>CONCATENATE($AU$1600,$AX$1600,$BD$1600,$BF$1600)</f>
        <v xml:space="preserve">applied to registered sex offenders totals </v>
      </c>
      <c r="BB1613" s="261">
        <f>ROUND(BB1614,0)</f>
        <v>248</v>
      </c>
      <c r="BD1613" s="634"/>
      <c r="BE1613" s="647"/>
      <c r="BF1613" s="647"/>
      <c r="BG1613" s="6" t="s">
        <v>977</v>
      </c>
      <c r="BH1613" s="403" t="str">
        <f>IF($B$1601&gt;BB1613,"over 100%",TEXT($B$1601/BB1613,"00.00%"))</f>
        <v>over 100%</v>
      </c>
      <c r="BJ1613" s="403"/>
      <c r="BK1613" s="6" t="s">
        <v>978</v>
      </c>
      <c r="BO1613" s="390" t="str">
        <f>CONCATENATE(AR1613,BB1613,BC1613,BD1613,BG1613,BH1613,BI1613,BJ1613,BK1613)</f>
        <v>applied to registered sex offenders totals 248. This represents over 100% cleared cases.</v>
      </c>
      <c r="BP1613" s="390"/>
      <c r="BQ1613" s="390"/>
      <c r="BR1613" s="390"/>
      <c r="BS1613" s="390"/>
      <c r="BT1613" s="390"/>
      <c r="BU1613" s="390"/>
      <c r="BV1613" s="390"/>
      <c r="BW1613" s="390"/>
      <c r="BX1613" s="390"/>
      <c r="BY1613" s="390"/>
      <c r="BZ1613" s="390"/>
      <c r="CA1613" s="390"/>
      <c r="CB1613" s="390"/>
      <c r="CC1613" s="390"/>
      <c r="CD1613" s="390"/>
      <c r="CE1613" s="390"/>
      <c r="CF1613" s="390"/>
    </row>
    <row r="1614" spans="1:84" ht="14.4" x14ac:dyDescent="0.3">
      <c r="A1614" s="404"/>
      <c r="B1614" s="404" t="s">
        <v>981</v>
      </c>
      <c r="C1614" s="637"/>
      <c r="D1614" s="637"/>
      <c r="E1614" s="57"/>
      <c r="F1614" s="1"/>
      <c r="AC1614" s="407"/>
      <c r="AD1614" s="408"/>
      <c r="AH1614" s="409"/>
      <c r="AI1614" s="410"/>
      <c r="BB1614" s="406">
        <f>IF($B$1603=$AF$1601,AC$1601*AC1613,IF($B$1603=$AF$1602,AC1613*AC$1602,IF($B$1603=$AF$1603,AC1613*AC$1603,IF($B$1603=$AF$1604,AC1613*AC$1604,IF($B$1603=$AF$1605,AC1613*AC$1605,"")))))</f>
        <v>247.79817</v>
      </c>
      <c r="BD1614" s="648"/>
      <c r="BE1614" s="649"/>
      <c r="BF1614" s="649"/>
    </row>
    <row r="1615" spans="1:84" ht="9" customHeight="1" x14ac:dyDescent="0.25">
      <c r="A1615" s="400"/>
      <c r="B1615" s="57"/>
      <c r="C1615" s="57"/>
      <c r="D1615" s="57"/>
      <c r="E1615" s="57"/>
      <c r="F1615" s="1"/>
    </row>
    <row r="1616" spans="1:84" ht="14.4" x14ac:dyDescent="0.3">
      <c r="A1616" s="400">
        <v>4</v>
      </c>
      <c r="B1616" s="401" t="str">
        <f>AM1616</f>
        <v>0.5% to 1%</v>
      </c>
      <c r="C1616" s="637" t="str">
        <f>BO1616</f>
        <v>applied to registered sex offenders totals 04,589 to 09,178. This represents 60.65% to over 100% cleared cases.</v>
      </c>
      <c r="D1616" s="637"/>
      <c r="E1616" s="57"/>
      <c r="F1616" s="1"/>
      <c r="AC1616" s="412">
        <v>5.0000000000000001E-3</v>
      </c>
      <c r="AD1616" s="154"/>
      <c r="AE1616" s="412">
        <v>0.01</v>
      </c>
      <c r="AH1616" s="646" t="str">
        <f>TEXT(AC1616,"0.0%")</f>
        <v>0.5%</v>
      </c>
      <c r="AI1616" s="609"/>
      <c r="AJ1616" s="646" t="str">
        <f>TEXT(AE1616,"0%")</f>
        <v>1%</v>
      </c>
      <c r="AK1616" s="609"/>
      <c r="AM1616" s="6" t="str">
        <f>CONCATENATE(AH1616," to ",AJ1616)</f>
        <v>0.5% to 1%</v>
      </c>
      <c r="AR1616" s="6" t="str">
        <f>CONCATENATE($AU$1600,$AX$1600,$BD$1600,$BF$1600)</f>
        <v xml:space="preserve">applied to registered sex offenders totals </v>
      </c>
      <c r="BB1616" s="261" t="str">
        <f>TEXT(BB1617,"00,000")</f>
        <v>04,589</v>
      </c>
      <c r="BC1616" s="6" t="s">
        <v>976</v>
      </c>
      <c r="BD1616" s="634" t="str">
        <f>TEXT(ROUND(BD1617,0),"00,000")</f>
        <v>09,178</v>
      </c>
      <c r="BE1616" s="647"/>
      <c r="BF1616" s="647"/>
      <c r="BG1616" s="6" t="s">
        <v>977</v>
      </c>
      <c r="BH1616" s="403" t="str">
        <f>IF($B$1601&gt;BB1616,"over 100%",TEXT($B$1601/BB1616,"00.00%"))</f>
        <v>60.65%</v>
      </c>
      <c r="BI1616" s="6" t="s">
        <v>976</v>
      </c>
      <c r="BJ1616" s="403" t="str">
        <f>IF(B1607&gt;BD1617,"over 100%",TEXT($B$1601/BD1616,"0.00%"))</f>
        <v>over 100%</v>
      </c>
      <c r="BK1616" s="6" t="s">
        <v>978</v>
      </c>
      <c r="BO1616" s="390" t="str">
        <f>CONCATENATE(AR1616,BB1616,BC1616,BD1616,BG1616,BH1616,BI1616,BJ1616,BK1616)</f>
        <v>applied to registered sex offenders totals 04,589 to 09,178. This represents 60.65% to over 100% cleared cases.</v>
      </c>
      <c r="BP1616" s="390"/>
      <c r="BQ1616" s="390"/>
      <c r="BR1616" s="390"/>
      <c r="BS1616" s="390"/>
      <c r="BT1616" s="390"/>
      <c r="BU1616" s="390"/>
      <c r="BV1616" s="390"/>
      <c r="BW1616" s="390"/>
      <c r="BX1616" s="390"/>
      <c r="BY1616" s="390"/>
      <c r="BZ1616" s="390"/>
      <c r="CA1616" s="390"/>
      <c r="CB1616" s="390"/>
      <c r="CC1616" s="390"/>
      <c r="CD1616" s="390"/>
      <c r="CE1616" s="390"/>
      <c r="CF1616" s="390"/>
    </row>
    <row r="1617" spans="1:84" ht="14.4" x14ac:dyDescent="0.3">
      <c r="A1617" s="404"/>
      <c r="B1617" s="404" t="s">
        <v>982</v>
      </c>
      <c r="C1617" s="637"/>
      <c r="D1617" s="637"/>
      <c r="E1617" s="57"/>
      <c r="F1617" s="1"/>
      <c r="AE1617" s="412"/>
      <c r="AH1617" s="409"/>
      <c r="AI1617" s="410"/>
      <c r="BB1617" s="406">
        <f>IF($B$1603=$AF$1601,AC$1601*AC1616,IF($B$1603=$AF$1602,AC1616*AC$1602,IF($B$1603=$AF$1603,AC1616*AC$1603,IF($B$1603=$AF$1604,AC1616*AC$1604,IF($B$1603=$AF$1605,AC1616*AC$1605,"")))))</f>
        <v>4588.8550000000005</v>
      </c>
      <c r="BD1617" s="642">
        <f>IF($B$1603=$AF$1601,AC$1601*AE1616,IF($B$1603=$AF$1602,AE1616*AC$1602,IF($B$1603=$AF$1603,AE1616*AC$1603,IF($B$1603=$AF$1604,AE1616*AC$1604,IF($B$1603=$AF$1605,AE1616*AC$1605,"")))))</f>
        <v>9177.7100000000009</v>
      </c>
      <c r="BE1617" s="643"/>
      <c r="BF1617" s="643"/>
    </row>
    <row r="1618" spans="1:84" ht="9" customHeight="1" x14ac:dyDescent="0.25">
      <c r="A1618" s="400"/>
      <c r="B1618" s="57"/>
      <c r="C1618" s="57"/>
      <c r="D1618" s="57"/>
      <c r="E1618" s="57"/>
      <c r="F1618" s="1"/>
      <c r="AE1618" s="412"/>
    </row>
    <row r="1619" spans="1:84" ht="14.4" x14ac:dyDescent="0.3">
      <c r="A1619" s="400">
        <v>5</v>
      </c>
      <c r="B1619" s="401" t="str">
        <f>AM1619</f>
        <v>0.5% to 3%</v>
      </c>
      <c r="C1619" s="637" t="str">
        <f>BO1619</f>
        <v>applied to registered sex offenders totals 04,589 to 27,533. This represents 60.65% to over 100% cleared cases.</v>
      </c>
      <c r="D1619" s="637"/>
      <c r="E1619" s="57"/>
      <c r="F1619" s="1"/>
      <c r="AC1619" s="412">
        <v>5.0000000000000001E-3</v>
      </c>
      <c r="AE1619" s="412">
        <v>0.03</v>
      </c>
      <c r="AH1619" s="646" t="str">
        <f>TEXT(AC1619,"0.0%")</f>
        <v>0.5%</v>
      </c>
      <c r="AI1619" s="609"/>
      <c r="AJ1619" s="646" t="str">
        <f>TEXT(AE1619,"0%")</f>
        <v>3%</v>
      </c>
      <c r="AK1619" s="609"/>
      <c r="AM1619" s="6" t="str">
        <f>CONCATENATE(AH1619," to ",AJ1619)</f>
        <v>0.5% to 3%</v>
      </c>
      <c r="AR1619" s="6" t="str">
        <f>CONCATENATE($AU$1600,$AX$1600,$BD$1600,$BF$1600)</f>
        <v xml:space="preserve">applied to registered sex offenders totals </v>
      </c>
      <c r="BB1619" s="261" t="str">
        <f>TEXT(BB1620,"00,000")</f>
        <v>04,589</v>
      </c>
      <c r="BC1619" s="6" t="s">
        <v>976</v>
      </c>
      <c r="BD1619" s="634" t="str">
        <f>TEXT(ROUND(BD1620,0),"00,000")</f>
        <v>27,533</v>
      </c>
      <c r="BE1619" s="647"/>
      <c r="BF1619" s="647"/>
      <c r="BG1619" s="6" t="s">
        <v>977</v>
      </c>
      <c r="BH1619" s="403" t="str">
        <f>IF($B$1601&gt;BB1619,"over 100%",TEXT($B$1601/BB1619,"00.00%"))</f>
        <v>60.65%</v>
      </c>
      <c r="BI1619" s="6" t="s">
        <v>976</v>
      </c>
      <c r="BJ1619" s="403" t="str">
        <f>IF(B1610&gt;BD1620,"over 100%",TEXT($B$1601/BD1619,"0.00%"))</f>
        <v>over 100%</v>
      </c>
      <c r="BK1619" s="6" t="s">
        <v>978</v>
      </c>
      <c r="BO1619" s="390" t="str">
        <f>CONCATENATE(AR1619,BB1619,BC1619,BD1619,BG1619,BH1619,BI1619,BJ1619,BK1619)</f>
        <v>applied to registered sex offenders totals 04,589 to 27,533. This represents 60.65% to over 100% cleared cases.</v>
      </c>
      <c r="BP1619" s="390"/>
      <c r="BQ1619" s="390"/>
      <c r="BR1619" s="390"/>
      <c r="BS1619" s="390"/>
      <c r="BT1619" s="390"/>
      <c r="BU1619" s="390"/>
      <c r="BV1619" s="390"/>
      <c r="BW1619" s="390"/>
      <c r="BX1619" s="390"/>
      <c r="BY1619" s="390"/>
      <c r="BZ1619" s="390"/>
      <c r="CA1619" s="390"/>
      <c r="CB1619" s="390"/>
      <c r="CC1619" s="390"/>
      <c r="CD1619" s="390"/>
      <c r="CE1619" s="390"/>
      <c r="CF1619" s="390"/>
    </row>
    <row r="1620" spans="1:84" ht="14.4" x14ac:dyDescent="0.3">
      <c r="A1620" s="404"/>
      <c r="B1620" s="404" t="s">
        <v>983</v>
      </c>
      <c r="C1620" s="637"/>
      <c r="D1620" s="637"/>
      <c r="E1620" s="57"/>
      <c r="F1620" s="1"/>
      <c r="AC1620" s="412"/>
      <c r="AE1620" s="412"/>
      <c r="AH1620" s="409"/>
      <c r="AI1620" s="410"/>
      <c r="BB1620" s="406">
        <f>IF($B$1603=$AF$1601,AC$1601*AC1619,IF($B$1603=$AF$1602,AC1619*AC$1602,IF($B$1603=$AF$1603,AC1619*AC$1603,IF($B$1603=$AF$1604,AC1619*AC$1604,IF($B$1603=$AF$1605,AC1619*AC$1605,"")))))</f>
        <v>4588.8550000000005</v>
      </c>
      <c r="BD1620" s="642">
        <f>IF($B$1603=$AF$1601,AC$1601*AE1619,IF($B$1603=$AF$1602,AE1619*AC$1602,IF($B$1603=$AF$1603,AE1619*AC$1603,IF($B$1603=$AF$1604,AE1619*AC$1604,IF($B$1603=$AF$1605,AE1619*AC$1605,"")))))</f>
        <v>27533.129999999997</v>
      </c>
      <c r="BE1620" s="643"/>
      <c r="BF1620" s="643"/>
    </row>
    <row r="1621" spans="1:84" ht="9" customHeight="1" x14ac:dyDescent="0.25">
      <c r="A1621" s="400"/>
      <c r="B1621" s="57"/>
      <c r="C1621" s="57"/>
      <c r="D1621" s="57"/>
      <c r="E1621" s="57"/>
      <c r="F1621" s="1"/>
      <c r="AC1621" s="412"/>
      <c r="AE1621" s="412"/>
    </row>
    <row r="1622" spans="1:84" ht="14.4" x14ac:dyDescent="0.3">
      <c r="A1622" s="400">
        <v>6</v>
      </c>
      <c r="B1622" s="401" t="str">
        <f>AM1622</f>
        <v>2.3%</v>
      </c>
      <c r="C1622" s="637" t="str">
        <f>BO1622</f>
        <v>applied to registered sex offenders totals 21,109. This represents 13.18% cleared cases.</v>
      </c>
      <c r="D1622" s="637"/>
      <c r="E1622" s="57"/>
      <c r="F1622" s="1"/>
      <c r="AC1622" s="412">
        <v>2.3E-2</v>
      </c>
      <c r="AE1622" s="412"/>
      <c r="AH1622" s="646" t="str">
        <f>TEXT(AC1622,"0.0%")</f>
        <v>2.3%</v>
      </c>
      <c r="AI1622" s="609"/>
      <c r="AM1622" s="6" t="str">
        <f>CONCATENATE(AH1622,AJ1622)</f>
        <v>2.3%</v>
      </c>
      <c r="AR1622" s="6" t="str">
        <f>CONCATENATE($AU$1600,$AX$1600,$BD$1600,$BF$1600)</f>
        <v xml:space="preserve">applied to registered sex offenders totals </v>
      </c>
      <c r="BB1622" s="261" t="str">
        <f>TEXT(BB1623,"00,000")</f>
        <v>21,109</v>
      </c>
      <c r="BG1622" s="6" t="s">
        <v>977</v>
      </c>
      <c r="BH1622" s="403" t="str">
        <f>IF($B$1601&gt;BB1622,"over 100%",TEXT($B$1601/BB1622,"0.00%"))</f>
        <v>13.18%</v>
      </c>
      <c r="BK1622" s="6" t="s">
        <v>978</v>
      </c>
      <c r="BO1622" s="390" t="str">
        <f>CONCATENATE(AR1622,BB1622,BC1622,BD1622,BG1622,BH1622,BI1622,BJ1622,BK1622)</f>
        <v>applied to registered sex offenders totals 21,109. This represents 13.18% cleared cases.</v>
      </c>
      <c r="BP1622" s="390"/>
      <c r="BQ1622" s="390"/>
      <c r="BR1622" s="390"/>
      <c r="BS1622" s="390"/>
      <c r="BT1622" s="390"/>
      <c r="BU1622" s="390"/>
      <c r="BV1622" s="390"/>
      <c r="BW1622" s="390"/>
      <c r="BX1622" s="390"/>
      <c r="BY1622" s="390"/>
      <c r="BZ1622" s="390"/>
      <c r="CA1622" s="390"/>
      <c r="CB1622" s="390"/>
      <c r="CC1622" s="390"/>
      <c r="CD1622" s="390"/>
      <c r="CE1622" s="390"/>
      <c r="CF1622" s="390"/>
    </row>
    <row r="1623" spans="1:84" ht="14.4" x14ac:dyDescent="0.3">
      <c r="A1623" s="404"/>
      <c r="B1623" s="404" t="s">
        <v>984</v>
      </c>
      <c r="C1623" s="637"/>
      <c r="D1623" s="637"/>
      <c r="E1623" s="57"/>
      <c r="F1623" s="1"/>
      <c r="AC1623" s="412"/>
      <c r="AE1623" s="412"/>
      <c r="AH1623" s="409"/>
      <c r="AI1623" s="410"/>
      <c r="BB1623" s="406">
        <f>IF($B$1603=$AF$1601,AC$1601*AC1622,IF($B$1603=$AF$1602,AC1622*AC$1602,IF($B$1603=$AF$1603,AC1622*AC$1603,IF($B$1603=$AF$1604,AC1622*AC$1604,IF($B$1603=$AF$1605,AC1622*AC$1605,"")))))</f>
        <v>21108.733</v>
      </c>
    </row>
    <row r="1624" spans="1:84" ht="9" customHeight="1" x14ac:dyDescent="0.25">
      <c r="A1624" s="400"/>
      <c r="B1624" s="57"/>
      <c r="C1624" s="57"/>
      <c r="D1624" s="57"/>
      <c r="E1624" s="57"/>
      <c r="F1624" s="1"/>
      <c r="AC1624" s="412"/>
      <c r="AE1624" s="412"/>
    </row>
    <row r="1625" spans="1:84" ht="14.4" x14ac:dyDescent="0.3">
      <c r="A1625" s="400">
        <v>7</v>
      </c>
      <c r="B1625" s="401" t="str">
        <f>AM1625</f>
        <v>3.3% to 5.0%</v>
      </c>
      <c r="C1625" s="637" t="str">
        <f>BO1625</f>
        <v>applied to registered sex offenders totals 30,286 to 45,889. This represents 9.19% to 6.06% cleared cases.</v>
      </c>
      <c r="D1625" s="637"/>
      <c r="E1625" s="57"/>
      <c r="F1625" s="1"/>
      <c r="AC1625" s="412">
        <v>3.3000000000000002E-2</v>
      </c>
      <c r="AE1625" s="412">
        <v>0.05</v>
      </c>
      <c r="AH1625" s="646" t="str">
        <f>TEXT(AC1625,"0.0%")</f>
        <v>3.3%</v>
      </c>
      <c r="AI1625" s="609"/>
      <c r="AJ1625" s="646" t="str">
        <f>TEXT(AE1625,"0.0%")</f>
        <v>5.0%</v>
      </c>
      <c r="AK1625" s="609"/>
      <c r="AM1625" s="6" t="str">
        <f>CONCATENATE(AH1625," to ",AJ1625)</f>
        <v>3.3% to 5.0%</v>
      </c>
      <c r="AR1625" s="6" t="str">
        <f>CONCATENATE($AU$1600,$AX$1600,$BD$1600,$BF$1600)</f>
        <v xml:space="preserve">applied to registered sex offenders totals </v>
      </c>
      <c r="BB1625" s="261" t="str">
        <f>TEXT(BB1626,"00,000")</f>
        <v>30,286</v>
      </c>
      <c r="BC1625" s="6" t="s">
        <v>976</v>
      </c>
      <c r="BD1625" s="634" t="str">
        <f>TEXT(ROUND(BD1626,0),"00,000")</f>
        <v>45,889</v>
      </c>
      <c r="BE1625" s="647"/>
      <c r="BF1625" s="647"/>
      <c r="BG1625" s="6" t="s">
        <v>977</v>
      </c>
      <c r="BH1625" s="403" t="str">
        <f>IF($B$1601&gt;BB1625,"over 100%",TEXT($B$1601/BB1625,"0.00%"))</f>
        <v>9.19%</v>
      </c>
      <c r="BI1625" s="6" t="s">
        <v>976</v>
      </c>
      <c r="BJ1625" s="403" t="str">
        <f>IF($B$1601&gt;BD1625,"over 100%",TEXT($B$1601/BD1625,"0.00%"))</f>
        <v>6.06%</v>
      </c>
      <c r="BK1625" s="6" t="s">
        <v>978</v>
      </c>
      <c r="BO1625" s="390" t="str">
        <f>CONCATENATE(AR1625,BB1625,BC1625,BD1625,BG1625,BH1625,BI1625,BJ1625,BK1625)</f>
        <v>applied to registered sex offenders totals 30,286 to 45,889. This represents 9.19% to 6.06% cleared cases.</v>
      </c>
      <c r="BP1625" s="390"/>
      <c r="BQ1625" s="390"/>
      <c r="BR1625" s="390"/>
      <c r="BS1625" s="390"/>
      <c r="BT1625" s="390"/>
      <c r="BU1625" s="390"/>
      <c r="BV1625" s="390"/>
      <c r="BW1625" s="390"/>
      <c r="BX1625" s="390"/>
      <c r="BY1625" s="390"/>
      <c r="BZ1625" s="390"/>
      <c r="CA1625" s="390"/>
      <c r="CB1625" s="390"/>
      <c r="CC1625" s="390"/>
      <c r="CD1625" s="390"/>
      <c r="CE1625" s="390"/>
      <c r="CF1625" s="390"/>
    </row>
    <row r="1626" spans="1:84" ht="14.4" x14ac:dyDescent="0.3">
      <c r="A1626" s="404"/>
      <c r="B1626" s="404" t="s">
        <v>985</v>
      </c>
      <c r="C1626" s="637"/>
      <c r="D1626" s="637"/>
      <c r="E1626" s="57"/>
      <c r="F1626" s="1"/>
      <c r="AC1626" s="412"/>
      <c r="AE1626" s="412"/>
      <c r="AH1626" s="409"/>
      <c r="AI1626" s="410"/>
      <c r="BB1626" s="406">
        <f>IF($B$1603=$AF$1601,AC$1601*AC1625,IF($B$1603=$AF$1602,AC1625*AC$1602,IF($B$1603=$AF$1603,AC1625*AC$1603,IF($B$1603=$AF$1604,AC1625*AC$1604,IF($B$1603=$AF$1605,AC1625*AC$1605,"")))))</f>
        <v>30286.443000000003</v>
      </c>
      <c r="BD1626" s="642">
        <f>IF($B$1603=$AF$1601,AC$1601*AE1625,IF($B$1603=$AF$1602,AE1625*AC$1602,IF($B$1603=$AF$1603,AE1625*AC$1603,IF($B$1603=$AF$1604,AE1625*AC$1604,IF($B$1603=$AF$1605,AE1625*AC$1605,"")))))</f>
        <v>45888.55</v>
      </c>
      <c r="BE1626" s="643"/>
      <c r="BF1626" s="643"/>
    </row>
    <row r="1627" spans="1:84" ht="9" customHeight="1" x14ac:dyDescent="0.25">
      <c r="A1627" s="400"/>
      <c r="B1627" s="57"/>
      <c r="C1627" s="57"/>
      <c r="D1627" s="57"/>
      <c r="E1627" s="57"/>
      <c r="F1627" s="1"/>
      <c r="AC1627" s="412"/>
      <c r="AE1627" s="412"/>
    </row>
    <row r="1628" spans="1:84" ht="14.4" x14ac:dyDescent="0.3">
      <c r="A1628" s="400">
        <v>8</v>
      </c>
      <c r="B1628" s="401" t="str">
        <f>AM1628</f>
        <v>4.1%</v>
      </c>
      <c r="C1628" s="637" t="str">
        <f>BO1628</f>
        <v>applied to registered sex offenders totals 37,629. This represents 7.40% cleared cases.</v>
      </c>
      <c r="D1628" s="637"/>
      <c r="E1628" s="57"/>
      <c r="F1628" s="1"/>
      <c r="AC1628" s="412">
        <v>4.1000000000000002E-2</v>
      </c>
      <c r="AE1628" s="412"/>
      <c r="AH1628" s="646" t="str">
        <f>TEXT(AC1628,"0.0%")</f>
        <v>4.1%</v>
      </c>
      <c r="AI1628" s="609"/>
      <c r="AM1628" s="6" t="str">
        <f>CONCATENATE(AH1628,AJ1628)</f>
        <v>4.1%</v>
      </c>
      <c r="AR1628" s="6" t="str">
        <f>CONCATENATE($AU$1600,$AX$1600,$BD$1600,$BF$1600)</f>
        <v xml:space="preserve">applied to registered sex offenders totals </v>
      </c>
      <c r="BB1628" s="261" t="str">
        <f>TEXT(BB1629,"00,000")</f>
        <v>37,629</v>
      </c>
      <c r="BG1628" s="6" t="s">
        <v>977</v>
      </c>
      <c r="BH1628" s="403" t="str">
        <f>IF($B$1601&gt;BB1628,"over 100%",TEXT($B$1601/BB1628,"0.00%"))</f>
        <v>7.40%</v>
      </c>
      <c r="BK1628" s="6" t="s">
        <v>978</v>
      </c>
      <c r="BO1628" s="390" t="str">
        <f>CONCATENATE(AR1628,BB1628,BC1628,BD1628,BG1628,BH1628,BI1628,BJ1628,BK1628)</f>
        <v>applied to registered sex offenders totals 37,629. This represents 7.40% cleared cases.</v>
      </c>
      <c r="BP1628" s="390"/>
      <c r="BQ1628" s="390"/>
      <c r="BR1628" s="390"/>
      <c r="BS1628" s="390"/>
      <c r="BT1628" s="390"/>
      <c r="BU1628" s="390"/>
      <c r="BV1628" s="390"/>
      <c r="BW1628" s="390"/>
      <c r="BX1628" s="390"/>
      <c r="BY1628" s="390"/>
      <c r="BZ1628" s="390"/>
      <c r="CA1628" s="390"/>
      <c r="CB1628" s="390"/>
      <c r="CC1628" s="390"/>
      <c r="CD1628" s="390"/>
      <c r="CE1628" s="390"/>
      <c r="CF1628" s="390"/>
    </row>
    <row r="1629" spans="1:84" ht="14.4" x14ac:dyDescent="0.3">
      <c r="A1629" s="404"/>
      <c r="B1629" s="404" t="s">
        <v>986</v>
      </c>
      <c r="C1629" s="637"/>
      <c r="D1629" s="637"/>
      <c r="E1629" s="57"/>
      <c r="F1629" s="1"/>
      <c r="AC1629" s="412"/>
      <c r="AE1629" s="412"/>
      <c r="AH1629" s="409"/>
      <c r="AI1629" s="410"/>
      <c r="BB1629" s="406">
        <f>IF($B$1603=$AF$1601,AC$1601*AC1628,IF($B$1603=$AF$1602,AC1628*AC$1602,IF($B$1603=$AF$1603,AC1628*AC$1603,IF($B$1603=$AF$1604,AC1628*AC$1604,IF($B$1603=$AF$1605,AC1628*AC$1605,"")))))</f>
        <v>37628.611000000004</v>
      </c>
    </row>
    <row r="1630" spans="1:84" ht="9" customHeight="1" x14ac:dyDescent="0.25">
      <c r="A1630" s="400"/>
      <c r="B1630" s="57"/>
      <c r="C1630" s="57"/>
      <c r="D1630" s="57"/>
      <c r="E1630" s="57"/>
      <c r="F1630" s="1"/>
      <c r="AC1630" s="412"/>
      <c r="AE1630" s="412"/>
    </row>
    <row r="1631" spans="1:84" ht="14.4" x14ac:dyDescent="0.3">
      <c r="A1631" s="400">
        <v>9</v>
      </c>
      <c r="B1631" s="401" t="str">
        <f>AM1631</f>
        <v>5% to 15.4%</v>
      </c>
      <c r="C1631" s="637" t="str">
        <f>BO1631</f>
        <v>applied to registered sex offenders totals 45,889 to 141,337. This represents 6.06% to 1.97% cleared cases.</v>
      </c>
      <c r="D1631" s="637"/>
      <c r="E1631" s="57"/>
      <c r="F1631" s="1"/>
      <c r="AC1631" s="412">
        <v>0.05</v>
      </c>
      <c r="AE1631" s="412">
        <v>0.154</v>
      </c>
      <c r="AH1631" s="646" t="str">
        <f>TEXT(AC1631,"0%")</f>
        <v>5%</v>
      </c>
      <c r="AI1631" s="609"/>
      <c r="AJ1631" s="646" t="str">
        <f>TEXT(AE1631,"0.0%")</f>
        <v>15.4%</v>
      </c>
      <c r="AK1631" s="609"/>
      <c r="AM1631" s="6" t="str">
        <f>CONCATENATE(AH1631," to ",AJ1631)</f>
        <v>5% to 15.4%</v>
      </c>
      <c r="AR1631" s="6" t="str">
        <f>CONCATENATE($AU$1600,$AX$1600,$BD$1600,$BF$1600)</f>
        <v xml:space="preserve">applied to registered sex offenders totals </v>
      </c>
      <c r="BB1631" s="261" t="str">
        <f>TEXT(BB1632,"00,000")</f>
        <v>45,889</v>
      </c>
      <c r="BC1631" s="6" t="s">
        <v>976</v>
      </c>
      <c r="BD1631" s="634" t="str">
        <f>TEXT(ROUND(BD1632,0),"00,000")</f>
        <v>141,337</v>
      </c>
      <c r="BE1631" s="647"/>
      <c r="BF1631" s="647"/>
      <c r="BG1631" s="6" t="s">
        <v>977</v>
      </c>
      <c r="BH1631" s="403" t="str">
        <f>IF($B$1601&gt;BB1631,"over 100%",TEXT($B$1601/BB1631,"0.00%"))</f>
        <v>6.06%</v>
      </c>
      <c r="BI1631" s="6" t="s">
        <v>976</v>
      </c>
      <c r="BJ1631" s="403" t="str">
        <f>IF($B$1601&gt;BD1631,"over 100%",TEXT($B$1601/BD1631,"0.00%"))</f>
        <v>1.97%</v>
      </c>
      <c r="BK1631" s="6" t="s">
        <v>978</v>
      </c>
      <c r="BO1631" s="390" t="str">
        <f>CONCATENATE(AR1631,BB1631,BC1631,BD1631,BG1631,BH1631,BI1631,BJ1631,BK1631)</f>
        <v>applied to registered sex offenders totals 45,889 to 141,337. This represents 6.06% to 1.97% cleared cases.</v>
      </c>
      <c r="BP1631" s="390"/>
      <c r="BQ1631" s="390"/>
      <c r="BR1631" s="390"/>
      <c r="BS1631" s="390"/>
      <c r="BT1631" s="390"/>
      <c r="BU1631" s="390"/>
      <c r="BV1631" s="390"/>
      <c r="BW1631" s="390"/>
      <c r="BX1631" s="390"/>
      <c r="BY1631" s="390"/>
      <c r="BZ1631" s="390"/>
      <c r="CA1631" s="390"/>
      <c r="CB1631" s="390"/>
      <c r="CC1631" s="390"/>
      <c r="CD1631" s="390"/>
      <c r="CE1631" s="390"/>
      <c r="CF1631" s="390"/>
    </row>
    <row r="1632" spans="1:84" ht="14.4" x14ac:dyDescent="0.3">
      <c r="A1632" s="404"/>
      <c r="B1632" s="404" t="s">
        <v>987</v>
      </c>
      <c r="C1632" s="637"/>
      <c r="D1632" s="637"/>
      <c r="E1632" s="57"/>
      <c r="F1632" s="1"/>
      <c r="AC1632" s="412"/>
      <c r="AE1632" s="412"/>
      <c r="AH1632" s="409"/>
      <c r="AI1632" s="410"/>
      <c r="BB1632" s="406">
        <f>IF($B$1603=$AF$1601,AC$1601*AC1631,IF($B$1603=$AF$1602,AC1631*AC$1602,IF($B$1603=$AF$1603,AC1631*AC$1603,IF($B$1603=$AF$1604,AC1631*AC$1604,IF($B$1603=$AF$1605,AC1631*AC$1605,"")))))</f>
        <v>45888.55</v>
      </c>
      <c r="BD1632" s="642">
        <f>IF($B$1603=$AF$1601,AC$1601*AE1631,IF($B$1603=$AF$1602,AE1631*AC$1602,IF($B$1603=$AF$1603,AE1631*AC$1603,IF($B$1603=$AF$1604,AE1631*AC$1604,IF($B$1603=$AF$1605,AE1631*AC$1605,"")))))</f>
        <v>141336.734</v>
      </c>
      <c r="BE1632" s="643"/>
      <c r="BF1632" s="643"/>
      <c r="BG1632" s="403"/>
    </row>
    <row r="1633" spans="1:84" ht="9" customHeight="1" x14ac:dyDescent="0.25">
      <c r="A1633" s="400"/>
      <c r="B1633" s="57"/>
      <c r="C1633" s="57"/>
      <c r="D1633" s="57"/>
      <c r="E1633" s="57"/>
      <c r="F1633" s="1"/>
      <c r="AC1633" s="412"/>
      <c r="AE1633" s="412"/>
    </row>
    <row r="1634" spans="1:84" ht="14.4" x14ac:dyDescent="0.3">
      <c r="A1634" s="400">
        <v>10</v>
      </c>
      <c r="B1634" s="401" t="str">
        <f>AM1634</f>
        <v>6%</v>
      </c>
      <c r="C1634" s="637" t="str">
        <f>BO1634</f>
        <v>applied to registered sex offenders totals 55,066. This represents 5.05% cleared cases.</v>
      </c>
      <c r="D1634" s="637"/>
      <c r="E1634" s="57"/>
      <c r="F1634" s="1"/>
      <c r="AC1634" s="412">
        <v>0.06</v>
      </c>
      <c r="AE1634" s="412"/>
      <c r="AH1634" s="646" t="str">
        <f>TEXT(AC1634,"0%")</f>
        <v>6%</v>
      </c>
      <c r="AI1634" s="609"/>
      <c r="AM1634" s="6" t="str">
        <f>CONCATENATE(AH1634,AJ1634)</f>
        <v>6%</v>
      </c>
      <c r="AR1634" s="6" t="str">
        <f>CONCATENATE($AU$1600,$AX$1600,$BD$1600,$BF$1600)</f>
        <v xml:space="preserve">applied to registered sex offenders totals </v>
      </c>
      <c r="BB1634" s="261" t="str">
        <f>TEXT(BB1635,"00,000")</f>
        <v>55,066</v>
      </c>
      <c r="BG1634" s="6" t="s">
        <v>977</v>
      </c>
      <c r="BH1634" s="403" t="str">
        <f>IF($B$1601&gt;BB1634,"over 100%",TEXT($B$1601/BB1634,"0.00%"))</f>
        <v>5.05%</v>
      </c>
      <c r="BK1634" s="6" t="s">
        <v>978</v>
      </c>
      <c r="BO1634" s="390" t="str">
        <f>CONCATENATE(AR1634,BB1634,BC1634,BD1634,BG1634,BH1634,BI1634,BJ1634,BK1634)</f>
        <v>applied to registered sex offenders totals 55,066. This represents 5.05% cleared cases.</v>
      </c>
      <c r="BP1634" s="390"/>
      <c r="BQ1634" s="390"/>
      <c r="BR1634" s="390"/>
      <c r="BS1634" s="390"/>
      <c r="BT1634" s="390"/>
      <c r="BU1634" s="390"/>
      <c r="BV1634" s="390"/>
      <c r="BW1634" s="390"/>
      <c r="BX1634" s="390"/>
      <c r="BY1634" s="390"/>
      <c r="BZ1634" s="390"/>
      <c r="CA1634" s="390"/>
      <c r="CB1634" s="390"/>
      <c r="CC1634" s="390"/>
      <c r="CD1634" s="390"/>
      <c r="CE1634" s="390"/>
      <c r="CF1634" s="390"/>
    </row>
    <row r="1635" spans="1:84" ht="14.4" x14ac:dyDescent="0.3">
      <c r="A1635" s="404"/>
      <c r="B1635" s="404" t="s">
        <v>988</v>
      </c>
      <c r="C1635" s="637"/>
      <c r="D1635" s="637"/>
      <c r="E1635" s="57"/>
      <c r="F1635" s="1"/>
      <c r="AC1635" s="412"/>
      <c r="AE1635" s="412"/>
      <c r="AH1635" s="409"/>
      <c r="AI1635" s="410"/>
      <c r="BB1635" s="406">
        <f>IF($B$1603=$AF$1601,AC$1601*AC1634,IF($B$1603=$AF$1602,AC1634*AC$1602,IF($B$1603=$AF$1603,AC1634*AC$1603,IF($B$1603=$AF$1604,AC1634*AC$1604,IF($B$1603=$AF$1605,AC1634*AC$1605,"")))))</f>
        <v>55066.259999999995</v>
      </c>
    </row>
    <row r="1636" spans="1:84" ht="9" customHeight="1" x14ac:dyDescent="0.25">
      <c r="A1636" s="400"/>
      <c r="B1636" s="57"/>
      <c r="C1636" s="57"/>
      <c r="D1636" s="57"/>
      <c r="E1636" s="57"/>
      <c r="F1636" s="1"/>
      <c r="AC1636" s="412"/>
      <c r="AE1636" s="412"/>
    </row>
    <row r="1637" spans="1:84" ht="14.4" x14ac:dyDescent="0.3">
      <c r="A1637" s="400">
        <v>11</v>
      </c>
      <c r="B1637" s="401" t="str">
        <f>AM1637</f>
        <v>11.60%</v>
      </c>
      <c r="C1637" s="637" t="str">
        <f>BO1637</f>
        <v>applied to registered sex offenders totals 106,461. This represents 2.61% cleared cases.</v>
      </c>
      <c r="D1637" s="637"/>
      <c r="E1637" s="57"/>
      <c r="F1637" s="1"/>
      <c r="AC1637" s="412">
        <v>0.11600000000000001</v>
      </c>
      <c r="AE1637" s="412"/>
      <c r="AH1637" s="646" t="str">
        <f>TEXT(AC1637,"0.00%")</f>
        <v>11.60%</v>
      </c>
      <c r="AI1637" s="609"/>
      <c r="AM1637" s="6" t="str">
        <f>CONCATENATE(AH1637,AJ1637)</f>
        <v>11.60%</v>
      </c>
      <c r="AR1637" s="6" t="str">
        <f>CONCATENATE($AU$1600,$AX$1600,$BD$1600,$BF$1600)</f>
        <v xml:space="preserve">applied to registered sex offenders totals </v>
      </c>
      <c r="BB1637" s="261" t="str">
        <f>TEXT(BB1638,"00,000")</f>
        <v>106,461</v>
      </c>
      <c r="BG1637" s="6" t="s">
        <v>977</v>
      </c>
      <c r="BH1637" s="403" t="str">
        <f>IF($B$1601&gt;BB1637,"over 100%",TEXT($B$1601/BB1637,"0.00%"))</f>
        <v>2.61%</v>
      </c>
      <c r="BK1637" s="6" t="s">
        <v>978</v>
      </c>
      <c r="BO1637" s="390" t="str">
        <f>CONCATENATE(AR1637,BB1637,BC1637,BD1637,BG1637,BH1637,BI1637,BJ1637,BK1637)</f>
        <v>applied to registered sex offenders totals 106,461. This represents 2.61% cleared cases.</v>
      </c>
      <c r="BP1637" s="390"/>
      <c r="BQ1637" s="390"/>
      <c r="BR1637" s="390"/>
      <c r="BS1637" s="390"/>
      <c r="BT1637" s="390"/>
      <c r="BU1637" s="390"/>
      <c r="BV1637" s="390"/>
      <c r="BW1637" s="390"/>
      <c r="BX1637" s="390"/>
      <c r="BY1637" s="390"/>
      <c r="BZ1637" s="390"/>
      <c r="CA1637" s="390"/>
      <c r="CB1637" s="390"/>
      <c r="CC1637" s="390"/>
      <c r="CD1637" s="390"/>
      <c r="CE1637" s="390"/>
      <c r="CF1637" s="390"/>
    </row>
    <row r="1638" spans="1:84" ht="14.4" x14ac:dyDescent="0.3">
      <c r="A1638" s="404"/>
      <c r="B1638" s="404" t="s">
        <v>989</v>
      </c>
      <c r="C1638" s="637"/>
      <c r="D1638" s="637"/>
      <c r="E1638" s="57"/>
      <c r="F1638" s="1"/>
      <c r="AH1638" s="409"/>
      <c r="AI1638" s="410"/>
      <c r="BB1638" s="406">
        <f>IF($B$1603=$AF$1601,AC$1601*AC1637,IF($B$1603=$AF$1602,AC1637*AC$1602,IF($B$1603=$AF$1603,AC1637*AC$1603,IF($B$1603=$AF$1604,AC1637*AC$1604,IF($B$1603=$AF$1605,AC1637*AC$1605,"")))))</f>
        <v>106461.436</v>
      </c>
    </row>
    <row r="1639" spans="1:84" ht="9" customHeight="1" x14ac:dyDescent="0.25">
      <c r="A1639" s="57"/>
      <c r="B1639" s="57"/>
      <c r="C1639" s="57"/>
      <c r="D1639" s="57"/>
      <c r="E1639" s="57"/>
      <c r="F1639" s="1"/>
    </row>
    <row r="1640" spans="1:84" ht="14.4" x14ac:dyDescent="0.3">
      <c r="A1640" s="400">
        <v>12</v>
      </c>
      <c r="B1640" s="401" t="str">
        <f>AM1640</f>
        <v>15.4%</v>
      </c>
      <c r="C1640" s="637" t="str">
        <f>BO1640</f>
        <v>applied to registered sex offenders totals 141,337. This represents 1.97% cleared cases.</v>
      </c>
      <c r="D1640" s="637"/>
      <c r="E1640" s="57"/>
      <c r="F1640" s="1"/>
      <c r="AC1640" s="412">
        <v>0.154</v>
      </c>
      <c r="AD1640" s="412"/>
      <c r="AH1640" s="646" t="str">
        <f>TEXT(AC1640,"0.0%")</f>
        <v>15.4%</v>
      </c>
      <c r="AI1640" s="609"/>
      <c r="AM1640" s="6" t="str">
        <f>CONCATENATE(AH1640,AJ1640)</f>
        <v>15.4%</v>
      </c>
      <c r="AR1640" s="6" t="str">
        <f>CONCATENATE($AU$1600,$AX$1600,$BD$1600,$BF$1600)</f>
        <v xml:space="preserve">applied to registered sex offenders totals </v>
      </c>
      <c r="BB1640" s="261" t="str">
        <f>TEXT(BB1641,"00,000")</f>
        <v>141,337</v>
      </c>
      <c r="BG1640" s="6" t="s">
        <v>977</v>
      </c>
      <c r="BH1640" s="403" t="str">
        <f>IF($B$1601&gt;BB1640,"over 100%",TEXT($B$1601/BB1640,"0.00%"))</f>
        <v>1.97%</v>
      </c>
      <c r="BK1640" s="6" t="s">
        <v>978</v>
      </c>
      <c r="BO1640" s="390" t="str">
        <f>CONCATENATE(AR1640,BB1640,BC1640,BD1640,BG1640,BH1640,BI1640,BJ1640,BK1640)</f>
        <v>applied to registered sex offenders totals 141,337. This represents 1.97% cleared cases.</v>
      </c>
      <c r="BP1640" s="390"/>
      <c r="BQ1640" s="390"/>
      <c r="BR1640" s="390"/>
      <c r="BS1640" s="390"/>
      <c r="BT1640" s="390"/>
      <c r="BU1640" s="390"/>
      <c r="BV1640" s="390"/>
      <c r="BW1640" s="390"/>
      <c r="BX1640" s="390"/>
      <c r="BY1640" s="390"/>
      <c r="BZ1640" s="390"/>
      <c r="CA1640" s="390"/>
      <c r="CB1640" s="390"/>
      <c r="CC1640" s="390"/>
      <c r="CD1640" s="390"/>
      <c r="CE1640" s="390"/>
      <c r="CF1640" s="390"/>
    </row>
    <row r="1641" spans="1:84" x14ac:dyDescent="0.25">
      <c r="A1641" s="404"/>
      <c r="B1641" s="404" t="s">
        <v>990</v>
      </c>
      <c r="C1641" s="637"/>
      <c r="D1641" s="637"/>
      <c r="E1641" s="57"/>
      <c r="F1641" s="1"/>
      <c r="BB1641" s="406">
        <f>IF($B$1603=$AF$1601,AC$1601*AC1640,IF($B$1603=$AF$1602,AC1640*AC$1602,IF($B$1603=$AF$1603,AC1640*AC$1603,IF($B$1603=$AF$1604,AC1640*AC$1604,IF($B$1603=$AF$1605,AC1640*AC$1605,"")))))</f>
        <v>141336.734</v>
      </c>
    </row>
    <row r="1642" spans="1:84" ht="15" customHeight="1" x14ac:dyDescent="0.25">
      <c r="A1642" s="57"/>
      <c r="B1642" s="57"/>
      <c r="C1642" s="57"/>
      <c r="D1642" s="57"/>
      <c r="E1642" s="57"/>
      <c r="F1642" s="1"/>
    </row>
    <row r="1643" spans="1:84" ht="19.95" customHeight="1" x14ac:dyDescent="0.25">
      <c r="A1643" s="652" t="s">
        <v>1539</v>
      </c>
      <c r="B1643" s="652"/>
      <c r="C1643" s="652"/>
      <c r="D1643" s="652"/>
      <c r="E1643" s="652"/>
      <c r="F1643" s="1"/>
    </row>
    <row r="1644" spans="1:84" ht="19.95" customHeight="1" x14ac:dyDescent="0.25">
      <c r="A1644" s="652"/>
      <c r="B1644" s="652"/>
      <c r="C1644" s="652"/>
      <c r="D1644" s="652"/>
      <c r="E1644" s="652"/>
      <c r="F1644" s="1"/>
    </row>
    <row r="1645" spans="1:84" ht="19.95" customHeight="1" x14ac:dyDescent="0.25">
      <c r="A1645" s="652"/>
      <c r="B1645" s="652"/>
      <c r="C1645" s="652"/>
      <c r="D1645" s="652"/>
      <c r="E1645" s="652"/>
      <c r="F1645" s="1"/>
    </row>
    <row r="1646" spans="1:84" ht="10.050000000000001" customHeight="1" x14ac:dyDescent="0.25">
      <c r="A1646" s="483"/>
      <c r="B1646" s="483"/>
      <c r="C1646" s="483"/>
      <c r="D1646" s="483"/>
      <c r="E1646" s="483"/>
      <c r="F1646" s="1"/>
    </row>
    <row r="1647" spans="1:84" s="5" customFormat="1" x14ac:dyDescent="0.25">
      <c r="BB1647" s="413"/>
    </row>
    <row r="1648" spans="1:84" s="5" customFormat="1" x14ac:dyDescent="0.25">
      <c r="BB1648" s="413"/>
    </row>
    <row r="1649" spans="54:54" s="5" customFormat="1" x14ac:dyDescent="0.25">
      <c r="BB1649" s="413"/>
    </row>
    <row r="1650" spans="54:54" s="5" customFormat="1" x14ac:dyDescent="0.25">
      <c r="BB1650" s="413"/>
    </row>
    <row r="1651" spans="54:54" s="5" customFormat="1" x14ac:dyDescent="0.25">
      <c r="BB1651" s="413"/>
    </row>
    <row r="1652" spans="54:54" s="5" customFormat="1" x14ac:dyDescent="0.25">
      <c r="BB1652" s="413"/>
    </row>
    <row r="1653" spans="54:54" s="5" customFormat="1" x14ac:dyDescent="0.25">
      <c r="BB1653" s="413"/>
    </row>
    <row r="1654" spans="54:54" s="5" customFormat="1" x14ac:dyDescent="0.25">
      <c r="BB1654" s="413"/>
    </row>
    <row r="1655" spans="54:54" s="5" customFormat="1" x14ac:dyDescent="0.25">
      <c r="BB1655" s="413"/>
    </row>
    <row r="1656" spans="54:54" s="5" customFormat="1" x14ac:dyDescent="0.25">
      <c r="BB1656" s="413"/>
    </row>
    <row r="1657" spans="54:54" s="5" customFormat="1" x14ac:dyDescent="0.25">
      <c r="BB1657" s="413"/>
    </row>
    <row r="1658" spans="54:54" s="5" customFormat="1" x14ac:dyDescent="0.25">
      <c r="BB1658" s="413"/>
    </row>
    <row r="1659" spans="54:54" s="5" customFormat="1" x14ac:dyDescent="0.25">
      <c r="BB1659" s="413"/>
    </row>
    <row r="1660" spans="54:54" s="5" customFormat="1" x14ac:dyDescent="0.25">
      <c r="BB1660" s="413"/>
    </row>
    <row r="1661" spans="54:54" s="5" customFormat="1" x14ac:dyDescent="0.25">
      <c r="BB1661" s="413"/>
    </row>
    <row r="1662" spans="54:54" s="5" customFormat="1" x14ac:dyDescent="0.25">
      <c r="BB1662" s="413"/>
    </row>
    <row r="1663" spans="54:54" s="5" customFormat="1" x14ac:dyDescent="0.25">
      <c r="BB1663" s="413"/>
    </row>
    <row r="1664" spans="54:54" s="5" customFormat="1" x14ac:dyDescent="0.25">
      <c r="BB1664" s="413"/>
    </row>
    <row r="1665" spans="54:54" s="5" customFormat="1" x14ac:dyDescent="0.25">
      <c r="BB1665" s="413"/>
    </row>
    <row r="1666" spans="54:54" s="5" customFormat="1" x14ac:dyDescent="0.25">
      <c r="BB1666" s="413"/>
    </row>
    <row r="1667" spans="54:54" s="5" customFormat="1" x14ac:dyDescent="0.25">
      <c r="BB1667" s="413"/>
    </row>
    <row r="1668" spans="54:54" s="5" customFormat="1" x14ac:dyDescent="0.25">
      <c r="BB1668" s="413"/>
    </row>
    <row r="1669" spans="54:54" s="5" customFormat="1" x14ac:dyDescent="0.25">
      <c r="BB1669" s="413"/>
    </row>
    <row r="1670" spans="54:54" s="5" customFormat="1" x14ac:dyDescent="0.25">
      <c r="BB1670" s="413"/>
    </row>
    <row r="1671" spans="54:54" s="5" customFormat="1" x14ac:dyDescent="0.25">
      <c r="BB1671" s="413"/>
    </row>
    <row r="1672" spans="54:54" s="5" customFormat="1" x14ac:dyDescent="0.25">
      <c r="BB1672" s="413"/>
    </row>
    <row r="1673" spans="54:54" s="5" customFormat="1" x14ac:dyDescent="0.25">
      <c r="BB1673" s="413"/>
    </row>
    <row r="1674" spans="54:54" s="5" customFormat="1" x14ac:dyDescent="0.25">
      <c r="BB1674" s="413"/>
    </row>
    <row r="1675" spans="54:54" s="5" customFormat="1" x14ac:dyDescent="0.25">
      <c r="BB1675" s="413"/>
    </row>
    <row r="1676" spans="54:54" s="5" customFormat="1" x14ac:dyDescent="0.25">
      <c r="BB1676" s="413"/>
    </row>
    <row r="1677" spans="54:54" s="5" customFormat="1" x14ac:dyDescent="0.25">
      <c r="BB1677" s="413"/>
    </row>
    <row r="1678" spans="54:54" s="5" customFormat="1" x14ac:dyDescent="0.25">
      <c r="BB1678" s="413"/>
    </row>
    <row r="1679" spans="54:54" s="5" customFormat="1" x14ac:dyDescent="0.25">
      <c r="BB1679" s="413"/>
    </row>
    <row r="1680" spans="54:54" s="5" customFormat="1" x14ac:dyDescent="0.25">
      <c r="BB1680" s="413"/>
    </row>
    <row r="1681" spans="1:54" s="5" customFormat="1" x14ac:dyDescent="0.25">
      <c r="BB1681" s="413"/>
    </row>
    <row r="1682" spans="1:54" s="5" customFormat="1" x14ac:dyDescent="0.25">
      <c r="BB1682" s="413"/>
    </row>
    <row r="1683" spans="1:54" s="5" customFormat="1" x14ac:dyDescent="0.25">
      <c r="BB1683" s="413"/>
    </row>
    <row r="1684" spans="1:54" s="5" customFormat="1" x14ac:dyDescent="0.25">
      <c r="BB1684" s="413"/>
    </row>
    <row r="1685" spans="1:54" s="5" customFormat="1" x14ac:dyDescent="0.25">
      <c r="BB1685" s="413"/>
    </row>
    <row r="1686" spans="1:54" s="5" customFormat="1" x14ac:dyDescent="0.25">
      <c r="BB1686" s="413"/>
    </row>
    <row r="1687" spans="1:54" s="5" customFormat="1" x14ac:dyDescent="0.25">
      <c r="BB1687" s="413"/>
    </row>
    <row r="1688" spans="1:54" s="5" customFormat="1" x14ac:dyDescent="0.25">
      <c r="BB1688" s="413"/>
    </row>
    <row r="1689" spans="1:54" s="5" customFormat="1" x14ac:dyDescent="0.25">
      <c r="BB1689" s="413"/>
    </row>
    <row r="1690" spans="1:54" s="5" customFormat="1" x14ac:dyDescent="0.25">
      <c r="BB1690" s="413"/>
    </row>
    <row r="1691" spans="1:54" s="5" customFormat="1" x14ac:dyDescent="0.25">
      <c r="BB1691" s="413"/>
    </row>
    <row r="1692" spans="1:54" s="5" customFormat="1" x14ac:dyDescent="0.25">
      <c r="AC1692" s="413" t="s">
        <v>991</v>
      </c>
      <c r="BB1692" s="413"/>
    </row>
    <row r="1693" spans="1:54" s="5" customFormat="1" x14ac:dyDescent="0.25">
      <c r="AC1693" s="414" t="s">
        <v>25</v>
      </c>
      <c r="BB1693" s="413"/>
    </row>
    <row r="1694" spans="1:54" s="5" customFormat="1" x14ac:dyDescent="0.25">
      <c r="AC1694" s="414" t="s">
        <v>59</v>
      </c>
      <c r="BB1694" s="413"/>
    </row>
    <row r="1695" spans="1:54" s="5" customFormat="1" ht="14.4" thickBot="1" x14ac:dyDescent="0.3">
      <c r="AC1695" s="414" t="s">
        <v>63</v>
      </c>
      <c r="BB1695" s="413"/>
    </row>
    <row r="1696" spans="1:54" s="5" customFormat="1" x14ac:dyDescent="0.25">
      <c r="A1696" s="415"/>
      <c r="B1696" s="416"/>
      <c r="C1696" s="416"/>
      <c r="D1696" s="416"/>
      <c r="E1696" s="416"/>
      <c r="F1696" s="417"/>
      <c r="AC1696" s="414" t="s">
        <v>64</v>
      </c>
      <c r="BB1696" s="413"/>
    </row>
    <row r="1697" spans="1:54" s="5" customFormat="1" x14ac:dyDescent="0.25">
      <c r="A1697" s="418"/>
      <c r="F1697" s="419"/>
      <c r="AC1697" s="414" t="s">
        <v>992</v>
      </c>
      <c r="BB1697" s="413"/>
    </row>
    <row r="1698" spans="1:54" s="5" customFormat="1" x14ac:dyDescent="0.25">
      <c r="A1698" s="418"/>
      <c r="F1698" s="419"/>
      <c r="AC1698" s="414" t="s">
        <v>993</v>
      </c>
      <c r="BB1698" s="413"/>
    </row>
    <row r="1699" spans="1:54" s="5" customFormat="1" x14ac:dyDescent="0.25">
      <c r="A1699" s="418"/>
      <c r="F1699" s="419"/>
      <c r="BB1699" s="413"/>
    </row>
    <row r="1700" spans="1:54" s="5" customFormat="1" x14ac:dyDescent="0.25">
      <c r="A1700" s="418"/>
      <c r="F1700" s="419"/>
      <c r="BB1700" s="413"/>
    </row>
    <row r="1701" spans="1:54" s="5" customFormat="1" x14ac:dyDescent="0.25">
      <c r="A1701" s="418"/>
      <c r="F1701" s="419"/>
      <c r="AC1701" s="5" t="s">
        <v>994</v>
      </c>
      <c r="BB1701" s="413"/>
    </row>
    <row r="1702" spans="1:54" s="5" customFormat="1" x14ac:dyDescent="0.25">
      <c r="A1702" s="418"/>
      <c r="F1702" s="419"/>
      <c r="BB1702" s="413"/>
    </row>
    <row r="1703" spans="1:54" s="5" customFormat="1" x14ac:dyDescent="0.25">
      <c r="A1703" s="418"/>
      <c r="F1703" s="419"/>
      <c r="BB1703" s="413"/>
    </row>
    <row r="1704" spans="1:54" s="5" customFormat="1" x14ac:dyDescent="0.25">
      <c r="A1704" s="418"/>
      <c r="F1704" s="419"/>
      <c r="AC1704" s="5" t="s">
        <v>995</v>
      </c>
      <c r="BB1704" s="413"/>
    </row>
    <row r="1705" spans="1:54" s="5" customFormat="1" x14ac:dyDescent="0.25">
      <c r="A1705" s="418"/>
      <c r="F1705" s="419"/>
      <c r="BB1705" s="413"/>
    </row>
    <row r="1706" spans="1:54" s="5" customFormat="1" x14ac:dyDescent="0.25">
      <c r="A1706" s="418"/>
      <c r="F1706" s="419"/>
      <c r="BB1706" s="413"/>
    </row>
    <row r="1707" spans="1:54" s="5" customFormat="1" x14ac:dyDescent="0.25">
      <c r="A1707" s="418"/>
      <c r="F1707" s="419"/>
      <c r="AC1707" s="5" t="s">
        <v>996</v>
      </c>
      <c r="BB1707" s="413"/>
    </row>
    <row r="1708" spans="1:54" s="5" customFormat="1" x14ac:dyDescent="0.25">
      <c r="A1708" s="418"/>
      <c r="F1708" s="419"/>
      <c r="BB1708" s="413"/>
    </row>
    <row r="1709" spans="1:54" s="5" customFormat="1" x14ac:dyDescent="0.25">
      <c r="A1709" s="418"/>
      <c r="F1709" s="419"/>
      <c r="BB1709" s="413"/>
    </row>
    <row r="1710" spans="1:54" s="5" customFormat="1" x14ac:dyDescent="0.25">
      <c r="A1710" s="418"/>
      <c r="F1710" s="419"/>
      <c r="BB1710" s="413"/>
    </row>
    <row r="1711" spans="1:54" s="5" customFormat="1" x14ac:dyDescent="0.25">
      <c r="A1711" s="418"/>
      <c r="F1711" s="419"/>
      <c r="BB1711" s="413"/>
    </row>
    <row r="1712" spans="1:54" s="5" customFormat="1" x14ac:dyDescent="0.25">
      <c r="A1712" s="418"/>
      <c r="F1712" s="419"/>
      <c r="BB1712" s="413"/>
    </row>
    <row r="1713" spans="1:54" s="5" customFormat="1" x14ac:dyDescent="0.25">
      <c r="A1713" s="418"/>
      <c r="F1713" s="419"/>
      <c r="BB1713" s="413"/>
    </row>
    <row r="1714" spans="1:54" s="5" customFormat="1" x14ac:dyDescent="0.25">
      <c r="A1714" s="418"/>
      <c r="F1714" s="419"/>
      <c r="BB1714" s="413"/>
    </row>
    <row r="1715" spans="1:54" s="5" customFormat="1" x14ac:dyDescent="0.25">
      <c r="A1715" s="418"/>
      <c r="F1715" s="419"/>
      <c r="BB1715" s="413"/>
    </row>
    <row r="1716" spans="1:54" s="5" customFormat="1" x14ac:dyDescent="0.25">
      <c r="A1716" s="418"/>
      <c r="F1716" s="419"/>
      <c r="BB1716" s="413"/>
    </row>
    <row r="1717" spans="1:54" s="5" customFormat="1" x14ac:dyDescent="0.25">
      <c r="A1717" s="418"/>
      <c r="F1717" s="419"/>
      <c r="BB1717" s="413"/>
    </row>
    <row r="1718" spans="1:54" s="5" customFormat="1" x14ac:dyDescent="0.25">
      <c r="A1718" s="418"/>
      <c r="F1718" s="419"/>
      <c r="BB1718" s="413"/>
    </row>
    <row r="1719" spans="1:54" s="5" customFormat="1" x14ac:dyDescent="0.25">
      <c r="A1719" s="418"/>
      <c r="F1719" s="419"/>
      <c r="BB1719" s="413"/>
    </row>
    <row r="1720" spans="1:54" s="5" customFormat="1" x14ac:dyDescent="0.25">
      <c r="A1720" s="418"/>
      <c r="F1720" s="419"/>
      <c r="BB1720" s="413"/>
    </row>
    <row r="1721" spans="1:54" s="5" customFormat="1" x14ac:dyDescent="0.25">
      <c r="A1721" s="418"/>
      <c r="F1721" s="419"/>
      <c r="BB1721" s="413"/>
    </row>
    <row r="1722" spans="1:54" s="5" customFormat="1" x14ac:dyDescent="0.25">
      <c r="A1722" s="418"/>
      <c r="F1722" s="419"/>
      <c r="BB1722" s="413"/>
    </row>
    <row r="1723" spans="1:54" s="5" customFormat="1" x14ac:dyDescent="0.25">
      <c r="A1723" s="418"/>
      <c r="F1723" s="419"/>
      <c r="BB1723" s="413"/>
    </row>
    <row r="1724" spans="1:54" s="5" customFormat="1" x14ac:dyDescent="0.25">
      <c r="A1724" s="418"/>
      <c r="F1724" s="419"/>
      <c r="BB1724" s="413"/>
    </row>
    <row r="1725" spans="1:54" s="5" customFormat="1" x14ac:dyDescent="0.25">
      <c r="A1725" s="418"/>
      <c r="F1725" s="419"/>
      <c r="BB1725" s="413"/>
    </row>
    <row r="1726" spans="1:54" s="5" customFormat="1" x14ac:dyDescent="0.25">
      <c r="A1726" s="418"/>
      <c r="F1726" s="419"/>
      <c r="BB1726" s="413"/>
    </row>
    <row r="1727" spans="1:54" s="5" customFormat="1" x14ac:dyDescent="0.25">
      <c r="A1727" s="418"/>
      <c r="F1727" s="419"/>
      <c r="BB1727" s="413"/>
    </row>
    <row r="1728" spans="1:54" s="5" customFormat="1" x14ac:dyDescent="0.25">
      <c r="A1728" s="418"/>
      <c r="F1728" s="419"/>
      <c r="BB1728" s="413"/>
    </row>
    <row r="1729" spans="1:54" s="5" customFormat="1" x14ac:dyDescent="0.25">
      <c r="A1729" s="418"/>
      <c r="F1729" s="419"/>
      <c r="BB1729" s="413"/>
    </row>
    <row r="1730" spans="1:54" s="5" customFormat="1" x14ac:dyDescent="0.25">
      <c r="A1730" s="418"/>
      <c r="F1730" s="419"/>
      <c r="BB1730" s="413"/>
    </row>
    <row r="1731" spans="1:54" s="5" customFormat="1" x14ac:dyDescent="0.25">
      <c r="A1731" s="418"/>
      <c r="F1731" s="419"/>
      <c r="BB1731" s="413"/>
    </row>
    <row r="1732" spans="1:54" s="5" customFormat="1" x14ac:dyDescent="0.25">
      <c r="A1732" s="418"/>
      <c r="F1732" s="419"/>
      <c r="BB1732" s="413"/>
    </row>
    <row r="1733" spans="1:54" s="5" customFormat="1" x14ac:dyDescent="0.25">
      <c r="A1733" s="418"/>
      <c r="F1733" s="419"/>
      <c r="BB1733" s="413"/>
    </row>
    <row r="1734" spans="1:54" s="5" customFormat="1" x14ac:dyDescent="0.25">
      <c r="A1734" s="418"/>
      <c r="F1734" s="419"/>
      <c r="BB1734" s="413"/>
    </row>
    <row r="1735" spans="1:54" s="5" customFormat="1" x14ac:dyDescent="0.25">
      <c r="A1735" s="418"/>
      <c r="F1735" s="419"/>
      <c r="BB1735" s="413"/>
    </row>
    <row r="1736" spans="1:54" s="5" customFormat="1" x14ac:dyDescent="0.25">
      <c r="A1736" s="418"/>
      <c r="F1736" s="419"/>
      <c r="BB1736" s="413"/>
    </row>
    <row r="1737" spans="1:54" s="5" customFormat="1" x14ac:dyDescent="0.25">
      <c r="A1737" s="418"/>
      <c r="F1737" s="419"/>
      <c r="BB1737" s="413"/>
    </row>
    <row r="1738" spans="1:54" s="5" customFormat="1" x14ac:dyDescent="0.25">
      <c r="A1738" s="418"/>
      <c r="F1738" s="419"/>
      <c r="BB1738" s="413"/>
    </row>
    <row r="1739" spans="1:54" s="5" customFormat="1" x14ac:dyDescent="0.25">
      <c r="A1739" s="418"/>
      <c r="F1739" s="419"/>
      <c r="BB1739" s="413"/>
    </row>
    <row r="1740" spans="1:54" s="5" customFormat="1" x14ac:dyDescent="0.25">
      <c r="A1740" s="418"/>
      <c r="F1740" s="419"/>
      <c r="BB1740" s="413"/>
    </row>
    <row r="1741" spans="1:54" s="5" customFormat="1" x14ac:dyDescent="0.25">
      <c r="A1741" s="418"/>
      <c r="F1741" s="419"/>
      <c r="BB1741" s="413"/>
    </row>
    <row r="1742" spans="1:54" s="5" customFormat="1" x14ac:dyDescent="0.25">
      <c r="A1742" s="418"/>
      <c r="F1742" s="419"/>
      <c r="BB1742" s="413"/>
    </row>
    <row r="1743" spans="1:54" s="5" customFormat="1" x14ac:dyDescent="0.25">
      <c r="A1743" s="418"/>
      <c r="F1743" s="419"/>
      <c r="BB1743" s="413"/>
    </row>
    <row r="1744" spans="1:54" s="5" customFormat="1" ht="14.4" thickBot="1" x14ac:dyDescent="0.3">
      <c r="A1744" s="420"/>
      <c r="B1744" s="421"/>
      <c r="C1744" s="421"/>
      <c r="D1744" s="421"/>
      <c r="E1744" s="421"/>
      <c r="F1744" s="422"/>
      <c r="BB1744" s="413"/>
    </row>
    <row r="1745" spans="54:54" s="5" customFormat="1" x14ac:dyDescent="0.25">
      <c r="BB1745" s="413"/>
    </row>
    <row r="1746" spans="54:54" s="5" customFormat="1" x14ac:dyDescent="0.25">
      <c r="BB1746" s="413"/>
    </row>
    <row r="1747" spans="54:54" s="5" customFormat="1" x14ac:dyDescent="0.25">
      <c r="BB1747" s="413"/>
    </row>
    <row r="1748" spans="54:54" s="5" customFormat="1" x14ac:dyDescent="0.25">
      <c r="BB1748" s="413"/>
    </row>
    <row r="1749" spans="54:54" s="5" customFormat="1" x14ac:dyDescent="0.25">
      <c r="BB1749" s="413"/>
    </row>
    <row r="1750" spans="54:54" s="5" customFormat="1" x14ac:dyDescent="0.25">
      <c r="BB1750" s="413"/>
    </row>
    <row r="1751" spans="54:54" s="5" customFormat="1" x14ac:dyDescent="0.25">
      <c r="BB1751" s="413"/>
    </row>
    <row r="1752" spans="54:54" s="5" customFormat="1" x14ac:dyDescent="0.25">
      <c r="BB1752" s="413"/>
    </row>
    <row r="1753" spans="54:54" s="5" customFormat="1" x14ac:dyDescent="0.25">
      <c r="BB1753" s="413"/>
    </row>
    <row r="1754" spans="54:54" s="5" customFormat="1" x14ac:dyDescent="0.25">
      <c r="BB1754" s="413"/>
    </row>
    <row r="1755" spans="54:54" s="5" customFormat="1" x14ac:dyDescent="0.25">
      <c r="BB1755" s="413"/>
    </row>
    <row r="1756" spans="54:54" s="5" customFormat="1" x14ac:dyDescent="0.25">
      <c r="BB1756" s="413"/>
    </row>
    <row r="1757" spans="54:54" s="5" customFormat="1" x14ac:dyDescent="0.25">
      <c r="BB1757" s="413"/>
    </row>
    <row r="1758" spans="54:54" s="5" customFormat="1" x14ac:dyDescent="0.25">
      <c r="BB1758" s="413"/>
    </row>
    <row r="1759" spans="54:54" s="5" customFormat="1" x14ac:dyDescent="0.25">
      <c r="BB1759" s="413"/>
    </row>
    <row r="1760" spans="54:54" s="5" customFormat="1" x14ac:dyDescent="0.25">
      <c r="BB1760" s="413"/>
    </row>
    <row r="1761" spans="54:54" s="5" customFormat="1" x14ac:dyDescent="0.25">
      <c r="BB1761" s="413"/>
    </row>
    <row r="1762" spans="54:54" s="5" customFormat="1" x14ac:dyDescent="0.25">
      <c r="BB1762" s="413"/>
    </row>
    <row r="1763" spans="54:54" s="5" customFormat="1" x14ac:dyDescent="0.25">
      <c r="BB1763" s="413"/>
    </row>
    <row r="1764" spans="54:54" s="5" customFormat="1" x14ac:dyDescent="0.25">
      <c r="BB1764" s="413"/>
    </row>
    <row r="1765" spans="54:54" s="5" customFormat="1" x14ac:dyDescent="0.25">
      <c r="BB1765" s="413"/>
    </row>
    <row r="1766" spans="54:54" s="5" customFormat="1" x14ac:dyDescent="0.25">
      <c r="BB1766" s="413"/>
    </row>
    <row r="1767" spans="54:54" s="5" customFormat="1" x14ac:dyDescent="0.25">
      <c r="BB1767" s="413"/>
    </row>
    <row r="1768" spans="54:54" s="5" customFormat="1" x14ac:dyDescent="0.25">
      <c r="BB1768" s="413"/>
    </row>
    <row r="1769" spans="54:54" s="5" customFormat="1" x14ac:dyDescent="0.25">
      <c r="BB1769" s="413"/>
    </row>
    <row r="1770" spans="54:54" s="5" customFormat="1" x14ac:dyDescent="0.25">
      <c r="BB1770" s="413"/>
    </row>
    <row r="1771" spans="54:54" s="5" customFormat="1" x14ac:dyDescent="0.25">
      <c r="BB1771" s="413"/>
    </row>
    <row r="1772" spans="54:54" s="5" customFormat="1" x14ac:dyDescent="0.25">
      <c r="BB1772" s="413"/>
    </row>
    <row r="1773" spans="54:54" s="5" customFormat="1" x14ac:dyDescent="0.25">
      <c r="BB1773" s="413"/>
    </row>
    <row r="1774" spans="54:54" s="5" customFormat="1" x14ac:dyDescent="0.25">
      <c r="BB1774" s="413"/>
    </row>
    <row r="1775" spans="54:54" s="5" customFormat="1" x14ac:dyDescent="0.25">
      <c r="BB1775" s="413"/>
    </row>
    <row r="1776" spans="54:54" s="5" customFormat="1" x14ac:dyDescent="0.25">
      <c r="BB1776" s="413"/>
    </row>
    <row r="1777" spans="54:54" s="5" customFormat="1" x14ac:dyDescent="0.25">
      <c r="BB1777" s="413"/>
    </row>
    <row r="1778" spans="54:54" s="5" customFormat="1" x14ac:dyDescent="0.25">
      <c r="BB1778" s="413"/>
    </row>
    <row r="1779" spans="54:54" s="5" customFormat="1" x14ac:dyDescent="0.25">
      <c r="BB1779" s="413"/>
    </row>
    <row r="1780" spans="54:54" s="5" customFormat="1" x14ac:dyDescent="0.25">
      <c r="BB1780" s="413"/>
    </row>
    <row r="1781" spans="54:54" s="5" customFormat="1" x14ac:dyDescent="0.25">
      <c r="BB1781" s="413"/>
    </row>
    <row r="1782" spans="54:54" s="5" customFormat="1" x14ac:dyDescent="0.25">
      <c r="BB1782" s="413"/>
    </row>
    <row r="1783" spans="54:54" s="5" customFormat="1" x14ac:dyDescent="0.25">
      <c r="BB1783" s="413"/>
    </row>
    <row r="1784" spans="54:54" s="5" customFormat="1" x14ac:dyDescent="0.25">
      <c r="BB1784" s="413"/>
    </row>
    <row r="1785" spans="54:54" s="5" customFormat="1" x14ac:dyDescent="0.25">
      <c r="BB1785" s="413"/>
    </row>
    <row r="1786" spans="54:54" s="5" customFormat="1" x14ac:dyDescent="0.25">
      <c r="BB1786" s="413"/>
    </row>
    <row r="1787" spans="54:54" s="5" customFormat="1" x14ac:dyDescent="0.25">
      <c r="BB1787" s="413"/>
    </row>
    <row r="1788" spans="54:54" s="5" customFormat="1" x14ac:dyDescent="0.25">
      <c r="BB1788" s="413"/>
    </row>
    <row r="1789" spans="54:54" s="5" customFormat="1" x14ac:dyDescent="0.25">
      <c r="BB1789" s="413"/>
    </row>
    <row r="1790" spans="54:54" s="5" customFormat="1" x14ac:dyDescent="0.25">
      <c r="BB1790" s="413"/>
    </row>
    <row r="1791" spans="54:54" s="5" customFormat="1" x14ac:dyDescent="0.25">
      <c r="BB1791" s="413"/>
    </row>
    <row r="1792" spans="54:54" s="5" customFormat="1" x14ac:dyDescent="0.25">
      <c r="BB1792" s="413"/>
    </row>
    <row r="1793" spans="2:54" s="5" customFormat="1" x14ac:dyDescent="0.25">
      <c r="BB1793" s="413"/>
    </row>
    <row r="1794" spans="2:54" s="5" customFormat="1" hidden="1" x14ac:dyDescent="0.25">
      <c r="BB1794" s="413"/>
    </row>
    <row r="1795" spans="2:54" s="5" customFormat="1" hidden="1" x14ac:dyDescent="0.25">
      <c r="BB1795" s="413"/>
    </row>
    <row r="1796" spans="2:54" s="5" customFormat="1" hidden="1" x14ac:dyDescent="0.25">
      <c r="B1796" s="6"/>
      <c r="C1796" s="6" t="s">
        <v>997</v>
      </c>
      <c r="D1796" s="6" t="s">
        <v>998</v>
      </c>
      <c r="BB1796" s="413"/>
    </row>
    <row r="1797" spans="2:54" s="5" customFormat="1" hidden="1" x14ac:dyDescent="0.25">
      <c r="B1797" s="371"/>
      <c r="C1797" s="6"/>
      <c r="D1797" s="6"/>
      <c r="BB1797" s="413"/>
    </row>
    <row r="1798" spans="2:54" s="5" customFormat="1" hidden="1" x14ac:dyDescent="0.25">
      <c r="B1798" s="343">
        <v>43395</v>
      </c>
      <c r="C1798" s="371">
        <f>$AJ$909</f>
        <v>0</v>
      </c>
      <c r="D1798" s="371">
        <v>44</v>
      </c>
      <c r="G1798" s="370">
        <f>$AF$1039</f>
        <v>0</v>
      </c>
      <c r="H1798" s="370"/>
      <c r="I1798" s="370"/>
      <c r="J1798" s="370"/>
      <c r="K1798" s="370"/>
      <c r="L1798" s="370"/>
      <c r="M1798" s="370"/>
      <c r="N1798" s="370"/>
      <c r="O1798" s="370"/>
      <c r="P1798" s="370"/>
      <c r="Q1798" s="370"/>
      <c r="R1798" s="370"/>
      <c r="S1798" s="370"/>
      <c r="T1798" s="370"/>
      <c r="U1798" s="370"/>
      <c r="V1798" s="370"/>
      <c r="W1798" s="370"/>
      <c r="X1798" s="370"/>
      <c r="Y1798" s="370"/>
      <c r="Z1798" s="370"/>
      <c r="BB1798" s="413"/>
    </row>
    <row r="1799" spans="2:54" s="5" customFormat="1" hidden="1" x14ac:dyDescent="0.25">
      <c r="B1799" s="371"/>
      <c r="C1799" s="345"/>
      <c r="D1799" s="345"/>
      <c r="BB1799" s="413"/>
    </row>
    <row r="1800" spans="2:54" s="5" customFormat="1" hidden="1" x14ac:dyDescent="0.25">
      <c r="B1800" s="343">
        <f>B1798+14</f>
        <v>43409</v>
      </c>
      <c r="C1800" s="371">
        <v>25</v>
      </c>
      <c r="D1800" s="371">
        <v>33</v>
      </c>
      <c r="BB1800" s="413"/>
    </row>
    <row r="1801" spans="2:54" s="5" customFormat="1" hidden="1" x14ac:dyDescent="0.25">
      <c r="B1801" s="371"/>
      <c r="C1801" s="423" t="e">
        <f>C1800/C1798</f>
        <v>#DIV/0!</v>
      </c>
      <c r="D1801" s="423">
        <f>(D1798/D1800)</f>
        <v>1.3333333333333333</v>
      </c>
      <c r="BB1801" s="413"/>
    </row>
    <row r="1802" spans="2:54" s="5" customFormat="1" hidden="1" x14ac:dyDescent="0.25">
      <c r="B1802" s="370"/>
      <c r="C1802" s="370"/>
      <c r="D1802" s="370"/>
      <c r="BB1802" s="413"/>
    </row>
    <row r="1803" spans="2:54" s="5" customFormat="1" hidden="1" x14ac:dyDescent="0.25">
      <c r="B1803" s="370"/>
      <c r="C1803" s="370"/>
      <c r="D1803" s="370"/>
      <c r="BB1803" s="413"/>
    </row>
    <row r="1804" spans="2:54" s="5" customFormat="1" hidden="1" x14ac:dyDescent="0.25">
      <c r="B1804" s="370"/>
      <c r="BB1804" s="413"/>
    </row>
    <row r="1805" spans="2:54" s="5" customFormat="1" hidden="1" x14ac:dyDescent="0.25">
      <c r="B1805" s="370"/>
      <c r="BB1805" s="413"/>
    </row>
    <row r="1806" spans="2:54" s="5" customFormat="1" hidden="1" x14ac:dyDescent="0.25">
      <c r="B1806" s="370"/>
      <c r="BB1806" s="413"/>
    </row>
    <row r="1807" spans="2:54" s="5" customFormat="1" hidden="1" x14ac:dyDescent="0.25">
      <c r="B1807" s="370"/>
      <c r="BB1807" s="413"/>
    </row>
    <row r="1808" spans="2:54" s="5" customFormat="1" hidden="1" x14ac:dyDescent="0.25">
      <c r="B1808" s="370"/>
      <c r="BB1808" s="413"/>
    </row>
    <row r="1809" spans="2:54" s="5" customFormat="1" hidden="1" x14ac:dyDescent="0.25">
      <c r="B1809" s="370"/>
      <c r="BB1809" s="413"/>
    </row>
    <row r="1810" spans="2:54" s="5" customFormat="1" hidden="1" x14ac:dyDescent="0.25">
      <c r="B1810" s="370"/>
      <c r="BB1810" s="413"/>
    </row>
    <row r="1811" spans="2:54" s="5" customFormat="1" hidden="1" x14ac:dyDescent="0.25">
      <c r="B1811" s="370"/>
      <c r="BB1811" s="413"/>
    </row>
    <row r="1812" spans="2:54" s="5" customFormat="1" hidden="1" x14ac:dyDescent="0.25">
      <c r="B1812" s="370"/>
      <c r="BB1812" s="413"/>
    </row>
    <row r="1813" spans="2:54" s="5" customFormat="1" hidden="1" x14ac:dyDescent="0.25">
      <c r="B1813" s="370"/>
      <c r="BB1813" s="413"/>
    </row>
    <row r="1814" spans="2:54" s="5" customFormat="1" hidden="1" x14ac:dyDescent="0.25">
      <c r="B1814" s="370"/>
      <c r="BB1814" s="413"/>
    </row>
    <row r="1815" spans="2:54" s="5" customFormat="1" hidden="1" x14ac:dyDescent="0.25">
      <c r="B1815" s="370"/>
      <c r="BB1815" s="413"/>
    </row>
    <row r="1816" spans="2:54" s="5" customFormat="1" hidden="1" x14ac:dyDescent="0.25">
      <c r="B1816" s="370"/>
      <c r="BB1816" s="413"/>
    </row>
    <row r="1817" spans="2:54" s="5" customFormat="1" hidden="1" x14ac:dyDescent="0.25">
      <c r="B1817" s="370"/>
      <c r="BB1817" s="413"/>
    </row>
    <row r="1818" spans="2:54" s="5" customFormat="1" hidden="1" x14ac:dyDescent="0.25">
      <c r="BB1818" s="413"/>
    </row>
    <row r="1819" spans="2:54" s="5" customFormat="1" hidden="1" x14ac:dyDescent="0.25">
      <c r="BB1819" s="413"/>
    </row>
    <row r="1820" spans="2:54" s="5" customFormat="1" hidden="1" x14ac:dyDescent="0.25">
      <c r="BB1820" s="413"/>
    </row>
    <row r="1821" spans="2:54" s="5" customFormat="1" hidden="1" x14ac:dyDescent="0.25">
      <c r="BB1821" s="413"/>
    </row>
    <row r="1822" spans="2:54" s="5" customFormat="1" hidden="1" x14ac:dyDescent="0.25">
      <c r="BB1822" s="413"/>
    </row>
    <row r="1823" spans="2:54" s="5" customFormat="1" hidden="1" x14ac:dyDescent="0.25">
      <c r="BB1823" s="413"/>
    </row>
    <row r="1824" spans="2:54" s="5" customFormat="1" hidden="1" x14ac:dyDescent="0.25">
      <c r="BB1824" s="413"/>
    </row>
    <row r="1825" spans="54:54" s="5" customFormat="1" hidden="1" x14ac:dyDescent="0.25">
      <c r="BB1825" s="413"/>
    </row>
    <row r="1826" spans="54:54" s="5" customFormat="1" hidden="1" x14ac:dyDescent="0.25">
      <c r="BB1826" s="413"/>
    </row>
    <row r="1827" spans="54:54" s="5" customFormat="1" hidden="1" x14ac:dyDescent="0.25">
      <c r="BB1827" s="413"/>
    </row>
    <row r="1828" spans="54:54" s="5" customFormat="1" hidden="1" x14ac:dyDescent="0.25">
      <c r="BB1828" s="413"/>
    </row>
    <row r="1829" spans="54:54" s="5" customFormat="1" hidden="1" x14ac:dyDescent="0.25">
      <c r="BB1829" s="413"/>
    </row>
    <row r="1830" spans="54:54" s="5" customFormat="1" hidden="1" x14ac:dyDescent="0.25">
      <c r="BB1830" s="413"/>
    </row>
    <row r="1831" spans="54:54" s="5" customFormat="1" hidden="1" x14ac:dyDescent="0.25">
      <c r="BB1831" s="413"/>
    </row>
    <row r="1832" spans="54:54" s="5" customFormat="1" hidden="1" x14ac:dyDescent="0.25">
      <c r="BB1832" s="413"/>
    </row>
    <row r="1833" spans="54:54" s="5" customFormat="1" hidden="1" x14ac:dyDescent="0.25">
      <c r="BB1833" s="413"/>
    </row>
    <row r="1834" spans="54:54" s="5" customFormat="1" hidden="1" x14ac:dyDescent="0.25">
      <c r="BB1834" s="413"/>
    </row>
    <row r="1835" spans="54:54" s="5" customFormat="1" hidden="1" x14ac:dyDescent="0.25">
      <c r="BB1835" s="413"/>
    </row>
    <row r="1836" spans="54:54" s="5" customFormat="1" hidden="1" x14ac:dyDescent="0.25">
      <c r="BB1836" s="413"/>
    </row>
    <row r="1837" spans="54:54" s="5" customFormat="1" hidden="1" x14ac:dyDescent="0.25">
      <c r="BB1837" s="413"/>
    </row>
    <row r="1838" spans="54:54" s="5" customFormat="1" hidden="1" x14ac:dyDescent="0.25">
      <c r="BB1838" s="413"/>
    </row>
    <row r="1839" spans="54:54" s="5" customFormat="1" hidden="1" x14ac:dyDescent="0.25">
      <c r="BB1839" s="413"/>
    </row>
    <row r="1840" spans="54:54" s="5" customFormat="1" hidden="1" x14ac:dyDescent="0.25">
      <c r="BB1840" s="413"/>
    </row>
    <row r="1841" spans="1:54" s="5" customFormat="1" hidden="1" x14ac:dyDescent="0.25">
      <c r="BB1841" s="413"/>
    </row>
    <row r="1842" spans="1:54" s="5" customFormat="1" ht="14.4" hidden="1" thickBot="1" x14ac:dyDescent="0.3">
      <c r="A1842" s="424"/>
      <c r="B1842" s="424"/>
      <c r="C1842" s="424"/>
      <c r="D1842" s="424"/>
      <c r="E1842" s="424"/>
      <c r="F1842" s="424"/>
      <c r="BB1842" s="413"/>
    </row>
    <row r="1843" spans="1:54" ht="14.4" hidden="1" thickTop="1" x14ac:dyDescent="0.25"/>
    <row r="1844" spans="1:54" hidden="1" x14ac:dyDescent="0.25"/>
    <row r="1845" spans="1:54" ht="14.4" hidden="1" x14ac:dyDescent="0.3">
      <c r="B1845" s="6" t="s">
        <v>999</v>
      </c>
      <c r="D1845" s="77" t="s">
        <v>139</v>
      </c>
    </row>
    <row r="1846" spans="1:54" ht="14.4" hidden="1" x14ac:dyDescent="0.3">
      <c r="B1846" s="6" t="s">
        <v>1000</v>
      </c>
      <c r="D1846" s="77" t="s">
        <v>1001</v>
      </c>
    </row>
    <row r="1847" spans="1:54" ht="14.4" hidden="1" x14ac:dyDescent="0.3">
      <c r="B1847" s="28" t="s">
        <v>138</v>
      </c>
      <c r="D1847" s="77" t="s">
        <v>1002</v>
      </c>
    </row>
    <row r="1848" spans="1:54" ht="14.4" hidden="1" x14ac:dyDescent="0.3">
      <c r="B1848" s="6" t="s">
        <v>1003</v>
      </c>
      <c r="D1848" s="77" t="s">
        <v>1004</v>
      </c>
    </row>
    <row r="1849" spans="1:54" ht="14.4" hidden="1" x14ac:dyDescent="0.3">
      <c r="B1849" s="28" t="s">
        <v>1005</v>
      </c>
      <c r="D1849" s="77" t="s">
        <v>1006</v>
      </c>
    </row>
    <row r="1850" spans="1:54" ht="14.4" hidden="1" x14ac:dyDescent="0.3">
      <c r="B1850" s="28"/>
      <c r="D1850" s="77" t="s">
        <v>1007</v>
      </c>
    </row>
    <row r="1851" spans="1:54" hidden="1" x14ac:dyDescent="0.25"/>
    <row r="1852" spans="1:54" hidden="1" x14ac:dyDescent="0.25"/>
    <row r="1853" spans="1:54" hidden="1" x14ac:dyDescent="0.25">
      <c r="B1853" s="6" t="s">
        <v>185</v>
      </c>
    </row>
    <row r="1854" spans="1:54" hidden="1" x14ac:dyDescent="0.25">
      <c r="B1854" s="6" t="s">
        <v>240</v>
      </c>
    </row>
    <row r="1855" spans="1:54" hidden="1" x14ac:dyDescent="0.25">
      <c r="B1855" s="6" t="s">
        <v>1008</v>
      </c>
    </row>
    <row r="1856" spans="1:54" hidden="1" x14ac:dyDescent="0.25">
      <c r="B1856" s="6" t="s">
        <v>188</v>
      </c>
    </row>
    <row r="1857" spans="2:5" hidden="1" x14ac:dyDescent="0.25"/>
    <row r="1858" spans="2:5" hidden="1" x14ac:dyDescent="0.25"/>
    <row r="1859" spans="2:5" ht="14.4" hidden="1" x14ac:dyDescent="0.3">
      <c r="B1859" s="425" t="s">
        <v>1009</v>
      </c>
    </row>
    <row r="1860" spans="2:5" ht="14.4" hidden="1" x14ac:dyDescent="0.3">
      <c r="B1860" s="425" t="s">
        <v>1010</v>
      </c>
    </row>
    <row r="1861" spans="2:5" ht="14.4" hidden="1" x14ac:dyDescent="0.3">
      <c r="B1861" s="425" t="s">
        <v>1011</v>
      </c>
    </row>
    <row r="1862" spans="2:5" ht="14.4" hidden="1" x14ac:dyDescent="0.3">
      <c r="B1862" s="425" t="s">
        <v>242</v>
      </c>
      <c r="D1862" s="425" t="s">
        <v>1012</v>
      </c>
    </row>
    <row r="1863" spans="2:5" ht="14.4" hidden="1" x14ac:dyDescent="0.3">
      <c r="B1863" s="425" t="s">
        <v>1013</v>
      </c>
    </row>
    <row r="1864" spans="2:5" hidden="1" x14ac:dyDescent="0.25"/>
    <row r="1865" spans="2:5" hidden="1" x14ac:dyDescent="0.25"/>
    <row r="1866" spans="2:5" hidden="1" x14ac:dyDescent="0.25"/>
    <row r="1867" spans="2:5" hidden="1" x14ac:dyDescent="0.25"/>
    <row r="1868" spans="2:5" hidden="1" x14ac:dyDescent="0.25"/>
    <row r="1869" spans="2:5" ht="14.4" hidden="1" x14ac:dyDescent="0.3">
      <c r="B1869"/>
    </row>
    <row r="1870" spans="2:5" ht="15" hidden="1" x14ac:dyDescent="0.25">
      <c r="B1870" s="426" t="s">
        <v>1014</v>
      </c>
    </row>
    <row r="1871" spans="2:5" hidden="1" x14ac:dyDescent="0.25">
      <c r="B1871" s="6" t="s">
        <v>323</v>
      </c>
      <c r="E1871" s="6">
        <v>0</v>
      </c>
    </row>
    <row r="1872" spans="2:5" hidden="1" x14ac:dyDescent="0.25">
      <c r="B1872" s="6" t="s">
        <v>340</v>
      </c>
      <c r="E1872" s="6">
        <v>1</v>
      </c>
    </row>
    <row r="1873" spans="2:54" hidden="1" x14ac:dyDescent="0.25">
      <c r="B1873" s="6" t="s">
        <v>373</v>
      </c>
      <c r="E1873" s="6">
        <v>2</v>
      </c>
    </row>
    <row r="1874" spans="2:54" hidden="1" x14ac:dyDescent="0.25">
      <c r="B1874" s="6" t="s">
        <v>331</v>
      </c>
      <c r="C1874" s="60"/>
      <c r="D1874" s="60"/>
      <c r="E1874" s="60">
        <v>4</v>
      </c>
      <c r="F1874" s="60"/>
    </row>
    <row r="1875" spans="2:54" hidden="1" x14ac:dyDescent="0.25">
      <c r="C1875" s="60"/>
      <c r="D1875" s="60"/>
      <c r="E1875" s="60"/>
      <c r="F1875" s="60"/>
    </row>
    <row r="1876" spans="2:54" ht="15" hidden="1" x14ac:dyDescent="0.25">
      <c r="B1876" s="426" t="s">
        <v>1015</v>
      </c>
      <c r="C1876" s="60"/>
      <c r="D1876" s="60"/>
      <c r="E1876" s="60"/>
      <c r="F1876" s="60"/>
    </row>
    <row r="1877" spans="2:54" hidden="1" x14ac:dyDescent="0.25">
      <c r="B1877" s="6" t="s">
        <v>388</v>
      </c>
      <c r="E1877" s="112">
        <f t="shared" ref="E1877:E1882" si="61">AC1877</f>
        <v>0.25000000000000006</v>
      </c>
      <c r="F1877" s="112"/>
      <c r="G1877" s="5">
        <f>G1878-0.1</f>
        <v>0.50000000000000011</v>
      </c>
      <c r="AA1877" s="112"/>
      <c r="AB1877" s="112">
        <f t="shared" ref="AB1877:AD1880" si="62">AB1878-0.05</f>
        <v>0.49999999999999983</v>
      </c>
      <c r="AC1877" s="112">
        <f t="shared" si="62"/>
        <v>0.25000000000000006</v>
      </c>
      <c r="AD1877" s="112">
        <f t="shared" si="62"/>
        <v>0</v>
      </c>
      <c r="AE1877" s="112">
        <f>AE1878-0.2</f>
        <v>0</v>
      </c>
      <c r="BB1877" s="6"/>
    </row>
    <row r="1878" spans="2:54" hidden="1" x14ac:dyDescent="0.25">
      <c r="B1878" s="6" t="s">
        <v>351</v>
      </c>
      <c r="E1878" s="112">
        <f t="shared" si="61"/>
        <v>0.30000000000000004</v>
      </c>
      <c r="F1878" s="112"/>
      <c r="G1878" s="5">
        <f>G1879-0.1</f>
        <v>0.60000000000000009</v>
      </c>
      <c r="AA1878" s="112"/>
      <c r="AB1878" s="112">
        <f t="shared" si="62"/>
        <v>0.54999999999999982</v>
      </c>
      <c r="AC1878" s="112">
        <f t="shared" si="62"/>
        <v>0.30000000000000004</v>
      </c>
      <c r="AD1878" s="112">
        <f t="shared" si="62"/>
        <v>5.0000000000000017E-2</v>
      </c>
      <c r="AE1878" s="112">
        <f>AE1879-0.2</f>
        <v>0.20000000000000007</v>
      </c>
      <c r="BB1878" s="6"/>
    </row>
    <row r="1879" spans="2:54" hidden="1" x14ac:dyDescent="0.25">
      <c r="B1879" s="6" t="s">
        <v>358</v>
      </c>
      <c r="E1879" s="112">
        <f t="shared" si="61"/>
        <v>0.35000000000000003</v>
      </c>
      <c r="F1879" s="112"/>
      <c r="G1879" s="5">
        <f>G1880-0.1</f>
        <v>0.70000000000000007</v>
      </c>
      <c r="AA1879" s="112"/>
      <c r="AB1879" s="112">
        <f t="shared" si="62"/>
        <v>0.59999999999999987</v>
      </c>
      <c r="AC1879" s="112">
        <f t="shared" si="62"/>
        <v>0.35000000000000003</v>
      </c>
      <c r="AD1879" s="112">
        <f t="shared" si="62"/>
        <v>0.10000000000000002</v>
      </c>
      <c r="AE1879" s="112">
        <f>AE1880-0.2</f>
        <v>0.40000000000000008</v>
      </c>
      <c r="BB1879" s="6"/>
    </row>
    <row r="1880" spans="2:54" hidden="1" x14ac:dyDescent="0.25">
      <c r="B1880" s="6" t="s">
        <v>423</v>
      </c>
      <c r="E1880" s="112">
        <f t="shared" si="61"/>
        <v>0.4</v>
      </c>
      <c r="F1880" s="112"/>
      <c r="G1880" s="5">
        <f>G1881-0.1</f>
        <v>0.8</v>
      </c>
      <c r="AA1880" s="112"/>
      <c r="AB1880" s="112">
        <f t="shared" si="62"/>
        <v>0.64999999999999991</v>
      </c>
      <c r="AC1880" s="112">
        <f t="shared" si="62"/>
        <v>0.4</v>
      </c>
      <c r="AD1880" s="112">
        <f t="shared" si="62"/>
        <v>0.15000000000000002</v>
      </c>
      <c r="AE1880" s="112">
        <f>AE1881-0.2</f>
        <v>0.60000000000000009</v>
      </c>
      <c r="BB1880" s="6"/>
    </row>
    <row r="1881" spans="2:54" hidden="1" x14ac:dyDescent="0.25">
      <c r="B1881" s="6" t="s">
        <v>347</v>
      </c>
      <c r="E1881" s="112">
        <f t="shared" si="61"/>
        <v>0.45</v>
      </c>
      <c r="F1881" s="112"/>
      <c r="G1881" s="5">
        <f>G1882-0.1</f>
        <v>0.9</v>
      </c>
      <c r="AA1881" s="112"/>
      <c r="AB1881" s="112">
        <f>AB1882-0.05</f>
        <v>0.7</v>
      </c>
      <c r="AC1881" s="112">
        <f>AC1882-0.05</f>
        <v>0.45</v>
      </c>
      <c r="AD1881" s="112">
        <f>AD1882-0.05</f>
        <v>0.2</v>
      </c>
      <c r="AE1881" s="112">
        <f>AE1882-0.2</f>
        <v>0.8</v>
      </c>
      <c r="BB1881" s="6"/>
    </row>
    <row r="1882" spans="2:54" hidden="1" x14ac:dyDescent="0.25">
      <c r="B1882" s="6" t="s">
        <v>332</v>
      </c>
      <c r="E1882" s="112">
        <f t="shared" si="61"/>
        <v>0.5</v>
      </c>
      <c r="F1882" s="112"/>
      <c r="G1882" s="5">
        <v>1</v>
      </c>
      <c r="AA1882" s="112"/>
      <c r="AB1882" s="112">
        <v>0.75</v>
      </c>
      <c r="AC1882" s="6">
        <v>0.5</v>
      </c>
      <c r="AD1882" s="112">
        <v>0.25</v>
      </c>
      <c r="AE1882" s="112">
        <v>1</v>
      </c>
      <c r="BB1882" s="6"/>
    </row>
    <row r="1883" spans="2:54" hidden="1" x14ac:dyDescent="0.25">
      <c r="C1883" s="60"/>
      <c r="D1883" s="60"/>
      <c r="BB1883" s="6"/>
    </row>
    <row r="1884" spans="2:54" ht="15" hidden="1" x14ac:dyDescent="0.25">
      <c r="B1884" s="426" t="s">
        <v>1016</v>
      </c>
      <c r="BB1884" s="6"/>
    </row>
    <row r="1885" spans="2:54" hidden="1" x14ac:dyDescent="0.25">
      <c r="B1885" s="6" t="s">
        <v>1017</v>
      </c>
      <c r="E1885" s="112">
        <v>-2</v>
      </c>
      <c r="F1885" s="112"/>
      <c r="BB1885" s="6"/>
    </row>
    <row r="1886" spans="2:54" hidden="1" x14ac:dyDescent="0.25">
      <c r="B1886" s="6" t="s">
        <v>1018</v>
      </c>
      <c r="E1886" s="112">
        <v>-1</v>
      </c>
      <c r="F1886" s="112"/>
      <c r="BB1886" s="6"/>
    </row>
    <row r="1887" spans="2:54" hidden="1" x14ac:dyDescent="0.25">
      <c r="B1887" s="6" t="s">
        <v>1019</v>
      </c>
      <c r="E1887" s="112">
        <v>-0.5</v>
      </c>
      <c r="F1887" s="112"/>
      <c r="BB1887" s="6"/>
    </row>
    <row r="1888" spans="2:54" hidden="1" x14ac:dyDescent="0.25">
      <c r="B1888" s="6" t="s">
        <v>1020</v>
      </c>
      <c r="E1888" s="112">
        <v>-0.25</v>
      </c>
      <c r="F1888" s="112"/>
      <c r="BB1888" s="6"/>
    </row>
    <row r="1889" spans="2:54" hidden="1" x14ac:dyDescent="0.25">
      <c r="B1889" s="6" t="s">
        <v>1021</v>
      </c>
      <c r="E1889" s="112">
        <v>0</v>
      </c>
      <c r="F1889" s="112"/>
      <c r="BB1889" s="6"/>
    </row>
    <row r="1890" spans="2:54" hidden="1" x14ac:dyDescent="0.25">
      <c r="B1890" s="6" t="s">
        <v>1022</v>
      </c>
      <c r="E1890" s="112">
        <v>0.25</v>
      </c>
      <c r="F1890" s="112"/>
      <c r="BB1890" s="6"/>
    </row>
    <row r="1891" spans="2:54" hidden="1" x14ac:dyDescent="0.25">
      <c r="B1891" s="6" t="s">
        <v>1023</v>
      </c>
      <c r="E1891" s="112">
        <v>0.5</v>
      </c>
      <c r="F1891" s="112"/>
      <c r="BB1891" s="6"/>
    </row>
    <row r="1892" spans="2:54" hidden="1" x14ac:dyDescent="0.25">
      <c r="B1892" s="6" t="s">
        <v>341</v>
      </c>
      <c r="E1892" s="112">
        <v>1</v>
      </c>
      <c r="F1892" s="112"/>
      <c r="BB1892" s="6"/>
    </row>
    <row r="1893" spans="2:54" hidden="1" x14ac:dyDescent="0.25"/>
    <row r="1894" spans="2:54" hidden="1" x14ac:dyDescent="0.25"/>
    <row r="1895" spans="2:54" ht="15.6" hidden="1" x14ac:dyDescent="0.3">
      <c r="B1895" s="426" t="s">
        <v>1024</v>
      </c>
      <c r="D1895" s="427" t="s">
        <v>1025</v>
      </c>
      <c r="BB1895" s="6"/>
    </row>
    <row r="1896" spans="2:54" ht="14.4" hidden="1" x14ac:dyDescent="0.3">
      <c r="B1896" s="6" t="s">
        <v>264</v>
      </c>
      <c r="D1896" s="77" t="s">
        <v>1026</v>
      </c>
      <c r="G1896" s="5">
        <v>0.12</v>
      </c>
      <c r="AC1896" s="6" t="str">
        <f>B1896</f>
        <v>By URL below, searchable text  (best)</v>
      </c>
      <c r="AD1896" s="6" t="str">
        <f>B1897</f>
        <v>By URL below, audio/visual recording  (great)</v>
      </c>
      <c r="AE1896" s="6" t="str">
        <f>B1898</f>
        <v>By URL below, image only  (good)</v>
      </c>
      <c r="AF1896" s="6" t="str">
        <f>B1899</f>
        <v>By email below  (fair)</v>
      </c>
      <c r="AG1896" s="6" t="str">
        <f>B1900</f>
        <v>Not at this time  (poor)</v>
      </c>
      <c r="AH1896" s="6" t="str">
        <f>B1901</f>
        <v>Not applicable  (okay)</v>
      </c>
      <c r="BB1896" s="6"/>
    </row>
    <row r="1897" spans="2:54" ht="14.4" hidden="1" x14ac:dyDescent="0.3">
      <c r="B1897" s="6" t="s">
        <v>1027</v>
      </c>
      <c r="D1897" s="77" t="s">
        <v>1028</v>
      </c>
      <c r="G1897" s="5">
        <v>0.25</v>
      </c>
      <c r="BB1897" s="6"/>
    </row>
    <row r="1898" spans="2:54" ht="14.4" hidden="1" x14ac:dyDescent="0.3">
      <c r="B1898" s="6" t="s">
        <v>276</v>
      </c>
      <c r="D1898" s="77" t="s">
        <v>1029</v>
      </c>
      <c r="G1898" s="5">
        <v>0.5</v>
      </c>
      <c r="BB1898" s="6"/>
    </row>
    <row r="1899" spans="2:54" ht="14.4" hidden="1" x14ac:dyDescent="0.3">
      <c r="B1899" s="6" t="s">
        <v>1030</v>
      </c>
      <c r="D1899" s="77" t="s">
        <v>1031</v>
      </c>
      <c r="G1899" s="5">
        <v>1</v>
      </c>
      <c r="BB1899" s="6"/>
    </row>
    <row r="1900" spans="2:54" ht="14.4" hidden="1" x14ac:dyDescent="0.3">
      <c r="B1900" s="6" t="s">
        <v>1032</v>
      </c>
      <c r="D1900" s="77" t="s">
        <v>270</v>
      </c>
      <c r="G1900" s="5">
        <v>0</v>
      </c>
      <c r="BB1900" s="6"/>
    </row>
    <row r="1901" spans="2:54" hidden="1" x14ac:dyDescent="0.25">
      <c r="B1901" s="6" t="s">
        <v>1033</v>
      </c>
      <c r="D1901" s="6" t="s">
        <v>1034</v>
      </c>
      <c r="BB1901" s="6"/>
    </row>
    <row r="1902" spans="2:54" hidden="1" x14ac:dyDescent="0.25"/>
    <row r="1903" spans="2:54" hidden="1" x14ac:dyDescent="0.25"/>
    <row r="1904" spans="2:54" hidden="1" x14ac:dyDescent="0.25">
      <c r="B1904" s="6" t="s">
        <v>11</v>
      </c>
      <c r="BB1904" s="6"/>
    </row>
    <row r="1905" spans="2:54" hidden="1" x14ac:dyDescent="0.25">
      <c r="B1905" s="6" t="s">
        <v>1035</v>
      </c>
      <c r="BB1905" s="6"/>
    </row>
    <row r="1906" spans="2:54" hidden="1" x14ac:dyDescent="0.25">
      <c r="B1906" s="6" t="s">
        <v>1036</v>
      </c>
      <c r="BB1906" s="6"/>
    </row>
    <row r="1907" spans="2:54" hidden="1" x14ac:dyDescent="0.25"/>
    <row r="1908" spans="2:54" ht="14.4" hidden="1" x14ac:dyDescent="0.3">
      <c r="B1908" s="77" t="s">
        <v>512</v>
      </c>
      <c r="BB1908" s="6"/>
    </row>
    <row r="1909" spans="2:54" ht="14.4" hidden="1" x14ac:dyDescent="0.3">
      <c r="B1909" s="77" t="s">
        <v>503</v>
      </c>
      <c r="BB1909" s="6"/>
    </row>
    <row r="1910" spans="2:54" ht="14.4" hidden="1" x14ac:dyDescent="0.3">
      <c r="B1910" s="77" t="s">
        <v>485</v>
      </c>
      <c r="BB1910" s="6"/>
    </row>
    <row r="1911" spans="2:54" hidden="1" x14ac:dyDescent="0.25"/>
    <row r="1912" spans="2:54" ht="14.4" hidden="1" x14ac:dyDescent="0.3">
      <c r="B1912" s="77" t="s">
        <v>506</v>
      </c>
      <c r="BB1912" s="6"/>
    </row>
    <row r="1913" spans="2:54" ht="14.4" hidden="1" x14ac:dyDescent="0.3">
      <c r="B1913" s="77" t="s">
        <v>494</v>
      </c>
      <c r="BB1913" s="6"/>
    </row>
    <row r="1914" spans="2:54" ht="14.4" hidden="1" x14ac:dyDescent="0.3">
      <c r="B1914" s="77" t="s">
        <v>487</v>
      </c>
      <c r="BB1914" s="6"/>
    </row>
    <row r="1915" spans="2:54" hidden="1" x14ac:dyDescent="0.25"/>
    <row r="1916" spans="2:54" hidden="1" x14ac:dyDescent="0.25"/>
    <row r="1917" spans="2:54" ht="14.4" hidden="1" x14ac:dyDescent="0.3">
      <c r="B1917" s="427" t="s">
        <v>1037</v>
      </c>
    </row>
    <row r="1918" spans="2:54" ht="14.4" hidden="1" x14ac:dyDescent="0.3">
      <c r="B1918" s="77" t="s">
        <v>568</v>
      </c>
    </row>
    <row r="1919" spans="2:54" ht="14.4" hidden="1" x14ac:dyDescent="0.3">
      <c r="B1919" s="77" t="s">
        <v>563</v>
      </c>
    </row>
    <row r="1920" spans="2:54" ht="14.4" hidden="1" x14ac:dyDescent="0.3">
      <c r="B1920" s="77" t="s">
        <v>565</v>
      </c>
    </row>
    <row r="1921" spans="2:2" ht="14.4" hidden="1" x14ac:dyDescent="0.3">
      <c r="B1921" s="77" t="s">
        <v>560</v>
      </c>
    </row>
    <row r="1922" spans="2:2" ht="14.4" hidden="1" x14ac:dyDescent="0.3">
      <c r="B1922" s="77" t="s">
        <v>1038</v>
      </c>
    </row>
    <row r="1923" spans="2:2" hidden="1" x14ac:dyDescent="0.25"/>
    <row r="1924" spans="2:2" hidden="1" x14ac:dyDescent="0.25"/>
    <row r="1925" spans="2:2" ht="14.4" hidden="1" x14ac:dyDescent="0.3">
      <c r="B1925" s="427" t="s">
        <v>1039</v>
      </c>
    </row>
    <row r="1926" spans="2:2" ht="14.4" hidden="1" x14ac:dyDescent="0.3">
      <c r="B1926" s="77" t="s">
        <v>583</v>
      </c>
    </row>
    <row r="1927" spans="2:2" ht="14.4" hidden="1" x14ac:dyDescent="0.3">
      <c r="B1927" s="77" t="s">
        <v>1040</v>
      </c>
    </row>
    <row r="1928" spans="2:2" ht="14.4" hidden="1" x14ac:dyDescent="0.3">
      <c r="B1928" s="77" t="s">
        <v>1041</v>
      </c>
    </row>
    <row r="1929" spans="2:2" ht="14.4" hidden="1" x14ac:dyDescent="0.3">
      <c r="B1929" s="77" t="s">
        <v>575</v>
      </c>
    </row>
    <row r="1930" spans="2:2" ht="14.4" hidden="1" x14ac:dyDescent="0.3">
      <c r="B1930" s="77" t="s">
        <v>578</v>
      </c>
    </row>
    <row r="1931" spans="2:2" ht="14.4" hidden="1" x14ac:dyDescent="0.3">
      <c r="B1931" s="77" t="s">
        <v>1042</v>
      </c>
    </row>
    <row r="1932" spans="2:2" ht="14.4" hidden="1" x14ac:dyDescent="0.3">
      <c r="B1932" s="77" t="s">
        <v>580</v>
      </c>
    </row>
    <row r="1933" spans="2:2" ht="14.4" hidden="1" x14ac:dyDescent="0.3">
      <c r="B1933" s="77"/>
    </row>
    <row r="1934" spans="2:2" ht="14.4" hidden="1" x14ac:dyDescent="0.3">
      <c r="B1934" s="77"/>
    </row>
    <row r="1935" spans="2:2" ht="14.4" hidden="1" x14ac:dyDescent="0.3">
      <c r="B1935" s="427" t="s">
        <v>1043</v>
      </c>
    </row>
    <row r="1936" spans="2:2" ht="14.4" hidden="1" x14ac:dyDescent="0.3">
      <c r="B1936" s="77" t="s">
        <v>1044</v>
      </c>
    </row>
    <row r="1937" spans="2:4" ht="14.4" hidden="1" x14ac:dyDescent="0.3">
      <c r="B1937" s="77" t="s">
        <v>473</v>
      </c>
    </row>
    <row r="1938" spans="2:4" ht="14.4" hidden="1" x14ac:dyDescent="0.3">
      <c r="B1938" s="77" t="s">
        <v>471</v>
      </c>
    </row>
    <row r="1939" spans="2:4" ht="14.4" hidden="1" x14ac:dyDescent="0.3">
      <c r="B1939" s="77" t="s">
        <v>1045</v>
      </c>
    </row>
    <row r="1940" spans="2:4" ht="14.4" hidden="1" x14ac:dyDescent="0.3">
      <c r="B1940" s="77" t="s">
        <v>476</v>
      </c>
    </row>
    <row r="1941" spans="2:4" ht="14.4" hidden="1" x14ac:dyDescent="0.3">
      <c r="B1941" s="77" t="s">
        <v>1046</v>
      </c>
    </row>
    <row r="1942" spans="2:4" ht="14.4" hidden="1" x14ac:dyDescent="0.3">
      <c r="B1942" s="77"/>
    </row>
    <row r="1943" spans="2:4" ht="14.4" hidden="1" x14ac:dyDescent="0.3">
      <c r="B1943" s="77"/>
    </row>
    <row r="1944" spans="2:4" ht="14.4" hidden="1" x14ac:dyDescent="0.3">
      <c r="B1944" s="427" t="s">
        <v>1047</v>
      </c>
    </row>
    <row r="1945" spans="2:4" ht="14.4" hidden="1" x14ac:dyDescent="0.3">
      <c r="B1945" s="77" t="s">
        <v>1048</v>
      </c>
      <c r="D1945" s="77" t="str">
        <f>B1484</f>
        <v xml:space="preserve">Entity name: </v>
      </c>
    </row>
    <row r="1946" spans="2:4" ht="14.4" hidden="1" x14ac:dyDescent="0.3">
      <c r="B1946" s="77" t="s">
        <v>1049</v>
      </c>
      <c r="D1946" s="77" t="str">
        <f>B1485</f>
        <v xml:space="preserve">Contact person: </v>
      </c>
    </row>
    <row r="1947" spans="2:4" ht="14.4" hidden="1" x14ac:dyDescent="0.3">
      <c r="B1947" s="77" t="s">
        <v>1050</v>
      </c>
      <c r="D1947" s="77" t="str">
        <f>B1487</f>
        <v xml:space="preserve">Email address: </v>
      </c>
    </row>
    <row r="1948" spans="2:4" ht="14.4" hidden="1" x14ac:dyDescent="0.3">
      <c r="B1948" s="77" t="s">
        <v>1051</v>
      </c>
      <c r="D1948" s="77" t="str">
        <f>B1488</f>
        <v xml:space="preserve">Mailing address: </v>
      </c>
    </row>
    <row r="1949" spans="2:4" ht="14.4" hidden="1" x14ac:dyDescent="0.3">
      <c r="B1949" s="77"/>
      <c r="D1949" s="6" t="str">
        <f>B1488</f>
        <v xml:space="preserve">Mailing address: </v>
      </c>
    </row>
    <row r="1950" spans="2:4" ht="14.4" hidden="1" x14ac:dyDescent="0.3">
      <c r="B1950" s="77"/>
      <c r="D1950" s="6">
        <f>B1489</f>
        <v>0</v>
      </c>
    </row>
    <row r="1951" spans="2:4" ht="14.4" hidden="1" x14ac:dyDescent="0.3">
      <c r="B1951" s="77" t="str">
        <f>CONCATENATE(B1945,D$1945)</f>
        <v xml:space="preserve">no, I don't need to notify any Entity name: </v>
      </c>
      <c r="D1951" s="6">
        <f>B1490</f>
        <v>0</v>
      </c>
    </row>
    <row r="1952" spans="2:4" ht="14.4" hidden="1" x14ac:dyDescent="0.3">
      <c r="B1952" s="77" t="str">
        <f>CONCATENATE(B1946,D$1945)</f>
        <v xml:space="preserve">I have not yet decided if needing to notify any Entity name: </v>
      </c>
    </row>
    <row r="1953" spans="2:2" ht="14.4" hidden="1" x14ac:dyDescent="0.3">
      <c r="B1953" s="77" t="str">
        <f>CONCATENATE(B1947,D$1945)</f>
        <v xml:space="preserve">yes, but I'll let you know when I need to notifiy any Entity name: </v>
      </c>
    </row>
    <row r="1954" spans="2:2" ht="14.4" hidden="1" x14ac:dyDescent="0.3">
      <c r="B1954" s="77" t="str">
        <f>CONCATENATE(B1948,D$1945)</f>
        <v xml:space="preserve">yes, I need you to immediately notify Entity name: </v>
      </c>
    </row>
    <row r="1955" spans="2:2" ht="14.4" hidden="1" x14ac:dyDescent="0.3">
      <c r="B1955" s="77"/>
    </row>
    <row r="1956" spans="2:2" ht="14.4" hidden="1" x14ac:dyDescent="0.3">
      <c r="B1956" s="77" t="str">
        <f>CONCATENATE(B1945,D$1946)</f>
        <v xml:space="preserve">no, I don't need to notify any Contact person: </v>
      </c>
    </row>
    <row r="1957" spans="2:2" ht="14.4" hidden="1" x14ac:dyDescent="0.3">
      <c r="B1957" s="77" t="str">
        <f>CONCATENATE(B1946,D$1946)</f>
        <v xml:space="preserve">I have not yet decided if needing to notify any Contact person: </v>
      </c>
    </row>
    <row r="1958" spans="2:2" ht="14.4" hidden="1" x14ac:dyDescent="0.3">
      <c r="B1958" s="77" t="str">
        <f>CONCATENATE(B1947,D$1946)</f>
        <v xml:space="preserve">yes, but I'll let you know when I need to notifiy any Contact person: </v>
      </c>
    </row>
    <row r="1959" spans="2:2" ht="14.4" hidden="1" x14ac:dyDescent="0.3">
      <c r="B1959" s="77" t="str">
        <f>CONCATENATE(B1948,D$1946)</f>
        <v xml:space="preserve">yes, I need you to immediately notify Contact person: </v>
      </c>
    </row>
    <row r="1960" spans="2:2" ht="14.4" hidden="1" x14ac:dyDescent="0.3">
      <c r="B1960" s="77"/>
    </row>
    <row r="1961" spans="2:2" ht="14.4" hidden="1" x14ac:dyDescent="0.3">
      <c r="B1961" s="77" t="str">
        <f>CONCATENATE(B1945,D$1947)</f>
        <v xml:space="preserve">no, I don't need to notify any Email address: </v>
      </c>
    </row>
    <row r="1962" spans="2:2" ht="14.4" hidden="1" x14ac:dyDescent="0.3">
      <c r="B1962" s="77" t="str">
        <f>CONCATENATE(B1946,D$1947)</f>
        <v xml:space="preserve">I have not yet decided if needing to notify any Email address: </v>
      </c>
    </row>
    <row r="1963" spans="2:2" ht="14.4" hidden="1" x14ac:dyDescent="0.3">
      <c r="B1963" s="77" t="str">
        <f>CONCATENATE(B1947,D$1947)</f>
        <v xml:space="preserve">yes, but I'll let you know when I need to notifiy any Email address: </v>
      </c>
    </row>
    <row r="1964" spans="2:2" ht="14.4" hidden="1" x14ac:dyDescent="0.3">
      <c r="B1964" s="77" t="str">
        <f>CONCATENATE(B1948,D$1947)</f>
        <v xml:space="preserve">yes, I need you to immediately notify Email address: </v>
      </c>
    </row>
    <row r="1965" spans="2:2" ht="14.4" hidden="1" x14ac:dyDescent="0.3">
      <c r="B1965" s="77"/>
    </row>
    <row r="1966" spans="2:2" ht="14.4" hidden="1" x14ac:dyDescent="0.3">
      <c r="B1966" s="77" t="str">
        <f>CONCATENATE(B1945,D$1948)</f>
        <v xml:space="preserve">no, I don't need to notify any Mailing address: </v>
      </c>
    </row>
    <row r="1967" spans="2:2" ht="14.4" hidden="1" x14ac:dyDescent="0.3">
      <c r="B1967" s="77" t="str">
        <f>CONCATENATE(B1946,D$1948)</f>
        <v xml:space="preserve">I have not yet decided if needing to notify any Mailing address: </v>
      </c>
    </row>
    <row r="1968" spans="2:2" ht="14.4" hidden="1" x14ac:dyDescent="0.3">
      <c r="B1968" s="77" t="str">
        <f>CONCATENATE(B1947,D$1948)</f>
        <v xml:space="preserve">yes, but I'll let you know when I need to notifiy any Mailing address: </v>
      </c>
    </row>
    <row r="1969" spans="2:33" ht="14.4" hidden="1" x14ac:dyDescent="0.3">
      <c r="B1969" s="77" t="str">
        <f>CONCATENATE(B1948,D$1948)</f>
        <v xml:space="preserve">yes, I need you to immediately notify Mailing address: </v>
      </c>
    </row>
    <row r="1970" spans="2:33" ht="14.4" hidden="1" x14ac:dyDescent="0.3">
      <c r="B1970" s="77"/>
    </row>
    <row r="1971" spans="2:33" ht="14.4" hidden="1" x14ac:dyDescent="0.3">
      <c r="B1971" s="77" t="str">
        <f>IF(D$1949=0,"",CONCATENATE(B1945,D$1949))</f>
        <v xml:space="preserve">no, I don't need to notify any Mailing address: </v>
      </c>
    </row>
    <row r="1972" spans="2:33" ht="133.19999999999999" hidden="1" customHeight="1" x14ac:dyDescent="0.3">
      <c r="B1972" s="427" t="s">
        <v>1052</v>
      </c>
      <c r="AC1972" s="428" t="str">
        <f>B1973</f>
        <v>no, not at this time</v>
      </c>
      <c r="AD1972" s="429" t="str">
        <f>B1974</f>
        <v>perhaps with more information</v>
      </c>
      <c r="AE1972" s="430" t="str">
        <f>B1975</f>
        <v>perhaps with some help</v>
      </c>
      <c r="AF1972" s="431" t="str">
        <f>B1976</f>
        <v xml:space="preserve">yes, with help affording or handling it </v>
      </c>
      <c r="AG1972" s="432" t="str">
        <f>B1977</f>
        <v>yes, as soon as possible</v>
      </c>
    </row>
    <row r="1973" spans="2:33" ht="14.4" hidden="1" x14ac:dyDescent="0.3">
      <c r="B1973" s="77" t="s">
        <v>1053</v>
      </c>
    </row>
    <row r="1974" spans="2:33" ht="14.4" hidden="1" x14ac:dyDescent="0.3">
      <c r="B1974" s="77" t="s">
        <v>1054</v>
      </c>
    </row>
    <row r="1975" spans="2:33" ht="14.4" hidden="1" x14ac:dyDescent="0.3">
      <c r="B1975" s="77" t="s">
        <v>1055</v>
      </c>
    </row>
    <row r="1976" spans="2:33" ht="14.4" hidden="1" x14ac:dyDescent="0.3">
      <c r="B1976" s="77" t="s">
        <v>1056</v>
      </c>
    </row>
    <row r="1977" spans="2:33" ht="14.4" hidden="1" x14ac:dyDescent="0.3">
      <c r="B1977" s="77" t="s">
        <v>1057</v>
      </c>
    </row>
    <row r="1978" spans="2:33" ht="14.4" hidden="1" x14ac:dyDescent="0.3">
      <c r="B1978" s="77" t="str">
        <f>IF(D$1950=0,"",CONCATENATE(B1947,D$1950))</f>
        <v/>
      </c>
    </row>
    <row r="1979" spans="2:33" ht="14.4" hidden="1" x14ac:dyDescent="0.3">
      <c r="B1979" s="77" t="str">
        <f>IF(D$1950=0,"",CONCATENATE(B1948,D$1950))</f>
        <v/>
      </c>
    </row>
    <row r="1980" spans="2:33" ht="14.4" hidden="1" x14ac:dyDescent="0.3">
      <c r="B1980" s="427" t="s">
        <v>1058</v>
      </c>
    </row>
    <row r="1981" spans="2:33" ht="14.4" hidden="1" x14ac:dyDescent="0.3">
      <c r="B1981" s="77" t="s">
        <v>1059</v>
      </c>
    </row>
    <row r="1982" spans="2:33" ht="14.4" hidden="1" x14ac:dyDescent="0.3">
      <c r="B1982" s="77" t="s">
        <v>1060</v>
      </c>
    </row>
    <row r="1983" spans="2:33" ht="14.4" hidden="1" x14ac:dyDescent="0.3">
      <c r="B1983" s="77" t="s">
        <v>1061</v>
      </c>
    </row>
    <row r="1984" spans="2:33" ht="14.4" hidden="1" x14ac:dyDescent="0.3">
      <c r="B1984" s="77" t="s">
        <v>1062</v>
      </c>
    </row>
    <row r="1985" spans="2:4" ht="14.4" hidden="1" x14ac:dyDescent="0.3">
      <c r="B1985" s="77"/>
    </row>
    <row r="1986" spans="2:4" ht="14.4" hidden="1" x14ac:dyDescent="0.3">
      <c r="B1986" s="77"/>
    </row>
    <row r="1987" spans="2:4" ht="18" hidden="1" x14ac:dyDescent="0.35">
      <c r="B1987" s="433" t="s">
        <v>1063</v>
      </c>
      <c r="C1987" s="77"/>
    </row>
    <row r="1988" spans="2:4" ht="14.4" hidden="1" x14ac:dyDescent="0.3">
      <c r="B1988" s="77" t="s">
        <v>512</v>
      </c>
      <c r="D1988" s="6">
        <v>0</v>
      </c>
    </row>
    <row r="1989" spans="2:4" ht="14.4" hidden="1" x14ac:dyDescent="0.3">
      <c r="B1989" s="77" t="s">
        <v>1064</v>
      </c>
      <c r="D1989" s="6">
        <v>1</v>
      </c>
    </row>
    <row r="1990" spans="2:4" ht="14.4" hidden="1" x14ac:dyDescent="0.3">
      <c r="B1990" s="77" t="s">
        <v>1065</v>
      </c>
      <c r="D1990" s="6">
        <v>2</v>
      </c>
    </row>
    <row r="1991" spans="2:4" ht="14.4" hidden="1" x14ac:dyDescent="0.3">
      <c r="B1991" s="77" t="s">
        <v>234</v>
      </c>
      <c r="D1991" s="6">
        <v>3</v>
      </c>
    </row>
    <row r="1992" spans="2:4" ht="14.4" hidden="1" x14ac:dyDescent="0.3">
      <c r="B1992" s="77"/>
    </row>
    <row r="1993" spans="2:4" ht="14.4" hidden="1" x14ac:dyDescent="0.3">
      <c r="B1993" s="77"/>
    </row>
    <row r="1994" spans="2:4" ht="14.4" hidden="1" x14ac:dyDescent="0.3">
      <c r="C1994" s="427" t="s">
        <v>1066</v>
      </c>
    </row>
    <row r="1995" spans="2:4" ht="14.4" hidden="1" x14ac:dyDescent="0.3">
      <c r="C1995" s="77" t="s">
        <v>512</v>
      </c>
      <c r="D1995" s="77" t="s">
        <v>486</v>
      </c>
    </row>
    <row r="1996" spans="2:4" ht="14.4" hidden="1" x14ac:dyDescent="0.3">
      <c r="C1996" s="77" t="s">
        <v>503</v>
      </c>
      <c r="D1996" s="77" t="s">
        <v>489</v>
      </c>
    </row>
    <row r="1997" spans="2:4" ht="14.4" hidden="1" x14ac:dyDescent="0.3">
      <c r="C1997" s="77" t="s">
        <v>527</v>
      </c>
      <c r="D1997" s="77" t="s">
        <v>491</v>
      </c>
    </row>
    <row r="1998" spans="2:4" ht="14.4" hidden="1" x14ac:dyDescent="0.3">
      <c r="C1998" s="77" t="s">
        <v>485</v>
      </c>
      <c r="D1998" s="77" t="s">
        <v>493</v>
      </c>
    </row>
    <row r="1999" spans="2:4" ht="14.4" hidden="1" x14ac:dyDescent="0.3">
      <c r="D1999" s="77" t="s">
        <v>498</v>
      </c>
    </row>
    <row r="2000" spans="2:4" ht="14.4" hidden="1" x14ac:dyDescent="0.3">
      <c r="D2000" s="77" t="s">
        <v>499</v>
      </c>
    </row>
    <row r="2001" spans="3:4" ht="14.4" hidden="1" x14ac:dyDescent="0.3">
      <c r="C2001" s="427" t="s">
        <v>1067</v>
      </c>
      <c r="D2001" s="77" t="s">
        <v>500</v>
      </c>
    </row>
    <row r="2002" spans="3:4" ht="14.4" hidden="1" x14ac:dyDescent="0.3">
      <c r="C2002" s="77" t="s">
        <v>545</v>
      </c>
      <c r="D2002" s="77" t="s">
        <v>1068</v>
      </c>
    </row>
    <row r="2003" spans="3:4" ht="14.4" hidden="1" x14ac:dyDescent="0.3">
      <c r="C2003" s="77" t="s">
        <v>1069</v>
      </c>
      <c r="D2003" s="77" t="s">
        <v>501</v>
      </c>
    </row>
    <row r="2004" spans="3:4" ht="14.4" hidden="1" x14ac:dyDescent="0.3">
      <c r="C2004" s="77" t="s">
        <v>529</v>
      </c>
      <c r="D2004" s="77" t="s">
        <v>502</v>
      </c>
    </row>
    <row r="2005" spans="3:4" ht="14.4" hidden="1" x14ac:dyDescent="0.3">
      <c r="C2005" s="77" t="s">
        <v>531</v>
      </c>
      <c r="D2005" s="77" t="s">
        <v>504</v>
      </c>
    </row>
    <row r="2006" spans="3:4" ht="14.4" hidden="1" x14ac:dyDescent="0.3">
      <c r="C2006" s="77" t="s">
        <v>1070</v>
      </c>
      <c r="D2006" s="77" t="s">
        <v>505</v>
      </c>
    </row>
    <row r="2007" spans="3:4" ht="14.4" hidden="1" x14ac:dyDescent="0.3">
      <c r="C2007" s="77" t="s">
        <v>534</v>
      </c>
      <c r="D2007" s="77" t="s">
        <v>508</v>
      </c>
    </row>
    <row r="2008" spans="3:4" ht="14.4" hidden="1" x14ac:dyDescent="0.3">
      <c r="C2008" s="77" t="s">
        <v>1071</v>
      </c>
      <c r="D2008" s="77" t="s">
        <v>509</v>
      </c>
    </row>
    <row r="2009" spans="3:4" ht="14.4" hidden="1" x14ac:dyDescent="0.3">
      <c r="C2009" s="77" t="s">
        <v>1072</v>
      </c>
      <c r="D2009" s="77" t="s">
        <v>511</v>
      </c>
    </row>
    <row r="2010" spans="3:4" ht="14.4" hidden="1" x14ac:dyDescent="0.3">
      <c r="D2010" s="77" t="s">
        <v>513</v>
      </c>
    </row>
    <row r="2011" spans="3:4" ht="14.4" hidden="1" x14ac:dyDescent="0.3">
      <c r="D2011" s="77" t="s">
        <v>515</v>
      </c>
    </row>
    <row r="2012" spans="3:4" ht="14.4" hidden="1" x14ac:dyDescent="0.3">
      <c r="D2012" s="77" t="s">
        <v>516</v>
      </c>
    </row>
    <row r="2013" spans="3:4" ht="14.4" hidden="1" x14ac:dyDescent="0.3">
      <c r="D2013" s="77" t="s">
        <v>517</v>
      </c>
    </row>
    <row r="2014" spans="3:4" hidden="1" x14ac:dyDescent="0.25"/>
    <row r="2015" spans="3:4" hidden="1" x14ac:dyDescent="0.25"/>
    <row r="2016" spans="3:4" ht="18" hidden="1" x14ac:dyDescent="0.35">
      <c r="C2016" s="433" t="s">
        <v>1073</v>
      </c>
      <c r="D2016" s="433" t="s">
        <v>1074</v>
      </c>
    </row>
    <row r="2017" spans="3:4" ht="14.4" hidden="1" x14ac:dyDescent="0.3">
      <c r="C2017" s="77" t="s">
        <v>1075</v>
      </c>
      <c r="D2017" s="77" t="s">
        <v>1076</v>
      </c>
    </row>
    <row r="2018" spans="3:4" ht="14.4" hidden="1" x14ac:dyDescent="0.3">
      <c r="C2018" s="434" t="s">
        <v>1077</v>
      </c>
      <c r="D2018" s="77" t="s">
        <v>1078</v>
      </c>
    </row>
    <row r="2019" spans="3:4" ht="14.4" hidden="1" x14ac:dyDescent="0.3">
      <c r="C2019" s="434" t="s">
        <v>1079</v>
      </c>
      <c r="D2019" s="77" t="s">
        <v>1080</v>
      </c>
    </row>
    <row r="2020" spans="3:4" ht="14.4" hidden="1" x14ac:dyDescent="0.3">
      <c r="C2020" s="434" t="s">
        <v>1081</v>
      </c>
      <c r="D2020" s="77" t="s">
        <v>231</v>
      </c>
    </row>
    <row r="2021" spans="3:4" ht="14.4" hidden="1" x14ac:dyDescent="0.3">
      <c r="C2021" s="434" t="s">
        <v>1082</v>
      </c>
      <c r="D2021" s="77" t="s">
        <v>1083</v>
      </c>
    </row>
    <row r="2022" spans="3:4" ht="14.4" hidden="1" x14ac:dyDescent="0.3">
      <c r="C2022" s="434" t="s">
        <v>1084</v>
      </c>
      <c r="D2022" s="77" t="s">
        <v>1085</v>
      </c>
    </row>
    <row r="2023" spans="3:4" ht="14.4" hidden="1" x14ac:dyDescent="0.3">
      <c r="C2023" s="434" t="s">
        <v>1086</v>
      </c>
      <c r="D2023" s="77" t="s">
        <v>1087</v>
      </c>
    </row>
    <row r="2024" spans="3:4" ht="14.4" hidden="1" x14ac:dyDescent="0.3">
      <c r="C2024" s="434" t="s">
        <v>1088</v>
      </c>
      <c r="D2024" s="77" t="s">
        <v>1089</v>
      </c>
    </row>
    <row r="2025" spans="3:4" ht="14.4" hidden="1" x14ac:dyDescent="0.3">
      <c r="C2025" s="434" t="s">
        <v>1090</v>
      </c>
      <c r="D2025" s="77"/>
    </row>
    <row r="2026" spans="3:4" ht="14.4" hidden="1" x14ac:dyDescent="0.3">
      <c r="C2026" s="434" t="s">
        <v>1091</v>
      </c>
      <c r="D2026" s="77"/>
    </row>
    <row r="2027" spans="3:4" ht="14.4" hidden="1" x14ac:dyDescent="0.3">
      <c r="C2027" s="77" t="s">
        <v>244</v>
      </c>
      <c r="D2027" s="77"/>
    </row>
    <row r="2028" spans="3:4" ht="14.4" hidden="1" x14ac:dyDescent="0.3">
      <c r="C2028" s="77" t="s">
        <v>1092</v>
      </c>
    </row>
    <row r="2029" spans="3:4" ht="14.4" hidden="1" x14ac:dyDescent="0.3">
      <c r="C2029" s="77" t="s">
        <v>1093</v>
      </c>
    </row>
    <row r="2030" spans="3:4" ht="14.4" hidden="1" x14ac:dyDescent="0.3">
      <c r="C2030" s="77" t="s">
        <v>1094</v>
      </c>
    </row>
    <row r="2031" spans="3:4" ht="14.4" hidden="1" x14ac:dyDescent="0.3">
      <c r="C2031" s="77" t="s">
        <v>1095</v>
      </c>
    </row>
    <row r="2032" spans="3:4" ht="14.4" hidden="1" x14ac:dyDescent="0.3">
      <c r="C2032" s="77" t="s">
        <v>1096</v>
      </c>
    </row>
    <row r="2033" spans="2:4" ht="14.4" hidden="1" x14ac:dyDescent="0.3">
      <c r="C2033" s="77" t="s">
        <v>224</v>
      </c>
    </row>
    <row r="2034" spans="2:4" ht="14.4" hidden="1" x14ac:dyDescent="0.3">
      <c r="C2034" s="77" t="s">
        <v>1097</v>
      </c>
    </row>
    <row r="2035" spans="2:4" ht="14.4" hidden="1" x14ac:dyDescent="0.3">
      <c r="C2035" s="435" t="s">
        <v>1098</v>
      </c>
    </row>
    <row r="2036" spans="2:4" ht="14.4" hidden="1" x14ac:dyDescent="0.3">
      <c r="C2036" s="435" t="s">
        <v>1099</v>
      </c>
      <c r="D2036" s="77"/>
    </row>
    <row r="2037" spans="2:4" ht="14.4" hidden="1" x14ac:dyDescent="0.3">
      <c r="C2037" s="435" t="s">
        <v>1100</v>
      </c>
    </row>
    <row r="2038" spans="2:4" ht="14.4" hidden="1" x14ac:dyDescent="0.3">
      <c r="C2038" s="77" t="s">
        <v>1101</v>
      </c>
    </row>
    <row r="2039" spans="2:4" hidden="1" x14ac:dyDescent="0.25"/>
    <row r="2040" spans="2:4" hidden="1" x14ac:dyDescent="0.25">
      <c r="B2040" s="6" t="s">
        <v>1102</v>
      </c>
    </row>
    <row r="2041" spans="2:4" ht="14.4" hidden="1" x14ac:dyDescent="0.3">
      <c r="B2041" s="77"/>
    </row>
    <row r="2042" spans="2:4" ht="14.4" hidden="1" x14ac:dyDescent="0.3">
      <c r="B2042" s="77"/>
      <c r="C2042" s="60" t="s">
        <v>1103</v>
      </c>
      <c r="D2042" s="6">
        <v>1</v>
      </c>
    </row>
    <row r="2043" spans="2:4" ht="14.4" hidden="1" x14ac:dyDescent="0.3">
      <c r="B2043" t="s">
        <v>1104</v>
      </c>
      <c r="C2043" s="6">
        <v>0</v>
      </c>
      <c r="D2043" s="6">
        <f t="shared" ref="D2043:D2048" si="63">C2043+D$2042</f>
        <v>1</v>
      </c>
    </row>
    <row r="2044" spans="2:4" ht="14.4" hidden="1" x14ac:dyDescent="0.3">
      <c r="B2044" t="s">
        <v>1105</v>
      </c>
      <c r="C2044" s="6">
        <v>2</v>
      </c>
      <c r="D2044" s="6">
        <f t="shared" si="63"/>
        <v>3</v>
      </c>
    </row>
    <row r="2045" spans="2:4" ht="14.4" hidden="1" x14ac:dyDescent="0.3">
      <c r="B2045" t="s">
        <v>1106</v>
      </c>
      <c r="C2045" s="6">
        <v>4</v>
      </c>
      <c r="D2045" s="6">
        <f t="shared" si="63"/>
        <v>5</v>
      </c>
    </row>
    <row r="2046" spans="2:4" ht="14.4" hidden="1" x14ac:dyDescent="0.3">
      <c r="B2046" t="s">
        <v>1107</v>
      </c>
      <c r="C2046" s="6">
        <v>8</v>
      </c>
      <c r="D2046" s="6">
        <f t="shared" si="63"/>
        <v>9</v>
      </c>
    </row>
    <row r="2047" spans="2:4" ht="14.4" hidden="1" x14ac:dyDescent="0.3">
      <c r="B2047" t="s">
        <v>1108</v>
      </c>
      <c r="C2047" s="6">
        <v>14</v>
      </c>
      <c r="D2047" s="6">
        <f t="shared" si="63"/>
        <v>15</v>
      </c>
    </row>
    <row r="2048" spans="2:4" ht="14.4" hidden="1" x14ac:dyDescent="0.3">
      <c r="B2048" s="77" t="s">
        <v>1109</v>
      </c>
      <c r="C2048" s="6">
        <f>44</f>
        <v>44</v>
      </c>
      <c r="D2048" s="6">
        <f t="shared" si="63"/>
        <v>45</v>
      </c>
    </row>
    <row r="2049" spans="2:2" ht="14.4" hidden="1" x14ac:dyDescent="0.3">
      <c r="B2049" s="77"/>
    </row>
    <row r="2050" spans="2:2" ht="14.4" hidden="1" x14ac:dyDescent="0.3">
      <c r="B2050" s="77"/>
    </row>
    <row r="2051" spans="2:2" ht="14.4" hidden="1" x14ac:dyDescent="0.3">
      <c r="B2051" s="77"/>
    </row>
    <row r="2052" spans="2:2" ht="14.4" hidden="1" x14ac:dyDescent="0.3">
      <c r="B2052" s="77"/>
    </row>
    <row r="2053" spans="2:2" ht="14.4" hidden="1" x14ac:dyDescent="0.3">
      <c r="B2053" s="77"/>
    </row>
    <row r="2054" spans="2:2" ht="14.4" hidden="1" x14ac:dyDescent="0.3">
      <c r="B2054" s="77"/>
    </row>
    <row r="2055" spans="2:2" ht="14.4" hidden="1" x14ac:dyDescent="0.3">
      <c r="B2055" s="77"/>
    </row>
    <row r="2056" spans="2:2" ht="14.4" hidden="1" x14ac:dyDescent="0.3">
      <c r="B2056" s="77"/>
    </row>
    <row r="2057" spans="2:2" ht="14.4" hidden="1" x14ac:dyDescent="0.3">
      <c r="B2057" s="77"/>
    </row>
    <row r="2058" spans="2:2" ht="14.4" hidden="1" x14ac:dyDescent="0.3">
      <c r="B2058" s="77"/>
    </row>
    <row r="2059" spans="2:2" ht="14.4" hidden="1" x14ac:dyDescent="0.3">
      <c r="B2059" s="77"/>
    </row>
    <row r="2060" spans="2:2" ht="14.4" hidden="1" x14ac:dyDescent="0.3">
      <c r="B2060" s="77"/>
    </row>
    <row r="2061" spans="2:2" ht="14.4" hidden="1" x14ac:dyDescent="0.3">
      <c r="B2061" s="77"/>
    </row>
    <row r="2062" spans="2:2" ht="14.4" hidden="1" x14ac:dyDescent="0.3">
      <c r="B2062" s="77"/>
    </row>
    <row r="2063" spans="2:2" ht="14.4" hidden="1" x14ac:dyDescent="0.3">
      <c r="B2063" s="77"/>
    </row>
    <row r="2064" spans="2:2"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spans="54:54" hidden="1" x14ac:dyDescent="0.25"/>
    <row r="2130" spans="54:54" hidden="1" x14ac:dyDescent="0.25"/>
    <row r="2131" spans="54:54" hidden="1" x14ac:dyDescent="0.25"/>
    <row r="2132" spans="54:54" hidden="1" x14ac:dyDescent="0.25"/>
    <row r="2133" spans="54:54" hidden="1" x14ac:dyDescent="0.25"/>
    <row r="2134" spans="54:54" hidden="1" x14ac:dyDescent="0.25"/>
    <row r="2135" spans="54:54" hidden="1" x14ac:dyDescent="0.25"/>
    <row r="2136" spans="54:54" hidden="1" x14ac:dyDescent="0.25"/>
    <row r="2137" spans="54:54" hidden="1" x14ac:dyDescent="0.25"/>
    <row r="2138" spans="54:54" hidden="1" x14ac:dyDescent="0.25"/>
    <row r="2139" spans="54:54" hidden="1" x14ac:dyDescent="0.25">
      <c r="BB2139" s="6"/>
    </row>
    <row r="2140" spans="54:54" hidden="1" x14ac:dyDescent="0.25"/>
    <row r="2141" spans="54:54" hidden="1" x14ac:dyDescent="0.25"/>
    <row r="2142" spans="54:54" hidden="1" x14ac:dyDescent="0.25"/>
    <row r="2143" spans="54:54" hidden="1" x14ac:dyDescent="0.25"/>
    <row r="2144" spans="54:54" hidden="1" x14ac:dyDescent="0.25"/>
    <row r="2145" spans="3:73" hidden="1" x14ac:dyDescent="0.25"/>
    <row r="2146" spans="3:73" hidden="1" x14ac:dyDescent="0.25">
      <c r="C2146" s="6" t="s">
        <v>1110</v>
      </c>
    </row>
    <row r="2147" spans="3:73" hidden="1" x14ac:dyDescent="0.25"/>
    <row r="2148" spans="3:73" hidden="1" x14ac:dyDescent="0.25"/>
    <row r="2149" spans="3:73" hidden="1" x14ac:dyDescent="0.25"/>
    <row r="2150" spans="3:73" hidden="1" x14ac:dyDescent="0.25"/>
    <row r="2151" spans="3:73" hidden="1" x14ac:dyDescent="0.25">
      <c r="AE2151" s="6" t="str">
        <f ca="1">CONCATENATE(AE$2159,AM$2159,AN$2159,B$2171,AE$2161)</f>
        <v>Since your conviction occurred 27 years ago, California prevents employers and others from running a criminal background check that far back.</v>
      </c>
    </row>
    <row r="2152" spans="3:73" hidden="1" x14ac:dyDescent="0.25">
      <c r="AE2152" s="6" t="str">
        <f ca="1">CONCATENATE(AE$2159,AM$2159,AN$2159,B$2193,AE$2161)</f>
        <v>Since your conviction occurred 27 years ago, Montana prevents employers and others from running a criminal background check that far back.</v>
      </c>
    </row>
    <row r="2153" spans="3:73" hidden="1" x14ac:dyDescent="0.25"/>
    <row r="2154" spans="3:73" hidden="1" x14ac:dyDescent="0.25"/>
    <row r="2155" spans="3:73" hidden="1" x14ac:dyDescent="0.25">
      <c r="AE2155" s="6" t="str">
        <f ca="1">CONCATENATE(AE2159,AM2159,AN2159,AE2160,AM2160,AO2160)</f>
        <v xml:space="preserve">Since your conviction occurred 27 years ago, and you earn only about $2200 per year, </v>
      </c>
    </row>
    <row r="2156" spans="3:73" hidden="1" x14ac:dyDescent="0.25">
      <c r="AE2156" s="6" t="str">
        <f ca="1">CONCATENATE(AE2163,AM2163,AN2163,AE2171,AJ2171,BO2171,B2188,AE2183)</f>
        <v xml:space="preserve"> does not limit how far back and employer can run a background check. Since your conviction occurred 27 years ago, and you earn only about $2200 per year, California prevents employers and others from running a criminal background check that far back.Massachusetts</v>
      </c>
    </row>
    <row r="2157" spans="3:73" hidden="1" x14ac:dyDescent="0.25">
      <c r="AC2157" s="57" t="str">
        <f>IF(AND($AD$54=$B2167,$AI$54=$B$2163),AC2167,IF(AND($AD$54=$B2168,$AI$54=$B$2163),AC2168,IF(AND($AD$54=$B2169,$AI$54=$B$2163),AC2169,IF(AND($AD$54=$B2170,$AI$54=$B$2163),AC2170,IF(AND($AD$54=$B2171,$AI$54=$B$2163),AC2171,IF(AND($AD$54=$B2172,$AI$54=$B$2163),AC2172,IF(AND($AD$54=$B2173,$AI$54=$B$2163),AC2173,IF(AND($AD$54=$B2174,$AI$54=$B$2163),AC2174,IF(AND($AD$54=$B2175,$AI$54=$B$2163),AC2175,IF(AND($AD$54=$B2176,$AI$54=$B$2163),AC2176,IF(AND($AD$54=$B2177,$AI$54=$B$2163),AC2177,IF(AND($AD$54=$B2178,$AI$54=$B$2163),AC2178,IF(AND($AD$54=$B2179,$AI$54=$B$2163),AC2179,IF(AND($AD$54=$B2180,$AI$54=$B$2163),AC2180,IF(AND($AD$54=$B2181,$AI$54=$B$2163),AC2181,IF(AND($AD$54=$B2182,$AI$54=$B$2163),AC2182,IF(AND($AD$54=$B2183,$AI$54=$B$2163),AC2183,IF(AND($AD$54=$B2184,$AI$54=$B$2163),AC2184,IF(AND($AD$54=$B2185,$AI$54=$B$2163),AC2185,IF(AND($AD$54=$B2186,$AI$54=$B$2163),AC2186,IF(AND($AD$54=$B2187,$AI$54=$B$2163),AC2187,IF(AND($AD$54=$B2188,$AI$54=$B$2163),AC2188,IF(AND($AD$54=$B2189,$AI$54=$B$2163),AC2189,IF(AND($AD$54=$B2190,$AI$54=$B$2163),AC2190,IF(AND($AD$54=$B2191,$AI$54=$B$2163),AC2191,IF(AND($AD$54=$B2192,$AI$54=$B$2163),AC2192,IF(AND($AD$54=$B2193,$AI$54=$B$2163),AC2193,IF(AND($AD$54=$B2194,$AI$54=$B$2163),AC2194,IF(AND($AD$54=$B2195,$AI$54=$B$2163),AC2195,IF(AND($AD$54=$B2196,$AI$54=$B$2163),AC2196,IF(AND($AD$54=$B2197,$AI$54=$B$2163),AC2197,IF(AND($AD$54=$B2198,$AI$54=$B$2163),AC2198,IF(AND($AD$54=$B2199,$AI$54=$B$2163),AC2199,IF(AND($AD$54=$B2200,$AI$54=$B$2163),AC2200,IF(AND($AD$54=$B2201,$AI$54=$B$2163),AC2201,IF(AND($AD$54=$B2202,$AI$54=$B$2163),AC2202,IF(AND($AD$54=$B2203,$AI$54=$B$2163),AC2203,IF(AND($AD$54=$B2204,$AI$54=$B$2163),AC2204,IF(AND($AD$54=$B2205,$AI$54=$B$2163),AC2205,IF(AND($AD$54=$B2206,$AI$54=$B$2163),AC2206,IF(AND($AD$54=$B2207,$AI$54=$B$2163),AC2207,IF(AND($AD$54=$B2208,$AI$54=$B$2163),AC2208,IF(AND($AD$54=$B2209,$AI$54=$B$2163),AC2209,IF(AND($AD$54=$B2210,$AI$54=$B$2163),AC2210,IF(AND($AD$54=$B2211,$AI$54=$B$2163),AC2211,IF(AND($AD$54=$B2212,$AI$54=$B$2163),AC2212,IF(AND($AD$54=$B2213,$AI$54=$B$2163),AC2213,IF(AND($AD$54=$B2214,$AI$54=$B$2163),AC2214,IF(AND($AD$54=$B2215,$AI$54=$B$2163),AC2215,IF(AND($AD$54=$B2216,$AI$54=$B$2163),AC2216,IF(AND($AD$54=$B2217,$AI$54=$B$2163),AC2217,IF(AND($AD$54=$B2218,$AI$54=$B$2163),AC2218,””))))))))))))))))))))))))))))))))))))))))))))))))))))</f>
        <v xml:space="preserve">Unfortunately, Michigan does not limit how far back and employer can run a background check. Background screeners must rely on indiscriminate records that fail to distinguish between "reliable evidence-based convictions" and "non-exonerated wrongful convictions"--permitting illicit discrimination. </v>
      </c>
      <c r="AD2157" s="57"/>
      <c r="AE2157" s="57"/>
      <c r="AF2157" s="57"/>
      <c r="AG2157" s="57"/>
      <c r="AH2157" s="57"/>
      <c r="AI2157" s="57"/>
      <c r="AJ2157" s="57"/>
      <c r="AK2157" s="57"/>
      <c r="AL2157" s="57"/>
      <c r="AM2157" s="57"/>
      <c r="AN2157" s="57"/>
      <c r="AO2157" s="57"/>
      <c r="AP2157" s="57"/>
      <c r="AQ2157" s="57"/>
      <c r="AR2157" s="57"/>
      <c r="AS2157" s="57"/>
      <c r="AT2157" s="57"/>
      <c r="AU2157" s="57"/>
      <c r="AV2157" s="57"/>
      <c r="AW2157" s="57"/>
      <c r="AX2157" s="57"/>
      <c r="AY2157" s="57"/>
      <c r="AZ2157" s="57"/>
      <c r="BA2157" s="57"/>
      <c r="BB2157" s="436"/>
      <c r="BC2157" s="57"/>
      <c r="BD2157" s="57"/>
      <c r="BE2157" s="57"/>
      <c r="BF2157" s="57"/>
      <c r="BG2157" s="57"/>
      <c r="BH2157" s="57"/>
      <c r="BI2157" s="57"/>
      <c r="BJ2157" s="57"/>
      <c r="BK2157" s="57"/>
      <c r="BL2157" s="57"/>
      <c r="BM2157" s="57"/>
      <c r="BN2157" s="57"/>
      <c r="BO2157" s="57"/>
      <c r="BP2157" s="57"/>
      <c r="BQ2157" s="57"/>
      <c r="BR2157" s="57"/>
      <c r="BS2157" s="57"/>
      <c r="BT2157" s="57"/>
      <c r="BU2157" s="57"/>
    </row>
    <row r="2158" spans="3:73" hidden="1" x14ac:dyDescent="0.25">
      <c r="AC2158" s="6" t="s">
        <v>1111</v>
      </c>
    </row>
    <row r="2159" spans="3:73" hidden="1" x14ac:dyDescent="0.25">
      <c r="AE2159" s="6" t="s">
        <v>1112</v>
      </c>
      <c r="AM2159" s="6">
        <f ca="1">ROUND(D2161,0)</f>
        <v>27</v>
      </c>
      <c r="AN2159" s="6" t="s">
        <v>1113</v>
      </c>
    </row>
    <row r="2160" spans="3:73" hidden="1" x14ac:dyDescent="0.25">
      <c r="AE2160" s="6" t="s">
        <v>1114</v>
      </c>
      <c r="AM2160" s="653">
        <f>B1101</f>
        <v>2200</v>
      </c>
      <c r="AN2160" s="653"/>
      <c r="AO2160" s="6" t="s">
        <v>1115</v>
      </c>
    </row>
    <row r="2161" spans="2:92" hidden="1" x14ac:dyDescent="0.25">
      <c r="B2161" s="356">
        <f ca="1">TODAY()</f>
        <v>44336</v>
      </c>
      <c r="C2161" s="356">
        <f>D202</f>
        <v>34316</v>
      </c>
      <c r="D2161" s="6">
        <f ca="1">(B2161-C2161)/365.25</f>
        <v>27.433264887063654</v>
      </c>
      <c r="AE2161" s="6" t="s">
        <v>1116</v>
      </c>
    </row>
    <row r="2162" spans="2:92" hidden="1" x14ac:dyDescent="0.25">
      <c r="AE2162" s="6" t="s">
        <v>1117</v>
      </c>
      <c r="AV2162" s="6" t="s">
        <v>1118</v>
      </c>
    </row>
    <row r="2163" spans="2:92" hidden="1" x14ac:dyDescent="0.25">
      <c r="B2163" s="438" t="str">
        <f>AI54</f>
        <v>yes</v>
      </c>
      <c r="AE2163" s="6" t="s">
        <v>1119</v>
      </c>
      <c r="AV2163" s="6" t="s">
        <v>1120</v>
      </c>
    </row>
    <row r="2164" spans="2:92" hidden="1" x14ac:dyDescent="0.25">
      <c r="AE2164" s="6" t="s">
        <v>1121</v>
      </c>
    </row>
    <row r="2165" spans="2:92" hidden="1" x14ac:dyDescent="0.25">
      <c r="AE2165" s="101" t="s">
        <v>1122</v>
      </c>
    </row>
    <row r="2166" spans="2:92" hidden="1" x14ac:dyDescent="0.25"/>
    <row r="2167" spans="2:92" ht="14.4" hidden="1" x14ac:dyDescent="0.25">
      <c r="B2167" s="439" t="str">
        <f t="shared" ref="B2167:B2174" si="64">B2242</f>
        <v>Alabama</v>
      </c>
      <c r="AC2167" s="6" t="str">
        <f>CONCATENATE(AV$2163,B2167,AE$2163,AE$2164)</f>
        <v xml:space="preserve">Unfortunately, Alabama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68" spans="2:92" ht="14.4" hidden="1" x14ac:dyDescent="0.25">
      <c r="B2168" s="439" t="str">
        <f t="shared" si="64"/>
        <v>Alaska</v>
      </c>
      <c r="AC2168" s="6" t="str">
        <f>CONCATENATE(AV$2163,B2168,AE$2163,AE$2164)</f>
        <v xml:space="preserve">Unfortunately, Alaska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69" spans="2:92" ht="14.4" hidden="1" x14ac:dyDescent="0.25">
      <c r="B2169" s="439" t="str">
        <f t="shared" si="64"/>
        <v>Arizona</v>
      </c>
      <c r="AC2169" s="6" t="str">
        <f>CONCATENATE(AV$2163,B2169,AE$2163,AE$2164)</f>
        <v xml:space="preserve">Unfortunately, Arizona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0" spans="2:92" ht="14.4" hidden="1" x14ac:dyDescent="0.25">
      <c r="B2170" s="439" t="str">
        <f t="shared" si="64"/>
        <v>Arkansas</v>
      </c>
      <c r="AC2170" s="6" t="str">
        <f>CONCATENATE(AV$2163,B2170,AE$2163,AE$2164)</f>
        <v xml:space="preserve">Unfortunately, Arkansas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1" spans="2:92" ht="14.4" hidden="1" x14ac:dyDescent="0.3">
      <c r="B2171" s="439" t="str">
        <f t="shared" si="64"/>
        <v>California</v>
      </c>
      <c r="C2171" s="440">
        <v>0</v>
      </c>
      <c r="D2171" s="441" t="s">
        <v>1123</v>
      </c>
      <c r="AC2171" s="6" t="str">
        <f ca="1">IF($D$2161&gt;7,AE2151,CN2171)</f>
        <v>Since your conviction occurred 27 years ago, California prevents employers and others from running a criminal background check that far back.</v>
      </c>
      <c r="BO2171" s="6" t="str">
        <f ca="1">CONCATENATE($AE$2155,B2171,$AE$2161)</f>
        <v>Since your conviction occurred 27 years ago, and you earn only about $2200 per year, California prevents employers and others from running a criminal background check that far back.</v>
      </c>
      <c r="CN2171" s="6" t="str">
        <f>CONCATENATE(B2171,AE2162)</f>
        <v>California cannnot limit how far back and employer can run a background check.</v>
      </c>
    </row>
    <row r="2172" spans="2:92" ht="14.4" hidden="1" x14ac:dyDescent="0.3">
      <c r="B2172" s="439" t="str">
        <f t="shared" si="64"/>
        <v>Colorado</v>
      </c>
      <c r="C2172" s="442">
        <v>75000</v>
      </c>
      <c r="D2172" s="441" t="s">
        <v>1124</v>
      </c>
      <c r="AC2172" s="6" t="str">
        <f ca="1">IF($D$2161&gt;7,BO2172,CN2172)</f>
        <v>Since your conviction occurred 27 years ago, and you earn only about $2200 per year, Colorado prevents employers and others from running a criminal background check that far back.</v>
      </c>
      <c r="BO2172" s="6" t="str">
        <f ca="1">CONCATENATE($AE$2155,B2172,$AE$2161)</f>
        <v>Since your conviction occurred 27 years ago, and you earn only about $2200 per year, Colorado prevents employers and others from running a criminal background check that far back.</v>
      </c>
      <c r="CN2172" s="6" t="str">
        <f>CONCATENATE(B2172,AE$2162)</f>
        <v>Colorado cannnot limit how far back and employer can run a background check.</v>
      </c>
    </row>
    <row r="2173" spans="2:92" ht="14.4" hidden="1" x14ac:dyDescent="0.3">
      <c r="B2173" s="439" t="str">
        <f t="shared" si="64"/>
        <v>Connecticut</v>
      </c>
      <c r="C2173" s="442"/>
      <c r="D2173" s="441"/>
      <c r="AC2173" s="6" t="str">
        <f t="shared" ref="AC2173:AC2182" si="65">CONCATENATE(AV$2163,B2173,AE$2163,AE$2164)</f>
        <v xml:space="preserve">Unfortunately, Connecticut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4" spans="2:92" ht="14.4" hidden="1" x14ac:dyDescent="0.3">
      <c r="B2174" s="439" t="str">
        <f t="shared" si="64"/>
        <v>Delaware</v>
      </c>
      <c r="C2174" s="442"/>
      <c r="D2174" s="441"/>
      <c r="AC2174" s="6" t="str">
        <f t="shared" si="65"/>
        <v xml:space="preserve">Unfortunately, Delaware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5" spans="2:92" ht="14.4" hidden="1" x14ac:dyDescent="0.3">
      <c r="B2175" s="439" t="s">
        <v>1125</v>
      </c>
      <c r="C2175" s="442"/>
      <c r="D2175" s="441"/>
      <c r="AC2175" s="6" t="str">
        <f t="shared" si="65"/>
        <v xml:space="preserve">Unfortunately, DC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6" spans="2:92" ht="14.4" hidden="1" x14ac:dyDescent="0.3">
      <c r="B2176" s="439" t="str">
        <f t="shared" ref="B2176:B2217" si="66">B2251</f>
        <v>Florida</v>
      </c>
      <c r="C2176" s="442"/>
      <c r="D2176" s="441"/>
      <c r="AC2176" s="6" t="str">
        <f t="shared" si="65"/>
        <v xml:space="preserve">Unfortunately, Florida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7" spans="2:92" ht="14.4" hidden="1" x14ac:dyDescent="0.3">
      <c r="B2177" s="439" t="str">
        <f t="shared" si="66"/>
        <v>Georgia</v>
      </c>
      <c r="C2177" s="442"/>
      <c r="D2177" s="441"/>
      <c r="AC2177" s="6" t="str">
        <f t="shared" si="65"/>
        <v xml:space="preserve">Unfortunately, Georgia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8" spans="2:92" ht="14.4" hidden="1" x14ac:dyDescent="0.3">
      <c r="B2178" s="439" t="str">
        <f t="shared" si="66"/>
        <v>Hawaii</v>
      </c>
      <c r="C2178" s="442"/>
      <c r="D2178" s="441"/>
      <c r="AC2178" s="6" t="str">
        <f t="shared" si="65"/>
        <v xml:space="preserve">Unfortunately, Hawaii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9" spans="2:92" ht="14.4" hidden="1" x14ac:dyDescent="0.3">
      <c r="B2179" s="439" t="str">
        <f t="shared" si="66"/>
        <v>Idaho</v>
      </c>
      <c r="C2179" s="442"/>
      <c r="D2179" s="441"/>
      <c r="AC2179" s="6" t="str">
        <f t="shared" si="65"/>
        <v xml:space="preserve">Unfortunately, Idaho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0" spans="2:92" ht="14.4" hidden="1" x14ac:dyDescent="0.3">
      <c r="B2180" s="439" t="str">
        <f t="shared" si="66"/>
        <v>Illinois</v>
      </c>
      <c r="C2180" s="442"/>
      <c r="D2180" s="441"/>
      <c r="AC2180" s="6" t="str">
        <f t="shared" si="65"/>
        <v xml:space="preserve">Unfortunately, Illinois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1" spans="2:92" ht="14.4" hidden="1" x14ac:dyDescent="0.3">
      <c r="B2181" s="439" t="str">
        <f t="shared" si="66"/>
        <v>Indiana</v>
      </c>
      <c r="C2181" s="442"/>
      <c r="D2181" s="441"/>
      <c r="AC2181" s="6" t="str">
        <f t="shared" si="65"/>
        <v xml:space="preserve">Unfortunately, Indiana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2" spans="2:92" ht="14.4" hidden="1" x14ac:dyDescent="0.3">
      <c r="B2182" s="439" t="str">
        <f t="shared" si="66"/>
        <v>Iowa</v>
      </c>
      <c r="C2182" s="442"/>
      <c r="D2182" s="441"/>
      <c r="AC2182" s="6" t="str">
        <f t="shared" si="65"/>
        <v xml:space="preserve">Unfortunately, Iowa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3" spans="2:92" ht="14.4" hidden="1" x14ac:dyDescent="0.3">
      <c r="B2183" s="439" t="str">
        <f t="shared" si="66"/>
        <v>Kansas</v>
      </c>
      <c r="C2183" s="442">
        <v>20000</v>
      </c>
      <c r="D2183" s="441" t="s">
        <v>1124</v>
      </c>
      <c r="AC2183" s="6" t="str">
        <f ca="1">IF($D$2161&gt;7,BO2183,CN2183)</f>
        <v>Since your conviction occurred 27 years ago, and you earn only about $2200 per year, Kansas prevents employers and others from running a criminal background check that far back.</v>
      </c>
      <c r="BO2183" s="6" t="str">
        <f ca="1">CONCATENATE($AE$2155,B2183,$AE$2161)</f>
        <v>Since your conviction occurred 27 years ago, and you earn only about $2200 per year, Kansas prevents employers and others from running a criminal background check that far back.</v>
      </c>
      <c r="CN2183" s="6" t="str">
        <f>CONCATENATE(B2183,AE$2162)</f>
        <v>Kansas cannnot limit how far back and employer can run a background check.</v>
      </c>
    </row>
    <row r="2184" spans="2:92" ht="14.4" hidden="1" x14ac:dyDescent="0.3">
      <c r="B2184" s="439" t="str">
        <f t="shared" si="66"/>
        <v>Kentucky</v>
      </c>
      <c r="C2184" s="442"/>
      <c r="D2184" s="441"/>
      <c r="AC2184" s="6" t="str">
        <f>CONCATENATE(AV$2163,B2184,AE$2163,AE$2164)</f>
        <v xml:space="preserve">Unfortunately, Kentucky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5" spans="2:92" ht="14.4" hidden="1" x14ac:dyDescent="0.3">
      <c r="B2185" s="439" t="str">
        <f t="shared" si="66"/>
        <v>Louisiana</v>
      </c>
      <c r="C2185" s="442"/>
      <c r="D2185" s="441"/>
      <c r="AC2185" s="6" t="str">
        <f>CONCATENATE(AV$2163,B2185,AE$2163,AE$2164)</f>
        <v xml:space="preserve">Unfortunately, Louisiana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6" spans="2:92" ht="14.4" hidden="1" x14ac:dyDescent="0.3">
      <c r="B2186" s="439" t="str">
        <f t="shared" si="66"/>
        <v>Maine</v>
      </c>
      <c r="C2186" s="442"/>
      <c r="D2186" s="441"/>
      <c r="AC2186" s="6" t="str">
        <f>CONCATENATE(AV$2163,B2186,AE$2163,AE$2164)</f>
        <v xml:space="preserve">Unfortunately, Maine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7" spans="2:92" ht="14.4" hidden="1" x14ac:dyDescent="0.3">
      <c r="B2187" s="439" t="str">
        <f t="shared" si="66"/>
        <v>Maryland</v>
      </c>
      <c r="C2187" s="442">
        <v>20000</v>
      </c>
      <c r="D2187" s="441" t="s">
        <v>1124</v>
      </c>
      <c r="AC2187" s="6" t="str">
        <f ca="1">IF($D$2161&gt;7,BO2187,CN2187)</f>
        <v>Since your conviction occurred 27 years ago, and you earn only about $2200 per year, Maryland prevents employers and others from running a criminal background check that far back.</v>
      </c>
      <c r="BO2187" s="6" t="str">
        <f ca="1">CONCATENATE($AE$2155,B2187,$AE$2161)</f>
        <v>Since your conviction occurred 27 years ago, and you earn only about $2200 per year, Maryland prevents employers and others from running a criminal background check that far back.</v>
      </c>
      <c r="CN2187" s="6" t="str">
        <f>CONCATENATE(B2187,AE$2162)</f>
        <v>Maryland cannnot limit how far back and employer can run a background check.</v>
      </c>
    </row>
    <row r="2188" spans="2:92" ht="14.4" hidden="1" x14ac:dyDescent="0.3">
      <c r="B2188" s="439" t="str">
        <f t="shared" si="66"/>
        <v>Massachusetts</v>
      </c>
      <c r="C2188" s="442">
        <v>20000</v>
      </c>
      <c r="D2188" s="441" t="s">
        <v>1124</v>
      </c>
      <c r="AC2188" s="6" t="str">
        <f ca="1">IF($D$2161&gt;7,BO2188,CN2188)</f>
        <v>Since your conviction occurred 27 years ago, and you earn only about $2200 per year, Massachusetts prevents employers and others from running a criminal background check that far back.</v>
      </c>
      <c r="BO2188" s="6" t="str">
        <f ca="1">CONCATENATE($AE$2155,B2188,$AE$2161)</f>
        <v>Since your conviction occurred 27 years ago, and you earn only about $2200 per year, Massachusetts prevents employers and others from running a criminal background check that far back.</v>
      </c>
      <c r="CN2188" s="6" t="str">
        <f>CONCATENATE(B2188,AE$2162)</f>
        <v>Massachusetts cannnot limit how far back and employer can run a background check.</v>
      </c>
    </row>
    <row r="2189" spans="2:92" ht="14.4" hidden="1" x14ac:dyDescent="0.25">
      <c r="B2189" s="439" t="str">
        <f t="shared" si="66"/>
        <v>Michigan</v>
      </c>
      <c r="AC2189" s="6" t="str">
        <f>CONCATENATE(AV$2163,B2189,AE$2163,AE$2164)</f>
        <v xml:space="preserve">Unfortunately, Michigan does not limit how far back and employer can run a background check. Background screeners must rely on indiscriminate records that fail to distinguish between "reliable evidence-based convictions" and "non-exonerated wrongful convictions"--permitting illicit discrimination. </v>
      </c>
      <c r="BB2189" s="6"/>
    </row>
    <row r="2190" spans="2:92" ht="14.4" hidden="1" x14ac:dyDescent="0.3">
      <c r="B2190" s="439" t="str">
        <f t="shared" si="66"/>
        <v>Minnesota</v>
      </c>
      <c r="C2190" s="440"/>
      <c r="D2190" s="441"/>
      <c r="AC2190" s="6" t="str">
        <f>CONCATENATE(AV$2163,B2190,AE$2163,AE$2164)</f>
        <v xml:space="preserve">Unfortunately, Minnesota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91" spans="2:92" ht="14.4" hidden="1" x14ac:dyDescent="0.3">
      <c r="B2191" s="439" t="str">
        <f t="shared" si="66"/>
        <v>Mississippi</v>
      </c>
      <c r="C2191" s="440"/>
      <c r="D2191" s="441"/>
      <c r="AC2191" s="6" t="str">
        <f>CONCATENATE(AV$2163,B2191,AE$2163,AE$2164)</f>
        <v xml:space="preserve">Unfortunately, Mississippi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92" spans="2:92" ht="14.4" hidden="1" x14ac:dyDescent="0.3">
      <c r="B2192" s="439" t="str">
        <f t="shared" si="66"/>
        <v>Missouri</v>
      </c>
      <c r="C2192" s="440"/>
      <c r="D2192" s="441"/>
      <c r="AC2192" s="6" t="str">
        <f>CONCATENATE(AV$2163,B2192,AE$2163,AE$2164)</f>
        <v xml:space="preserve">Unfortunately, Missouri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93" spans="2:92" ht="14.4" hidden="1" x14ac:dyDescent="0.3">
      <c r="B2193" s="439" t="str">
        <f t="shared" si="66"/>
        <v>Montana</v>
      </c>
      <c r="C2193" s="440">
        <v>0</v>
      </c>
      <c r="D2193" s="441" t="s">
        <v>1123</v>
      </c>
      <c r="AC2193" s="6" t="str">
        <f ca="1">IF($D$2161&gt;7,AE2152,CN2193)</f>
        <v>Since your conviction occurred 27 years ago, Montana prevents employers and others from running a criminal background check that far back.</v>
      </c>
      <c r="BO2193" s="6" t="str">
        <f ca="1">CONCATENATE($AE$2155,B2189,$AE$2161)</f>
        <v>Since your conviction occurred 27 years ago, and you earn only about $2200 per year, Michigan prevents employers and others from running a criminal background check that far back.</v>
      </c>
      <c r="CN2193" s="6" t="str">
        <f>CONCATENATE(B2189,AE$2162)</f>
        <v>Michigan cannnot limit how far back and employer can run a background check.</v>
      </c>
    </row>
    <row r="2194" spans="2:92" ht="14.4" hidden="1" x14ac:dyDescent="0.3">
      <c r="B2194" s="439" t="str">
        <f t="shared" si="66"/>
        <v>Nebraska</v>
      </c>
      <c r="C2194" s="440"/>
      <c r="D2194" s="441"/>
      <c r="AC2194" s="6" t="str">
        <f>CONCATENATE(AV$2163,B2194,AE$2163,AE$2164)</f>
        <v xml:space="preserve">Unfortunately, Nebraska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95" spans="2:92" ht="14.4" hidden="1" x14ac:dyDescent="0.3">
      <c r="B2195" s="439" t="str">
        <f t="shared" si="66"/>
        <v>Nevada</v>
      </c>
      <c r="C2195" s="442">
        <v>20000</v>
      </c>
      <c r="D2195" s="441" t="s">
        <v>1124</v>
      </c>
      <c r="AC2195" s="6" t="str">
        <f ca="1">IF($D$2161&gt;7,BO2195,CN2195)</f>
        <v>Since your conviction occurred 27 years ago, and you earn only about $2200 per year, Nevada prevents employers and others from running a criminal background check that far back.</v>
      </c>
      <c r="BO2195" s="6" t="str">
        <f ca="1">CONCATENATE($AE$2155,B2195,$AE$2161)</f>
        <v>Since your conviction occurred 27 years ago, and you earn only about $2200 per year, Nevada prevents employers and others from running a criminal background check that far back.</v>
      </c>
      <c r="CN2195" s="6" t="str">
        <f>CONCATENATE(B2195,AE$2162)</f>
        <v>Nevada cannnot limit how far back and employer can run a background check.</v>
      </c>
    </row>
    <row r="2196" spans="2:92" ht="14.4" hidden="1" x14ac:dyDescent="0.3">
      <c r="B2196" s="439" t="str">
        <f t="shared" si="66"/>
        <v>New Hampshire</v>
      </c>
      <c r="C2196" s="442">
        <v>20000</v>
      </c>
      <c r="D2196" s="441" t="s">
        <v>1124</v>
      </c>
      <c r="AC2196" s="6" t="str">
        <f ca="1">IF($D$2161&gt;7,BO2196,CN2196)</f>
        <v>Since your conviction occurred 27 years ago, and you earn only about $2200 per year, New Hampshire prevents employers and others from running a criminal background check that far back.</v>
      </c>
      <c r="BO2196" s="6" t="str">
        <f ca="1">CONCATENATE($AE$2155,B2196,$AE$2161)</f>
        <v>Since your conviction occurred 27 years ago, and you earn only about $2200 per year, New Hampshire prevents employers and others from running a criminal background check that far back.</v>
      </c>
      <c r="CN2196" s="6" t="str">
        <f>CONCATENATE(B2196,AE$2162)</f>
        <v>New Hampshire cannnot limit how far back and employer can run a background check.</v>
      </c>
    </row>
    <row r="2197" spans="2:92" ht="14.4" hidden="1" x14ac:dyDescent="0.3">
      <c r="B2197" s="439" t="str">
        <f t="shared" si="66"/>
        <v>New Jersey</v>
      </c>
      <c r="C2197" s="442"/>
      <c r="D2197" s="441"/>
      <c r="AC2197" s="6" t="str">
        <f>CONCATENATE(AV$2163,B2197,AE$2163,AE$2164)</f>
        <v xml:space="preserve">Unfortunately, New Jersey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98" spans="2:92" ht="14.4" hidden="1" x14ac:dyDescent="0.3">
      <c r="B2198" s="439" t="str">
        <f t="shared" si="66"/>
        <v>New Mexico</v>
      </c>
      <c r="C2198" s="442">
        <v>20000</v>
      </c>
      <c r="D2198" s="441" t="s">
        <v>1124</v>
      </c>
      <c r="AC2198" s="6" t="str">
        <f ca="1">IF($D$2161&gt;7,BO2198,CN2198)</f>
        <v>Since your conviction occurred 27 years ago, and you earn only about $2200 per year, New Mexico prevents employers and others from running a criminal background check that far back.</v>
      </c>
      <c r="BO2198" s="6" t="str">
        <f ca="1">CONCATENATE($AE$2155,B2198,$AE$2161)</f>
        <v>Since your conviction occurred 27 years ago, and you earn only about $2200 per year, New Mexico prevents employers and others from running a criminal background check that far back.</v>
      </c>
      <c r="CN2198" s="6" t="str">
        <f>CONCATENATE(B2198,AE$2162)</f>
        <v>New Mexico cannnot limit how far back and employer can run a background check.</v>
      </c>
    </row>
    <row r="2199" spans="2:92" ht="14.4" hidden="1" x14ac:dyDescent="0.3">
      <c r="B2199" s="439" t="str">
        <f t="shared" si="66"/>
        <v>New York</v>
      </c>
      <c r="C2199" s="442">
        <v>25000</v>
      </c>
      <c r="D2199" s="441" t="s">
        <v>1124</v>
      </c>
      <c r="AC2199" s="6" t="str">
        <f ca="1">IF($D$2161&gt;7,BO2199,CN2199)</f>
        <v>Since your conviction occurred 27 years ago, and you earn only about $2200 per year, New York prevents employers and others from running a criminal background check that far back.</v>
      </c>
      <c r="BO2199" s="6" t="str">
        <f ca="1">CONCATENATE($AE$2155,B2199,$AE$2161)</f>
        <v>Since your conviction occurred 27 years ago, and you earn only about $2200 per year, New York prevents employers and others from running a criminal background check that far back.</v>
      </c>
      <c r="CN2199" s="6" t="str">
        <f>CONCATENATE(B2199,AE$2162)</f>
        <v>New York cannnot limit how far back and employer can run a background check.</v>
      </c>
    </row>
    <row r="2200" spans="2:92" ht="14.4" hidden="1" x14ac:dyDescent="0.3">
      <c r="B2200" s="439" t="str">
        <f t="shared" si="66"/>
        <v>North Carolina</v>
      </c>
      <c r="C2200" s="442"/>
      <c r="D2200" s="441"/>
      <c r="AC2200" s="6" t="str">
        <f t="shared" ref="AC2200:AC2209" si="67">CONCATENATE(AV$2163,B2200,AE$2163,AE$2164)</f>
        <v xml:space="preserve">Unfortunately, North Carolina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1" spans="2:92" ht="14.4" hidden="1" x14ac:dyDescent="0.3">
      <c r="B2201" s="439" t="str">
        <f t="shared" si="66"/>
        <v>North Dakota</v>
      </c>
      <c r="C2201" s="442"/>
      <c r="D2201" s="441"/>
      <c r="AC2201" s="6" t="str">
        <f t="shared" si="67"/>
        <v xml:space="preserve">Unfortunately, North Dakota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2" spans="2:92" ht="14.4" hidden="1" x14ac:dyDescent="0.3">
      <c r="B2202" s="439" t="str">
        <f t="shared" si="66"/>
        <v>Ohio</v>
      </c>
      <c r="C2202" s="442"/>
      <c r="D2202" s="441"/>
      <c r="AC2202" s="6" t="str">
        <f t="shared" si="67"/>
        <v xml:space="preserve">Unfortunately, Ohio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3" spans="2:92" ht="14.4" hidden="1" x14ac:dyDescent="0.3">
      <c r="B2203" s="439" t="str">
        <f t="shared" si="66"/>
        <v>Oklahoma</v>
      </c>
      <c r="C2203" s="442"/>
      <c r="D2203" s="441"/>
      <c r="AC2203" s="6" t="str">
        <f t="shared" si="67"/>
        <v xml:space="preserve">Unfortunately, Oklahoma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4" spans="2:92" ht="14.4" hidden="1" x14ac:dyDescent="0.3">
      <c r="B2204" s="439" t="str">
        <f t="shared" si="66"/>
        <v>Oregon</v>
      </c>
      <c r="C2204" s="442"/>
      <c r="D2204" s="441"/>
      <c r="AC2204" s="6" t="str">
        <f t="shared" si="67"/>
        <v xml:space="preserve">Unfortunately, Oregon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5" spans="2:92" ht="14.4" hidden="1" x14ac:dyDescent="0.3">
      <c r="B2205" s="439" t="str">
        <f t="shared" si="66"/>
        <v>Pennsylvania</v>
      </c>
      <c r="C2205" s="442"/>
      <c r="D2205" s="441"/>
      <c r="AC2205" s="6" t="str">
        <f t="shared" si="67"/>
        <v xml:space="preserve">Unfortunately, Pennsylvania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6" spans="2:92" ht="14.4" hidden="1" x14ac:dyDescent="0.3">
      <c r="B2206" s="439" t="str">
        <f t="shared" si="66"/>
        <v>Rhode Island</v>
      </c>
      <c r="C2206" s="442"/>
      <c r="D2206" s="441"/>
      <c r="AC2206" s="6" t="str">
        <f t="shared" si="67"/>
        <v xml:space="preserve">Unfortunately, Rhode Island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7" spans="2:92" ht="14.4" hidden="1" x14ac:dyDescent="0.3">
      <c r="B2207" s="439" t="str">
        <f t="shared" si="66"/>
        <v>South Carolina</v>
      </c>
      <c r="C2207" s="442"/>
      <c r="D2207" s="441"/>
      <c r="AC2207" s="6" t="str">
        <f t="shared" si="67"/>
        <v xml:space="preserve">Unfortunately, South Carolina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8" spans="2:92" ht="14.4" hidden="1" x14ac:dyDescent="0.3">
      <c r="B2208" s="439" t="str">
        <f t="shared" si="66"/>
        <v>South Dakota</v>
      </c>
      <c r="C2208" s="442"/>
      <c r="D2208" s="441"/>
      <c r="AC2208" s="6" t="str">
        <f t="shared" si="67"/>
        <v xml:space="preserve">Unfortunately, South Dakota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9" spans="2:92" ht="14.4" hidden="1" x14ac:dyDescent="0.3">
      <c r="B2209" s="439" t="str">
        <f t="shared" si="66"/>
        <v>Tennessee</v>
      </c>
      <c r="C2209" s="442"/>
      <c r="D2209" s="441"/>
      <c r="AC2209" s="6" t="str">
        <f t="shared" si="67"/>
        <v xml:space="preserve">Unfortunately, Tennessee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0" spans="2:92" ht="14.4" hidden="1" x14ac:dyDescent="0.3">
      <c r="B2210" s="439" t="str">
        <f t="shared" si="66"/>
        <v>Texas</v>
      </c>
      <c r="C2210" s="442">
        <v>75000</v>
      </c>
      <c r="D2210" s="441" t="s">
        <v>1124</v>
      </c>
      <c r="AC2210" s="6" t="str">
        <f ca="1">IF($D$2161&gt;7,BO2210,CN2210)</f>
        <v>Since your conviction occurred 27 years ago, and you earn only about $2200 per year, Texas prevents employers and others from running a criminal background check that far back.</v>
      </c>
      <c r="BO2210" s="6" t="str">
        <f ca="1">CONCATENATE($AE$2155,B2210,$AE$2161)</f>
        <v>Since your conviction occurred 27 years ago, and you earn only about $2200 per year, Texas prevents employers and others from running a criminal background check that far back.</v>
      </c>
      <c r="CN2210" s="6" t="str">
        <f>CONCATENATE(B2210,AE$2162)</f>
        <v>Texas cannnot limit how far back and employer can run a background check.</v>
      </c>
    </row>
    <row r="2211" spans="2:92" ht="14.4" hidden="1" x14ac:dyDescent="0.3">
      <c r="B2211" s="439" t="str">
        <f t="shared" si="66"/>
        <v>Utah</v>
      </c>
      <c r="C2211" s="442"/>
      <c r="D2211" s="441"/>
      <c r="AC2211" s="6" t="str">
        <f>CONCATENATE(AV$2163,B2211,AE$2163,AE$2164)</f>
        <v xml:space="preserve">Unfortunately, Utah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2" spans="2:92" ht="14.4" hidden="1" x14ac:dyDescent="0.3">
      <c r="B2212" s="439" t="str">
        <f t="shared" si="66"/>
        <v>Vermont</v>
      </c>
      <c r="C2212" s="442"/>
      <c r="D2212" s="441"/>
      <c r="AC2212" s="6" t="str">
        <f>CONCATENATE(AV$2163,B2212,AE$2163,AE$2164)</f>
        <v xml:space="preserve">Unfortunately, Vermont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3" spans="2:92" ht="14.4" hidden="1" x14ac:dyDescent="0.3">
      <c r="B2213" s="439" t="str">
        <f t="shared" si="66"/>
        <v>Virginia</v>
      </c>
      <c r="C2213" s="442"/>
      <c r="D2213" s="441"/>
      <c r="AC2213" s="6" t="str">
        <f>CONCATENATE(AV$2163,B2213,AE$2163,AE$2164)</f>
        <v xml:space="preserve">Unfortunately, Virginia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4" spans="2:92" ht="14.4" hidden="1" x14ac:dyDescent="0.3">
      <c r="B2214" s="439" t="str">
        <f t="shared" si="66"/>
        <v>Washington</v>
      </c>
      <c r="C2214" s="442">
        <v>20000</v>
      </c>
      <c r="D2214" s="441" t="s">
        <v>1124</v>
      </c>
      <c r="AC2214" s="6" t="str">
        <f ca="1">IF($D$2161&gt;7,BO2214,CN2214)</f>
        <v>Since your conviction occurred 27 years ago, and you earn only about $2200 per year, Washington prevents employers and others from running a criminal background check that far back.</v>
      </c>
      <c r="BO2214" s="6" t="str">
        <f ca="1">CONCATENATE($AE$2155,B2214,$AE$2161)</f>
        <v>Since your conviction occurred 27 years ago, and you earn only about $2200 per year, Washington prevents employers and others from running a criminal background check that far back.</v>
      </c>
      <c r="CN2214" s="6" t="str">
        <f>CONCATENATE(B2214,AE$2162)</f>
        <v>Washington cannnot limit how far back and employer can run a background check.</v>
      </c>
    </row>
    <row r="2215" spans="2:92" ht="14.4" hidden="1" x14ac:dyDescent="0.25">
      <c r="B2215" s="439" t="str">
        <f t="shared" si="66"/>
        <v>West Virginia</v>
      </c>
      <c r="AC2215" s="6" t="str">
        <f>CONCATENATE(AV$2163,B2215,AE$2163,AE$2164)</f>
        <v xml:space="preserve">Unfortunately, West Virginia does not limit how far back and employer can run a background check. Background screeners must rely on indiscriminate records that fail to distinguish between "reliable evidence-based convictions" and "non-exonerated wrongful convictions"--permitting illicit discrimination. </v>
      </c>
      <c r="BO2215" s="6" t="str">
        <f ca="1">CONCATENATE($AE$2155,B2215,$AE$2161)</f>
        <v>Since your conviction occurred 27 years ago, and you earn only about $2200 per year, West Virginia prevents employers and others from running a criminal background check that far back.</v>
      </c>
      <c r="CN2215" s="6" t="str">
        <f>CONCATENATE(B2215,AE$2162)</f>
        <v>West Virginia cannnot limit how far back and employer can run a background check.</v>
      </c>
    </row>
    <row r="2216" spans="2:92" ht="14.4" hidden="1" x14ac:dyDescent="0.25">
      <c r="B2216" s="439" t="str">
        <f t="shared" si="66"/>
        <v>Wisconsin</v>
      </c>
      <c r="AC2216" s="6" t="str">
        <f>CONCATENATE(AV$2163,B2216,AE$2163,AE$2164)</f>
        <v xml:space="preserve">Unfortunately, Wisconsin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7" spans="2:92" ht="14.4" hidden="1" x14ac:dyDescent="0.25">
      <c r="B2217" s="439" t="str">
        <f t="shared" si="66"/>
        <v>Wyoming</v>
      </c>
      <c r="AC2217" s="6" t="str">
        <f>CONCATENATE(AV$2163,B2217,AE$2163,AE$2164)</f>
        <v xml:space="preserve">Unfortunately, Wyoming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8" spans="2:92" ht="14.4" hidden="1" x14ac:dyDescent="0.25">
      <c r="B2218" s="443" t="s">
        <v>1126</v>
      </c>
      <c r="AC2218" s="92"/>
      <c r="AD2218" s="92"/>
      <c r="AE2218" s="92"/>
      <c r="AF2218" s="92"/>
      <c r="AG2218" s="92"/>
      <c r="AH2218" s="92"/>
      <c r="AI2218" s="92"/>
      <c r="AJ2218" s="92"/>
      <c r="AK2218" s="92"/>
      <c r="AL2218" s="92"/>
      <c r="AM2218" s="92"/>
      <c r="AN2218" s="92"/>
      <c r="AO2218" s="92"/>
      <c r="AP2218" s="92"/>
      <c r="AQ2218" s="92"/>
      <c r="AR2218" s="92"/>
      <c r="AS2218" s="92"/>
      <c r="AT2218" s="92"/>
      <c r="AU2218" s="92"/>
      <c r="AV2218" s="92"/>
      <c r="AW2218" s="92"/>
    </row>
    <row r="2219" spans="2:92" hidden="1" x14ac:dyDescent="0.25">
      <c r="AC2219" s="92"/>
      <c r="AD2219" s="92"/>
      <c r="AE2219" s="92"/>
      <c r="AF2219" s="92"/>
      <c r="AG2219" s="92"/>
      <c r="AH2219" s="92"/>
      <c r="AI2219" s="92"/>
      <c r="AJ2219" s="92"/>
      <c r="AK2219" s="92"/>
      <c r="AL2219" s="92"/>
      <c r="AM2219" s="92"/>
      <c r="AN2219" s="92"/>
      <c r="AO2219" s="92"/>
      <c r="AP2219" s="92"/>
      <c r="AQ2219" s="92"/>
      <c r="AR2219" s="92"/>
      <c r="AS2219" s="92"/>
      <c r="AT2219" s="92"/>
      <c r="AU2219" s="92"/>
      <c r="AV2219" s="92"/>
      <c r="AW2219" s="92"/>
    </row>
    <row r="2220" spans="2:92" hidden="1" x14ac:dyDescent="0.25"/>
    <row r="2221" spans="2:92" ht="15" hidden="1" x14ac:dyDescent="0.3">
      <c r="B2221" s="444" t="str">
        <f>B1066</f>
        <v>Statute</v>
      </c>
      <c r="D2221" s="445" t="str">
        <f>IF($D$1065=B2242,AB2242,IF($D$1065=B2243,AB2243,IF($D$1065=B2244,AB2244,IF($D$1065=B2245,AB2245,IF($D$1065=B2246,AB2246,IF($D$1065=B2247,AB2247,IF($D$1065=B2248,AB2248,IF($D$1065=B2249,AB2249,IF($D$1065=B2250,AB2250,IF($D$1065=B2251,AB2251,IF($D$1065=B2252,AB2252,IF($D$1065=B2253,AB2253,IF($D$1065=B2254,AB2254,IF($D$1065=B2255,AB2255,IF($D$1065=B2256,AB2256,IF($D$1065=B2257,AB2257,IF($D$1065=B2258,AB2258,IF($D$1065=B2259,AB2259,IF($D$1065=B2260,AB2260,IF($D$1065=B2261,AB2261,IF($D$1065=B2262,AB2262,IF($D$1065=B2263,AB2263,IF($D$1065=B2264,AB2264,IF($D$1065=B2265,AB2265,IF($D$1065=B2266,AB2266,IF($D$1065=B2267,AB2267,IF($D$1065=B2268,AB2268,IF($D$1065=B2269,AB2269,IF($D$1065=B2270,AB2270,IF($D$1065=B2271,AB2271,IF($D$1065=B2272,AB2272,IF($D$1065=B2273,AB2273,IF($D$1065=B2274,AB2274,IF($D$1065=B2275,AB2275,IF($D$1065=B2276,AB2276,IF($D$1065=B2277,AB2277,IF($D$1065=B2278,AB2278,IF($D$1065=B2279,AB2279,IF($D$1065=B2280,AB2280,IF($D$1065=B2281,AB2281,IF($D$1065=B2282,AB2282,IF($D$1065=B2283,AB2283,IF($D$1065=B2284,AB2284,IF($D$1065=B2285,AB2285,IF($D$1065=B2286,AB2286,IF($D$1065=B2287,AB2287,IF($D$1065=B2288,AB2288,IF($D$1065=B22742,AB2289,IF($D$1065=B2290,AB2290,IF($D$1065=B2291,AB2291,IF($D$1065=B2292,AB2292,IF($D$1065=B2293,AB2293,AB2240))))))))))))))))))))))))))))))))))))))))))))))))))))</f>
        <v>MCLS 691.1751 et seq</v>
      </c>
    </row>
    <row r="2222" spans="2:92" hidden="1" x14ac:dyDescent="0.25">
      <c r="B2222" s="390" t="str">
        <f>B1068</f>
        <v>Eligibility</v>
      </c>
      <c r="D2222" s="446" t="str">
        <f>IF($D$1065=B2242,AO2242,IF($D$1065=B2243,AO2243,IF($D$1065=B2244,AO2244,IF($D$1065=B2245,AO2245,IF($D$1065=B2246,AO2246,IF($D$1065=B2247,AO2247,IF($D$1065=B2248,AO2248,IF($D$1065=B2249,AO2249,IF($D$1065=B2250,AO2250,IF($D$1065=B2251,AO2251,IF($D$1065=B2252,AO2252,IF($D$1065=B2253,AO2253,IF($D$1065=B2254,AO2254,IF($D$1065=B2255,AO2255,IF($D$1065=B2256,AO2256,IF($D$1065=B2257,AO2257,IF($D$1065=B2258,AO2258,IF($D$1065=B2259,AO2259,IF($D$1065=B2260,AO2260,IF($D$1065=B2261,AO2261,IF($D$1065=B2262,AO2262,IF($D$1065=B2263,AO2263,IF($D$1065=B2264,AO2264,IF($D$1065=B2265,AO2265,IF($D$1065=B2266,AO2266,IF($D$1065=B2267,AO2267,IF($D$1065=B2268,AO2268,IF($D$1065=B2269,AO2269,IF($D$1065=B2270,AO2270,IF($D$1065=B2271,AO2271,IF($D$1065=B2272,AO2272,IF($D$1065=B2273,AO2273,IF($D$1065=B2274,AO2274,IF($D$1065=B2275,AO2275,IF($D$1065=B2276,AO2276,IF($D$1065=B2277,AO2277,IF($D$1065=B2278,AO2278,IF($D$1065=B2279,AO2279,IF($D$1065=B2280,AO2280,IF($D$1065=B2281,AO2281,IF($D$1065=B2282,AO2282,IF($D$1065=B2283,AO2283,IF($D$1065=B2284,AO2284,IF($D$1065=B2285,AO2285,IF($D$1065=B2286,AO2286,IF($D$1065=B2287,AO2287,IF($D$1065=B2288,AO2288,IF($D$1065=B22742,AO2289,IF($D$1065=B2290,AO2290,IF($D$1065=B2291,AO2291,IF($D$1065=B2292,AO2292,IF($D$1065=B2293,AO2293,AO2240))))))))))))))))))))))))))))))))))))))))))))))))))))</f>
        <v>Judgment of conviction was reversed or vacated and charges were dismissed or found not guilty on retrial.</v>
      </c>
    </row>
    <row r="2223" spans="2:92" hidden="1" x14ac:dyDescent="0.25">
      <c r="B2223" s="390" t="str">
        <f>B1076</f>
        <v xml:space="preserve">Standard </v>
      </c>
      <c r="D2223" s="446" t="str">
        <f>IF($D$1065=B2242,AS2242,IF($D$1065=B2243,AS2243,IF($D$1065=B2244,AS2244,IF($D$1065=B2245,AS2245,IF($D$1065=B2246,AS2246,IF($D$1065=B2247,AS2247,IF($D$1065=B2248,AS2248,IF($D$1065=B2249,AS2249,IF($D$1065=B2250,AS2250,IF($D$1065=B2251,AS2251,IF($D$1065=B2252,AS2252,IF($D$1065=B2253,AS2253,IF($D$1065=B2254,AS2254,IF($D$1065=B2255,AS2255,IF($D$1065=B2256,AS2256,IF($D$1065=B2257,AS2257,IF($D$1065=B2258,AS2258,IF($D$1065=B2259,AS2259,IF($D$1065=B2260,AS2260,IF($D$1065=B2261,AS2261,IF($D$1065=B2262,AS2262,IF($D$1065=B2263,AS2263,IF($D$1065=B2264,AS2264,IF($D$1065=B2265,AS2265,IF($D$1065=B2266,AS2266,IF($D$1065=B2267,AS2267,IF($D$1065=B2268,AS2268,IF($D$1065=B2269,AS2269,IF($D$1065=B2270,AS2270,IF($D$1065=B2271,AS2271,IF($D$1065=B2272,AS2272,IF($D$1065=B2273,AS2273,IF($D$1065=B2274,AS2274,IF($D$1065=B2275,AS2275,IF($D$1065=B2276,AS2276,IF($D$1065=B2277,AS2277,IF($D$1065=B2278,AS2278,IF($D$1065=B2279,AS2279,IF($D$1065=B2280,AS2280,IF($D$1065=B2281,AS2281,IF($D$1065=B2282,AS2282,IF($D$1065=B2283,AS2283,IF($D$1065=B2284,AS2284,IF($D$1065=B2285,AS2285,IF($D$1065=B2286,AS2286,IF($D$1065=B2287,AS2287,IF($D$1065=B2288,AS2288,IF($D$1065=B22742,AS2289,IF($D$1065=B2290,AS2290,IF($D$1065=B2291,AS2291,IF($D$1065=B2292,AS2292,IF($D$1065=B2293,AS2293,AS2240))))))))))))))))))))))))))))))))))))))))))))))))))))</f>
        <v>Clear and convincing</v>
      </c>
    </row>
    <row r="2224" spans="2:92" hidden="1" x14ac:dyDescent="0.25">
      <c r="B2224" s="390" t="str">
        <f>B1080</f>
        <v xml:space="preserve">Determined </v>
      </c>
      <c r="D2224" s="445" t="str">
        <f>IF($D$1065=B2242,AD2242,IF($D$1065=B2243,AD2243,IF($D$1065=B2244,AD2244,IF($D$1065=B2245,AD2245,IF($D$1065=B2246,AD2246,IF($D$1065=B2247,AD2247,IF($D$1065=B2248,AD2248,IF($D$1065=B2249,AD2249,IF($D$1065=B2250,AD2250,IF($D$1065=B2251,AD2251,IF($D$1065=B2252,AD2252,IF($D$1065=B2253,AD2253,IF($D$1065=B2254,AD2254,IF($D$1065=B2255,AD2255,IF($D$1065=B2256,AD2256,IF($D$1065=B2257,AD2257,IF($D$1065=B2258,AD2258,IF($D$1065=B2259,AD2259,IF($D$1065=B2260,AD2260,IF($D$1065=B2261,AD2261,IF($D$1065=B2262,AD2262,IF($D$1065=B2263,AD2263,IF($D$1065=B2264,AD2264,IF($D$1065=B2265,AD2265,IF($D$1065=B2266,AD2266,IF($D$1065=B2267,AD2267,IF($D$1065=B2268,AD2268,IF($D$1065=B2269,AD2269,IF($D$1065=B2270,AD2270,IF($D$1065=B2271,AD2271,IF($D$1065=B2272,AD2272,IF($D$1065=B2273,AD2273,IF($D$1065=B2274,AD2274,IF($D$1065=B2275,AD2275,IF($D$1065=B2276,AD2276,IF($D$1065=B2277,AD2277,IF($D$1065=B2278,AD2278,IF($D$1065=B2279,AD2279,IF($D$1065=B2280,AD2280,IF($D$1065=B2281,AD2281,IF($D$1065=B2282,AD2282,IF($D$1065=B2283,AD2283,IF($D$1065=B2284,AD2284,IF($D$1065=B2285,AD2285,IF($D$1065=B2286,AD2286,IF($D$1065=B2287,AD2287,IF($D$1065=B2288,AD2288,IF($D$1065=B22742,AD2289,IF($D$1065=B2290,AD2290,IF($D$1065=B2291,AD2291,IF($D$1065=B2292,AD2292,IF($D$1065=B2293,AD2293,AD2240))))))))))))))))))))))))))))))))))))))))))))))))))))</f>
        <v>Court of Claims</v>
      </c>
    </row>
    <row r="2225" spans="2:45" hidden="1" x14ac:dyDescent="0.25">
      <c r="B2225" s="390" t="str">
        <f>B1083</f>
        <v>Timely filing</v>
      </c>
      <c r="D2225" s="445" t="str">
        <f>IF($D$1065=B2242,AI2242,IF($D$1065=B2243,AI2243,IF($D$1065=B2244,AI2244,IF($D$1065=B2245,AI2245,IF($D$1065=B2246,AI2246,IF($D$1065=B2247,AI2247,IF($D$1065=B2248,AI2248,IF($D$1065=B2249,AI2249,IF($D$1065=B2250,AI2250,IF($D$1065=B2251,AI2251,IF($D$1065=B2252,AI2252,IF($D$1065=B2253,AI2253,IF($D$1065=B2254,AI2254,IF($D$1065=B2255,AI2255,IF($D$1065=B2256,AI2256,IF($D$1065=B2257,AI2257,IF($D$1065=B2258,AI2258,IF($D$1065=B2259,AI2259,IF($D$1065=B2260,AI2260,IF($D$1065=B2261,AI2261,IF($D$1065=B2262,AI2262,IF($D$1065=B2263,AI2263,IF($D$1065=B2264,AI2264,IF($D$1065=B2265,AI2265,IF($D$1065=B2266,AI2266,IF($D$1065=B2267,AI2267,IF($D$1065=B2268,AI2268,IF($D$1065=B2269,AI2269,IF($D$1065=B2270,AI2270,IF($D$1065=B2271,AI2271,IF($D$1065=B2272,AI2272,IF($D$1065=B2273,AI2273,IF($D$1065=B2274,AI2274,IF($D$1065=B2275,AI2275,IF($D$1065=B2276,AI2276,IF($D$1065=B2277,AI2277,IF($D$1065=B2278,AI2278,IF($D$1065=B2279,AI2279,IF($D$1065=B2280,AI2280,IF($D$1065=B2281,AI2281,IF($D$1065=B2282,AI2282,IF($D$1065=B2283,AI2283,IF($D$1065=B2284,AI2284,IF($D$1065=B2285,AI2285,IF($D$1065=B2286,AI2286,IF($D$1065=B2287,AI2287,IF($D$1065=B2288,AI2288,IF($D$1065=B22742,AI2289,IF($D$1065=B2290,AI2290,IF($D$1065=B2291,AI2291,IF($D$1065=B2292,AI2292,IF($D$1065=B2293,AI2293,AI2240))))))))))))))))))))))))))))))))))))))))))))))))))))</f>
        <v>3 years</v>
      </c>
    </row>
    <row r="2226" spans="2:45" hidden="1" x14ac:dyDescent="0.25">
      <c r="B2226" s="390" t="str">
        <f>B1085</f>
        <v xml:space="preserve">Maximum </v>
      </c>
      <c r="D2226" s="446" t="str">
        <f>IF($D$1065=B2242,D2242,IF($D$1065=B2243,D2243,IF($D$1065=B2244,D2244,IF($D$1065=B2245,D2245,IF($D$1065=B2246,D2246,IF($D$1065=B2247,D2247,IF($D$1065=B2248,D2248,IF($D$1065=B2249,D2249,IF($D$1065=B2250,D2250,IF($D$1065=B2251,D2251,IF($D$1065=B2252,D2252,IF($D$1065=B2253,D2253,IF($D$1065=B2254,D2254,IF($D$1065=B2255,D2255,IF($D$1065=B2256,D2256,IF($D$1065=B2257,D2257,IF($D$1065=B2258,D2258,IF($D$1065=B2259,D2259,IF($D$1065=B2260,D2260,IF($D$1065=B2261,D2261,IF($D$1065=B2262,D2262,IF($D$1065=B2263,D2263,IF($D$1065=B2264,D2264,IF($D$1065=B2265,D2265,IF($D$1065=B2266,D2266,IF($D$1065=B2267,D2267,IF($D$1065=B2268,D2268,IF($D$1065=B2269,D2269,IF($D$1065=B2270,D2270,IF($D$1065=B2271,D2271,IF($D$1065=B2272,D2272,IF($D$1065=B2273,D2273,IF($D$1065=B2274,D2274,IF($D$1065=B2275,D2275,IF($D$1065=B2276,D2276,IF($D$1065=B2277,D2277,IF($D$1065=B2278,D2278,IF($D$1065=B2279,D2279,IF($D$1065=B2280,D2280,IF($D$1065=B2281,D2281,IF($D$1065=B2282,D2282,IF($D$1065=B2283,D2283,IF($D$1065=B2284,D2284,IF($D$1065=B2285,D2285,IF($D$1065=B2286,D2286,IF($D$1065=B2287,D2287,IF($D$1065=B2288,D2288,IF($D$1065=B22742,D2289,IF($D$1065=B2290,D2290,IF($D$1065=B2291,D2291,IF($D$1065=B2292,D2292,IF($D$1065=B2293,D2293,D2240))))))))))))))))))))))))))))))))))))))))))))))))))))</f>
        <v>not provided</v>
      </c>
    </row>
    <row r="2227" spans="2:45" hidden="1" x14ac:dyDescent="0.25">
      <c r="B2227" s="390" t="str">
        <f>B1088</f>
        <v xml:space="preserve">Per year </v>
      </c>
      <c r="D2227" s="446">
        <f>IF($D$1065=B2242,C2242,IF($D$1065=B2243,C2243,IF($D$1065=B2244,C2244,IF($D$1065=B2245,C2245,IF($D$1065=B2246,C2246,IF($D$1065=B2247,C2247,IF($D$1065=B2248,C2248,IF($D$1065=B2249,C2249,IF($D$1065=B2250,C2250,IF($D$1065=B2251,C2251,IF($D$1065=B2252,C2252,IF($D$1065=B2253,C2253,IF($D$1065=B2254,C2254,IF($D$1065=B2255,C2255,IF($D$1065=B2256,C2256,IF($D$1065=B2257,C2257,IF($D$1065=B2258,C2258,IF($D$1065=B2259,C2259,IF($D$1065=B2260,C2260,IF($D$1065=B2261,C2261,IF($D$1065=B2262,C2262,IF($D$1065=B2263,C2263,IF($D$1065=B2264,C2264,IF($D$1065=B2265,C2265,IF($D$1065=B2266,C2266,IF($D$1065=B2267,C2267,IF($D$1065=B2268,C2268,IF($D$1065=B2269,C2269,IF($D$1065=B2270,C2270,IF($D$1065=B2271,C2271,IF($D$1065=B2272,C2272,IF($D$1065=B2273,C2273,IF($D$1065=B2274,C2274,IF($D$1065=B2275,C2275,IF($D$1065=B2276,C2276,IF($D$1065=B2277,C2277,IF($D$1065=B2278,C2278,IF($D$1065=B2279,C2279,IF($D$1065=B2280,C2280,IF($D$1065=B2281,C2281,IF($D$1065=B2282,C2282,IF($D$1065=B2283,C2283,IF($D$1065=B2284,C2284,IF($D$1065=B2285,C2285,IF($D$1065=B2286,C2286,IF($D$1065=B2287,C2287,IF($D$1065=B2288,C2288,IF($D$1065=B22742,C2289,IF($D$1065=B2290,C2290,IF($D$1065=B2291,C2291,IF($D$1065=B2292,C2292,IF($D$1065=B2293,C2293,C2240))))))))))))))))))))))))))))))))))))))))))))))))))))</f>
        <v>50000</v>
      </c>
    </row>
    <row r="2228" spans="2:45" hidden="1" x14ac:dyDescent="0.25">
      <c r="B2228" s="390" t="str">
        <f>B1091</f>
        <v xml:space="preserve">Future civil </v>
      </c>
      <c r="D2228" s="446" t="str">
        <f>IF($D$1065=B2242,AK2242,IF($D$1065=B2243,AK2243,IF($D$1065=B2244,AK2244,IF($D$1065=B2245,AK2245,IF($D$1065=B2246,AK2246,IF($D$1065=B2247,AK2247,IF($D$1065=B2248,AK2248,IF($D$1065=B2249,AK2249,IF($D$1065=B2250,AK2250,IF($D$1065=B2251,AK2251,IF($D$1065=B2252,AK2252,IF($D$1065=B2253,AK2253,IF($D$1065=B2254,AK2254,IF($D$1065=B2255,AK2255,IF($D$1065=B2256,AK2256,IF($D$1065=B2257,AK2257,IF($D$1065=B2258,AK2258,IF($D$1065=B2259,AK2259,IF($D$1065=B2260,AK2260,IF($D$1065=B2261,AK2261,IF($D$1065=B2262,AK2262,IF($D$1065=B2263,AK2263,IF($D$1065=B2264,AK2264,IF($D$1065=B2265,AK2265,IF($D$1065=B2266,AK2266,IF($D$1065=B2267,AK2267,IF($D$1065=B2268,AK2268,IF($D$1065=B2269,AK2269,IF($D$1065=B2270,AK2270,IF($D$1065=B2271,AK2271,IF($D$1065=B2272,AK2272,IF($D$1065=B2273,AK2273,IF($D$1065=B2274,AK2274,IF($D$1065=B2275,AK2275,IF($D$1065=B2276,AK2276,IF($D$1065=B2277,AK2277,IF($D$1065=B2278,AK2278,IF($D$1065=B2279,AK2279,IF($D$1065=B2280,AK2280,IF($D$1065=B2281,AK2281,IF($D$1065=B2282,AK2282,IF($D$1065=B2283,AK2283,IF($D$1065=B2284,AK2284,IF($D$1065=B2285,AK2285,IF($D$1065=B2286,AK2286,IF($D$1065=B2287,AK2287,IF($D$1065=B2288,AK2288,IF($D$1065=B22742,AK2289,IF($D$1065=B2290,AK2290,IF($D$1065=B2291,AK2291,IF($D$1065=B2292,AK2292,IF($D$1065=B2293,AK2293,AK2240))))))))))))))))))))))))))))))))))))))))))))))))))))</f>
        <v>conditional</v>
      </c>
    </row>
    <row r="2229" spans="2:45" hidden="1" x14ac:dyDescent="0.25">
      <c r="D2229" s="371"/>
    </row>
    <row r="2230" spans="2:45" hidden="1" x14ac:dyDescent="0.25">
      <c r="D2230" s="371"/>
    </row>
    <row r="2231" spans="2:45" hidden="1" x14ac:dyDescent="0.25">
      <c r="D2231" s="371"/>
    </row>
    <row r="2232" spans="2:45" hidden="1" x14ac:dyDescent="0.25"/>
    <row r="2233" spans="2:45" hidden="1" x14ac:dyDescent="0.25">
      <c r="D2233" s="371"/>
    </row>
    <row r="2234" spans="2:45" hidden="1" x14ac:dyDescent="0.25"/>
    <row r="2235" spans="2:45" hidden="1" x14ac:dyDescent="0.25"/>
    <row r="2236" spans="2:45" hidden="1" x14ac:dyDescent="0.25"/>
    <row r="2237" spans="2:45" hidden="1" x14ac:dyDescent="0.25"/>
    <row r="2238" spans="2:45" hidden="1" x14ac:dyDescent="0.25"/>
    <row r="2239" spans="2:45" hidden="1" x14ac:dyDescent="0.25"/>
    <row r="2240" spans="2:45" hidden="1" x14ac:dyDescent="0.25">
      <c r="B2240" s="447"/>
      <c r="C2240" s="6" t="s">
        <v>512</v>
      </c>
      <c r="D2240" s="6" t="s">
        <v>1127</v>
      </c>
      <c r="AB2240" s="448" t="s">
        <v>1128</v>
      </c>
      <c r="AD2240" s="6" t="s">
        <v>1129</v>
      </c>
      <c r="AI2240" s="6" t="s">
        <v>1130</v>
      </c>
      <c r="AO2240" s="6" t="s">
        <v>1130</v>
      </c>
      <c r="AS2240" s="6" t="s">
        <v>1130</v>
      </c>
    </row>
    <row r="2241" spans="1:63" ht="15.6" hidden="1" x14ac:dyDescent="0.3">
      <c r="A2241" s="449" t="s">
        <v>1131</v>
      </c>
      <c r="B2241" s="450" t="s">
        <v>1132</v>
      </c>
      <c r="C2241" s="449" t="s">
        <v>1133</v>
      </c>
      <c r="D2241" s="449" t="s">
        <v>1134</v>
      </c>
      <c r="E2241" s="60" t="s">
        <v>1135</v>
      </c>
      <c r="F2241" s="449"/>
      <c r="G2241" s="5" t="s">
        <v>1136</v>
      </c>
      <c r="AB2241" s="449" t="s">
        <v>799</v>
      </c>
      <c r="AC2241" s="449"/>
      <c r="AD2241" s="449" t="s">
        <v>1137</v>
      </c>
      <c r="AF2241" s="451" t="s">
        <v>1138</v>
      </c>
      <c r="AG2241" s="60" t="s">
        <v>1139</v>
      </c>
      <c r="AK2241" s="60" t="s">
        <v>1140</v>
      </c>
      <c r="AO2241" s="60" t="s">
        <v>1141</v>
      </c>
      <c r="AS2241" s="60" t="s">
        <v>1142</v>
      </c>
      <c r="BG2241" s="452">
        <f>MAX(BG2242:BG2292)</f>
        <v>2200</v>
      </c>
      <c r="BH2241" s="335">
        <f>MAX(BH2242:BH2292)</f>
        <v>24413</v>
      </c>
      <c r="BI2241" s="322">
        <f>MAX(BI2242:BI2292)</f>
        <v>2034.4166666666667</v>
      </c>
      <c r="BJ2241" s="335">
        <f>MAX(BJ2242:BJ2292)</f>
        <v>469.48076923076923</v>
      </c>
      <c r="BK2241" s="453">
        <f>MAX(BK2242:BK2292)</f>
        <v>0.91733363393830081</v>
      </c>
    </row>
    <row r="2242" spans="1:63" ht="15.6" hidden="1" x14ac:dyDescent="0.3">
      <c r="A2242" s="454" t="s">
        <v>1143</v>
      </c>
      <c r="B2242" s="455" t="s">
        <v>1144</v>
      </c>
      <c r="C2242" s="456">
        <v>50000</v>
      </c>
      <c r="D2242" s="456"/>
      <c r="E2242" s="6">
        <v>50000</v>
      </c>
      <c r="G2242" s="457"/>
      <c r="H2242" s="457"/>
      <c r="I2242" s="457"/>
      <c r="J2242" s="457"/>
      <c r="K2242" s="457"/>
      <c r="L2242" s="457"/>
      <c r="M2242" s="457"/>
      <c r="N2242" s="457"/>
      <c r="O2242" s="457"/>
      <c r="P2242" s="457"/>
      <c r="Q2242" s="457"/>
      <c r="R2242" s="457"/>
      <c r="S2242" s="457"/>
      <c r="T2242" s="457"/>
      <c r="U2242" s="457"/>
      <c r="V2242" s="457"/>
      <c r="W2242" s="457"/>
      <c r="X2242" s="457"/>
      <c r="Y2242" s="457"/>
      <c r="Z2242" s="457"/>
      <c r="AB2242" s="6" t="s">
        <v>1145</v>
      </c>
      <c r="AC2242" s="262" t="s">
        <v>966</v>
      </c>
      <c r="AD2242" s="6" t="s">
        <v>1146</v>
      </c>
      <c r="AF2242" s="458">
        <v>2</v>
      </c>
      <c r="AG2242" s="6">
        <v>2</v>
      </c>
      <c r="AH2242" s="6" t="s">
        <v>1147</v>
      </c>
      <c r="AI2242" s="6" t="str">
        <f>CONCATENATE(AG2242,AH2242)</f>
        <v>2 years</v>
      </c>
      <c r="AK2242" s="6" t="s">
        <v>1148</v>
      </c>
      <c r="AL2242" s="459"/>
      <c r="AO2242" s="6" t="s">
        <v>1149</v>
      </c>
      <c r="AR2242" s="262" t="s">
        <v>966</v>
      </c>
      <c r="AS2242" s="6" t="s">
        <v>1150</v>
      </c>
      <c r="AW2242" s="262" t="s">
        <v>966</v>
      </c>
      <c r="BB2242" s="335">
        <f t="shared" ref="BB2242:BB2292" ca="1" si="68">MIN(((C2242*$AE$264)+($AE$271*G2242)),D2242)</f>
        <v>600000</v>
      </c>
      <c r="BF2242" s="460">
        <v>23606</v>
      </c>
      <c r="BG2242" s="452">
        <f t="shared" ref="BG2242:BG2273" si="69">IF($B$208=$B2242,$B$1101,0)</f>
        <v>0</v>
      </c>
      <c r="BH2242" s="452">
        <f>IF(BG2242=0,0,BF2242-BG2242)</f>
        <v>0</v>
      </c>
      <c r="BI2242" s="162">
        <f>BH2242/12</f>
        <v>0</v>
      </c>
      <c r="BJ2242" s="136">
        <f>BH2242/52</f>
        <v>0</v>
      </c>
      <c r="BK2242" s="453">
        <f>IF(BH2242=0,0,BH2242/BF2242)</f>
        <v>0</v>
      </c>
    </row>
    <row r="2243" spans="1:63" ht="15.6" hidden="1" x14ac:dyDescent="0.25">
      <c r="A2243" s="454" t="s">
        <v>1151</v>
      </c>
      <c r="B2243" s="455" t="s">
        <v>1152</v>
      </c>
      <c r="C2243" s="456">
        <v>0</v>
      </c>
      <c r="D2243" s="456"/>
      <c r="G2243" s="457"/>
      <c r="H2243" s="457"/>
      <c r="I2243" s="457"/>
      <c r="J2243" s="457"/>
      <c r="K2243" s="457"/>
      <c r="L2243" s="457"/>
      <c r="M2243" s="457"/>
      <c r="N2243" s="457"/>
      <c r="O2243" s="457"/>
      <c r="P2243" s="457"/>
      <c r="Q2243" s="457"/>
      <c r="R2243" s="457"/>
      <c r="S2243" s="457"/>
      <c r="T2243" s="457"/>
      <c r="U2243" s="457"/>
      <c r="V2243" s="457"/>
      <c r="W2243" s="457"/>
      <c r="X2243" s="457"/>
      <c r="Y2243" s="457"/>
      <c r="Z2243" s="457"/>
      <c r="AA2243" s="448"/>
      <c r="AB2243" s="448" t="s">
        <v>1128</v>
      </c>
      <c r="AC2243" s="262" t="s">
        <v>966</v>
      </c>
      <c r="AF2243" s="458"/>
      <c r="AR2243" s="262" t="s">
        <v>966</v>
      </c>
      <c r="AW2243" s="262" t="s">
        <v>966</v>
      </c>
      <c r="BB2243" s="335">
        <f t="shared" ca="1" si="68"/>
        <v>0</v>
      </c>
      <c r="BF2243" s="460">
        <v>33062</v>
      </c>
      <c r="BG2243" s="452">
        <f t="shared" si="69"/>
        <v>0</v>
      </c>
      <c r="BH2243" s="452">
        <f t="shared" ref="BH2243:BH2292" si="70">IF(BG2243=0,0,BF2243-BG2243)</f>
        <v>0</v>
      </c>
      <c r="BI2243" s="162">
        <f t="shared" ref="BI2243:BI2293" si="71">BH2243/12</f>
        <v>0</v>
      </c>
      <c r="BJ2243" s="136">
        <f t="shared" ref="BJ2243:BJ2293" si="72">BH2243/52</f>
        <v>0</v>
      </c>
      <c r="BK2243" s="453">
        <f t="shared" ref="BK2243:BK2293" si="73">IF(BH2243=0,0,BH2243/BF2243)</f>
        <v>0</v>
      </c>
    </row>
    <row r="2244" spans="1:63" ht="15.6" hidden="1" x14ac:dyDescent="0.25">
      <c r="A2244" s="454" t="s">
        <v>1153</v>
      </c>
      <c r="B2244" s="455" t="s">
        <v>1154</v>
      </c>
      <c r="C2244" s="456">
        <v>0</v>
      </c>
      <c r="D2244" s="456"/>
      <c r="G2244" s="457"/>
      <c r="H2244" s="457"/>
      <c r="I2244" s="457"/>
      <c r="J2244" s="457"/>
      <c r="K2244" s="457"/>
      <c r="L2244" s="457"/>
      <c r="M2244" s="457"/>
      <c r="N2244" s="457"/>
      <c r="O2244" s="457"/>
      <c r="P2244" s="457"/>
      <c r="Q2244" s="457"/>
      <c r="R2244" s="457"/>
      <c r="S2244" s="457"/>
      <c r="T2244" s="457"/>
      <c r="U2244" s="457"/>
      <c r="V2244" s="457"/>
      <c r="W2244" s="457"/>
      <c r="X2244" s="457"/>
      <c r="Y2244" s="457"/>
      <c r="Z2244" s="457"/>
      <c r="AA2244" s="448"/>
      <c r="AB2244" s="448" t="s">
        <v>1128</v>
      </c>
      <c r="AC2244" s="262" t="s">
        <v>966</v>
      </c>
      <c r="AF2244" s="458"/>
      <c r="AR2244" s="262" t="s">
        <v>966</v>
      </c>
      <c r="AW2244" s="262" t="s">
        <v>966</v>
      </c>
      <c r="BB2244" s="335">
        <f t="shared" ca="1" si="68"/>
        <v>0</v>
      </c>
      <c r="BF2244" s="460">
        <v>25715</v>
      </c>
      <c r="BG2244" s="452">
        <f t="shared" si="69"/>
        <v>0</v>
      </c>
      <c r="BH2244" s="452">
        <f t="shared" si="70"/>
        <v>0</v>
      </c>
      <c r="BI2244" s="162">
        <f t="shared" si="71"/>
        <v>0</v>
      </c>
      <c r="BJ2244" s="136">
        <f t="shared" si="72"/>
        <v>0</v>
      </c>
      <c r="BK2244" s="453">
        <f t="shared" si="73"/>
        <v>0</v>
      </c>
    </row>
    <row r="2245" spans="1:63" ht="15.6" hidden="1" x14ac:dyDescent="0.25">
      <c r="A2245" s="454" t="s">
        <v>1155</v>
      </c>
      <c r="B2245" s="455" t="s">
        <v>1156</v>
      </c>
      <c r="C2245" s="456">
        <v>0</v>
      </c>
      <c r="D2245" s="456"/>
      <c r="G2245" s="457"/>
      <c r="H2245" s="457"/>
      <c r="I2245" s="457"/>
      <c r="J2245" s="457"/>
      <c r="K2245" s="457"/>
      <c r="L2245" s="457"/>
      <c r="M2245" s="457"/>
      <c r="N2245" s="457"/>
      <c r="O2245" s="457"/>
      <c r="P2245" s="457"/>
      <c r="Q2245" s="457"/>
      <c r="R2245" s="457"/>
      <c r="S2245" s="457"/>
      <c r="T2245" s="457"/>
      <c r="U2245" s="457"/>
      <c r="V2245" s="457"/>
      <c r="W2245" s="457"/>
      <c r="X2245" s="457"/>
      <c r="Y2245" s="457"/>
      <c r="Z2245" s="457"/>
      <c r="AA2245" s="448"/>
      <c r="AB2245" s="448" t="s">
        <v>1128</v>
      </c>
      <c r="AC2245" s="262" t="s">
        <v>966</v>
      </c>
      <c r="AF2245" s="458"/>
      <c r="AR2245" s="262" t="s">
        <v>966</v>
      </c>
      <c r="AW2245" s="262" t="s">
        <v>966</v>
      </c>
      <c r="BB2245" s="335">
        <f t="shared" ca="1" si="68"/>
        <v>0</v>
      </c>
      <c r="BF2245" s="460">
        <v>22883</v>
      </c>
      <c r="BG2245" s="452">
        <f t="shared" si="69"/>
        <v>0</v>
      </c>
      <c r="BH2245" s="452">
        <f t="shared" si="70"/>
        <v>0</v>
      </c>
      <c r="BI2245" s="162">
        <f t="shared" si="71"/>
        <v>0</v>
      </c>
      <c r="BJ2245" s="136">
        <f t="shared" si="72"/>
        <v>0</v>
      </c>
      <c r="BK2245" s="453">
        <f t="shared" si="73"/>
        <v>0</v>
      </c>
    </row>
    <row r="2246" spans="1:63" ht="15.6" hidden="1" x14ac:dyDescent="0.25">
      <c r="A2246" s="454" t="s">
        <v>1157</v>
      </c>
      <c r="B2246" s="455" t="s">
        <v>1158</v>
      </c>
      <c r="C2246" s="456">
        <f>140*365.25</f>
        <v>51135</v>
      </c>
      <c r="D2246" s="456"/>
      <c r="G2246" s="457"/>
      <c r="H2246" s="457"/>
      <c r="I2246" s="457"/>
      <c r="J2246" s="457"/>
      <c r="K2246" s="457"/>
      <c r="L2246" s="457"/>
      <c r="M2246" s="457"/>
      <c r="N2246" s="457"/>
      <c r="O2246" s="457"/>
      <c r="P2246" s="457"/>
      <c r="Q2246" s="457"/>
      <c r="R2246" s="457"/>
      <c r="S2246" s="457"/>
      <c r="T2246" s="457"/>
      <c r="U2246" s="457"/>
      <c r="V2246" s="457"/>
      <c r="W2246" s="457"/>
      <c r="X2246" s="457"/>
      <c r="Y2246" s="457"/>
      <c r="Z2246" s="457"/>
      <c r="AB2246" s="6" t="s">
        <v>1159</v>
      </c>
      <c r="AC2246" s="262" t="s">
        <v>966</v>
      </c>
      <c r="AD2246" s="6" t="s">
        <v>1160</v>
      </c>
      <c r="AF2246" s="458">
        <v>2</v>
      </c>
      <c r="AG2246" s="6">
        <v>2</v>
      </c>
      <c r="AH2246" s="6" t="s">
        <v>1147</v>
      </c>
      <c r="AI2246" s="6" t="str">
        <f>CONCATENATE(AG2246,AH2246)</f>
        <v>2 years</v>
      </c>
      <c r="AK2246" s="6" t="s">
        <v>1148</v>
      </c>
      <c r="AO2246" s="6" t="s">
        <v>1161</v>
      </c>
      <c r="AR2246" s="262" t="s">
        <v>966</v>
      </c>
      <c r="AS2246" s="6" t="s">
        <v>1150</v>
      </c>
      <c r="AW2246" s="262" t="s">
        <v>966</v>
      </c>
      <c r="BB2246" s="335">
        <f t="shared" ca="1" si="68"/>
        <v>613620</v>
      </c>
      <c r="BF2246" s="460">
        <v>30441</v>
      </c>
      <c r="BG2246" s="452">
        <f t="shared" si="69"/>
        <v>0</v>
      </c>
      <c r="BH2246" s="452">
        <f t="shared" si="70"/>
        <v>0</v>
      </c>
      <c r="BI2246" s="162">
        <f t="shared" si="71"/>
        <v>0</v>
      </c>
      <c r="BJ2246" s="136">
        <f t="shared" si="72"/>
        <v>0</v>
      </c>
      <c r="BK2246" s="453">
        <f t="shared" si="73"/>
        <v>0</v>
      </c>
    </row>
    <row r="2247" spans="1:63" ht="15.6" hidden="1" x14ac:dyDescent="0.25">
      <c r="A2247" s="454" t="s">
        <v>1162</v>
      </c>
      <c r="B2247" s="455" t="s">
        <v>1163</v>
      </c>
      <c r="C2247" s="456">
        <v>70000</v>
      </c>
      <c r="D2247" s="456"/>
      <c r="G2247" s="457">
        <v>25000</v>
      </c>
      <c r="H2247" s="457"/>
      <c r="I2247" s="457"/>
      <c r="J2247" s="457"/>
      <c r="K2247" s="457"/>
      <c r="L2247" s="457"/>
      <c r="M2247" s="457"/>
      <c r="N2247" s="457"/>
      <c r="O2247" s="457"/>
      <c r="P2247" s="457"/>
      <c r="Q2247" s="457"/>
      <c r="R2247" s="457"/>
      <c r="S2247" s="457"/>
      <c r="T2247" s="457"/>
      <c r="U2247" s="457"/>
      <c r="V2247" s="457"/>
      <c r="W2247" s="457"/>
      <c r="X2247" s="457"/>
      <c r="Y2247" s="457"/>
      <c r="Z2247" s="457"/>
      <c r="AB2247" s="6" t="s">
        <v>1164</v>
      </c>
      <c r="AC2247" s="262" t="s">
        <v>966</v>
      </c>
      <c r="AD2247" s="6" t="s">
        <v>1165</v>
      </c>
      <c r="AF2247" s="458">
        <v>2</v>
      </c>
      <c r="AG2247" s="6">
        <v>2</v>
      </c>
      <c r="AH2247" s="6" t="s">
        <v>1147</v>
      </c>
      <c r="AI2247" s="6" t="str">
        <f>CONCATENATE(AG2247,AH2247)</f>
        <v>2 years</v>
      </c>
      <c r="AK2247" s="6" t="s">
        <v>1148</v>
      </c>
      <c r="AO2247" s="448" t="s">
        <v>1166</v>
      </c>
      <c r="AR2247" s="262" t="s">
        <v>966</v>
      </c>
      <c r="AS2247" s="6" t="s">
        <v>1167</v>
      </c>
      <c r="AW2247" s="262" t="s">
        <v>966</v>
      </c>
      <c r="BB2247" s="335">
        <f t="shared" ca="1" si="68"/>
        <v>1240000</v>
      </c>
      <c r="BF2247" s="460">
        <v>32357</v>
      </c>
      <c r="BG2247" s="452">
        <f t="shared" si="69"/>
        <v>0</v>
      </c>
      <c r="BH2247" s="452">
        <f t="shared" si="70"/>
        <v>0</v>
      </c>
      <c r="BI2247" s="162">
        <f t="shared" si="71"/>
        <v>0</v>
      </c>
      <c r="BJ2247" s="136">
        <f t="shared" si="72"/>
        <v>0</v>
      </c>
      <c r="BK2247" s="453">
        <f t="shared" si="73"/>
        <v>0</v>
      </c>
    </row>
    <row r="2248" spans="1:63" ht="15.6" hidden="1" x14ac:dyDescent="0.25">
      <c r="A2248" s="454" t="s">
        <v>1168</v>
      </c>
      <c r="B2248" s="455" t="s">
        <v>1169</v>
      </c>
      <c r="C2248" s="456">
        <f>ROUND((94449*2),-3)</f>
        <v>189000</v>
      </c>
      <c r="D2248" s="456"/>
      <c r="G2248" s="457"/>
      <c r="H2248" s="457"/>
      <c r="I2248" s="457"/>
      <c r="J2248" s="457"/>
      <c r="K2248" s="457"/>
      <c r="L2248" s="457"/>
      <c r="M2248" s="457"/>
      <c r="N2248" s="457"/>
      <c r="O2248" s="457"/>
      <c r="P2248" s="457"/>
      <c r="Q2248" s="457"/>
      <c r="R2248" s="457"/>
      <c r="S2248" s="457"/>
      <c r="T2248" s="457"/>
      <c r="U2248" s="457"/>
      <c r="V2248" s="457"/>
      <c r="W2248" s="457"/>
      <c r="X2248" s="457"/>
      <c r="Y2248" s="457"/>
      <c r="Z2248" s="457"/>
      <c r="AB2248" s="6" t="s">
        <v>1170</v>
      </c>
      <c r="AC2248" s="262" t="s">
        <v>966</v>
      </c>
      <c r="AD2248" s="6" t="s">
        <v>1171</v>
      </c>
      <c r="AF2248" s="458">
        <v>2</v>
      </c>
      <c r="AG2248" s="6">
        <v>2</v>
      </c>
      <c r="AH2248" s="6" t="s">
        <v>1147</v>
      </c>
      <c r="AI2248" s="6" t="str">
        <f>CONCATENATE(AG2248,AH2248)</f>
        <v>2 years</v>
      </c>
      <c r="AK2248" s="6" t="s">
        <v>1172</v>
      </c>
      <c r="AO2248" s="6" t="s">
        <v>1173</v>
      </c>
      <c r="AR2248" s="262" t="s">
        <v>966</v>
      </c>
      <c r="AS2248" s="6" t="s">
        <v>1174</v>
      </c>
      <c r="AW2248" s="262" t="s">
        <v>966</v>
      </c>
      <c r="BB2248" s="335">
        <f t="shared" ca="1" si="68"/>
        <v>2268000</v>
      </c>
      <c r="BF2248" s="460">
        <v>39373</v>
      </c>
      <c r="BG2248" s="452">
        <f t="shared" si="69"/>
        <v>0</v>
      </c>
      <c r="BH2248" s="452">
        <f t="shared" si="70"/>
        <v>0</v>
      </c>
      <c r="BI2248" s="162">
        <f t="shared" si="71"/>
        <v>0</v>
      </c>
      <c r="BJ2248" s="136">
        <f t="shared" si="72"/>
        <v>0</v>
      </c>
      <c r="BK2248" s="453">
        <f t="shared" si="73"/>
        <v>0</v>
      </c>
    </row>
    <row r="2249" spans="1:63" ht="15.6" hidden="1" x14ac:dyDescent="0.25">
      <c r="A2249" s="454" t="s">
        <v>1175</v>
      </c>
      <c r="B2249" s="455" t="s">
        <v>1176</v>
      </c>
      <c r="C2249" s="456">
        <v>0</v>
      </c>
      <c r="D2249" s="456"/>
      <c r="G2249" s="457"/>
      <c r="H2249" s="457"/>
      <c r="I2249" s="457"/>
      <c r="J2249" s="457"/>
      <c r="K2249" s="457"/>
      <c r="L2249" s="457"/>
      <c r="M2249" s="457"/>
      <c r="N2249" s="457"/>
      <c r="O2249" s="457"/>
      <c r="P2249" s="457"/>
      <c r="Q2249" s="457"/>
      <c r="R2249" s="457"/>
      <c r="S2249" s="457"/>
      <c r="T2249" s="457"/>
      <c r="U2249" s="457"/>
      <c r="V2249" s="457"/>
      <c r="W2249" s="457"/>
      <c r="X2249" s="457"/>
      <c r="Y2249" s="457"/>
      <c r="Z2249" s="457"/>
      <c r="AA2249" s="448"/>
      <c r="AB2249" s="448" t="s">
        <v>1128</v>
      </c>
      <c r="AC2249" s="262" t="s">
        <v>966</v>
      </c>
      <c r="AF2249" s="458"/>
      <c r="AR2249" s="262" t="s">
        <v>966</v>
      </c>
      <c r="AW2249" s="262" t="s">
        <v>966</v>
      </c>
      <c r="BB2249" s="335">
        <f t="shared" ca="1" si="68"/>
        <v>0</v>
      </c>
      <c r="BF2249" s="460">
        <v>30488</v>
      </c>
      <c r="BG2249" s="452">
        <f t="shared" si="69"/>
        <v>0</v>
      </c>
      <c r="BH2249" s="452">
        <f t="shared" si="70"/>
        <v>0</v>
      </c>
      <c r="BI2249" s="162">
        <f t="shared" si="71"/>
        <v>0</v>
      </c>
      <c r="BJ2249" s="136">
        <f t="shared" si="72"/>
        <v>0</v>
      </c>
      <c r="BK2249" s="453">
        <f t="shared" si="73"/>
        <v>0</v>
      </c>
    </row>
    <row r="2250" spans="1:63" ht="15.6" hidden="1" x14ac:dyDescent="0.25">
      <c r="A2250" s="461" t="s">
        <v>1177</v>
      </c>
      <c r="B2250" s="462" t="s">
        <v>1178</v>
      </c>
      <c r="C2250" s="463">
        <v>200000</v>
      </c>
      <c r="D2250" s="463"/>
      <c r="G2250" s="457">
        <v>40000</v>
      </c>
      <c r="H2250" s="457"/>
      <c r="I2250" s="457"/>
      <c r="J2250" s="457"/>
      <c r="K2250" s="457"/>
      <c r="L2250" s="457"/>
      <c r="M2250" s="457"/>
      <c r="N2250" s="457"/>
      <c r="O2250" s="457"/>
      <c r="P2250" s="457"/>
      <c r="Q2250" s="457"/>
      <c r="R2250" s="457"/>
      <c r="S2250" s="457"/>
      <c r="T2250" s="457"/>
      <c r="U2250" s="457"/>
      <c r="V2250" s="457"/>
      <c r="W2250" s="457"/>
      <c r="X2250" s="457"/>
      <c r="Y2250" s="457"/>
      <c r="Z2250" s="457"/>
      <c r="AB2250" s="6" t="s">
        <v>1179</v>
      </c>
      <c r="AC2250" s="262" t="s">
        <v>966</v>
      </c>
      <c r="AD2250" s="6" t="s">
        <v>1180</v>
      </c>
      <c r="AF2250" s="458"/>
      <c r="AG2250" s="360"/>
      <c r="AI2250" s="371" t="s">
        <v>1181</v>
      </c>
      <c r="AK2250" s="6" t="s">
        <v>1148</v>
      </c>
      <c r="AO2250" s="6" t="s">
        <v>1182</v>
      </c>
      <c r="AR2250" s="262" t="s">
        <v>966</v>
      </c>
      <c r="AS2250" s="6" t="s">
        <v>1167</v>
      </c>
      <c r="AW2250" s="262" t="s">
        <v>966</v>
      </c>
      <c r="BB2250" s="335">
        <f t="shared" ca="1" si="68"/>
        <v>3040000</v>
      </c>
      <c r="BF2250" s="460">
        <v>45877</v>
      </c>
      <c r="BG2250" s="452">
        <f t="shared" si="69"/>
        <v>0</v>
      </c>
      <c r="BH2250" s="452">
        <f t="shared" si="70"/>
        <v>0</v>
      </c>
      <c r="BI2250" s="162">
        <f t="shared" si="71"/>
        <v>0</v>
      </c>
      <c r="BJ2250" s="136">
        <f t="shared" si="72"/>
        <v>0</v>
      </c>
      <c r="BK2250" s="453">
        <f t="shared" si="73"/>
        <v>0</v>
      </c>
    </row>
    <row r="2251" spans="1:63" ht="15.6" hidden="1" x14ac:dyDescent="0.25">
      <c r="A2251" s="454" t="s">
        <v>1183</v>
      </c>
      <c r="B2251" s="455" t="s">
        <v>1184</v>
      </c>
      <c r="C2251" s="456">
        <v>50000</v>
      </c>
      <c r="D2251" s="456">
        <v>2000000</v>
      </c>
      <c r="G2251" s="457"/>
      <c r="H2251" s="457"/>
      <c r="I2251" s="457"/>
      <c r="J2251" s="457"/>
      <c r="K2251" s="457"/>
      <c r="L2251" s="457"/>
      <c r="M2251" s="457"/>
      <c r="N2251" s="457"/>
      <c r="O2251" s="457"/>
      <c r="P2251" s="457"/>
      <c r="Q2251" s="457"/>
      <c r="R2251" s="457"/>
      <c r="S2251" s="457"/>
      <c r="T2251" s="457"/>
      <c r="U2251" s="457"/>
      <c r="V2251" s="457"/>
      <c r="W2251" s="457"/>
      <c r="X2251" s="457"/>
      <c r="Y2251" s="457"/>
      <c r="Z2251" s="457"/>
      <c r="AB2251" s="6" t="s">
        <v>1185</v>
      </c>
      <c r="AC2251" s="262" t="s">
        <v>966</v>
      </c>
      <c r="AD2251" s="448" t="s">
        <v>1186</v>
      </c>
      <c r="AF2251" s="458">
        <v>2</v>
      </c>
      <c r="AG2251" s="6">
        <v>90</v>
      </c>
      <c r="AH2251" s="6" t="s">
        <v>1187</v>
      </c>
      <c r="AI2251" s="6" t="str">
        <f>CONCATENATE(AG2251,AH2251)</f>
        <v>90 days</v>
      </c>
      <c r="AK2251" s="6" t="s">
        <v>1188</v>
      </c>
      <c r="AO2251" s="6" t="s">
        <v>1189</v>
      </c>
      <c r="AR2251" s="262" t="s">
        <v>966</v>
      </c>
      <c r="AS2251" s="6" t="s">
        <v>1190</v>
      </c>
      <c r="AW2251" s="262" t="s">
        <v>966</v>
      </c>
      <c r="BB2251" s="335">
        <f t="shared" ca="1" si="68"/>
        <v>600000</v>
      </c>
      <c r="BF2251" s="460">
        <v>26582</v>
      </c>
      <c r="BG2251" s="452">
        <f t="shared" si="69"/>
        <v>0</v>
      </c>
      <c r="BH2251" s="452">
        <f t="shared" si="70"/>
        <v>0</v>
      </c>
      <c r="BI2251" s="162">
        <f t="shared" si="71"/>
        <v>0</v>
      </c>
      <c r="BJ2251" s="136">
        <f t="shared" si="72"/>
        <v>0</v>
      </c>
      <c r="BK2251" s="453">
        <f t="shared" si="73"/>
        <v>0</v>
      </c>
    </row>
    <row r="2252" spans="1:63" ht="15.6" hidden="1" x14ac:dyDescent="0.25">
      <c r="A2252" s="454" t="s">
        <v>1191</v>
      </c>
      <c r="B2252" s="455" t="s">
        <v>1192</v>
      </c>
      <c r="C2252" s="456"/>
      <c r="D2252" s="456"/>
      <c r="G2252" s="457"/>
      <c r="H2252" s="457"/>
      <c r="I2252" s="457"/>
      <c r="J2252" s="457"/>
      <c r="K2252" s="457"/>
      <c r="L2252" s="457"/>
      <c r="M2252" s="457"/>
      <c r="N2252" s="457"/>
      <c r="O2252" s="457"/>
      <c r="P2252" s="457"/>
      <c r="Q2252" s="457"/>
      <c r="R2252" s="457"/>
      <c r="S2252" s="457"/>
      <c r="T2252" s="457"/>
      <c r="U2252" s="457"/>
      <c r="V2252" s="457"/>
      <c r="W2252" s="457"/>
      <c r="X2252" s="457"/>
      <c r="Y2252" s="457"/>
      <c r="Z2252" s="457"/>
      <c r="AA2252" s="448"/>
      <c r="AB2252" s="448" t="s">
        <v>1128</v>
      </c>
      <c r="AC2252" s="262" t="s">
        <v>966</v>
      </c>
      <c r="AF2252" s="458"/>
      <c r="AR2252" s="262" t="s">
        <v>966</v>
      </c>
      <c r="AW2252" s="262" t="s">
        <v>966</v>
      </c>
      <c r="BB2252" s="335">
        <f t="shared" ca="1" si="68"/>
        <v>0</v>
      </c>
      <c r="BF2252" s="460">
        <v>25615</v>
      </c>
      <c r="BG2252" s="452">
        <f t="shared" si="69"/>
        <v>0</v>
      </c>
      <c r="BH2252" s="452">
        <f t="shared" si="70"/>
        <v>0</v>
      </c>
      <c r="BI2252" s="162">
        <f t="shared" si="71"/>
        <v>0</v>
      </c>
      <c r="BJ2252" s="136">
        <f t="shared" si="72"/>
        <v>0</v>
      </c>
      <c r="BK2252" s="453">
        <f t="shared" si="73"/>
        <v>0</v>
      </c>
    </row>
    <row r="2253" spans="1:63" ht="15.6" hidden="1" x14ac:dyDescent="0.25">
      <c r="A2253" s="454" t="s">
        <v>1193</v>
      </c>
      <c r="B2253" s="455" t="s">
        <v>1194</v>
      </c>
      <c r="C2253" s="456"/>
      <c r="D2253" s="456">
        <f>IF(AE264&lt;=5,85350,IF(AND(AE264&gt;5,AE264&lt;=14),170000,IF(AE264&gt;14,199150,"$85,350 or $170,000 or $199,150")))</f>
        <v>170000</v>
      </c>
      <c r="G2253" s="457"/>
      <c r="H2253" s="457"/>
      <c r="I2253" s="457"/>
      <c r="J2253" s="457"/>
      <c r="K2253" s="457"/>
      <c r="L2253" s="457"/>
      <c r="M2253" s="457"/>
      <c r="N2253" s="457"/>
      <c r="O2253" s="457"/>
      <c r="P2253" s="457"/>
      <c r="Q2253" s="457"/>
      <c r="R2253" s="457"/>
      <c r="S2253" s="457"/>
      <c r="T2253" s="457"/>
      <c r="U2253" s="457"/>
      <c r="V2253" s="457"/>
      <c r="W2253" s="457"/>
      <c r="X2253" s="457"/>
      <c r="Y2253" s="457"/>
      <c r="Z2253" s="457"/>
      <c r="AA2253" s="448"/>
      <c r="AB2253" s="6" t="s">
        <v>1195</v>
      </c>
      <c r="AC2253" s="262" t="s">
        <v>966</v>
      </c>
      <c r="AD2253" s="6" t="s">
        <v>1196</v>
      </c>
      <c r="AF2253" s="458"/>
      <c r="AG2253" s="6">
        <v>2</v>
      </c>
      <c r="AH2253" s="6" t="s">
        <v>1147</v>
      </c>
      <c r="AI2253" s="6" t="str">
        <f>CONCATENATE(AG2253,AH2253)</f>
        <v>2 years</v>
      </c>
      <c r="AK2253" s="6" t="s">
        <v>1188</v>
      </c>
      <c r="AO2253" s="6" t="s">
        <v>1197</v>
      </c>
      <c r="AR2253" s="262" t="s">
        <v>966</v>
      </c>
      <c r="AS2253" s="6" t="s">
        <v>1174</v>
      </c>
      <c r="AW2253" s="262" t="s">
        <v>966</v>
      </c>
      <c r="BB2253" s="335">
        <f t="shared" ca="1" si="68"/>
        <v>0</v>
      </c>
      <c r="BF2253" s="460">
        <v>29736</v>
      </c>
      <c r="BG2253" s="452">
        <f t="shared" si="69"/>
        <v>0</v>
      </c>
      <c r="BH2253" s="452">
        <f t="shared" si="70"/>
        <v>0</v>
      </c>
      <c r="BI2253" s="162">
        <f t="shared" si="71"/>
        <v>0</v>
      </c>
      <c r="BJ2253" s="136">
        <f t="shared" si="72"/>
        <v>0</v>
      </c>
      <c r="BK2253" s="453">
        <f t="shared" si="73"/>
        <v>0</v>
      </c>
    </row>
    <row r="2254" spans="1:63" ht="15.6" hidden="1" x14ac:dyDescent="0.25">
      <c r="A2254" s="454" t="s">
        <v>1198</v>
      </c>
      <c r="B2254" s="455" t="s">
        <v>1199</v>
      </c>
      <c r="C2254" s="456"/>
      <c r="D2254" s="456"/>
      <c r="G2254" s="457"/>
      <c r="H2254" s="457"/>
      <c r="I2254" s="457"/>
      <c r="J2254" s="457"/>
      <c r="K2254" s="457"/>
      <c r="L2254" s="457"/>
      <c r="M2254" s="457"/>
      <c r="N2254" s="457"/>
      <c r="O2254" s="457"/>
      <c r="P2254" s="457"/>
      <c r="Q2254" s="457"/>
      <c r="R2254" s="457"/>
      <c r="S2254" s="457"/>
      <c r="T2254" s="457"/>
      <c r="U2254" s="457"/>
      <c r="V2254" s="457"/>
      <c r="W2254" s="457"/>
      <c r="X2254" s="457"/>
      <c r="Y2254" s="457"/>
      <c r="Z2254" s="457"/>
      <c r="AA2254" s="448"/>
      <c r="AB2254" s="448" t="s">
        <v>1128</v>
      </c>
      <c r="AC2254" s="262" t="s">
        <v>966</v>
      </c>
      <c r="AF2254" s="458"/>
      <c r="AR2254" s="262" t="s">
        <v>966</v>
      </c>
      <c r="AW2254" s="262" t="s">
        <v>966</v>
      </c>
      <c r="BB2254" s="335">
        <f t="shared" ca="1" si="68"/>
        <v>0</v>
      </c>
      <c r="BF2254" s="460">
        <v>23938</v>
      </c>
      <c r="BG2254" s="452">
        <f t="shared" si="69"/>
        <v>0</v>
      </c>
      <c r="BH2254" s="452">
        <f t="shared" si="70"/>
        <v>0</v>
      </c>
      <c r="BI2254" s="162">
        <f t="shared" si="71"/>
        <v>0</v>
      </c>
      <c r="BJ2254" s="136">
        <f t="shared" si="72"/>
        <v>0</v>
      </c>
      <c r="BK2254" s="453">
        <f t="shared" si="73"/>
        <v>0</v>
      </c>
    </row>
    <row r="2255" spans="1:63" ht="15.6" hidden="1" x14ac:dyDescent="0.25">
      <c r="A2255" s="454" t="s">
        <v>1200</v>
      </c>
      <c r="B2255" s="455" t="s">
        <v>1201</v>
      </c>
      <c r="C2255" s="464">
        <f>IF(AND(AE264&gt;0,AE264&lt;5),85350,IF(AND(AE264&gt;5,AE264&lt;14),170000,IF(AND(AE264&gt;14,AE264&lt;199),199500,D2255)))</f>
        <v>170000</v>
      </c>
      <c r="D2255" s="465"/>
      <c r="G2255" s="457"/>
      <c r="H2255" s="457"/>
      <c r="I2255" s="457"/>
      <c r="J2255" s="457"/>
      <c r="K2255" s="457"/>
      <c r="L2255" s="457"/>
      <c r="M2255" s="457"/>
      <c r="N2255" s="457"/>
      <c r="O2255" s="457"/>
      <c r="P2255" s="457"/>
      <c r="Q2255" s="457"/>
      <c r="R2255" s="457"/>
      <c r="S2255" s="457"/>
      <c r="T2255" s="457"/>
      <c r="U2255" s="457"/>
      <c r="V2255" s="457"/>
      <c r="W2255" s="457"/>
      <c r="X2255" s="457"/>
      <c r="Y2255" s="457"/>
      <c r="Z2255" s="457"/>
      <c r="AB2255" s="6" t="s">
        <v>1202</v>
      </c>
      <c r="AC2255" s="262" t="s">
        <v>966</v>
      </c>
      <c r="AD2255" s="6" t="s">
        <v>1203</v>
      </c>
      <c r="AF2255" s="458">
        <v>2</v>
      </c>
      <c r="AG2255" s="6">
        <v>2</v>
      </c>
      <c r="AH2255" s="6" t="s">
        <v>1147</v>
      </c>
      <c r="AI2255" s="6" t="str">
        <f>CONCATENATE(AG2255,AH2255)</f>
        <v>2 years</v>
      </c>
      <c r="AK2255" s="6" t="s">
        <v>1148</v>
      </c>
      <c r="AO2255" s="6" t="s">
        <v>1204</v>
      </c>
      <c r="AR2255" s="262" t="s">
        <v>966</v>
      </c>
      <c r="AS2255" s="6" t="s">
        <v>1174</v>
      </c>
      <c r="AW2255" s="262" t="s">
        <v>966</v>
      </c>
      <c r="BB2255" s="335">
        <f t="shared" ca="1" si="68"/>
        <v>2040000</v>
      </c>
      <c r="BD2255" s="6">
        <f>IF(D2255=1,"varies",C2255)</f>
        <v>170000</v>
      </c>
      <c r="BF2255" s="460">
        <v>30417</v>
      </c>
      <c r="BG2255" s="452">
        <f t="shared" si="69"/>
        <v>0</v>
      </c>
      <c r="BH2255" s="452">
        <f t="shared" si="70"/>
        <v>0</v>
      </c>
      <c r="BI2255" s="162">
        <f t="shared" si="71"/>
        <v>0</v>
      </c>
      <c r="BJ2255" s="136">
        <f t="shared" si="72"/>
        <v>0</v>
      </c>
      <c r="BK2255" s="453">
        <f t="shared" si="73"/>
        <v>0</v>
      </c>
    </row>
    <row r="2256" spans="1:63" ht="15.6" hidden="1" x14ac:dyDescent="0.25">
      <c r="A2256" s="454" t="s">
        <v>1205</v>
      </c>
      <c r="B2256" s="455" t="s">
        <v>1206</v>
      </c>
      <c r="C2256" s="456">
        <v>50000</v>
      </c>
      <c r="D2256" s="456"/>
      <c r="G2256" s="457"/>
      <c r="H2256" s="457"/>
      <c r="I2256" s="457"/>
      <c r="J2256" s="457"/>
      <c r="K2256" s="457"/>
      <c r="L2256" s="457"/>
      <c r="M2256" s="457"/>
      <c r="N2256" s="457"/>
      <c r="O2256" s="457"/>
      <c r="P2256" s="457"/>
      <c r="Q2256" s="457"/>
      <c r="R2256" s="457"/>
      <c r="S2256" s="457"/>
      <c r="T2256" s="457"/>
      <c r="U2256" s="457"/>
      <c r="V2256" s="457"/>
      <c r="W2256" s="457"/>
      <c r="X2256" s="457"/>
      <c r="Y2256" s="457"/>
      <c r="Z2256" s="457"/>
      <c r="AB2256" s="466" t="s">
        <v>1207</v>
      </c>
      <c r="AC2256" s="262" t="s">
        <v>966</v>
      </c>
      <c r="AD2256" s="458" t="s">
        <v>1208</v>
      </c>
      <c r="AF2256" s="458">
        <v>2</v>
      </c>
      <c r="AI2256" s="458" t="str">
        <f>AI2250</f>
        <v>unspecfied</v>
      </c>
      <c r="AK2256" s="467" t="s">
        <v>1208</v>
      </c>
      <c r="AO2256" s="458" t="s">
        <v>1208</v>
      </c>
      <c r="AR2256" s="262" t="s">
        <v>966</v>
      </c>
      <c r="AW2256" s="262" t="s">
        <v>966</v>
      </c>
      <c r="BB2256" s="335">
        <f t="shared" ca="1" si="68"/>
        <v>600000</v>
      </c>
      <c r="BF2256" s="460">
        <v>25140</v>
      </c>
      <c r="BG2256" s="452">
        <f t="shared" si="69"/>
        <v>0</v>
      </c>
      <c r="BH2256" s="452">
        <f t="shared" si="70"/>
        <v>0</v>
      </c>
      <c r="BI2256" s="162">
        <f t="shared" si="71"/>
        <v>0</v>
      </c>
      <c r="BJ2256" s="136">
        <f t="shared" si="72"/>
        <v>0</v>
      </c>
      <c r="BK2256" s="453">
        <f t="shared" si="73"/>
        <v>0</v>
      </c>
    </row>
    <row r="2257" spans="1:63" ht="15.6" hidden="1" x14ac:dyDescent="0.25">
      <c r="A2257" s="454" t="s">
        <v>1209</v>
      </c>
      <c r="B2257" s="455" t="s">
        <v>1210</v>
      </c>
      <c r="C2257" s="456">
        <f>365.25*50</f>
        <v>18262.5</v>
      </c>
      <c r="D2257" s="456"/>
      <c r="G2257" s="457"/>
      <c r="H2257" s="457"/>
      <c r="I2257" s="457"/>
      <c r="J2257" s="457"/>
      <c r="K2257" s="457"/>
      <c r="L2257" s="457"/>
      <c r="M2257" s="457"/>
      <c r="N2257" s="457"/>
      <c r="O2257" s="457"/>
      <c r="P2257" s="457"/>
      <c r="Q2257" s="457"/>
      <c r="R2257" s="457"/>
      <c r="S2257" s="457"/>
      <c r="T2257" s="457"/>
      <c r="U2257" s="457"/>
      <c r="V2257" s="457"/>
      <c r="W2257" s="457"/>
      <c r="X2257" s="457"/>
      <c r="Y2257" s="457"/>
      <c r="Z2257" s="457"/>
      <c r="AA2257" s="468"/>
      <c r="AB2257" s="468" t="s">
        <v>1211</v>
      </c>
      <c r="AC2257" s="262" t="s">
        <v>966</v>
      </c>
      <c r="AD2257" s="6" t="s">
        <v>1212</v>
      </c>
      <c r="AF2257" s="458">
        <v>2</v>
      </c>
      <c r="AG2257" s="6">
        <v>2</v>
      </c>
      <c r="AH2257" s="6" t="s">
        <v>1147</v>
      </c>
      <c r="AI2257" s="6" t="str">
        <f>CONCATENATE(AG2257,AH2257)</f>
        <v>2 years</v>
      </c>
      <c r="AK2257" s="6" t="s">
        <v>1213</v>
      </c>
      <c r="AO2257" s="6" t="s">
        <v>1214</v>
      </c>
      <c r="AR2257" s="262" t="s">
        <v>966</v>
      </c>
      <c r="AS2257" s="6" t="s">
        <v>1167</v>
      </c>
      <c r="AW2257" s="262" t="s">
        <v>966</v>
      </c>
      <c r="BB2257" s="335">
        <f t="shared" ca="1" si="68"/>
        <v>219150</v>
      </c>
      <c r="BF2257" s="460">
        <v>28361</v>
      </c>
      <c r="BG2257" s="452">
        <f t="shared" si="69"/>
        <v>0</v>
      </c>
      <c r="BH2257" s="452">
        <f t="shared" si="70"/>
        <v>0</v>
      </c>
      <c r="BI2257" s="162">
        <f t="shared" si="71"/>
        <v>0</v>
      </c>
      <c r="BJ2257" s="136">
        <f t="shared" si="72"/>
        <v>0</v>
      </c>
      <c r="BK2257" s="453">
        <f t="shared" si="73"/>
        <v>0</v>
      </c>
    </row>
    <row r="2258" spans="1:63" ht="15.6" hidden="1" x14ac:dyDescent="0.25">
      <c r="A2258" s="454" t="s">
        <v>1215</v>
      </c>
      <c r="B2258" s="455" t="s">
        <v>1216</v>
      </c>
      <c r="C2258" s="456">
        <v>65000</v>
      </c>
      <c r="G2258" s="469">
        <v>25000</v>
      </c>
      <c r="H2258" s="469"/>
      <c r="I2258" s="469"/>
      <c r="J2258" s="469"/>
      <c r="K2258" s="469"/>
      <c r="L2258" s="469"/>
      <c r="M2258" s="469"/>
      <c r="N2258" s="469"/>
      <c r="O2258" s="469"/>
      <c r="P2258" s="469"/>
      <c r="Q2258" s="469"/>
      <c r="R2258" s="469"/>
      <c r="S2258" s="469"/>
      <c r="T2258" s="469"/>
      <c r="U2258" s="469"/>
      <c r="V2258" s="469"/>
      <c r="W2258" s="469"/>
      <c r="X2258" s="469"/>
      <c r="Y2258" s="469"/>
      <c r="Z2258" s="469"/>
      <c r="AB2258" s="466" t="s">
        <v>1217</v>
      </c>
      <c r="AC2258" s="262" t="s">
        <v>966</v>
      </c>
      <c r="AD2258" s="6" t="s">
        <v>163</v>
      </c>
      <c r="AF2258" s="458"/>
      <c r="AG2258" s="6">
        <v>2</v>
      </c>
      <c r="AH2258" s="6" t="s">
        <v>1147</v>
      </c>
      <c r="AI2258" s="6" t="str">
        <f>CONCATENATE(AG2258,AH2258)</f>
        <v>2 years</v>
      </c>
      <c r="AK2258" s="6" t="s">
        <v>1172</v>
      </c>
      <c r="AO2258" s="6" t="s">
        <v>1218</v>
      </c>
      <c r="AR2258" s="262" t="s">
        <v>966</v>
      </c>
      <c r="AW2258" s="262" t="s">
        <v>966</v>
      </c>
      <c r="BB2258" s="335">
        <f t="shared" ca="1" si="68"/>
        <v>1180000</v>
      </c>
      <c r="BF2258" s="460">
        <v>27870</v>
      </c>
      <c r="BG2258" s="452">
        <f t="shared" si="69"/>
        <v>0</v>
      </c>
      <c r="BH2258" s="452">
        <f t="shared" si="70"/>
        <v>0</v>
      </c>
      <c r="BI2258" s="162">
        <f t="shared" si="71"/>
        <v>0</v>
      </c>
      <c r="BJ2258" s="136">
        <f t="shared" si="72"/>
        <v>0</v>
      </c>
      <c r="BK2258" s="453">
        <f t="shared" si="73"/>
        <v>0</v>
      </c>
    </row>
    <row r="2259" spans="1:63" ht="15.6" hidden="1" x14ac:dyDescent="0.25">
      <c r="A2259" s="454" t="s">
        <v>1219</v>
      </c>
      <c r="B2259" s="455" t="s">
        <v>1220</v>
      </c>
      <c r="C2259" s="456"/>
      <c r="D2259" s="456"/>
      <c r="G2259" s="457"/>
      <c r="H2259" s="457"/>
      <c r="I2259" s="457"/>
      <c r="J2259" s="457"/>
      <c r="K2259" s="457"/>
      <c r="L2259" s="457"/>
      <c r="M2259" s="457"/>
      <c r="N2259" s="457"/>
      <c r="O2259" s="457"/>
      <c r="P2259" s="457"/>
      <c r="Q2259" s="457"/>
      <c r="R2259" s="457"/>
      <c r="S2259" s="457"/>
      <c r="T2259" s="457"/>
      <c r="U2259" s="457"/>
      <c r="V2259" s="457"/>
      <c r="W2259" s="457"/>
      <c r="X2259" s="457"/>
      <c r="Y2259" s="457"/>
      <c r="Z2259" s="457"/>
      <c r="AA2259" s="448"/>
      <c r="AB2259" s="448" t="s">
        <v>1128</v>
      </c>
      <c r="AC2259" s="262" t="s">
        <v>966</v>
      </c>
      <c r="AF2259" s="458"/>
      <c r="AR2259" s="262" t="s">
        <v>966</v>
      </c>
      <c r="AW2259" s="262" t="s">
        <v>966</v>
      </c>
      <c r="BB2259" s="335">
        <f t="shared" ca="1" si="68"/>
        <v>0</v>
      </c>
      <c r="BF2259" s="460">
        <v>23684</v>
      </c>
      <c r="BG2259" s="452">
        <f t="shared" si="69"/>
        <v>0</v>
      </c>
      <c r="BH2259" s="452">
        <f t="shared" si="70"/>
        <v>0</v>
      </c>
      <c r="BI2259" s="162">
        <f t="shared" si="71"/>
        <v>0</v>
      </c>
      <c r="BJ2259" s="136">
        <f t="shared" si="72"/>
        <v>0</v>
      </c>
      <c r="BK2259" s="453">
        <f t="shared" si="73"/>
        <v>0</v>
      </c>
    </row>
    <row r="2260" spans="1:63" ht="15.6" hidden="1" x14ac:dyDescent="0.25">
      <c r="A2260" s="454" t="s">
        <v>1221</v>
      </c>
      <c r="B2260" s="455" t="s">
        <v>1222</v>
      </c>
      <c r="C2260" s="456">
        <v>25000</v>
      </c>
      <c r="D2260" s="456">
        <f>C2260*10</f>
        <v>250000</v>
      </c>
      <c r="G2260" s="457"/>
      <c r="H2260" s="457"/>
      <c r="I2260" s="457"/>
      <c r="J2260" s="457"/>
      <c r="K2260" s="457"/>
      <c r="L2260" s="457"/>
      <c r="M2260" s="457"/>
      <c r="N2260" s="457"/>
      <c r="O2260" s="457"/>
      <c r="P2260" s="457"/>
      <c r="Q2260" s="457"/>
      <c r="R2260" s="457"/>
      <c r="S2260" s="457"/>
      <c r="T2260" s="457"/>
      <c r="U2260" s="457"/>
      <c r="V2260" s="457"/>
      <c r="W2260" s="457"/>
      <c r="X2260" s="457"/>
      <c r="Y2260" s="457"/>
      <c r="Z2260" s="457"/>
      <c r="AB2260" s="6" t="s">
        <v>1223</v>
      </c>
      <c r="AC2260" s="262" t="s">
        <v>966</v>
      </c>
      <c r="AD2260" s="6" t="s">
        <v>1224</v>
      </c>
      <c r="AF2260" s="458">
        <v>2</v>
      </c>
      <c r="AG2260" s="6">
        <v>2</v>
      </c>
      <c r="AH2260" s="6" t="s">
        <v>1147</v>
      </c>
      <c r="AI2260" s="6" t="str">
        <f>CONCATENATE(AG2260,AH2260)</f>
        <v>2 years</v>
      </c>
      <c r="AK2260" s="6" t="s">
        <v>1172</v>
      </c>
      <c r="AO2260" s="6" t="s">
        <v>1225</v>
      </c>
      <c r="AR2260" s="262" t="s">
        <v>966</v>
      </c>
      <c r="AS2260" s="6" t="s">
        <v>1167</v>
      </c>
      <c r="AW2260" s="262" t="s">
        <v>966</v>
      </c>
      <c r="BB2260" s="335">
        <f t="shared" ca="1" si="68"/>
        <v>250000</v>
      </c>
      <c r="BF2260" s="460">
        <v>24800</v>
      </c>
      <c r="BG2260" s="452">
        <f t="shared" si="69"/>
        <v>0</v>
      </c>
      <c r="BH2260" s="452">
        <f t="shared" si="70"/>
        <v>0</v>
      </c>
      <c r="BI2260" s="162">
        <f t="shared" si="71"/>
        <v>0</v>
      </c>
      <c r="BJ2260" s="136">
        <f t="shared" si="72"/>
        <v>0</v>
      </c>
      <c r="BK2260" s="453">
        <f t="shared" si="73"/>
        <v>0</v>
      </c>
    </row>
    <row r="2261" spans="1:63" ht="15.6" hidden="1" x14ac:dyDescent="0.25">
      <c r="A2261" s="454" t="s">
        <v>1226</v>
      </c>
      <c r="B2261" s="455" t="s">
        <v>1227</v>
      </c>
      <c r="C2261" s="456"/>
      <c r="D2261" s="456">
        <v>300000</v>
      </c>
      <c r="G2261" s="457"/>
      <c r="H2261" s="457"/>
      <c r="I2261" s="457"/>
      <c r="J2261" s="457"/>
      <c r="K2261" s="457"/>
      <c r="L2261" s="457"/>
      <c r="M2261" s="457"/>
      <c r="N2261" s="457"/>
      <c r="O2261" s="457"/>
      <c r="P2261" s="457"/>
      <c r="Q2261" s="457"/>
      <c r="R2261" s="457"/>
      <c r="S2261" s="457"/>
      <c r="T2261" s="457"/>
      <c r="U2261" s="457"/>
      <c r="V2261" s="457"/>
      <c r="W2261" s="457"/>
      <c r="X2261" s="457"/>
      <c r="Y2261" s="457"/>
      <c r="Z2261" s="457"/>
      <c r="AB2261" s="6" t="s">
        <v>1228</v>
      </c>
      <c r="AC2261" s="262" t="s">
        <v>966</v>
      </c>
      <c r="AD2261" s="6" t="s">
        <v>1229</v>
      </c>
      <c r="AF2261" s="458">
        <v>2</v>
      </c>
      <c r="AG2261" s="6">
        <v>2</v>
      </c>
      <c r="AH2261" s="6" t="s">
        <v>1147</v>
      </c>
      <c r="AI2261" s="6" t="str">
        <f>CONCATENATE(AG2261,AH2261)</f>
        <v>2 years</v>
      </c>
      <c r="AK2261" s="6" t="s">
        <v>1148</v>
      </c>
      <c r="AO2261" s="6" t="s">
        <v>1230</v>
      </c>
      <c r="AR2261" s="262" t="s">
        <v>966</v>
      </c>
      <c r="AS2261" s="6" t="s">
        <v>1167</v>
      </c>
      <c r="AW2261" s="262" t="s">
        <v>966</v>
      </c>
      <c r="BB2261" s="335">
        <f t="shared" ca="1" si="68"/>
        <v>0</v>
      </c>
      <c r="BF2261" s="460">
        <v>27978</v>
      </c>
      <c r="BG2261" s="452">
        <f t="shared" si="69"/>
        <v>0</v>
      </c>
      <c r="BH2261" s="452">
        <f t="shared" si="70"/>
        <v>0</v>
      </c>
      <c r="BI2261" s="162">
        <f t="shared" si="71"/>
        <v>0</v>
      </c>
      <c r="BJ2261" s="136">
        <f t="shared" si="72"/>
        <v>0</v>
      </c>
      <c r="BK2261" s="453">
        <f t="shared" si="73"/>
        <v>0</v>
      </c>
    </row>
    <row r="2262" spans="1:63" ht="15.6" hidden="1" x14ac:dyDescent="0.25">
      <c r="A2262" s="454" t="s">
        <v>1231</v>
      </c>
      <c r="B2262" s="455" t="s">
        <v>1232</v>
      </c>
      <c r="C2262" s="465">
        <v>1E-8</v>
      </c>
      <c r="D2262" s="465">
        <v>999999</v>
      </c>
      <c r="G2262" s="457"/>
      <c r="H2262" s="457"/>
      <c r="I2262" s="457"/>
      <c r="J2262" s="457"/>
      <c r="K2262" s="457"/>
      <c r="L2262" s="457"/>
      <c r="M2262" s="457"/>
      <c r="N2262" s="457"/>
      <c r="O2262" s="457"/>
      <c r="P2262" s="457"/>
      <c r="Q2262" s="457"/>
      <c r="R2262" s="457"/>
      <c r="S2262" s="457"/>
      <c r="T2262" s="457"/>
      <c r="U2262" s="457"/>
      <c r="V2262" s="457"/>
      <c r="W2262" s="457"/>
      <c r="X2262" s="457"/>
      <c r="Y2262" s="457"/>
      <c r="Z2262" s="457"/>
      <c r="AB2262" s="6" t="s">
        <v>1233</v>
      </c>
      <c r="AC2262" s="262" t="s">
        <v>966</v>
      </c>
      <c r="AD2262" s="6" t="s">
        <v>1234</v>
      </c>
      <c r="AF2262" s="458"/>
      <c r="AI2262" s="6" t="str">
        <f>AI2258</f>
        <v>2 years</v>
      </c>
      <c r="AK2262" s="6" t="s">
        <v>1148</v>
      </c>
      <c r="AO2262" s="6" t="s">
        <v>1235</v>
      </c>
      <c r="AR2262" s="262" t="s">
        <v>966</v>
      </c>
      <c r="AS2262" s="6" t="s">
        <v>1150</v>
      </c>
      <c r="AW2262" s="262" t="s">
        <v>966</v>
      </c>
      <c r="BB2262" s="335">
        <f t="shared" ca="1" si="68"/>
        <v>1.2000000000000002E-7</v>
      </c>
      <c r="BF2262" s="460">
        <v>36338</v>
      </c>
      <c r="BG2262" s="452">
        <f t="shared" si="69"/>
        <v>0</v>
      </c>
      <c r="BH2262" s="452">
        <f t="shared" si="70"/>
        <v>0</v>
      </c>
      <c r="BI2262" s="162">
        <f t="shared" si="71"/>
        <v>0</v>
      </c>
      <c r="BJ2262" s="136">
        <f t="shared" si="72"/>
        <v>0</v>
      </c>
      <c r="BK2262" s="453">
        <f t="shared" si="73"/>
        <v>0</v>
      </c>
    </row>
    <row r="2263" spans="1:63" ht="15.6" hidden="1" x14ac:dyDescent="0.25">
      <c r="A2263" s="454" t="s">
        <v>1236</v>
      </c>
      <c r="B2263" s="455" t="s">
        <v>1237</v>
      </c>
      <c r="C2263" s="456"/>
      <c r="D2263" s="456">
        <v>1000000</v>
      </c>
      <c r="G2263" s="457"/>
      <c r="H2263" s="457"/>
      <c r="I2263" s="457"/>
      <c r="J2263" s="457"/>
      <c r="K2263" s="457"/>
      <c r="L2263" s="457"/>
      <c r="M2263" s="457"/>
      <c r="N2263" s="457"/>
      <c r="O2263" s="457"/>
      <c r="P2263" s="457"/>
      <c r="Q2263" s="457"/>
      <c r="R2263" s="457"/>
      <c r="S2263" s="457"/>
      <c r="T2263" s="457"/>
      <c r="U2263" s="457"/>
      <c r="V2263" s="457"/>
      <c r="W2263" s="457"/>
      <c r="X2263" s="457"/>
      <c r="Y2263" s="457"/>
      <c r="Z2263" s="457"/>
      <c r="AB2263" s="6" t="s">
        <v>1238</v>
      </c>
      <c r="AC2263" s="262" t="s">
        <v>966</v>
      </c>
      <c r="AD2263" s="6" t="s">
        <v>1229</v>
      </c>
      <c r="AF2263" s="458">
        <v>3</v>
      </c>
      <c r="AG2263" s="6">
        <v>2</v>
      </c>
      <c r="AH2263" s="6" t="s">
        <v>1147</v>
      </c>
      <c r="AI2263" s="6" t="str">
        <f t="shared" ref="AI2263:AI2269" si="74">CONCATENATE(AG2263,AH2263)</f>
        <v>2 years</v>
      </c>
      <c r="AK2263" s="6" t="s">
        <v>1172</v>
      </c>
      <c r="AO2263" s="6" t="s">
        <v>1239</v>
      </c>
      <c r="AR2263" s="262" t="s">
        <v>966</v>
      </c>
      <c r="AS2263" s="6" t="s">
        <v>1167</v>
      </c>
      <c r="AW2263" s="262" t="s">
        <v>966</v>
      </c>
      <c r="BB2263" s="335">
        <f t="shared" ca="1" si="68"/>
        <v>0</v>
      </c>
      <c r="BF2263" s="460">
        <v>36593</v>
      </c>
      <c r="BG2263" s="452">
        <f t="shared" si="69"/>
        <v>0</v>
      </c>
      <c r="BH2263" s="452">
        <f t="shared" si="70"/>
        <v>0</v>
      </c>
      <c r="BI2263" s="162">
        <f t="shared" si="71"/>
        <v>0</v>
      </c>
      <c r="BJ2263" s="136">
        <f t="shared" si="72"/>
        <v>0</v>
      </c>
      <c r="BK2263" s="453">
        <f t="shared" si="73"/>
        <v>0</v>
      </c>
    </row>
    <row r="2264" spans="1:63" ht="15.6" hidden="1" x14ac:dyDescent="0.25">
      <c r="A2264" s="454" t="s">
        <v>1240</v>
      </c>
      <c r="B2264" s="455" t="s">
        <v>160</v>
      </c>
      <c r="C2264" s="456">
        <v>50000</v>
      </c>
      <c r="D2264" s="456" t="s">
        <v>1241</v>
      </c>
      <c r="G2264" s="457"/>
      <c r="H2264" s="457"/>
      <c r="I2264" s="457"/>
      <c r="J2264" s="457"/>
      <c r="K2264" s="457"/>
      <c r="L2264" s="457"/>
      <c r="M2264" s="457"/>
      <c r="N2264" s="457"/>
      <c r="O2264" s="457"/>
      <c r="P2264" s="457"/>
      <c r="Q2264" s="457"/>
      <c r="R2264" s="457"/>
      <c r="S2264" s="457"/>
      <c r="T2264" s="457"/>
      <c r="U2264" s="457"/>
      <c r="V2264" s="457"/>
      <c r="W2264" s="457"/>
      <c r="X2264" s="457"/>
      <c r="Y2264" s="457"/>
      <c r="Z2264" s="457"/>
      <c r="AB2264" s="6" t="s">
        <v>1242</v>
      </c>
      <c r="AC2264" s="262" t="s">
        <v>966</v>
      </c>
      <c r="AD2264" s="6" t="s">
        <v>1203</v>
      </c>
      <c r="AF2264" s="458"/>
      <c r="AG2264" s="6">
        <v>3</v>
      </c>
      <c r="AH2264" s="6" t="s">
        <v>1147</v>
      </c>
      <c r="AI2264" s="6" t="str">
        <f t="shared" si="74"/>
        <v>3 years</v>
      </c>
      <c r="AK2264" s="6" t="s">
        <v>1213</v>
      </c>
      <c r="AO2264" s="6" t="s">
        <v>1243</v>
      </c>
      <c r="AR2264" s="262" t="s">
        <v>966</v>
      </c>
      <c r="AS2264" s="6" t="s">
        <v>1167</v>
      </c>
      <c r="AW2264" s="262" t="s">
        <v>966</v>
      </c>
      <c r="BB2264" s="335">
        <f t="shared" ca="1" si="68"/>
        <v>600000</v>
      </c>
      <c r="BF2264" s="460">
        <v>26613</v>
      </c>
      <c r="BG2264" s="452">
        <f t="shared" si="69"/>
        <v>2200</v>
      </c>
      <c r="BH2264" s="452">
        <f t="shared" si="70"/>
        <v>24413</v>
      </c>
      <c r="BI2264" s="162">
        <f t="shared" si="71"/>
        <v>2034.4166666666667</v>
      </c>
      <c r="BJ2264" s="136">
        <f t="shared" si="72"/>
        <v>469.48076923076923</v>
      </c>
      <c r="BK2264" s="453">
        <f t="shared" si="73"/>
        <v>0.91733363393830081</v>
      </c>
    </row>
    <row r="2265" spans="1:63" ht="15.6" hidden="1" x14ac:dyDescent="0.25">
      <c r="A2265" s="454" t="s">
        <v>1244</v>
      </c>
      <c r="B2265" s="455" t="s">
        <v>1245</v>
      </c>
      <c r="C2265" s="456">
        <v>100000</v>
      </c>
      <c r="D2265" s="456">
        <v>50000</v>
      </c>
      <c r="G2265" s="457"/>
      <c r="H2265" s="457"/>
      <c r="I2265" s="457"/>
      <c r="J2265" s="457"/>
      <c r="K2265" s="457"/>
      <c r="L2265" s="457"/>
      <c r="M2265" s="457"/>
      <c r="N2265" s="457"/>
      <c r="O2265" s="457"/>
      <c r="P2265" s="457"/>
      <c r="Q2265" s="457"/>
      <c r="R2265" s="457"/>
      <c r="S2265" s="457"/>
      <c r="T2265" s="457"/>
      <c r="U2265" s="457"/>
      <c r="V2265" s="457"/>
      <c r="W2265" s="457"/>
      <c r="X2265" s="457"/>
      <c r="Y2265" s="457"/>
      <c r="Z2265" s="457"/>
      <c r="AB2265" s="6" t="s">
        <v>1246</v>
      </c>
      <c r="AC2265" s="262" t="s">
        <v>966</v>
      </c>
      <c r="AD2265" s="6" t="s">
        <v>1247</v>
      </c>
      <c r="AF2265" s="458">
        <v>2</v>
      </c>
      <c r="AG2265" s="6">
        <v>60</v>
      </c>
      <c r="AH2265" s="6" t="s">
        <v>1187</v>
      </c>
      <c r="AI2265" s="6" t="str">
        <f t="shared" si="74"/>
        <v>60 days</v>
      </c>
      <c r="AK2265" s="6" t="s">
        <v>1213</v>
      </c>
      <c r="AO2265" s="6" t="s">
        <v>1248</v>
      </c>
      <c r="AR2265" s="262" t="s">
        <v>966</v>
      </c>
      <c r="AS2265" s="6" t="s">
        <v>1174</v>
      </c>
      <c r="AW2265" s="262" t="s">
        <v>966</v>
      </c>
      <c r="BB2265" s="335">
        <f t="shared" ca="1" si="68"/>
        <v>50000</v>
      </c>
      <c r="BF2265" s="460">
        <v>32638</v>
      </c>
      <c r="BG2265" s="452">
        <f t="shared" si="69"/>
        <v>0</v>
      </c>
      <c r="BH2265" s="452">
        <f t="shared" si="70"/>
        <v>0</v>
      </c>
      <c r="BI2265" s="162">
        <f t="shared" si="71"/>
        <v>0</v>
      </c>
      <c r="BJ2265" s="136">
        <f t="shared" si="72"/>
        <v>0</v>
      </c>
      <c r="BK2265" s="453">
        <f t="shared" si="73"/>
        <v>0</v>
      </c>
    </row>
    <row r="2266" spans="1:63" ht="15.6" hidden="1" x14ac:dyDescent="0.25">
      <c r="A2266" s="454" t="s">
        <v>1249</v>
      </c>
      <c r="B2266" s="455" t="s">
        <v>1250</v>
      </c>
      <c r="C2266" s="456">
        <v>50000</v>
      </c>
      <c r="D2266" s="456">
        <f>C2266*10</f>
        <v>500000</v>
      </c>
      <c r="G2266" s="457"/>
      <c r="H2266" s="457"/>
      <c r="I2266" s="457"/>
      <c r="J2266" s="457"/>
      <c r="K2266" s="457"/>
      <c r="L2266" s="457"/>
      <c r="M2266" s="457"/>
      <c r="N2266" s="457"/>
      <c r="O2266" s="457"/>
      <c r="P2266" s="457"/>
      <c r="Q2266" s="457"/>
      <c r="R2266" s="457"/>
      <c r="S2266" s="457"/>
      <c r="T2266" s="457"/>
      <c r="U2266" s="457"/>
      <c r="V2266" s="457"/>
      <c r="W2266" s="457"/>
      <c r="X2266" s="457"/>
      <c r="Y2266" s="457"/>
      <c r="Z2266" s="457"/>
      <c r="AB2266" s="6" t="s">
        <v>1251</v>
      </c>
      <c r="AC2266" s="262" t="s">
        <v>966</v>
      </c>
      <c r="AD2266" s="6" t="s">
        <v>1252</v>
      </c>
      <c r="AF2266" s="458"/>
      <c r="AG2266" s="6">
        <v>3</v>
      </c>
      <c r="AH2266" s="6" t="s">
        <v>1147</v>
      </c>
      <c r="AI2266" s="6" t="str">
        <f t="shared" si="74"/>
        <v>3 years</v>
      </c>
      <c r="AK2266" s="6" t="s">
        <v>1213</v>
      </c>
      <c r="AO2266" s="6" t="s">
        <v>1253</v>
      </c>
      <c r="AR2266" s="262" t="s">
        <v>966</v>
      </c>
      <c r="AS2266" s="6" t="s">
        <v>1174</v>
      </c>
      <c r="AW2266" s="262" t="s">
        <v>966</v>
      </c>
      <c r="BB2266" s="335">
        <f t="shared" ca="1" si="68"/>
        <v>500000</v>
      </c>
      <c r="BF2266" s="460">
        <v>21036</v>
      </c>
      <c r="BG2266" s="452">
        <f t="shared" si="69"/>
        <v>0</v>
      </c>
      <c r="BH2266" s="452">
        <f t="shared" si="70"/>
        <v>0</v>
      </c>
      <c r="BI2266" s="162">
        <f t="shared" si="71"/>
        <v>0</v>
      </c>
      <c r="BJ2266" s="136">
        <f t="shared" si="72"/>
        <v>0</v>
      </c>
      <c r="BK2266" s="453">
        <f t="shared" si="73"/>
        <v>0</v>
      </c>
    </row>
    <row r="2267" spans="1:63" ht="15.6" hidden="1" x14ac:dyDescent="0.25">
      <c r="A2267" s="454" t="s">
        <v>1254</v>
      </c>
      <c r="B2267" s="455" t="s">
        <v>1255</v>
      </c>
      <c r="C2267" s="456">
        <f>50*365.25</f>
        <v>18262.5</v>
      </c>
      <c r="D2267" s="456"/>
      <c r="G2267" s="457"/>
      <c r="H2267" s="457"/>
      <c r="I2267" s="457"/>
      <c r="J2267" s="457"/>
      <c r="K2267" s="457"/>
      <c r="L2267" s="457"/>
      <c r="M2267" s="457"/>
      <c r="N2267" s="457"/>
      <c r="O2267" s="457"/>
      <c r="P2267" s="457"/>
      <c r="Q2267" s="457"/>
      <c r="R2267" s="457"/>
      <c r="S2267" s="457"/>
      <c r="T2267" s="457"/>
      <c r="U2267" s="457"/>
      <c r="V2267" s="457"/>
      <c r="W2267" s="457"/>
      <c r="X2267" s="457"/>
      <c r="Y2267" s="457"/>
      <c r="Z2267" s="457"/>
      <c r="AB2267" s="6" t="s">
        <v>1256</v>
      </c>
      <c r="AC2267" s="262" t="s">
        <v>966</v>
      </c>
      <c r="AD2267" s="6" t="s">
        <v>1257</v>
      </c>
      <c r="AF2267" s="458">
        <v>1</v>
      </c>
      <c r="AI2267" s="6" t="str">
        <f>AI2262</f>
        <v>2 years</v>
      </c>
      <c r="AK2267" s="6" t="s">
        <v>1188</v>
      </c>
      <c r="AO2267" s="6" t="s">
        <v>1258</v>
      </c>
      <c r="AR2267" s="262" t="s">
        <v>966</v>
      </c>
      <c r="AS2267" s="6" t="s">
        <v>1259</v>
      </c>
      <c r="AW2267" s="262" t="s">
        <v>966</v>
      </c>
      <c r="BB2267" s="335">
        <f t="shared" ca="1" si="68"/>
        <v>219150</v>
      </c>
      <c r="BF2267" s="460">
        <v>26126</v>
      </c>
      <c r="BG2267" s="452">
        <f t="shared" si="69"/>
        <v>0</v>
      </c>
      <c r="BH2267" s="452">
        <f t="shared" si="70"/>
        <v>0</v>
      </c>
      <c r="BI2267" s="162">
        <f t="shared" si="71"/>
        <v>0</v>
      </c>
      <c r="BJ2267" s="136">
        <f t="shared" si="72"/>
        <v>0</v>
      </c>
      <c r="BK2267" s="453">
        <f t="shared" si="73"/>
        <v>0</v>
      </c>
    </row>
    <row r="2268" spans="1:63" ht="15.6" hidden="1" x14ac:dyDescent="0.25">
      <c r="A2268" s="454" t="s">
        <v>1260</v>
      </c>
      <c r="B2268" s="455" t="s">
        <v>1261</v>
      </c>
      <c r="C2268" s="465">
        <v>1E-8</v>
      </c>
      <c r="D2268" s="456"/>
      <c r="G2268" s="457"/>
      <c r="H2268" s="457"/>
      <c r="I2268" s="457"/>
      <c r="J2268" s="457"/>
      <c r="K2268" s="457"/>
      <c r="L2268" s="457"/>
      <c r="M2268" s="457"/>
      <c r="N2268" s="457"/>
      <c r="O2268" s="457"/>
      <c r="P2268" s="457"/>
      <c r="Q2268" s="457"/>
      <c r="R2268" s="457"/>
      <c r="S2268" s="457"/>
      <c r="T2268" s="457"/>
      <c r="U2268" s="457"/>
      <c r="V2268" s="457"/>
      <c r="W2268" s="457"/>
      <c r="X2268" s="457"/>
      <c r="Y2268" s="457"/>
      <c r="Z2268" s="457"/>
      <c r="AB2268" s="6" t="s">
        <v>1262</v>
      </c>
      <c r="AC2268" s="262" t="s">
        <v>966</v>
      </c>
      <c r="AD2268" s="6" t="s">
        <v>1263</v>
      </c>
      <c r="AF2268" s="458"/>
      <c r="AG2268" s="6">
        <v>10</v>
      </c>
      <c r="AH2268" s="6" t="s">
        <v>1147</v>
      </c>
      <c r="AI2268" s="6" t="str">
        <f t="shared" si="74"/>
        <v>10 years</v>
      </c>
      <c r="AK2268" s="6" t="s">
        <v>1148</v>
      </c>
      <c r="AO2268" s="6" t="s">
        <v>1264</v>
      </c>
      <c r="AR2268" s="262" t="s">
        <v>966</v>
      </c>
      <c r="AS2268" s="6" t="s">
        <v>1265</v>
      </c>
      <c r="AW2268" s="262" t="s">
        <v>966</v>
      </c>
      <c r="BB2268" s="335">
        <f t="shared" ca="1" si="68"/>
        <v>1.2000000000000002E-7</v>
      </c>
      <c r="BF2268" s="460">
        <v>25989</v>
      </c>
      <c r="BG2268" s="452">
        <f t="shared" si="69"/>
        <v>0</v>
      </c>
      <c r="BH2268" s="452">
        <f t="shared" si="70"/>
        <v>0</v>
      </c>
      <c r="BI2268" s="162">
        <f t="shared" si="71"/>
        <v>0</v>
      </c>
      <c r="BJ2268" s="136">
        <f t="shared" si="72"/>
        <v>0</v>
      </c>
      <c r="BK2268" s="453">
        <f t="shared" si="73"/>
        <v>0</v>
      </c>
    </row>
    <row r="2269" spans="1:63" ht="15.6" hidden="1" x14ac:dyDescent="0.25">
      <c r="A2269" s="454" t="s">
        <v>1266</v>
      </c>
      <c r="B2269" s="455" t="s">
        <v>1267</v>
      </c>
      <c r="C2269" s="456"/>
      <c r="D2269" s="456">
        <v>500000</v>
      </c>
      <c r="G2269" s="457"/>
      <c r="H2269" s="457"/>
      <c r="I2269" s="457"/>
      <c r="J2269" s="457"/>
      <c r="K2269" s="457"/>
      <c r="L2269" s="457"/>
      <c r="M2269" s="457"/>
      <c r="N2269" s="457"/>
      <c r="O2269" s="457"/>
      <c r="P2269" s="457"/>
      <c r="Q2269" s="457"/>
      <c r="R2269" s="457"/>
      <c r="S2269" s="457"/>
      <c r="T2269" s="457"/>
      <c r="U2269" s="457"/>
      <c r="V2269" s="457"/>
      <c r="W2269" s="457"/>
      <c r="X2269" s="457"/>
      <c r="Y2269" s="457"/>
      <c r="Z2269" s="457"/>
      <c r="AB2269" s="6" t="s">
        <v>1268</v>
      </c>
      <c r="AC2269" s="262" t="s">
        <v>966</v>
      </c>
      <c r="AD2269" s="6" t="s">
        <v>1150</v>
      </c>
      <c r="AF2269" s="458"/>
      <c r="AG2269" s="6">
        <v>2</v>
      </c>
      <c r="AH2269" s="6" t="s">
        <v>1147</v>
      </c>
      <c r="AI2269" s="6" t="str">
        <f t="shared" si="74"/>
        <v>2 years</v>
      </c>
      <c r="AK2269" s="6" t="s">
        <v>1213</v>
      </c>
      <c r="AO2269" s="6" t="s">
        <v>1269</v>
      </c>
      <c r="AR2269" s="262" t="s">
        <v>966</v>
      </c>
      <c r="AS2269" s="6" t="s">
        <v>1167</v>
      </c>
      <c r="AW2269" s="262" t="s">
        <v>966</v>
      </c>
      <c r="BB2269" s="335">
        <f t="shared" ca="1" si="68"/>
        <v>0</v>
      </c>
      <c r="BF2269" s="460">
        <v>27446</v>
      </c>
      <c r="BG2269" s="452">
        <f t="shared" si="69"/>
        <v>0</v>
      </c>
      <c r="BH2269" s="452">
        <f t="shared" si="70"/>
        <v>0</v>
      </c>
      <c r="BI2269" s="162">
        <f t="shared" si="71"/>
        <v>0</v>
      </c>
      <c r="BJ2269" s="136">
        <f t="shared" si="72"/>
        <v>0</v>
      </c>
      <c r="BK2269" s="453">
        <f t="shared" si="73"/>
        <v>0</v>
      </c>
    </row>
    <row r="2270" spans="1:63" ht="15.6" hidden="1" x14ac:dyDescent="0.25">
      <c r="A2270" s="454" t="s">
        <v>1270</v>
      </c>
      <c r="B2270" s="455" t="s">
        <v>1271</v>
      </c>
      <c r="C2270" s="456"/>
      <c r="D2270" s="456"/>
      <c r="G2270" s="457"/>
      <c r="H2270" s="457"/>
      <c r="I2270" s="457"/>
      <c r="J2270" s="457"/>
      <c r="K2270" s="457"/>
      <c r="L2270" s="457"/>
      <c r="M2270" s="457"/>
      <c r="N2270" s="457"/>
      <c r="O2270" s="457"/>
      <c r="P2270" s="457"/>
      <c r="Q2270" s="457"/>
      <c r="R2270" s="457"/>
      <c r="S2270" s="457"/>
      <c r="T2270" s="457"/>
      <c r="U2270" s="457"/>
      <c r="V2270" s="457"/>
      <c r="W2270" s="457"/>
      <c r="X2270" s="457"/>
      <c r="Y2270" s="457"/>
      <c r="Z2270" s="457"/>
      <c r="AA2270" s="448"/>
      <c r="AB2270" s="448" t="s">
        <v>1128</v>
      </c>
      <c r="AC2270" s="262" t="s">
        <v>966</v>
      </c>
      <c r="AF2270" s="458"/>
      <c r="AR2270" s="262" t="s">
        <v>966</v>
      </c>
      <c r="AW2270" s="262" t="s">
        <v>966</v>
      </c>
      <c r="BB2270" s="335">
        <f t="shared" ca="1" si="68"/>
        <v>0</v>
      </c>
      <c r="BF2270" s="460">
        <v>25773</v>
      </c>
      <c r="BG2270" s="452">
        <f t="shared" si="69"/>
        <v>0</v>
      </c>
      <c r="BH2270" s="452">
        <f t="shared" si="70"/>
        <v>0</v>
      </c>
      <c r="BI2270" s="162">
        <f t="shared" si="71"/>
        <v>0</v>
      </c>
      <c r="BJ2270" s="136">
        <f t="shared" si="72"/>
        <v>0</v>
      </c>
      <c r="BK2270" s="453">
        <f t="shared" si="73"/>
        <v>0</v>
      </c>
    </row>
    <row r="2271" spans="1:63" ht="15.6" hidden="1" x14ac:dyDescent="0.25">
      <c r="A2271" s="454" t="s">
        <v>1272</v>
      </c>
      <c r="B2271" s="455" t="s">
        <v>1273</v>
      </c>
      <c r="C2271" s="456"/>
      <c r="D2271" s="456">
        <v>20000</v>
      </c>
      <c r="G2271" s="457"/>
      <c r="H2271" s="457"/>
      <c r="I2271" s="457"/>
      <c r="J2271" s="457"/>
      <c r="K2271" s="457"/>
      <c r="L2271" s="457"/>
      <c r="M2271" s="457"/>
      <c r="N2271" s="457"/>
      <c r="O2271" s="457"/>
      <c r="P2271" s="457"/>
      <c r="Q2271" s="457"/>
      <c r="R2271" s="457"/>
      <c r="S2271" s="457"/>
      <c r="T2271" s="457"/>
      <c r="U2271" s="457"/>
      <c r="V2271" s="457"/>
      <c r="W2271" s="457"/>
      <c r="X2271" s="457"/>
      <c r="Y2271" s="457"/>
      <c r="Z2271" s="457"/>
      <c r="AB2271" s="6" t="s">
        <v>1274</v>
      </c>
      <c r="AC2271" s="262" t="s">
        <v>966</v>
      </c>
      <c r="AD2271" s="6" t="s">
        <v>1275</v>
      </c>
      <c r="AF2271" s="458">
        <v>3</v>
      </c>
      <c r="AG2271" s="6">
        <v>3</v>
      </c>
      <c r="AH2271" s="6" t="s">
        <v>1147</v>
      </c>
      <c r="AI2271" s="6" t="str">
        <f>CONCATENATE(AG2271,AH2271)</f>
        <v>3 years</v>
      </c>
      <c r="AK2271" s="6" t="s">
        <v>1213</v>
      </c>
      <c r="AO2271" s="6" t="s">
        <v>1276</v>
      </c>
      <c r="AR2271" s="262" t="s">
        <v>966</v>
      </c>
      <c r="AS2271" s="6" t="s">
        <v>1277</v>
      </c>
      <c r="AW2271" s="262" t="s">
        <v>966</v>
      </c>
      <c r="BB2271" s="335">
        <f t="shared" ca="1" si="68"/>
        <v>0</v>
      </c>
      <c r="BF2271" s="460">
        <v>34691</v>
      </c>
      <c r="BG2271" s="452">
        <f t="shared" si="69"/>
        <v>0</v>
      </c>
      <c r="BH2271" s="452">
        <f t="shared" si="70"/>
        <v>0</v>
      </c>
      <c r="BI2271" s="162">
        <f t="shared" si="71"/>
        <v>0</v>
      </c>
      <c r="BJ2271" s="136">
        <f t="shared" si="72"/>
        <v>0</v>
      </c>
      <c r="BK2271" s="453">
        <f t="shared" si="73"/>
        <v>0</v>
      </c>
    </row>
    <row r="2272" spans="1:63" ht="15.6" hidden="1" x14ac:dyDescent="0.25">
      <c r="A2272" s="454" t="s">
        <v>1278</v>
      </c>
      <c r="B2272" s="455" t="s">
        <v>1279</v>
      </c>
      <c r="C2272" s="470">
        <v>50000</v>
      </c>
      <c r="D2272" s="470">
        <v>1000000</v>
      </c>
      <c r="G2272" s="457"/>
      <c r="H2272" s="457"/>
      <c r="I2272" s="457"/>
      <c r="J2272" s="457"/>
      <c r="K2272" s="457"/>
      <c r="L2272" s="457"/>
      <c r="M2272" s="457"/>
      <c r="N2272" s="457"/>
      <c r="O2272" s="457"/>
      <c r="P2272" s="457"/>
      <c r="Q2272" s="457"/>
      <c r="R2272" s="457"/>
      <c r="S2272" s="457"/>
      <c r="T2272" s="457"/>
      <c r="U2272" s="457"/>
      <c r="V2272" s="457"/>
      <c r="W2272" s="457"/>
      <c r="X2272" s="457"/>
      <c r="Y2272" s="457"/>
      <c r="Z2272" s="457"/>
      <c r="AB2272" s="6" t="s">
        <v>1280</v>
      </c>
      <c r="AC2272" s="262" t="s">
        <v>966</v>
      </c>
      <c r="AD2272" s="6" t="s">
        <v>1281</v>
      </c>
      <c r="AF2272" s="458">
        <v>2</v>
      </c>
      <c r="AG2272" s="6">
        <v>2</v>
      </c>
      <c r="AH2272" s="6" t="s">
        <v>1147</v>
      </c>
      <c r="AI2272" s="6" t="str">
        <f>CONCATENATE(AG2272,AH2272)</f>
        <v>2 years</v>
      </c>
      <c r="AK2272" s="6" t="s">
        <v>1213</v>
      </c>
      <c r="AO2272" s="6" t="s">
        <v>1282</v>
      </c>
      <c r="AR2272" s="262" t="s">
        <v>966</v>
      </c>
      <c r="AS2272" s="6" t="s">
        <v>1167</v>
      </c>
      <c r="AW2272" s="262" t="s">
        <v>966</v>
      </c>
      <c r="BB2272" s="335">
        <f t="shared" ca="1" si="68"/>
        <v>600000</v>
      </c>
      <c r="BF2272" s="460">
        <v>37288</v>
      </c>
      <c r="BG2272" s="452">
        <f t="shared" si="69"/>
        <v>0</v>
      </c>
      <c r="BH2272" s="452">
        <f t="shared" si="70"/>
        <v>0</v>
      </c>
      <c r="BI2272" s="162">
        <f t="shared" si="71"/>
        <v>0</v>
      </c>
      <c r="BJ2272" s="136">
        <f t="shared" si="72"/>
        <v>0</v>
      </c>
      <c r="BK2272" s="453">
        <f t="shared" si="73"/>
        <v>0</v>
      </c>
    </row>
    <row r="2273" spans="1:63" ht="15.6" hidden="1" x14ac:dyDescent="0.25">
      <c r="A2273" s="454" t="s">
        <v>1283</v>
      </c>
      <c r="B2273" s="455" t="s">
        <v>1284</v>
      </c>
      <c r="C2273" s="456"/>
      <c r="D2273" s="456"/>
      <c r="G2273" s="457"/>
      <c r="H2273" s="457"/>
      <c r="I2273" s="457"/>
      <c r="J2273" s="457"/>
      <c r="K2273" s="457"/>
      <c r="L2273" s="457"/>
      <c r="M2273" s="457"/>
      <c r="N2273" s="457"/>
      <c r="O2273" s="457"/>
      <c r="P2273" s="457"/>
      <c r="Q2273" s="457"/>
      <c r="R2273" s="457"/>
      <c r="S2273" s="457"/>
      <c r="T2273" s="457"/>
      <c r="U2273" s="457"/>
      <c r="V2273" s="457"/>
      <c r="W2273" s="457"/>
      <c r="X2273" s="457"/>
      <c r="Y2273" s="457"/>
      <c r="Z2273" s="457"/>
      <c r="AB2273" s="6" t="s">
        <v>1130</v>
      </c>
      <c r="AC2273" s="262" t="s">
        <v>966</v>
      </c>
      <c r="AF2273" s="458"/>
      <c r="AR2273" s="262" t="s">
        <v>966</v>
      </c>
      <c r="AW2273" s="262" t="s">
        <v>966</v>
      </c>
      <c r="BB2273" s="335">
        <f t="shared" ca="1" si="68"/>
        <v>0</v>
      </c>
      <c r="BF2273" s="460">
        <v>23683</v>
      </c>
      <c r="BG2273" s="452">
        <f t="shared" si="69"/>
        <v>0</v>
      </c>
      <c r="BH2273" s="452">
        <f t="shared" si="70"/>
        <v>0</v>
      </c>
      <c r="BI2273" s="162">
        <f t="shared" si="71"/>
        <v>0</v>
      </c>
      <c r="BJ2273" s="136">
        <f t="shared" si="72"/>
        <v>0</v>
      </c>
      <c r="BK2273" s="453">
        <f t="shared" si="73"/>
        <v>0</v>
      </c>
    </row>
    <row r="2274" spans="1:63" ht="15.6" hidden="1" x14ac:dyDescent="0.25">
      <c r="A2274" s="454" t="s">
        <v>1285</v>
      </c>
      <c r="B2274" s="455" t="s">
        <v>1286</v>
      </c>
      <c r="C2274" s="465">
        <v>1E-8</v>
      </c>
      <c r="D2274" s="465">
        <f>D2262</f>
        <v>999999</v>
      </c>
      <c r="G2274" s="457"/>
      <c r="H2274" s="457"/>
      <c r="I2274" s="457"/>
      <c r="J2274" s="457"/>
      <c r="K2274" s="457"/>
      <c r="L2274" s="457"/>
      <c r="M2274" s="457"/>
      <c r="N2274" s="457"/>
      <c r="O2274" s="457"/>
      <c r="P2274" s="457"/>
      <c r="Q2274" s="457"/>
      <c r="R2274" s="457"/>
      <c r="S2274" s="457"/>
      <c r="T2274" s="457"/>
      <c r="U2274" s="457"/>
      <c r="V2274" s="457"/>
      <c r="W2274" s="457"/>
      <c r="X2274" s="457"/>
      <c r="Y2274" s="457"/>
      <c r="Z2274" s="457"/>
      <c r="AB2274" s="6" t="s">
        <v>1287</v>
      </c>
      <c r="AC2274" s="262" t="s">
        <v>966</v>
      </c>
      <c r="AD2274" s="6" t="s">
        <v>1203</v>
      </c>
      <c r="AF2274" s="458">
        <v>2</v>
      </c>
      <c r="AG2274" s="6">
        <v>2</v>
      </c>
      <c r="AH2274" s="6" t="s">
        <v>1147</v>
      </c>
      <c r="AI2274" s="6" t="str">
        <f>CONCATENATE(AG2274,AH2274)</f>
        <v>2 years</v>
      </c>
      <c r="AK2274" s="6" t="s">
        <v>1148</v>
      </c>
      <c r="AO2274" s="6" t="s">
        <v>1239</v>
      </c>
      <c r="AR2274" s="262" t="s">
        <v>966</v>
      </c>
      <c r="AS2274" s="6" t="s">
        <v>1167</v>
      </c>
      <c r="AW2274" s="262" t="s">
        <v>966</v>
      </c>
      <c r="BB2274" s="335">
        <f t="shared" ca="1" si="68"/>
        <v>1.2000000000000002E-7</v>
      </c>
      <c r="BF2274" s="460">
        <v>33095</v>
      </c>
      <c r="BG2274" s="452">
        <f t="shared" ref="BG2274:BG2293" si="75">IF($B$208=$B2274,$B$1101,0)</f>
        <v>0</v>
      </c>
      <c r="BH2274" s="452">
        <f t="shared" si="70"/>
        <v>0</v>
      </c>
      <c r="BI2274" s="162">
        <f t="shared" si="71"/>
        <v>0</v>
      </c>
      <c r="BJ2274" s="136">
        <f t="shared" si="72"/>
        <v>0</v>
      </c>
      <c r="BK2274" s="453">
        <f t="shared" si="73"/>
        <v>0</v>
      </c>
    </row>
    <row r="2275" spans="1:63" ht="15.6" hidden="1" x14ac:dyDescent="0.25">
      <c r="A2275" s="454" t="s">
        <v>1288</v>
      </c>
      <c r="B2275" s="455" t="s">
        <v>1289</v>
      </c>
      <c r="C2275" s="456">
        <v>50000</v>
      </c>
      <c r="D2275" s="456">
        <v>750000</v>
      </c>
      <c r="G2275" s="457"/>
      <c r="H2275" s="457"/>
      <c r="I2275" s="457"/>
      <c r="J2275" s="457"/>
      <c r="K2275" s="457"/>
      <c r="L2275" s="457"/>
      <c r="M2275" s="457"/>
      <c r="N2275" s="457"/>
      <c r="O2275" s="457"/>
      <c r="P2275" s="457"/>
      <c r="Q2275" s="457"/>
      <c r="R2275" s="457"/>
      <c r="S2275" s="457"/>
      <c r="T2275" s="457"/>
      <c r="U2275" s="457"/>
      <c r="V2275" s="457"/>
      <c r="W2275" s="457"/>
      <c r="X2275" s="457"/>
      <c r="Y2275" s="457"/>
      <c r="Z2275" s="457"/>
      <c r="AB2275" s="6" t="s">
        <v>1290</v>
      </c>
      <c r="AC2275" s="262" t="s">
        <v>966</v>
      </c>
      <c r="AD2275" s="6" t="s">
        <v>1291</v>
      </c>
      <c r="AF2275" s="458">
        <v>5</v>
      </c>
      <c r="AG2275" s="6">
        <v>5</v>
      </c>
      <c r="AH2275" s="6" t="s">
        <v>1147</v>
      </c>
      <c r="AI2275" s="6" t="str">
        <f>CONCATENATE(AG2275,AH2275)</f>
        <v>5 years</v>
      </c>
      <c r="AK2275" s="6" t="s">
        <v>1148</v>
      </c>
      <c r="AO2275" s="6" t="s">
        <v>1292</v>
      </c>
      <c r="AR2275" s="262" t="s">
        <v>966</v>
      </c>
      <c r="AS2275" s="6" t="s">
        <v>1150</v>
      </c>
      <c r="AW2275" s="262" t="s">
        <v>966</v>
      </c>
      <c r="BB2275" s="335">
        <f t="shared" ca="1" si="68"/>
        <v>600000</v>
      </c>
      <c r="BF2275" s="460">
        <v>25774</v>
      </c>
      <c r="BG2275" s="452">
        <f t="shared" si="75"/>
        <v>0</v>
      </c>
      <c r="BH2275" s="452">
        <f t="shared" si="70"/>
        <v>0</v>
      </c>
      <c r="BI2275" s="162">
        <f t="shared" si="71"/>
        <v>0</v>
      </c>
      <c r="BJ2275" s="136">
        <f t="shared" si="72"/>
        <v>0</v>
      </c>
      <c r="BK2275" s="453">
        <f t="shared" si="73"/>
        <v>0</v>
      </c>
    </row>
    <row r="2276" spans="1:63" ht="15.6" hidden="1" x14ac:dyDescent="0.25">
      <c r="A2276" s="454" t="s">
        <v>1293</v>
      </c>
      <c r="B2276" s="455" t="s">
        <v>1294</v>
      </c>
      <c r="C2276" s="456"/>
      <c r="D2276" s="456"/>
      <c r="G2276" s="457"/>
      <c r="H2276" s="457"/>
      <c r="I2276" s="457"/>
      <c r="J2276" s="457"/>
      <c r="K2276" s="457"/>
      <c r="L2276" s="457"/>
      <c r="M2276" s="457"/>
      <c r="N2276" s="457"/>
      <c r="O2276" s="457"/>
      <c r="P2276" s="457"/>
      <c r="Q2276" s="457"/>
      <c r="R2276" s="457"/>
      <c r="S2276" s="457"/>
      <c r="T2276" s="457"/>
      <c r="U2276" s="457"/>
      <c r="V2276" s="457"/>
      <c r="W2276" s="457"/>
      <c r="X2276" s="457"/>
      <c r="Y2276" s="457"/>
      <c r="Z2276" s="457"/>
      <c r="AA2276" s="448"/>
      <c r="AB2276" s="448" t="s">
        <v>1128</v>
      </c>
      <c r="AC2276" s="262" t="s">
        <v>966</v>
      </c>
      <c r="AF2276" s="458"/>
      <c r="AR2276" s="262" t="s">
        <v>966</v>
      </c>
      <c r="AW2276" s="262" t="s">
        <v>966</v>
      </c>
      <c r="BB2276" s="335">
        <f t="shared" ca="1" si="68"/>
        <v>0</v>
      </c>
      <c r="BF2276" s="460">
        <v>33071</v>
      </c>
      <c r="BG2276" s="452">
        <f t="shared" si="75"/>
        <v>0</v>
      </c>
      <c r="BH2276" s="452">
        <f t="shared" si="70"/>
        <v>0</v>
      </c>
      <c r="BI2276" s="162">
        <f t="shared" si="71"/>
        <v>0</v>
      </c>
      <c r="BJ2276" s="136">
        <f t="shared" si="72"/>
        <v>0</v>
      </c>
      <c r="BK2276" s="453">
        <f t="shared" si="73"/>
        <v>0</v>
      </c>
    </row>
    <row r="2277" spans="1:63" ht="15.6" hidden="1" x14ac:dyDescent="0.25">
      <c r="A2277" s="454" t="s">
        <v>1295</v>
      </c>
      <c r="B2277" s="455" t="s">
        <v>1296</v>
      </c>
      <c r="C2277" s="470">
        <v>40330</v>
      </c>
      <c r="D2277" s="456"/>
      <c r="G2277" s="457"/>
      <c r="H2277" s="457"/>
      <c r="I2277" s="457"/>
      <c r="J2277" s="457"/>
      <c r="K2277" s="457"/>
      <c r="L2277" s="457"/>
      <c r="M2277" s="457"/>
      <c r="N2277" s="457"/>
      <c r="O2277" s="457"/>
      <c r="P2277" s="457"/>
      <c r="Q2277" s="457"/>
      <c r="R2277" s="457"/>
      <c r="S2277" s="457"/>
      <c r="T2277" s="457"/>
      <c r="U2277" s="457"/>
      <c r="V2277" s="457"/>
      <c r="W2277" s="457"/>
      <c r="X2277" s="457"/>
      <c r="Y2277" s="457"/>
      <c r="Z2277" s="457"/>
      <c r="AB2277" s="6" t="s">
        <v>1297</v>
      </c>
      <c r="AC2277" s="262" t="s">
        <v>966</v>
      </c>
      <c r="AD2277" s="6" t="s">
        <v>1298</v>
      </c>
      <c r="AF2277" s="458">
        <v>2</v>
      </c>
      <c r="AG2277" s="6">
        <v>2</v>
      </c>
      <c r="AH2277" s="6" t="s">
        <v>1147</v>
      </c>
      <c r="AI2277" s="6" t="str">
        <f>CONCATENATE(AG2277,AH2277)</f>
        <v>2 years</v>
      </c>
      <c r="AK2277" s="6" t="s">
        <v>1148</v>
      </c>
      <c r="AO2277" s="6" t="s">
        <v>1214</v>
      </c>
      <c r="AR2277" s="262" t="s">
        <v>966</v>
      </c>
      <c r="AS2277" s="6" t="s">
        <v>1299</v>
      </c>
      <c r="AW2277" s="262" t="s">
        <v>966</v>
      </c>
      <c r="BB2277" s="335">
        <f t="shared" ca="1" si="68"/>
        <v>483960</v>
      </c>
      <c r="BF2277" s="460">
        <v>26937</v>
      </c>
      <c r="BG2277" s="452">
        <f t="shared" si="75"/>
        <v>0</v>
      </c>
      <c r="BH2277" s="452">
        <f t="shared" si="70"/>
        <v>0</v>
      </c>
      <c r="BI2277" s="162">
        <f t="shared" si="71"/>
        <v>0</v>
      </c>
      <c r="BJ2277" s="136">
        <f t="shared" si="72"/>
        <v>0</v>
      </c>
      <c r="BK2277" s="453">
        <f t="shared" si="73"/>
        <v>0</v>
      </c>
    </row>
    <row r="2278" spans="1:63" ht="15.6" hidden="1" x14ac:dyDescent="0.25">
      <c r="A2278" s="454" t="s">
        <v>1300</v>
      </c>
      <c r="B2278" s="455" t="s">
        <v>1301</v>
      </c>
      <c r="C2278" s="456"/>
      <c r="D2278" s="456">
        <v>175000</v>
      </c>
      <c r="G2278" s="457"/>
      <c r="H2278" s="457"/>
      <c r="I2278" s="457"/>
      <c r="J2278" s="457"/>
      <c r="K2278" s="457"/>
      <c r="L2278" s="457"/>
      <c r="M2278" s="457"/>
      <c r="N2278" s="457"/>
      <c r="O2278" s="457"/>
      <c r="P2278" s="457"/>
      <c r="Q2278" s="457"/>
      <c r="R2278" s="457"/>
      <c r="S2278" s="457"/>
      <c r="T2278" s="457"/>
      <c r="U2278" s="457"/>
      <c r="V2278" s="457"/>
      <c r="W2278" s="457"/>
      <c r="X2278" s="457"/>
      <c r="Y2278" s="457"/>
      <c r="Z2278" s="457"/>
      <c r="AB2278" s="6" t="s">
        <v>1302</v>
      </c>
      <c r="AC2278" s="262" t="s">
        <v>966</v>
      </c>
      <c r="AD2278" s="6" t="s">
        <v>1303</v>
      </c>
      <c r="AF2278" s="458">
        <v>0</v>
      </c>
      <c r="AG2278" s="6">
        <v>1</v>
      </c>
      <c r="AH2278" s="6" t="s">
        <v>1147</v>
      </c>
      <c r="AI2278" s="6" t="str">
        <f>CONCATENATE(AG2278,AH2278)</f>
        <v>1 years</v>
      </c>
      <c r="AK2278" s="6" t="s">
        <v>1148</v>
      </c>
      <c r="AO2278" s="6" t="s">
        <v>1304</v>
      </c>
      <c r="AR2278" s="262" t="s">
        <v>966</v>
      </c>
      <c r="AS2278" s="6" t="s">
        <v>1167</v>
      </c>
      <c r="AW2278" s="262" t="s">
        <v>966</v>
      </c>
      <c r="BB2278" s="335">
        <f t="shared" ca="1" si="68"/>
        <v>0</v>
      </c>
      <c r="BF2278" s="460">
        <v>25229</v>
      </c>
      <c r="BG2278" s="452">
        <f t="shared" si="75"/>
        <v>0</v>
      </c>
      <c r="BH2278" s="452">
        <f t="shared" si="70"/>
        <v>0</v>
      </c>
      <c r="BI2278" s="162">
        <f t="shared" si="71"/>
        <v>0</v>
      </c>
      <c r="BJ2278" s="136">
        <f t="shared" si="72"/>
        <v>0</v>
      </c>
      <c r="BK2278" s="453">
        <f t="shared" si="73"/>
        <v>0</v>
      </c>
    </row>
    <row r="2279" spans="1:63" ht="15.6" hidden="1" x14ac:dyDescent="0.25">
      <c r="A2279" s="454" t="s">
        <v>1305</v>
      </c>
      <c r="B2279" s="455" t="s">
        <v>1306</v>
      </c>
      <c r="C2279" s="456"/>
      <c r="D2279" s="456"/>
      <c r="G2279" s="457"/>
      <c r="H2279" s="457"/>
      <c r="I2279" s="457"/>
      <c r="J2279" s="457"/>
      <c r="K2279" s="457"/>
      <c r="L2279" s="457"/>
      <c r="M2279" s="457"/>
      <c r="N2279" s="457"/>
      <c r="O2279" s="457"/>
      <c r="P2279" s="457"/>
      <c r="Q2279" s="457"/>
      <c r="R2279" s="457"/>
      <c r="S2279" s="457"/>
      <c r="T2279" s="457"/>
      <c r="U2279" s="457"/>
      <c r="V2279" s="457"/>
      <c r="W2279" s="457"/>
      <c r="X2279" s="457"/>
      <c r="Y2279" s="457"/>
      <c r="Z2279" s="457"/>
      <c r="AA2279" s="448"/>
      <c r="AB2279" s="448" t="s">
        <v>1128</v>
      </c>
      <c r="AC2279" s="262" t="s">
        <v>966</v>
      </c>
      <c r="AF2279" s="458"/>
      <c r="AR2279" s="262" t="s">
        <v>966</v>
      </c>
      <c r="AW2279" s="262" t="s">
        <v>966</v>
      </c>
      <c r="BB2279" s="335">
        <f t="shared" ca="1" si="68"/>
        <v>0</v>
      </c>
      <c r="BF2279" s="460">
        <v>27646</v>
      </c>
      <c r="BG2279" s="452">
        <f t="shared" si="75"/>
        <v>0</v>
      </c>
      <c r="BH2279" s="452">
        <f t="shared" si="70"/>
        <v>0</v>
      </c>
      <c r="BI2279" s="162">
        <f t="shared" si="71"/>
        <v>0</v>
      </c>
      <c r="BJ2279" s="136">
        <f t="shared" si="72"/>
        <v>0</v>
      </c>
      <c r="BK2279" s="453">
        <f t="shared" si="73"/>
        <v>0</v>
      </c>
    </row>
    <row r="2280" spans="1:63" ht="15.6" hidden="1" x14ac:dyDescent="0.25">
      <c r="A2280" s="454" t="s">
        <v>1307</v>
      </c>
      <c r="B2280" s="455" t="s">
        <v>1308</v>
      </c>
      <c r="C2280" s="456"/>
      <c r="D2280" s="456"/>
      <c r="G2280" s="457"/>
      <c r="H2280" s="457"/>
      <c r="I2280" s="457"/>
      <c r="J2280" s="457"/>
      <c r="K2280" s="457"/>
      <c r="L2280" s="457"/>
      <c r="M2280" s="457"/>
      <c r="N2280" s="457"/>
      <c r="O2280" s="457"/>
      <c r="P2280" s="457"/>
      <c r="Q2280" s="457"/>
      <c r="R2280" s="457"/>
      <c r="S2280" s="457"/>
      <c r="T2280" s="457"/>
      <c r="U2280" s="457"/>
      <c r="V2280" s="457"/>
      <c r="W2280" s="457"/>
      <c r="X2280" s="457"/>
      <c r="Y2280" s="457"/>
      <c r="Z2280" s="457"/>
      <c r="AA2280" s="448"/>
      <c r="AB2280" s="448" t="s">
        <v>1128</v>
      </c>
      <c r="AC2280" s="262" t="s">
        <v>966</v>
      </c>
      <c r="AF2280" s="458"/>
      <c r="AR2280" s="262" t="s">
        <v>966</v>
      </c>
      <c r="AW2280" s="262" t="s">
        <v>966</v>
      </c>
      <c r="BB2280" s="335">
        <f t="shared" ca="1" si="68"/>
        <v>0</v>
      </c>
      <c r="BF2280" s="460">
        <v>29220</v>
      </c>
      <c r="BG2280" s="452">
        <f t="shared" si="75"/>
        <v>0</v>
      </c>
      <c r="BH2280" s="452">
        <f t="shared" si="70"/>
        <v>0</v>
      </c>
      <c r="BI2280" s="162">
        <f t="shared" si="71"/>
        <v>0</v>
      </c>
      <c r="BJ2280" s="136">
        <f t="shared" si="72"/>
        <v>0</v>
      </c>
      <c r="BK2280" s="453">
        <f t="shared" si="73"/>
        <v>0</v>
      </c>
    </row>
    <row r="2281" spans="1:63" ht="15.6" hidden="1" x14ac:dyDescent="0.25">
      <c r="A2281" s="454" t="s">
        <v>1309</v>
      </c>
      <c r="B2281" s="455" t="s">
        <v>1310</v>
      </c>
      <c r="C2281" s="456"/>
      <c r="D2281" s="456"/>
      <c r="G2281" s="457"/>
      <c r="H2281" s="457"/>
      <c r="I2281" s="457"/>
      <c r="J2281" s="457"/>
      <c r="K2281" s="457"/>
      <c r="L2281" s="457"/>
      <c r="M2281" s="457"/>
      <c r="N2281" s="457"/>
      <c r="O2281" s="457"/>
      <c r="P2281" s="457"/>
      <c r="Q2281" s="457"/>
      <c r="R2281" s="457"/>
      <c r="S2281" s="457"/>
      <c r="T2281" s="457"/>
      <c r="U2281" s="457"/>
      <c r="V2281" s="457"/>
      <c r="W2281" s="457"/>
      <c r="X2281" s="457"/>
      <c r="Y2281" s="457"/>
      <c r="Z2281" s="457"/>
      <c r="AA2281" s="448"/>
      <c r="AB2281" s="448" t="s">
        <v>1128</v>
      </c>
      <c r="AC2281" s="262" t="s">
        <v>966</v>
      </c>
      <c r="AF2281" s="458"/>
      <c r="AR2281" s="262" t="s">
        <v>966</v>
      </c>
      <c r="AW2281" s="262" t="s">
        <v>966</v>
      </c>
      <c r="BB2281" s="335">
        <f t="shared" ca="1" si="68"/>
        <v>0</v>
      </c>
      <c r="BF2281" s="460">
        <v>30830</v>
      </c>
      <c r="BG2281" s="452">
        <f t="shared" si="75"/>
        <v>0</v>
      </c>
      <c r="BH2281" s="452">
        <f t="shared" si="70"/>
        <v>0</v>
      </c>
      <c r="BI2281" s="162">
        <f t="shared" si="71"/>
        <v>0</v>
      </c>
      <c r="BJ2281" s="136">
        <f t="shared" si="72"/>
        <v>0</v>
      </c>
      <c r="BK2281" s="453">
        <f t="shared" si="73"/>
        <v>0</v>
      </c>
    </row>
    <row r="2282" spans="1:63" ht="15.6" hidden="1" x14ac:dyDescent="0.25">
      <c r="A2282" s="454" t="s">
        <v>1311</v>
      </c>
      <c r="B2282" s="455" t="s">
        <v>1312</v>
      </c>
      <c r="C2282" s="456"/>
      <c r="D2282" s="456"/>
      <c r="G2282" s="457"/>
      <c r="H2282" s="457"/>
      <c r="I2282" s="457"/>
      <c r="J2282" s="457"/>
      <c r="K2282" s="457"/>
      <c r="L2282" s="457"/>
      <c r="M2282" s="457"/>
      <c r="N2282" s="457"/>
      <c r="O2282" s="457"/>
      <c r="P2282" s="457"/>
      <c r="Q2282" s="457"/>
      <c r="R2282" s="457"/>
      <c r="S2282" s="457"/>
      <c r="T2282" s="457"/>
      <c r="U2282" s="457"/>
      <c r="V2282" s="457"/>
      <c r="W2282" s="457"/>
      <c r="X2282" s="457"/>
      <c r="Y2282" s="457"/>
      <c r="Z2282" s="457"/>
      <c r="AA2282" s="448"/>
      <c r="AB2282" s="448" t="s">
        <v>1128</v>
      </c>
      <c r="AC2282" s="262" t="s">
        <v>966</v>
      </c>
      <c r="AF2282" s="458"/>
      <c r="AR2282" s="262" t="s">
        <v>966</v>
      </c>
      <c r="AW2282" s="262" t="s">
        <v>966</v>
      </c>
      <c r="BB2282" s="335">
        <f t="shared" ca="1" si="68"/>
        <v>0</v>
      </c>
      <c r="BF2282" s="460">
        <v>24596</v>
      </c>
      <c r="BG2282" s="452">
        <f t="shared" si="75"/>
        <v>0</v>
      </c>
      <c r="BH2282" s="452">
        <f t="shared" si="70"/>
        <v>0</v>
      </c>
      <c r="BI2282" s="162">
        <f t="shared" si="71"/>
        <v>0</v>
      </c>
      <c r="BJ2282" s="136">
        <f t="shared" si="72"/>
        <v>0</v>
      </c>
      <c r="BK2282" s="453">
        <f t="shared" si="73"/>
        <v>0</v>
      </c>
    </row>
    <row r="2283" spans="1:63" ht="15.6" hidden="1" x14ac:dyDescent="0.25">
      <c r="A2283" s="454" t="s">
        <v>1313</v>
      </c>
      <c r="B2283" s="455" t="s">
        <v>1314</v>
      </c>
      <c r="C2283" s="456"/>
      <c r="D2283" s="456"/>
      <c r="G2283" s="457"/>
      <c r="H2283" s="457"/>
      <c r="I2283" s="457"/>
      <c r="J2283" s="457"/>
      <c r="K2283" s="457"/>
      <c r="L2283" s="457"/>
      <c r="M2283" s="457"/>
      <c r="N2283" s="457"/>
      <c r="O2283" s="457"/>
      <c r="P2283" s="457"/>
      <c r="Q2283" s="457"/>
      <c r="R2283" s="457"/>
      <c r="S2283" s="457"/>
      <c r="T2283" s="457"/>
      <c r="U2283" s="457"/>
      <c r="V2283" s="457"/>
      <c r="W2283" s="457"/>
      <c r="X2283" s="457"/>
      <c r="Y2283" s="457"/>
      <c r="Z2283" s="457"/>
      <c r="AA2283" s="448"/>
      <c r="AB2283" s="448" t="s">
        <v>1128</v>
      </c>
      <c r="AC2283" s="262" t="s">
        <v>966</v>
      </c>
      <c r="AF2283" s="458"/>
      <c r="AR2283" s="262" t="s">
        <v>966</v>
      </c>
      <c r="AW2283" s="262" t="s">
        <v>966</v>
      </c>
      <c r="BB2283" s="335">
        <f t="shared" ca="1" si="68"/>
        <v>0</v>
      </c>
      <c r="BF2283" s="460">
        <v>26959</v>
      </c>
      <c r="BG2283" s="452">
        <f t="shared" si="75"/>
        <v>0</v>
      </c>
      <c r="BH2283" s="452">
        <f t="shared" si="70"/>
        <v>0</v>
      </c>
      <c r="BI2283" s="162">
        <f t="shared" si="71"/>
        <v>0</v>
      </c>
      <c r="BJ2283" s="136">
        <f t="shared" si="72"/>
        <v>0</v>
      </c>
      <c r="BK2283" s="453">
        <f t="shared" si="73"/>
        <v>0</v>
      </c>
    </row>
    <row r="2284" spans="1:63" ht="15.6" hidden="1" x14ac:dyDescent="0.25">
      <c r="A2284" s="454" t="s">
        <v>1315</v>
      </c>
      <c r="B2284" s="455" t="s">
        <v>1316</v>
      </c>
      <c r="C2284" s="456"/>
      <c r="D2284" s="456">
        <v>1000000</v>
      </c>
      <c r="G2284" s="457"/>
      <c r="H2284" s="457"/>
      <c r="I2284" s="457"/>
      <c r="J2284" s="457"/>
      <c r="K2284" s="457"/>
      <c r="L2284" s="457"/>
      <c r="M2284" s="457"/>
      <c r="N2284" s="457"/>
      <c r="O2284" s="457"/>
      <c r="P2284" s="457"/>
      <c r="Q2284" s="457"/>
      <c r="R2284" s="457"/>
      <c r="S2284" s="457"/>
      <c r="T2284" s="457"/>
      <c r="U2284" s="457"/>
      <c r="V2284" s="457"/>
      <c r="W2284" s="457"/>
      <c r="X2284" s="457"/>
      <c r="Y2284" s="457"/>
      <c r="Z2284" s="457"/>
      <c r="AB2284" s="6" t="s">
        <v>1317</v>
      </c>
      <c r="AC2284" s="262" t="s">
        <v>966</v>
      </c>
      <c r="AD2284" s="6" t="s">
        <v>1275</v>
      </c>
      <c r="AF2284" s="458">
        <v>1</v>
      </c>
      <c r="AG2284" s="6">
        <v>1</v>
      </c>
      <c r="AH2284" s="6" t="s">
        <v>1318</v>
      </c>
      <c r="AI2284" s="6" t="str">
        <f>CONCATENATE(AG2284,AH2284)</f>
        <v>1 year</v>
      </c>
      <c r="AK2284" s="6" t="s">
        <v>1148</v>
      </c>
      <c r="AO2284" s="6" t="s">
        <v>1319</v>
      </c>
      <c r="AR2284" s="262" t="s">
        <v>966</v>
      </c>
      <c r="AS2284" s="6" t="s">
        <v>1150</v>
      </c>
      <c r="AW2284" s="262" t="s">
        <v>966</v>
      </c>
      <c r="BB2284" s="335">
        <f t="shared" ca="1" si="68"/>
        <v>0</v>
      </c>
      <c r="BF2284" s="460">
        <v>24922</v>
      </c>
      <c r="BG2284" s="452">
        <f t="shared" si="75"/>
        <v>0</v>
      </c>
      <c r="BH2284" s="452">
        <f t="shared" si="70"/>
        <v>0</v>
      </c>
      <c r="BI2284" s="162">
        <f t="shared" si="71"/>
        <v>0</v>
      </c>
      <c r="BJ2284" s="136">
        <f t="shared" si="72"/>
        <v>0</v>
      </c>
      <c r="BK2284" s="453">
        <f t="shared" si="73"/>
        <v>0</v>
      </c>
    </row>
    <row r="2285" spans="1:63" ht="15.6" hidden="1" x14ac:dyDescent="0.25">
      <c r="A2285" s="454" t="s">
        <v>1320</v>
      </c>
      <c r="B2285" s="455" t="s">
        <v>1321</v>
      </c>
      <c r="C2285" s="456">
        <v>80000</v>
      </c>
      <c r="D2285" s="456"/>
      <c r="G2285" s="457"/>
      <c r="H2285" s="457"/>
      <c r="I2285" s="457"/>
      <c r="J2285" s="457"/>
      <c r="K2285" s="457"/>
      <c r="L2285" s="457"/>
      <c r="M2285" s="457"/>
      <c r="N2285" s="457"/>
      <c r="O2285" s="457"/>
      <c r="P2285" s="457"/>
      <c r="Q2285" s="457"/>
      <c r="R2285" s="457"/>
      <c r="S2285" s="457"/>
      <c r="T2285" s="457"/>
      <c r="U2285" s="457"/>
      <c r="V2285" s="457"/>
      <c r="W2285" s="457"/>
      <c r="X2285" s="457"/>
      <c r="Y2285" s="457"/>
      <c r="Z2285" s="457"/>
      <c r="AB2285" s="6" t="s">
        <v>1322</v>
      </c>
      <c r="AC2285" s="262" t="s">
        <v>966</v>
      </c>
      <c r="AD2285" s="6" t="s">
        <v>1323</v>
      </c>
      <c r="AF2285" s="458"/>
      <c r="AG2285" s="6">
        <v>3</v>
      </c>
      <c r="AH2285" s="6" t="s">
        <v>1147</v>
      </c>
      <c r="AI2285" s="6" t="str">
        <f>CONCATENATE(AG2285,AH2285)</f>
        <v>3 years</v>
      </c>
      <c r="AK2285" s="6" t="s">
        <v>1213</v>
      </c>
      <c r="AO2285" s="6" t="s">
        <v>1324</v>
      </c>
      <c r="AR2285" s="262" t="s">
        <v>966</v>
      </c>
      <c r="AS2285" s="6" t="s">
        <v>1325</v>
      </c>
      <c r="AW2285" s="262" t="s">
        <v>966</v>
      </c>
      <c r="BB2285" s="335">
        <f t="shared" ca="1" si="68"/>
        <v>960000</v>
      </c>
      <c r="BF2285" s="460">
        <v>27125</v>
      </c>
      <c r="BG2285" s="452">
        <f t="shared" si="75"/>
        <v>0</v>
      </c>
      <c r="BH2285" s="452">
        <f t="shared" si="70"/>
        <v>0</v>
      </c>
      <c r="BI2285" s="162">
        <f t="shared" si="71"/>
        <v>0</v>
      </c>
      <c r="BJ2285" s="136">
        <f t="shared" si="72"/>
        <v>0</v>
      </c>
      <c r="BK2285" s="453">
        <f t="shared" si="73"/>
        <v>0</v>
      </c>
    </row>
    <row r="2286" spans="1:63" ht="15.6" hidden="1" x14ac:dyDescent="0.25">
      <c r="A2286" s="454" t="s">
        <v>1326</v>
      </c>
      <c r="B2286" s="455" t="s">
        <v>1327</v>
      </c>
      <c r="C2286" s="470"/>
      <c r="D2286" s="470">
        <f>65977*15</f>
        <v>989655</v>
      </c>
      <c r="G2286" s="457"/>
      <c r="H2286" s="457"/>
      <c r="I2286" s="457"/>
      <c r="J2286" s="457"/>
      <c r="K2286" s="457"/>
      <c r="L2286" s="457"/>
      <c r="M2286" s="457"/>
      <c r="N2286" s="457"/>
      <c r="O2286" s="457"/>
      <c r="P2286" s="457"/>
      <c r="Q2286" s="457"/>
      <c r="R2286" s="457"/>
      <c r="S2286" s="457"/>
      <c r="T2286" s="457"/>
      <c r="U2286" s="457"/>
      <c r="V2286" s="457"/>
      <c r="W2286" s="457"/>
      <c r="X2286" s="457"/>
      <c r="Y2286" s="457"/>
      <c r="Z2286" s="457"/>
      <c r="AB2286" s="6" t="s">
        <v>1328</v>
      </c>
      <c r="AC2286" s="262" t="s">
        <v>966</v>
      </c>
      <c r="AD2286" s="6" t="s">
        <v>1329</v>
      </c>
      <c r="AF2286" s="458">
        <v>1</v>
      </c>
      <c r="AI2286" s="6" t="str">
        <f>AI2267</f>
        <v>2 years</v>
      </c>
      <c r="AK2286" s="6" t="s">
        <v>1213</v>
      </c>
      <c r="AO2286" s="6" t="s">
        <v>1330</v>
      </c>
      <c r="AR2286" s="262" t="s">
        <v>966</v>
      </c>
      <c r="AS2286" s="6" t="s">
        <v>1265</v>
      </c>
      <c r="AW2286" s="262" t="s">
        <v>966</v>
      </c>
      <c r="BB2286" s="335">
        <f t="shared" ca="1" si="68"/>
        <v>0</v>
      </c>
      <c r="BF2286" s="460">
        <v>24877</v>
      </c>
      <c r="BG2286" s="452">
        <f t="shared" si="75"/>
        <v>0</v>
      </c>
      <c r="BH2286" s="452">
        <f t="shared" si="70"/>
        <v>0</v>
      </c>
      <c r="BI2286" s="162">
        <f t="shared" si="71"/>
        <v>0</v>
      </c>
      <c r="BJ2286" s="136">
        <f t="shared" si="72"/>
        <v>0</v>
      </c>
      <c r="BK2286" s="453">
        <f t="shared" si="73"/>
        <v>0</v>
      </c>
    </row>
    <row r="2287" spans="1:63" ht="15.6" hidden="1" x14ac:dyDescent="0.25">
      <c r="A2287" s="454" t="s">
        <v>1331</v>
      </c>
      <c r="B2287" s="455" t="s">
        <v>1332</v>
      </c>
      <c r="C2287" s="456">
        <v>60000</v>
      </c>
      <c r="D2287" s="456"/>
      <c r="G2287" s="457"/>
      <c r="H2287" s="457"/>
      <c r="I2287" s="457"/>
      <c r="J2287" s="457"/>
      <c r="K2287" s="457"/>
      <c r="L2287" s="457"/>
      <c r="M2287" s="457"/>
      <c r="N2287" s="457"/>
      <c r="O2287" s="457"/>
      <c r="P2287" s="457"/>
      <c r="Q2287" s="457"/>
      <c r="R2287" s="457"/>
      <c r="S2287" s="457"/>
      <c r="T2287" s="457"/>
      <c r="U2287" s="457"/>
      <c r="V2287" s="457"/>
      <c r="W2287" s="457"/>
      <c r="X2287" s="457"/>
      <c r="Y2287" s="457"/>
      <c r="Z2287" s="457"/>
      <c r="AB2287" s="6" t="s">
        <v>1333</v>
      </c>
      <c r="AC2287" s="262" t="s">
        <v>966</v>
      </c>
      <c r="AD2287" s="6" t="s">
        <v>1334</v>
      </c>
      <c r="AF2287" s="458">
        <v>3</v>
      </c>
      <c r="AG2287" s="6">
        <v>3</v>
      </c>
      <c r="AH2287" s="6" t="s">
        <v>1147</v>
      </c>
      <c r="AI2287" s="6" t="str">
        <f>CONCATENATE(AG2287,AH2287)</f>
        <v>3 years</v>
      </c>
      <c r="AK2287" s="6" t="s">
        <v>1188</v>
      </c>
      <c r="AO2287" s="6" t="s">
        <v>1335</v>
      </c>
      <c r="AR2287" s="262" t="s">
        <v>966</v>
      </c>
      <c r="AS2287" s="6" t="s">
        <v>1336</v>
      </c>
      <c r="AW2287" s="262" t="s">
        <v>966</v>
      </c>
      <c r="BB2287" s="335">
        <f t="shared" ca="1" si="68"/>
        <v>720000</v>
      </c>
      <c r="BF2287" s="460">
        <v>29178</v>
      </c>
      <c r="BG2287" s="452">
        <f t="shared" si="75"/>
        <v>0</v>
      </c>
      <c r="BH2287" s="452">
        <f t="shared" si="70"/>
        <v>0</v>
      </c>
      <c r="BI2287" s="162">
        <f t="shared" si="71"/>
        <v>0</v>
      </c>
      <c r="BJ2287" s="136">
        <f t="shared" si="72"/>
        <v>0</v>
      </c>
      <c r="BK2287" s="453">
        <f t="shared" si="73"/>
        <v>0</v>
      </c>
    </row>
    <row r="2288" spans="1:63" ht="15.6" hidden="1" x14ac:dyDescent="0.25">
      <c r="A2288" s="454" t="s">
        <v>1337</v>
      </c>
      <c r="B2288" s="455" t="s">
        <v>1338</v>
      </c>
      <c r="C2288" s="470">
        <f>23975*0.9</f>
        <v>21577.5</v>
      </c>
      <c r="D2288" s="456"/>
      <c r="G2288" s="457"/>
      <c r="H2288" s="457"/>
      <c r="I2288" s="457"/>
      <c r="J2288" s="457"/>
      <c r="K2288" s="457"/>
      <c r="L2288" s="457"/>
      <c r="M2288" s="457"/>
      <c r="N2288" s="457"/>
      <c r="O2288" s="457"/>
      <c r="P2288" s="457"/>
      <c r="Q2288" s="457"/>
      <c r="R2288" s="457"/>
      <c r="S2288" s="457"/>
      <c r="T2288" s="457"/>
      <c r="U2288" s="457"/>
      <c r="V2288" s="457"/>
      <c r="W2288" s="457"/>
      <c r="X2288" s="457"/>
      <c r="Y2288" s="457"/>
      <c r="Z2288" s="457"/>
      <c r="AB2288" s="6" t="s">
        <v>1339</v>
      </c>
      <c r="AC2288" s="262" t="s">
        <v>966</v>
      </c>
      <c r="AD2288" s="6" t="s">
        <v>1340</v>
      </c>
      <c r="AF2288" s="458"/>
      <c r="AI2288" s="6" t="str">
        <f>AI2286</f>
        <v>2 years</v>
      </c>
      <c r="AK2288" s="6" t="s">
        <v>1213</v>
      </c>
      <c r="AO2288" s="6" t="s">
        <v>1341</v>
      </c>
      <c r="AR2288" s="262" t="s">
        <v>966</v>
      </c>
      <c r="AS2288" s="6" t="s">
        <v>1150</v>
      </c>
      <c r="AW2288" s="262" t="s">
        <v>966</v>
      </c>
      <c r="BB2288" s="335">
        <f t="shared" ca="1" si="68"/>
        <v>258930</v>
      </c>
      <c r="BF2288" s="460">
        <v>34052</v>
      </c>
      <c r="BG2288" s="452">
        <f t="shared" si="75"/>
        <v>0</v>
      </c>
      <c r="BH2288" s="452">
        <f t="shared" si="70"/>
        <v>0</v>
      </c>
      <c r="BI2288" s="162">
        <f t="shared" si="71"/>
        <v>0</v>
      </c>
      <c r="BJ2288" s="136">
        <f t="shared" si="72"/>
        <v>0</v>
      </c>
      <c r="BK2288" s="453">
        <f t="shared" si="73"/>
        <v>0</v>
      </c>
    </row>
    <row r="2289" spans="1:63" ht="15.6" hidden="1" x14ac:dyDescent="0.25">
      <c r="A2289" s="454" t="s">
        <v>1342</v>
      </c>
      <c r="B2289" s="455" t="s">
        <v>1343</v>
      </c>
      <c r="C2289" s="456">
        <v>50000</v>
      </c>
      <c r="D2289" s="456">
        <v>25000</v>
      </c>
      <c r="G2289" s="457"/>
      <c r="H2289" s="457"/>
      <c r="I2289" s="457"/>
      <c r="J2289" s="457"/>
      <c r="K2289" s="457"/>
      <c r="L2289" s="457"/>
      <c r="M2289" s="457"/>
      <c r="N2289" s="457"/>
      <c r="O2289" s="457"/>
      <c r="P2289" s="457"/>
      <c r="Q2289" s="457"/>
      <c r="R2289" s="457"/>
      <c r="S2289" s="457"/>
      <c r="T2289" s="457"/>
      <c r="U2289" s="457"/>
      <c r="V2289" s="457"/>
      <c r="W2289" s="457"/>
      <c r="X2289" s="457"/>
      <c r="Y2289" s="457"/>
      <c r="Z2289" s="457"/>
      <c r="AB2289" s="6" t="s">
        <v>1344</v>
      </c>
      <c r="AC2289" s="262" t="s">
        <v>966</v>
      </c>
      <c r="AD2289" s="6" t="s">
        <v>1345</v>
      </c>
      <c r="AF2289" s="458">
        <v>3</v>
      </c>
      <c r="AG2289" s="6">
        <v>3</v>
      </c>
      <c r="AH2289" s="6" t="s">
        <v>1147</v>
      </c>
      <c r="AI2289" s="6" t="str">
        <f>CONCATENATE(AG2289,AH2289)</f>
        <v>3 years</v>
      </c>
      <c r="AK2289" s="6" t="s">
        <v>1213</v>
      </c>
      <c r="AO2289" s="6" t="s">
        <v>1346</v>
      </c>
      <c r="AR2289" s="262" t="s">
        <v>966</v>
      </c>
      <c r="AS2289" s="6" t="s">
        <v>1336</v>
      </c>
      <c r="AW2289" s="262" t="s">
        <v>966</v>
      </c>
      <c r="BB2289" s="335">
        <f t="shared" ca="1" si="68"/>
        <v>25000</v>
      </c>
      <c r="BF2289" s="460">
        <v>31841</v>
      </c>
      <c r="BG2289" s="452">
        <f t="shared" si="75"/>
        <v>0</v>
      </c>
      <c r="BH2289" s="452">
        <f t="shared" si="70"/>
        <v>0</v>
      </c>
      <c r="BI2289" s="162">
        <f t="shared" si="71"/>
        <v>0</v>
      </c>
      <c r="BJ2289" s="136">
        <f t="shared" si="72"/>
        <v>0</v>
      </c>
      <c r="BK2289" s="453">
        <f t="shared" si="73"/>
        <v>0</v>
      </c>
    </row>
    <row r="2290" spans="1:63" ht="15.6" hidden="1" x14ac:dyDescent="0.25">
      <c r="A2290" s="454" t="s">
        <v>1347</v>
      </c>
      <c r="B2290" s="455" t="s">
        <v>1348</v>
      </c>
      <c r="C2290" s="456"/>
      <c r="D2290" s="465">
        <f>D2274</f>
        <v>999999</v>
      </c>
      <c r="G2290" s="457"/>
      <c r="H2290" s="457"/>
      <c r="I2290" s="457"/>
      <c r="J2290" s="457"/>
      <c r="K2290" s="457"/>
      <c r="L2290" s="457"/>
      <c r="M2290" s="457"/>
      <c r="N2290" s="457"/>
      <c r="O2290" s="457"/>
      <c r="P2290" s="457"/>
      <c r="Q2290" s="457"/>
      <c r="R2290" s="457"/>
      <c r="S2290" s="457"/>
      <c r="T2290" s="457"/>
      <c r="U2290" s="457"/>
      <c r="V2290" s="457"/>
      <c r="W2290" s="457"/>
      <c r="X2290" s="457"/>
      <c r="Y2290" s="457"/>
      <c r="Z2290" s="457"/>
      <c r="AB2290" s="6" t="s">
        <v>1349</v>
      </c>
      <c r="AC2290" s="262" t="s">
        <v>966</v>
      </c>
      <c r="AD2290" s="6" t="s">
        <v>1203</v>
      </c>
      <c r="AF2290" s="458"/>
      <c r="AG2290" s="6">
        <v>2</v>
      </c>
      <c r="AH2290" s="6" t="s">
        <v>1147</v>
      </c>
      <c r="AI2290" s="6" t="str">
        <f>CONCATENATE(AG2290,AH2290)</f>
        <v>2 years</v>
      </c>
      <c r="AO2290" s="6" t="s">
        <v>1350</v>
      </c>
      <c r="AR2290" s="262" t="s">
        <v>966</v>
      </c>
      <c r="AS2290" s="6" t="s">
        <v>1336</v>
      </c>
      <c r="AW2290" s="262" t="s">
        <v>966</v>
      </c>
      <c r="BB2290" s="335">
        <f t="shared" ca="1" si="68"/>
        <v>0</v>
      </c>
      <c r="BF2290" s="460">
        <v>22714</v>
      </c>
      <c r="BG2290" s="452">
        <f t="shared" si="75"/>
        <v>0</v>
      </c>
      <c r="BH2290" s="452">
        <f t="shared" si="70"/>
        <v>0</v>
      </c>
      <c r="BI2290" s="162">
        <f t="shared" si="71"/>
        <v>0</v>
      </c>
      <c r="BJ2290" s="136">
        <f t="shared" si="72"/>
        <v>0</v>
      </c>
      <c r="BK2290" s="453">
        <f t="shared" si="73"/>
        <v>0</v>
      </c>
    </row>
    <row r="2291" spans="1:63" ht="15.6" hidden="1" x14ac:dyDescent="0.25">
      <c r="A2291" s="454" t="s">
        <v>1351</v>
      </c>
      <c r="B2291" s="455" t="s">
        <v>1352</v>
      </c>
      <c r="C2291" s="456">
        <v>25000</v>
      </c>
      <c r="D2291" s="456"/>
      <c r="G2291" s="457"/>
      <c r="H2291" s="457"/>
      <c r="I2291" s="457"/>
      <c r="J2291" s="457"/>
      <c r="K2291" s="457"/>
      <c r="L2291" s="457"/>
      <c r="M2291" s="457"/>
      <c r="N2291" s="457"/>
      <c r="O2291" s="457"/>
      <c r="P2291" s="457"/>
      <c r="Q2291" s="457"/>
      <c r="R2291" s="457"/>
      <c r="S2291" s="457"/>
      <c r="T2291" s="457"/>
      <c r="U2291" s="457"/>
      <c r="V2291" s="457"/>
      <c r="W2291" s="457"/>
      <c r="X2291" s="457"/>
      <c r="Y2291" s="457"/>
      <c r="Z2291" s="457"/>
      <c r="AB2291" s="6" t="s">
        <v>1353</v>
      </c>
      <c r="AC2291" s="262" t="s">
        <v>966</v>
      </c>
      <c r="AD2291" s="6" t="s">
        <v>1354</v>
      </c>
      <c r="AF2291" s="458"/>
      <c r="AI2291" s="6" t="str">
        <f>AI2288</f>
        <v>2 years</v>
      </c>
      <c r="AK2291" s="6" t="s">
        <v>1148</v>
      </c>
      <c r="AO2291" s="6" t="s">
        <v>1355</v>
      </c>
      <c r="AR2291" s="262" t="s">
        <v>966</v>
      </c>
      <c r="AS2291" s="6" t="s">
        <v>1336</v>
      </c>
      <c r="AW2291" s="262" t="s">
        <v>966</v>
      </c>
      <c r="BB2291" s="335">
        <f t="shared" ca="1" si="68"/>
        <v>300000</v>
      </c>
      <c r="BF2291" s="460">
        <v>28213</v>
      </c>
      <c r="BG2291" s="452">
        <f t="shared" si="75"/>
        <v>0</v>
      </c>
      <c r="BH2291" s="452">
        <f t="shared" si="70"/>
        <v>0</v>
      </c>
      <c r="BI2291" s="162">
        <f t="shared" si="71"/>
        <v>0</v>
      </c>
      <c r="BJ2291" s="136">
        <f t="shared" si="72"/>
        <v>0</v>
      </c>
      <c r="BK2291" s="453">
        <f t="shared" si="73"/>
        <v>0</v>
      </c>
    </row>
    <row r="2292" spans="1:63" ht="15.6" hidden="1" x14ac:dyDescent="0.25">
      <c r="A2292" s="454" t="s">
        <v>1356</v>
      </c>
      <c r="B2292" s="455" t="s">
        <v>1357</v>
      </c>
      <c r="C2292" s="456"/>
      <c r="D2292" s="456"/>
      <c r="G2292" s="457"/>
      <c r="H2292" s="457"/>
      <c r="I2292" s="457"/>
      <c r="J2292" s="457"/>
      <c r="K2292" s="457"/>
      <c r="L2292" s="457"/>
      <c r="M2292" s="457"/>
      <c r="N2292" s="457"/>
      <c r="O2292" s="457"/>
      <c r="P2292" s="457"/>
      <c r="Q2292" s="457"/>
      <c r="R2292" s="457"/>
      <c r="S2292" s="457"/>
      <c r="T2292" s="457"/>
      <c r="U2292" s="457"/>
      <c r="V2292" s="457"/>
      <c r="W2292" s="457"/>
      <c r="X2292" s="457"/>
      <c r="Y2292" s="457"/>
      <c r="Z2292" s="457"/>
      <c r="AA2292" s="448"/>
      <c r="AB2292" s="448" t="s">
        <v>1128</v>
      </c>
      <c r="AC2292" s="262" t="s">
        <v>966</v>
      </c>
      <c r="AF2292" s="458"/>
      <c r="AK2292" s="6" t="s">
        <v>1148</v>
      </c>
      <c r="AR2292" s="262" t="s">
        <v>966</v>
      </c>
      <c r="AW2292" s="262" t="s">
        <v>966</v>
      </c>
      <c r="BB2292" s="335">
        <f t="shared" ca="1" si="68"/>
        <v>0</v>
      </c>
      <c r="BF2292" s="460">
        <v>29698</v>
      </c>
      <c r="BG2292" s="452">
        <f t="shared" si="75"/>
        <v>0</v>
      </c>
      <c r="BH2292" s="452">
        <f t="shared" si="70"/>
        <v>0</v>
      </c>
      <c r="BI2292" s="162">
        <f t="shared" si="71"/>
        <v>0</v>
      </c>
      <c r="BJ2292" s="136">
        <f t="shared" si="72"/>
        <v>0</v>
      </c>
      <c r="BK2292" s="453">
        <f t="shared" si="73"/>
        <v>0</v>
      </c>
    </row>
    <row r="2293" spans="1:63" ht="15.6" hidden="1" x14ac:dyDescent="0.25">
      <c r="A2293" s="454" t="s">
        <v>1358</v>
      </c>
      <c r="B2293" s="455" t="s">
        <v>1359</v>
      </c>
      <c r="C2293" s="456">
        <v>50000</v>
      </c>
      <c r="D2293" s="456"/>
      <c r="G2293" s="457"/>
      <c r="H2293" s="457"/>
      <c r="I2293" s="457"/>
      <c r="J2293" s="457"/>
      <c r="K2293" s="457"/>
      <c r="L2293" s="457"/>
      <c r="M2293" s="457"/>
      <c r="N2293" s="457"/>
      <c r="O2293" s="457"/>
      <c r="P2293" s="457"/>
      <c r="Q2293" s="457"/>
      <c r="R2293" s="457"/>
      <c r="S2293" s="457"/>
      <c r="T2293" s="457"/>
      <c r="U2293" s="457"/>
      <c r="V2293" s="457"/>
      <c r="W2293" s="457"/>
      <c r="X2293" s="457"/>
      <c r="Y2293" s="457"/>
      <c r="Z2293" s="457"/>
      <c r="AB2293" s="466" t="s">
        <v>1360</v>
      </c>
      <c r="AC2293" s="262" t="s">
        <v>966</v>
      </c>
      <c r="AD2293" s="6" t="s">
        <v>1361</v>
      </c>
      <c r="AF2293" s="458"/>
      <c r="AK2293" s="6" t="s">
        <v>1148</v>
      </c>
      <c r="AO2293" s="6" t="s">
        <v>1362</v>
      </c>
      <c r="AR2293" s="262" t="s">
        <v>966</v>
      </c>
      <c r="AS2293" s="6" t="s">
        <v>1150</v>
      </c>
      <c r="AW2293" s="262" t="s">
        <v>966</v>
      </c>
      <c r="BB2293" s="335"/>
      <c r="BF2293" s="460">
        <v>28889</v>
      </c>
      <c r="BG2293" s="452">
        <f t="shared" si="75"/>
        <v>0</v>
      </c>
      <c r="BH2293" s="452">
        <f>BF2293-BG2293</f>
        <v>28889</v>
      </c>
      <c r="BI2293" s="136">
        <f t="shared" si="71"/>
        <v>2407.4166666666665</v>
      </c>
      <c r="BJ2293" s="136">
        <f t="shared" si="72"/>
        <v>555.55769230769226</v>
      </c>
      <c r="BK2293" s="453">
        <f t="shared" si="73"/>
        <v>1</v>
      </c>
    </row>
    <row r="2294" spans="1:63" ht="15.6" hidden="1" x14ac:dyDescent="0.25">
      <c r="A2294" s="6" t="s">
        <v>993</v>
      </c>
      <c r="B2294" s="455" t="s">
        <v>993</v>
      </c>
      <c r="G2294" s="457"/>
      <c r="H2294" s="457"/>
      <c r="I2294" s="457"/>
      <c r="J2294" s="457"/>
      <c r="K2294" s="457"/>
      <c r="L2294" s="457"/>
      <c r="M2294" s="457"/>
      <c r="N2294" s="457"/>
      <c r="O2294" s="457"/>
      <c r="P2294" s="457"/>
      <c r="Q2294" s="457"/>
      <c r="R2294" s="457"/>
      <c r="S2294" s="457"/>
      <c r="T2294" s="457"/>
      <c r="U2294" s="457"/>
      <c r="V2294" s="457"/>
      <c r="W2294" s="457"/>
      <c r="X2294" s="457"/>
      <c r="Y2294" s="457"/>
      <c r="Z2294" s="457"/>
      <c r="AF2294" s="458"/>
      <c r="AW2294" s="262" t="s">
        <v>966</v>
      </c>
    </row>
    <row r="2295" spans="1:63" hidden="1" x14ac:dyDescent="0.25">
      <c r="AF2295" s="458"/>
    </row>
    <row r="2296" spans="1:63" hidden="1" x14ac:dyDescent="0.25">
      <c r="AF2296" s="458"/>
    </row>
    <row r="2297" spans="1:63" hidden="1" x14ac:dyDescent="0.25"/>
    <row r="2298" spans="1:63" hidden="1" x14ac:dyDescent="0.25"/>
    <row r="2299" spans="1:63" hidden="1" x14ac:dyDescent="0.25">
      <c r="B2299" s="6" t="s">
        <v>997</v>
      </c>
      <c r="BB2299" s="6"/>
    </row>
    <row r="2300" spans="1:63" hidden="1" x14ac:dyDescent="0.25">
      <c r="B2300" s="6" t="s">
        <v>998</v>
      </c>
      <c r="BB2300" s="6"/>
    </row>
    <row r="2301" spans="1:63" hidden="1" x14ac:dyDescent="0.25"/>
    <row r="2302" spans="1:63" hidden="1" x14ac:dyDescent="0.25"/>
    <row r="2303" spans="1:63" hidden="1" x14ac:dyDescent="0.25"/>
    <row r="2304" spans="1:63" hidden="1" x14ac:dyDescent="0.25"/>
    <row r="2305" spans="54:54" hidden="1" x14ac:dyDescent="0.25"/>
    <row r="2306" spans="54:54" hidden="1" x14ac:dyDescent="0.25"/>
    <row r="2307" spans="54:54" hidden="1" x14ac:dyDescent="0.25"/>
    <row r="2308" spans="54:54" hidden="1" x14ac:dyDescent="0.25"/>
    <row r="2309" spans="54:54" hidden="1" x14ac:dyDescent="0.25"/>
    <row r="2310" spans="54:54" hidden="1" x14ac:dyDescent="0.25"/>
    <row r="2311" spans="54:54" hidden="1" x14ac:dyDescent="0.25"/>
    <row r="2312" spans="54:54" hidden="1" x14ac:dyDescent="0.25"/>
    <row r="2313" spans="54:54" hidden="1" x14ac:dyDescent="0.25"/>
    <row r="2314" spans="54:54" hidden="1" x14ac:dyDescent="0.25"/>
    <row r="2315" spans="54:54" hidden="1" x14ac:dyDescent="0.25"/>
    <row r="2316" spans="54:54" hidden="1" x14ac:dyDescent="0.25"/>
    <row r="2317" spans="54:54" hidden="1" x14ac:dyDescent="0.25"/>
    <row r="2318" spans="54:54" hidden="1" x14ac:dyDescent="0.25">
      <c r="BB2318" s="6"/>
    </row>
    <row r="2319" spans="54:54" hidden="1" x14ac:dyDescent="0.25">
      <c r="BB2319" s="6"/>
    </row>
    <row r="2320" spans="54:54" hidden="1" x14ac:dyDescent="0.25">
      <c r="BB2320" s="6"/>
    </row>
    <row r="2321" spans="54:54" hidden="1" x14ac:dyDescent="0.25">
      <c r="BB2321" s="6"/>
    </row>
    <row r="2322" spans="54:54" hidden="1" x14ac:dyDescent="0.25">
      <c r="BB2322" s="6"/>
    </row>
    <row r="2323" spans="54:54" hidden="1" x14ac:dyDescent="0.25">
      <c r="BB2323" s="6"/>
    </row>
    <row r="2324" spans="54:54" hidden="1" x14ac:dyDescent="0.25">
      <c r="BB2324" s="6"/>
    </row>
    <row r="2325" spans="54:54" hidden="1" x14ac:dyDescent="0.25">
      <c r="BB2325" s="6"/>
    </row>
    <row r="2326" spans="54:54" hidden="1" x14ac:dyDescent="0.25">
      <c r="BB2326" s="6"/>
    </row>
    <row r="2327" spans="54:54" hidden="1" x14ac:dyDescent="0.25">
      <c r="BB2327" s="6"/>
    </row>
    <row r="2328" spans="54:54" hidden="1" x14ac:dyDescent="0.25">
      <c r="BB2328" s="6"/>
    </row>
    <row r="2329" spans="54:54" hidden="1" x14ac:dyDescent="0.25">
      <c r="BB2329" s="6"/>
    </row>
    <row r="2330" spans="54:54" hidden="1" x14ac:dyDescent="0.25"/>
    <row r="2331" spans="54:54" hidden="1" x14ac:dyDescent="0.25"/>
    <row r="2332" spans="54:54" hidden="1" x14ac:dyDescent="0.25">
      <c r="BB2332" s="6"/>
    </row>
    <row r="2333" spans="54:54" hidden="1" x14ac:dyDescent="0.25">
      <c r="BB2333" s="6"/>
    </row>
    <row r="2334" spans="54:54" hidden="1" x14ac:dyDescent="0.25">
      <c r="BB2334" s="6"/>
    </row>
    <row r="2335" spans="54:54" hidden="1" x14ac:dyDescent="0.25">
      <c r="BB2335" s="6"/>
    </row>
    <row r="2336" spans="54:54" hidden="1" x14ac:dyDescent="0.25">
      <c r="BB2336" s="6"/>
    </row>
    <row r="2337" spans="54:54" hidden="1" x14ac:dyDescent="0.25">
      <c r="BB2337" s="6"/>
    </row>
    <row r="2338" spans="54:54" hidden="1" x14ac:dyDescent="0.25">
      <c r="BB2338" s="6"/>
    </row>
    <row r="2339" spans="54:54" hidden="1" x14ac:dyDescent="0.25">
      <c r="BB2339" s="6"/>
    </row>
    <row r="2340" spans="54:54" hidden="1" x14ac:dyDescent="0.25">
      <c r="BB2340" s="6"/>
    </row>
    <row r="2341" spans="54:54" hidden="1" x14ac:dyDescent="0.25">
      <c r="BB2341" s="6"/>
    </row>
    <row r="2342" spans="54:54" hidden="1" x14ac:dyDescent="0.25">
      <c r="BB2342" s="6"/>
    </row>
    <row r="2343" spans="54:54" hidden="1" x14ac:dyDescent="0.25">
      <c r="BB2343" s="6"/>
    </row>
    <row r="2344" spans="54:54" hidden="1" x14ac:dyDescent="0.25">
      <c r="BB2344" s="6"/>
    </row>
    <row r="2345" spans="54:54" hidden="1" x14ac:dyDescent="0.25">
      <c r="BB2345" s="6"/>
    </row>
    <row r="2346" spans="54:54" hidden="1" x14ac:dyDescent="0.25">
      <c r="BB2346" s="6"/>
    </row>
    <row r="2347" spans="54:54" hidden="1" x14ac:dyDescent="0.25">
      <c r="BB2347" s="6"/>
    </row>
    <row r="2348" spans="54:54" hidden="1" x14ac:dyDescent="0.25">
      <c r="BB2348" s="6"/>
    </row>
    <row r="2349" spans="54:54" hidden="1" x14ac:dyDescent="0.25">
      <c r="BB2349" s="6"/>
    </row>
    <row r="2350" spans="54:54" hidden="1" x14ac:dyDescent="0.25">
      <c r="BB2350" s="6"/>
    </row>
    <row r="2351" spans="54:54" hidden="1" x14ac:dyDescent="0.25">
      <c r="BB2351" s="6"/>
    </row>
    <row r="2352" spans="54:54" hidden="1" x14ac:dyDescent="0.25">
      <c r="BB2352" s="6"/>
    </row>
    <row r="2353" spans="54:54" hidden="1" x14ac:dyDescent="0.25">
      <c r="BB2353" s="6"/>
    </row>
    <row r="2354" spans="54:54" hidden="1" x14ac:dyDescent="0.25">
      <c r="BB2354" s="6"/>
    </row>
    <row r="2355" spans="54:54" hidden="1" x14ac:dyDescent="0.25"/>
    <row r="2356" spans="54:54" hidden="1" x14ac:dyDescent="0.25"/>
    <row r="2357" spans="54:54" hidden="1" x14ac:dyDescent="0.25"/>
    <row r="2358" spans="54:54" hidden="1" x14ac:dyDescent="0.25"/>
    <row r="2359" spans="54:54" hidden="1" x14ac:dyDescent="0.25"/>
    <row r="2360" spans="54:54" hidden="1" x14ac:dyDescent="0.25"/>
    <row r="2361" spans="54:54" hidden="1" x14ac:dyDescent="0.25"/>
    <row r="2362" spans="54:54" hidden="1" x14ac:dyDescent="0.25"/>
    <row r="2363" spans="54:54" hidden="1" x14ac:dyDescent="0.25"/>
    <row r="2364" spans="54:54" hidden="1" x14ac:dyDescent="0.25"/>
    <row r="2365" spans="54:54" hidden="1" x14ac:dyDescent="0.25"/>
    <row r="2366" spans="54:54" hidden="1" x14ac:dyDescent="0.25"/>
    <row r="2367" spans="54:54" hidden="1" x14ac:dyDescent="0.25"/>
    <row r="2368" spans="54:54" hidden="1" x14ac:dyDescent="0.25"/>
    <row r="2369" spans="2:54" ht="14.4" hidden="1" x14ac:dyDescent="0.25">
      <c r="C2369" s="471" t="s">
        <v>1363</v>
      </c>
      <c r="BB2369" s="6"/>
    </row>
    <row r="2370" spans="2:54" ht="14.4" hidden="1" x14ac:dyDescent="0.25">
      <c r="C2370" s="471" t="s">
        <v>1364</v>
      </c>
      <c r="BB2370" s="6"/>
    </row>
    <row r="2371" spans="2:54" ht="14.4" hidden="1" x14ac:dyDescent="0.25">
      <c r="C2371" s="471" t="s">
        <v>1365</v>
      </c>
      <c r="BB2371" s="6"/>
    </row>
    <row r="2372" spans="2:54" ht="14.4" hidden="1" x14ac:dyDescent="0.25">
      <c r="C2372" s="471" t="s">
        <v>1366</v>
      </c>
      <c r="BB2372" s="6"/>
    </row>
    <row r="2373" spans="2:54" ht="14.4" hidden="1" x14ac:dyDescent="0.25">
      <c r="C2373" s="471" t="s">
        <v>1367</v>
      </c>
      <c r="BB2373" s="6"/>
    </row>
    <row r="2374" spans="2:54" ht="14.4" hidden="1" x14ac:dyDescent="0.25">
      <c r="C2374" s="471" t="s">
        <v>1368</v>
      </c>
      <c r="BB2374" s="6"/>
    </row>
    <row r="2375" spans="2:54" ht="14.4" hidden="1" x14ac:dyDescent="0.25">
      <c r="C2375" s="471" t="s">
        <v>1369</v>
      </c>
      <c r="BB2375" s="6"/>
    </row>
    <row r="2376" spans="2:54" ht="14.4" hidden="1" x14ac:dyDescent="0.25">
      <c r="C2376" s="471" t="s">
        <v>1370</v>
      </c>
      <c r="BB2376" s="6"/>
    </row>
    <row r="2377" spans="2:54" ht="14.4" hidden="1" x14ac:dyDescent="0.25">
      <c r="C2377" s="471" t="s">
        <v>1371</v>
      </c>
      <c r="BB2377" s="6"/>
    </row>
    <row r="2378" spans="2:54" ht="14.4" hidden="1" x14ac:dyDescent="0.25">
      <c r="C2378" s="471" t="s">
        <v>1372</v>
      </c>
      <c r="BB2378" s="6"/>
    </row>
    <row r="2379" spans="2:54" hidden="1" x14ac:dyDescent="0.25"/>
    <row r="2380" spans="2:54" hidden="1" x14ac:dyDescent="0.25"/>
    <row r="2381" spans="2:54" hidden="1" x14ac:dyDescent="0.25"/>
    <row r="2382" spans="2:54" hidden="1" x14ac:dyDescent="0.25"/>
    <row r="2383" spans="2:54" ht="36" hidden="1" x14ac:dyDescent="0.35">
      <c r="B2383" s="472" t="s">
        <v>1373</v>
      </c>
      <c r="C2383" s="472" t="s">
        <v>1374</v>
      </c>
      <c r="D2383" s="472" t="s">
        <v>1375</v>
      </c>
      <c r="BB2383" s="6"/>
    </row>
    <row r="2384" spans="2:54" ht="14.4" hidden="1" x14ac:dyDescent="0.3">
      <c r="B2384" s="77" t="s">
        <v>1376</v>
      </c>
      <c r="D2384" s="6" t="s">
        <v>193</v>
      </c>
      <c r="BB2384" s="6"/>
    </row>
    <row r="2385" spans="2:54" ht="14.4" hidden="1" x14ac:dyDescent="0.3">
      <c r="B2385" s="77" t="s">
        <v>1377</v>
      </c>
      <c r="D2385" s="6" t="s">
        <v>134</v>
      </c>
      <c r="BB2385" s="6"/>
    </row>
    <row r="2386" spans="2:54" ht="14.4" hidden="1" x14ac:dyDescent="0.3">
      <c r="B2386" s="77" t="s">
        <v>1378</v>
      </c>
      <c r="D2386" s="6" t="s">
        <v>201</v>
      </c>
      <c r="BB2386" s="6"/>
    </row>
    <row r="2387" spans="2:54" ht="14.4" hidden="1" x14ac:dyDescent="0.3">
      <c r="B2387" s="77" t="s">
        <v>133</v>
      </c>
      <c r="BB2387" s="6"/>
    </row>
    <row r="2388" spans="2:54" ht="14.4" hidden="1" x14ac:dyDescent="0.3">
      <c r="B2388" s="77" t="s">
        <v>1379</v>
      </c>
      <c r="D2388" s="6" t="s">
        <v>1380</v>
      </c>
      <c r="BB2388" s="6"/>
    </row>
    <row r="2389" spans="2:54" ht="14.4" hidden="1" x14ac:dyDescent="0.3">
      <c r="B2389" s="77" t="s">
        <v>1381</v>
      </c>
      <c r="D2389" s="6" t="s">
        <v>1382</v>
      </c>
      <c r="BB2389" s="6"/>
    </row>
    <row r="2390" spans="2:54" ht="14.4" hidden="1" x14ac:dyDescent="0.3">
      <c r="B2390" s="77" t="s">
        <v>1383</v>
      </c>
      <c r="BB2390" s="6"/>
    </row>
    <row r="2391" spans="2:54" ht="14.4" hidden="1" x14ac:dyDescent="0.3">
      <c r="B2391" s="77" t="s">
        <v>114</v>
      </c>
      <c r="BB2391" s="6"/>
    </row>
    <row r="2392" spans="2:54" hidden="1" x14ac:dyDescent="0.25"/>
    <row r="2393" spans="2:54" hidden="1" x14ac:dyDescent="0.25"/>
    <row r="2394" spans="2:54" hidden="1" x14ac:dyDescent="0.25">
      <c r="C2394" s="60" t="s">
        <v>1384</v>
      </c>
      <c r="BB2394" s="6"/>
    </row>
    <row r="2395" spans="2:54" ht="14.4" hidden="1" x14ac:dyDescent="0.3">
      <c r="C2395" s="77" t="s">
        <v>135</v>
      </c>
      <c r="BB2395" s="6"/>
    </row>
    <row r="2396" spans="2:54" ht="14.4" hidden="1" x14ac:dyDescent="0.3">
      <c r="C2396" s="77" t="s">
        <v>1385</v>
      </c>
      <c r="BB2396" s="6"/>
    </row>
    <row r="2397" spans="2:54" ht="14.4" hidden="1" x14ac:dyDescent="0.3">
      <c r="C2397" s="77" t="s">
        <v>1386</v>
      </c>
      <c r="BB2397" s="6"/>
    </row>
    <row r="2398" spans="2:54" ht="14.4" hidden="1" x14ac:dyDescent="0.3">
      <c r="C2398" s="77" t="s">
        <v>1387</v>
      </c>
      <c r="BB2398" s="6"/>
    </row>
    <row r="2399" spans="2:54" ht="14.4" hidden="1" x14ac:dyDescent="0.3">
      <c r="C2399" s="77" t="s">
        <v>1388</v>
      </c>
      <c r="BB2399" s="6"/>
    </row>
    <row r="2400" spans="2:54" ht="14.4" hidden="1" x14ac:dyDescent="0.3">
      <c r="C2400" s="77" t="s">
        <v>1389</v>
      </c>
      <c r="BB2400" s="6"/>
    </row>
    <row r="2401" spans="3:54" ht="14.4" hidden="1" x14ac:dyDescent="0.3">
      <c r="C2401" s="77" t="s">
        <v>1390</v>
      </c>
      <c r="BB2401" s="6"/>
    </row>
    <row r="2402" spans="3:54" ht="14.4" hidden="1" x14ac:dyDescent="0.3">
      <c r="C2402" s="77" t="s">
        <v>1391</v>
      </c>
      <c r="BB2402" s="6"/>
    </row>
    <row r="2403" spans="3:54" ht="14.4" hidden="1" x14ac:dyDescent="0.3">
      <c r="C2403" s="77" t="s">
        <v>1392</v>
      </c>
      <c r="BB2403" s="6"/>
    </row>
    <row r="2404" spans="3:54" ht="14.4" hidden="1" x14ac:dyDescent="0.3">
      <c r="C2404" s="77" t="s">
        <v>1393</v>
      </c>
      <c r="BB2404" s="6"/>
    </row>
    <row r="2405" spans="3:54" ht="14.4" hidden="1" x14ac:dyDescent="0.3">
      <c r="C2405" s="77" t="s">
        <v>1394</v>
      </c>
      <c r="BB2405" s="6"/>
    </row>
    <row r="2406" spans="3:54" hidden="1" x14ac:dyDescent="0.25"/>
    <row r="2407" spans="3:54" ht="18" hidden="1" x14ac:dyDescent="0.35">
      <c r="C2407" s="433" t="s">
        <v>1395</v>
      </c>
      <c r="BB2407" s="6"/>
    </row>
    <row r="2408" spans="3:54" ht="14.4" hidden="1" x14ac:dyDescent="0.3">
      <c r="C2408" s="77" t="s">
        <v>1396</v>
      </c>
      <c r="BB2408" s="6"/>
    </row>
    <row r="2409" spans="3:54" ht="14.4" hidden="1" x14ac:dyDescent="0.3">
      <c r="C2409" s="77" t="s">
        <v>127</v>
      </c>
      <c r="BB2409" s="6"/>
    </row>
    <row r="2410" spans="3:54" ht="14.4" hidden="1" x14ac:dyDescent="0.3">
      <c r="C2410" s="77" t="s">
        <v>1397</v>
      </c>
      <c r="BB2410" s="6"/>
    </row>
    <row r="2411" spans="3:54" ht="14.4" hidden="1" x14ac:dyDescent="0.3">
      <c r="C2411" s="77" t="s">
        <v>1398</v>
      </c>
      <c r="BB2411" s="6"/>
    </row>
    <row r="2412" spans="3:54" ht="14.4" hidden="1" x14ac:dyDescent="0.3">
      <c r="C2412" s="77"/>
      <c r="BB2412" s="6"/>
    </row>
    <row r="2413" spans="3:54" ht="14.4" hidden="1" x14ac:dyDescent="0.3">
      <c r="C2413" s="77" t="s">
        <v>1399</v>
      </c>
      <c r="BB2413" s="6"/>
    </row>
    <row r="2414" spans="3:54" ht="14.4" hidden="1" x14ac:dyDescent="0.3">
      <c r="C2414" s="77" t="s">
        <v>1400</v>
      </c>
      <c r="BB2414" s="6"/>
    </row>
    <row r="2415" spans="3:54" ht="14.4" hidden="1" x14ac:dyDescent="0.3">
      <c r="C2415" s="77" t="s">
        <v>1401</v>
      </c>
      <c r="BB2415" s="6"/>
    </row>
    <row r="2416" spans="3:54" ht="14.4" hidden="1" x14ac:dyDescent="0.3">
      <c r="C2416" s="77" t="s">
        <v>1402</v>
      </c>
      <c r="BB2416" s="6"/>
    </row>
    <row r="2417" spans="3:54" ht="14.4" hidden="1" x14ac:dyDescent="0.3">
      <c r="C2417" s="77" t="s">
        <v>1403</v>
      </c>
      <c r="BB2417" s="6"/>
    </row>
    <row r="2418" spans="3:54" ht="14.4" hidden="1" x14ac:dyDescent="0.3">
      <c r="C2418" s="77" t="s">
        <v>1404</v>
      </c>
      <c r="BB2418" s="6"/>
    </row>
    <row r="2419" spans="3:54" ht="14.4" hidden="1" x14ac:dyDescent="0.3">
      <c r="C2419" s="77" t="s">
        <v>1405</v>
      </c>
      <c r="BB2419" s="6"/>
    </row>
    <row r="2420" spans="3:54" ht="14.4" hidden="1" x14ac:dyDescent="0.3">
      <c r="C2420" s="77" t="s">
        <v>993</v>
      </c>
      <c r="BB2420" s="6"/>
    </row>
    <row r="2421" spans="3:54" hidden="1" x14ac:dyDescent="0.25"/>
    <row r="2422" spans="3:54" ht="18" hidden="1" x14ac:dyDescent="0.35">
      <c r="C2422" s="433" t="s">
        <v>1406</v>
      </c>
      <c r="BB2422" s="6"/>
    </row>
    <row r="2423" spans="3:54" ht="14.4" hidden="1" x14ac:dyDescent="0.3">
      <c r="C2423" s="77" t="s">
        <v>1407</v>
      </c>
      <c r="BB2423" s="6"/>
    </row>
    <row r="2424" spans="3:54" ht="14.4" hidden="1" x14ac:dyDescent="0.3">
      <c r="C2424" s="77" t="s">
        <v>1408</v>
      </c>
      <c r="BB2424" s="6"/>
    </row>
    <row r="2425" spans="3:54" ht="14.4" hidden="1" x14ac:dyDescent="0.3">
      <c r="C2425" s="77" t="s">
        <v>114</v>
      </c>
      <c r="BB2425" s="6"/>
    </row>
    <row r="2426" spans="3:54" hidden="1" x14ac:dyDescent="0.25"/>
    <row r="2427" spans="3:54" ht="18" hidden="1" x14ac:dyDescent="0.35">
      <c r="C2427" s="433" t="s">
        <v>1409</v>
      </c>
      <c r="BB2427" s="6"/>
    </row>
    <row r="2428" spans="3:54" ht="14.4" hidden="1" x14ac:dyDescent="0.3">
      <c r="C2428" s="77" t="s">
        <v>118</v>
      </c>
      <c r="BB2428" s="6"/>
    </row>
    <row r="2429" spans="3:54" ht="14.4" hidden="1" x14ac:dyDescent="0.3">
      <c r="C2429" s="77" t="s">
        <v>1410</v>
      </c>
      <c r="BB2429" s="6"/>
    </row>
    <row r="2430" spans="3:54" ht="14.4" hidden="1" x14ac:dyDescent="0.3">
      <c r="C2430" s="77" t="s">
        <v>1411</v>
      </c>
      <c r="BB2430" s="6"/>
    </row>
    <row r="2431" spans="3:54" ht="14.4" hidden="1" x14ac:dyDescent="0.3">
      <c r="C2431" s="77" t="s">
        <v>114</v>
      </c>
      <c r="BB2431" s="6"/>
    </row>
    <row r="2432" spans="3:54" hidden="1" x14ac:dyDescent="0.25"/>
    <row r="2433" spans="3:54" ht="18" hidden="1" x14ac:dyDescent="0.35">
      <c r="C2433" s="433" t="s">
        <v>1412</v>
      </c>
      <c r="BB2433" s="6"/>
    </row>
    <row r="2434" spans="3:54" ht="14.4" hidden="1" x14ac:dyDescent="0.3">
      <c r="C2434" s="77" t="s">
        <v>119</v>
      </c>
      <c r="BB2434" s="6"/>
    </row>
    <row r="2435" spans="3:54" ht="14.4" hidden="1" x14ac:dyDescent="0.3">
      <c r="C2435" s="77" t="s">
        <v>1413</v>
      </c>
      <c r="BB2435" s="6"/>
    </row>
    <row r="2436" spans="3:54" ht="14.4" hidden="1" x14ac:dyDescent="0.3">
      <c r="C2436" s="77" t="s">
        <v>1013</v>
      </c>
      <c r="BB2436" s="6"/>
    </row>
    <row r="2437" spans="3:54" ht="14.4" hidden="1" x14ac:dyDescent="0.3">
      <c r="C2437" s="77"/>
      <c r="BB2437" s="6"/>
    </row>
    <row r="2438" spans="3:54" hidden="1" x14ac:dyDescent="0.25"/>
    <row r="2439" spans="3:54" ht="18" hidden="1" x14ac:dyDescent="0.35">
      <c r="C2439" s="433" t="s">
        <v>1414</v>
      </c>
      <c r="BB2439" s="6"/>
    </row>
    <row r="2440" spans="3:54" ht="14.4" hidden="1" x14ac:dyDescent="0.3">
      <c r="C2440" s="77" t="s">
        <v>1415</v>
      </c>
      <c r="BB2440" s="6"/>
    </row>
    <row r="2441" spans="3:54" ht="14.4" hidden="1" x14ac:dyDescent="0.3">
      <c r="C2441" s="77" t="s">
        <v>128</v>
      </c>
      <c r="BB2441" s="6"/>
    </row>
    <row r="2442" spans="3:54" ht="14.4" hidden="1" x14ac:dyDescent="0.3">
      <c r="C2442" s="77" t="s">
        <v>494</v>
      </c>
      <c r="BB2442" s="6"/>
    </row>
    <row r="2443" spans="3:54" ht="14.4" hidden="1" x14ac:dyDescent="0.3">
      <c r="C2443" s="77" t="s">
        <v>1416</v>
      </c>
      <c r="BB2443" s="6"/>
    </row>
    <row r="2444" spans="3:54" hidden="1" x14ac:dyDescent="0.25"/>
    <row r="2445" spans="3:54" hidden="1" x14ac:dyDescent="0.25"/>
    <row r="2446" spans="3:54" ht="18" hidden="1" x14ac:dyDescent="0.35">
      <c r="C2446" s="433" t="s">
        <v>1417</v>
      </c>
      <c r="BB2446" s="6"/>
    </row>
    <row r="2447" spans="3:54" ht="14.4" hidden="1" x14ac:dyDescent="0.3">
      <c r="C2447" s="77" t="s">
        <v>1418</v>
      </c>
      <c r="BB2447" s="6"/>
    </row>
    <row r="2448" spans="3:54" ht="14.4" hidden="1" x14ac:dyDescent="0.3">
      <c r="C2448" s="77" t="s">
        <v>1419</v>
      </c>
      <c r="BB2448" s="6"/>
    </row>
    <row r="2449" spans="3:54" ht="14.4" hidden="1" x14ac:dyDescent="0.3">
      <c r="C2449" s="77" t="s">
        <v>221</v>
      </c>
      <c r="BB2449" s="6"/>
    </row>
    <row r="2450" spans="3:54" ht="14.4" hidden="1" x14ac:dyDescent="0.3">
      <c r="C2450" s="77" t="s">
        <v>1420</v>
      </c>
      <c r="BB2450" s="6"/>
    </row>
    <row r="2451" spans="3:54" ht="14.4" hidden="1" x14ac:dyDescent="0.3">
      <c r="C2451" s="77" t="s">
        <v>1007</v>
      </c>
      <c r="BB2451" s="6"/>
    </row>
    <row r="2452" spans="3:54" hidden="1" x14ac:dyDescent="0.25"/>
    <row r="2453" spans="3:54" hidden="1" x14ac:dyDescent="0.25"/>
    <row r="2454" spans="3:54" ht="18" hidden="1" x14ac:dyDescent="0.35">
      <c r="C2454" s="433" t="s">
        <v>1421</v>
      </c>
      <c r="BB2454" s="6"/>
    </row>
    <row r="2455" spans="3:54" ht="18" hidden="1" x14ac:dyDescent="0.35">
      <c r="C2455" s="433" t="s">
        <v>1422</v>
      </c>
      <c r="BB2455" s="6"/>
    </row>
    <row r="2456" spans="3:54" hidden="1" x14ac:dyDescent="0.25">
      <c r="C2456" s="6" t="s">
        <v>1423</v>
      </c>
      <c r="BB2456" s="6"/>
    </row>
    <row r="2457" spans="3:54" hidden="1" x14ac:dyDescent="0.25">
      <c r="C2457" s="6" t="s">
        <v>183</v>
      </c>
      <c r="BB2457" s="6"/>
    </row>
    <row r="2458" spans="3:54" hidden="1" x14ac:dyDescent="0.25">
      <c r="C2458" s="6" t="s">
        <v>1424</v>
      </c>
      <c r="BB2458" s="6"/>
    </row>
    <row r="2459" spans="3:54" hidden="1" x14ac:dyDescent="0.25">
      <c r="C2459" s="6" t="s">
        <v>1425</v>
      </c>
      <c r="BB2459" s="6"/>
    </row>
    <row r="2460" spans="3:54" hidden="1" x14ac:dyDescent="0.25">
      <c r="C2460" s="6" t="s">
        <v>1426</v>
      </c>
      <c r="BB2460" s="6"/>
    </row>
    <row r="2461" spans="3:54" hidden="1" x14ac:dyDescent="0.25">
      <c r="BB2461" s="6"/>
    </row>
    <row r="2462" spans="3:54" hidden="1" x14ac:dyDescent="0.25"/>
    <row r="2463" spans="3:54" ht="18" hidden="1" x14ac:dyDescent="0.35">
      <c r="C2463" s="433"/>
      <c r="BB2463" s="6"/>
    </row>
    <row r="2464" spans="3:54" hidden="1" x14ac:dyDescent="0.25">
      <c r="C2464" s="6" t="s">
        <v>1427</v>
      </c>
      <c r="BB2464" s="6"/>
    </row>
    <row r="2465" spans="2:54" hidden="1" x14ac:dyDescent="0.25">
      <c r="C2465" s="6" t="s">
        <v>184</v>
      </c>
      <c r="BB2465" s="6"/>
    </row>
    <row r="2466" spans="2:54" hidden="1" x14ac:dyDescent="0.25">
      <c r="C2466" s="6" t="s">
        <v>1428</v>
      </c>
      <c r="BB2466" s="6"/>
    </row>
    <row r="2467" spans="2:54" hidden="1" x14ac:dyDescent="0.25">
      <c r="C2467" s="6" t="s">
        <v>1429</v>
      </c>
      <c r="BB2467" s="6"/>
    </row>
    <row r="2468" spans="2:54" hidden="1" x14ac:dyDescent="0.25">
      <c r="C2468" s="6" t="s">
        <v>1430</v>
      </c>
      <c r="BB2468" s="6"/>
    </row>
    <row r="2469" spans="2:54" hidden="1" x14ac:dyDescent="0.25">
      <c r="C2469" s="6" t="s">
        <v>1431</v>
      </c>
      <c r="BB2469" s="6"/>
    </row>
    <row r="2470" spans="2:54" hidden="1" x14ac:dyDescent="0.25"/>
    <row r="2471" spans="2:54" hidden="1" x14ac:dyDescent="0.25"/>
    <row r="2472" spans="2:54" ht="18" hidden="1" x14ac:dyDescent="0.35">
      <c r="B2472" s="433" t="s">
        <v>246</v>
      </c>
      <c r="D2472" s="433" t="s">
        <v>1432</v>
      </c>
    </row>
    <row r="2473" spans="2:54" hidden="1" x14ac:dyDescent="0.25">
      <c r="B2473" s="6" t="s">
        <v>248</v>
      </c>
      <c r="D2473" s="6" t="s">
        <v>141</v>
      </c>
    </row>
    <row r="2474" spans="2:54" hidden="1" x14ac:dyDescent="0.25">
      <c r="B2474" s="6" t="s">
        <v>1433</v>
      </c>
      <c r="D2474" s="6" t="s">
        <v>1434</v>
      </c>
    </row>
    <row r="2475" spans="2:54" hidden="1" x14ac:dyDescent="0.25">
      <c r="B2475" s="6" t="s">
        <v>1435</v>
      </c>
      <c r="D2475" s="6" t="s">
        <v>1436</v>
      </c>
    </row>
    <row r="2476" spans="2:54" hidden="1" x14ac:dyDescent="0.25">
      <c r="B2476" s="6" t="s">
        <v>1437</v>
      </c>
      <c r="D2476" s="6" t="s">
        <v>1438</v>
      </c>
    </row>
    <row r="2477" spans="2:54" hidden="1" x14ac:dyDescent="0.25">
      <c r="B2477" s="6" t="s">
        <v>1439</v>
      </c>
      <c r="D2477" s="6" t="s">
        <v>1440</v>
      </c>
    </row>
    <row r="2478" spans="2:54" hidden="1" x14ac:dyDescent="0.25">
      <c r="B2478" s="6" t="s">
        <v>1441</v>
      </c>
      <c r="D2478" s="6" t="s">
        <v>1442</v>
      </c>
    </row>
    <row r="2479" spans="2:54" hidden="1" x14ac:dyDescent="0.25">
      <c r="B2479" s="6" t="s">
        <v>1443</v>
      </c>
    </row>
    <row r="2480" spans="2:54" hidden="1" x14ac:dyDescent="0.25">
      <c r="B2480" s="6" t="s">
        <v>1444</v>
      </c>
      <c r="AB2480" s="6" t="s">
        <v>1445</v>
      </c>
    </row>
    <row r="2481" spans="2:54" hidden="1" x14ac:dyDescent="0.25">
      <c r="B2481" s="6" t="s">
        <v>1443</v>
      </c>
      <c r="AB2481" s="6" t="s">
        <v>1446</v>
      </c>
    </row>
    <row r="2482" spans="2:54" hidden="1" x14ac:dyDescent="0.25">
      <c r="B2482" s="6" t="s">
        <v>1447</v>
      </c>
    </row>
    <row r="2483" spans="2:54" hidden="1" x14ac:dyDescent="0.25"/>
    <row r="2484" spans="2:54" hidden="1" x14ac:dyDescent="0.25"/>
    <row r="2485" spans="2:54" hidden="1" x14ac:dyDescent="0.25">
      <c r="C2485" s="6" t="s">
        <v>249</v>
      </c>
    </row>
    <row r="2486" spans="2:54" hidden="1" x14ac:dyDescent="0.25"/>
    <row r="2487" spans="2:54" hidden="1" x14ac:dyDescent="0.25"/>
    <row r="2488" spans="2:54" hidden="1" x14ac:dyDescent="0.25"/>
    <row r="2489" spans="2:54" ht="18" hidden="1" x14ac:dyDescent="0.35">
      <c r="B2489" s="473" t="s">
        <v>1448</v>
      </c>
      <c r="C2489" s="6" t="s">
        <v>1449</v>
      </c>
      <c r="BB2489" s="6"/>
    </row>
    <row r="2490" spans="2:54" hidden="1" x14ac:dyDescent="0.25">
      <c r="C2490" s="6" t="s">
        <v>1450</v>
      </c>
      <c r="BB2490" s="6"/>
    </row>
    <row r="2491" spans="2:54" hidden="1" x14ac:dyDescent="0.25">
      <c r="C2491" s="6" t="s">
        <v>1451</v>
      </c>
      <c r="BB2491" s="6"/>
    </row>
    <row r="2492" spans="2:54" hidden="1" x14ac:dyDescent="0.25">
      <c r="C2492" s="6" t="s">
        <v>1452</v>
      </c>
      <c r="BB2492" s="6"/>
    </row>
    <row r="2493" spans="2:54" hidden="1" x14ac:dyDescent="0.25">
      <c r="C2493" s="6" t="s">
        <v>993</v>
      </c>
      <c r="BB2493" s="6"/>
    </row>
    <row r="2494" spans="2:54" hidden="1" x14ac:dyDescent="0.25"/>
    <row r="2495" spans="2:54" hidden="1" x14ac:dyDescent="0.25"/>
    <row r="2496" spans="2:54" hidden="1" x14ac:dyDescent="0.25"/>
    <row r="2497" spans="1:104" hidden="1" x14ac:dyDescent="0.25">
      <c r="C2497" s="6" t="s">
        <v>1453</v>
      </c>
      <c r="BB2497" s="6"/>
    </row>
    <row r="2498" spans="1:104" hidden="1" x14ac:dyDescent="0.25">
      <c r="C2498" s="6" t="s">
        <v>1454</v>
      </c>
      <c r="BB2498" s="6"/>
    </row>
    <row r="2499" spans="1:104" hidden="1" x14ac:dyDescent="0.25">
      <c r="C2499" s="6" t="s">
        <v>1455</v>
      </c>
      <c r="BB2499" s="6"/>
    </row>
    <row r="2500" spans="1:104" hidden="1" x14ac:dyDescent="0.25">
      <c r="C2500" s="6" t="s">
        <v>1456</v>
      </c>
      <c r="BB2500" s="6"/>
    </row>
    <row r="2501" spans="1:104" hidden="1" x14ac:dyDescent="0.25"/>
    <row r="2502" spans="1:104" hidden="1" x14ac:dyDescent="0.25"/>
    <row r="2503" spans="1:104" hidden="1" x14ac:dyDescent="0.25">
      <c r="C2503" s="6" t="s">
        <v>1457</v>
      </c>
    </row>
    <row r="2504" spans="1:104" hidden="1" x14ac:dyDescent="0.25">
      <c r="C2504" s="6" t="s">
        <v>1458</v>
      </c>
    </row>
    <row r="2505" spans="1:104" hidden="1" x14ac:dyDescent="0.25">
      <c r="C2505" s="6" t="s">
        <v>1459</v>
      </c>
    </row>
    <row r="2506" spans="1:104" hidden="1" x14ac:dyDescent="0.25">
      <c r="C2506" s="6" t="s">
        <v>1460</v>
      </c>
    </row>
    <row r="2507" spans="1:104" hidden="1" x14ac:dyDescent="0.25">
      <c r="C2507" s="6" t="s">
        <v>1461</v>
      </c>
      <c r="BB2507" s="6"/>
    </row>
    <row r="2508" spans="1:104" hidden="1" x14ac:dyDescent="0.25">
      <c r="C2508" s="6" t="s">
        <v>1462</v>
      </c>
      <c r="BB2508" s="6"/>
    </row>
    <row r="2509" spans="1:104" hidden="1" x14ac:dyDescent="0.25">
      <c r="C2509" s="6" t="s">
        <v>1463</v>
      </c>
      <c r="BB2509" s="6"/>
    </row>
    <row r="2510" spans="1:104" hidden="1" x14ac:dyDescent="0.25">
      <c r="C2510" s="6" t="s">
        <v>1464</v>
      </c>
      <c r="BB2510" s="6"/>
    </row>
    <row r="2511" spans="1:104" s="5" customFormat="1" hidden="1" x14ac:dyDescent="0.25">
      <c r="A2511" s="6"/>
      <c r="B2511" s="6"/>
      <c r="C2511" s="6"/>
      <c r="D2511" s="6"/>
      <c r="E2511" s="6"/>
      <c r="F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16"/>
      <c r="BC2511" s="6"/>
      <c r="BD2511" s="6"/>
      <c r="BE2511" s="6"/>
      <c r="BF2511" s="6"/>
      <c r="BG2511" s="6"/>
      <c r="BH2511" s="6"/>
      <c r="BI2511" s="6"/>
      <c r="BJ2511" s="6"/>
      <c r="BK2511" s="6"/>
      <c r="BL2511" s="6"/>
      <c r="BM2511" s="6"/>
      <c r="BN2511" s="6"/>
      <c r="BO2511" s="6"/>
      <c r="BP2511" s="6"/>
      <c r="BQ2511" s="6"/>
      <c r="BR2511" s="6"/>
      <c r="BS2511" s="6"/>
      <c r="BT2511" s="6"/>
      <c r="BU2511" s="6"/>
      <c r="BV2511" s="6"/>
      <c r="BW2511" s="6"/>
      <c r="BX2511" s="6"/>
      <c r="BY2511" s="6"/>
      <c r="BZ2511" s="6"/>
      <c r="CA2511" s="6"/>
      <c r="CB2511" s="6"/>
      <c r="CC2511" s="6"/>
      <c r="CD2511" s="6"/>
      <c r="CE2511" s="6"/>
      <c r="CF2511" s="6"/>
      <c r="CG2511" s="6"/>
      <c r="CH2511" s="6"/>
      <c r="CI2511" s="6"/>
      <c r="CJ2511" s="6"/>
      <c r="CK2511" s="6"/>
      <c r="CL2511" s="6"/>
      <c r="CM2511" s="6"/>
      <c r="CN2511" s="6"/>
      <c r="CO2511" s="6"/>
      <c r="CP2511" s="6"/>
      <c r="CQ2511" s="6"/>
      <c r="CR2511" s="6"/>
      <c r="CS2511" s="6"/>
      <c r="CT2511" s="6"/>
      <c r="CU2511" s="6"/>
      <c r="CV2511" s="6"/>
      <c r="CW2511" s="6"/>
      <c r="CX2511" s="6"/>
      <c r="CY2511" s="6"/>
      <c r="CZ2511" s="6"/>
    </row>
    <row r="2512" spans="1:104" s="5" customFormat="1" hidden="1" x14ac:dyDescent="0.25">
      <c r="A2512" s="6"/>
      <c r="B2512" s="6"/>
      <c r="C2512" s="6"/>
      <c r="D2512" s="6"/>
      <c r="E2512" s="6"/>
      <c r="F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16"/>
      <c r="BC2512" s="6"/>
      <c r="BD2512" s="6"/>
      <c r="BE2512" s="6"/>
      <c r="BF2512" s="6"/>
      <c r="BG2512" s="6"/>
      <c r="BH2512" s="6"/>
      <c r="BI2512" s="6"/>
      <c r="BJ2512" s="6"/>
      <c r="BK2512" s="6"/>
      <c r="BL2512" s="6"/>
      <c r="BM2512" s="6"/>
      <c r="BN2512" s="6"/>
      <c r="BO2512" s="6"/>
      <c r="BP2512" s="6"/>
      <c r="BQ2512" s="6"/>
      <c r="BR2512" s="6"/>
      <c r="BS2512" s="6"/>
      <c r="BT2512" s="6"/>
      <c r="BU2512" s="6"/>
      <c r="BV2512" s="6"/>
      <c r="BW2512" s="6"/>
      <c r="BX2512" s="6"/>
      <c r="BY2512" s="6"/>
      <c r="BZ2512" s="6"/>
      <c r="CA2512" s="6"/>
      <c r="CB2512" s="6"/>
      <c r="CC2512" s="6"/>
      <c r="CD2512" s="6"/>
      <c r="CE2512" s="6"/>
      <c r="CF2512" s="6"/>
      <c r="CG2512" s="6"/>
      <c r="CH2512" s="6"/>
      <c r="CI2512" s="6"/>
      <c r="CJ2512" s="6"/>
      <c r="CK2512" s="6"/>
      <c r="CL2512" s="6"/>
      <c r="CM2512" s="6"/>
      <c r="CN2512" s="6"/>
      <c r="CO2512" s="6"/>
      <c r="CP2512" s="6"/>
      <c r="CQ2512" s="6"/>
      <c r="CR2512" s="6"/>
      <c r="CS2512" s="6"/>
      <c r="CT2512" s="6"/>
      <c r="CU2512" s="6"/>
      <c r="CV2512" s="6"/>
      <c r="CW2512" s="6"/>
      <c r="CX2512" s="6"/>
      <c r="CY2512" s="6"/>
      <c r="CZ2512" s="6"/>
    </row>
    <row r="2513" spans="1:104" s="5" customFormat="1" hidden="1" x14ac:dyDescent="0.25">
      <c r="A2513" s="6"/>
      <c r="B2513" s="6"/>
      <c r="C2513" s="6"/>
      <c r="D2513" s="6"/>
      <c r="E2513" s="6"/>
      <c r="F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16"/>
      <c r="BC2513" s="6"/>
      <c r="BD2513" s="6"/>
      <c r="BE2513" s="6"/>
      <c r="BF2513" s="6"/>
      <c r="BG2513" s="6"/>
      <c r="BH2513" s="6"/>
      <c r="BI2513" s="6"/>
      <c r="BJ2513" s="6"/>
      <c r="BK2513" s="6"/>
      <c r="BL2513" s="6"/>
      <c r="BM2513" s="6"/>
      <c r="BN2513" s="6"/>
      <c r="BO2513" s="6"/>
      <c r="BP2513" s="6"/>
      <c r="BQ2513" s="6"/>
      <c r="BR2513" s="6"/>
      <c r="BS2513" s="6"/>
      <c r="BT2513" s="6"/>
      <c r="BU2513" s="6"/>
      <c r="BV2513" s="6"/>
      <c r="BW2513" s="6"/>
      <c r="BX2513" s="6"/>
      <c r="BY2513" s="6"/>
      <c r="BZ2513" s="6"/>
      <c r="CA2513" s="6"/>
      <c r="CB2513" s="6"/>
      <c r="CC2513" s="6"/>
      <c r="CD2513" s="6"/>
      <c r="CE2513" s="6"/>
      <c r="CF2513" s="6"/>
      <c r="CG2513" s="6"/>
      <c r="CH2513" s="6"/>
      <c r="CI2513" s="6"/>
      <c r="CJ2513" s="6"/>
      <c r="CK2513" s="6"/>
      <c r="CL2513" s="6"/>
      <c r="CM2513" s="6"/>
      <c r="CN2513" s="6"/>
      <c r="CO2513" s="6"/>
      <c r="CP2513" s="6"/>
      <c r="CQ2513" s="6"/>
      <c r="CR2513" s="6"/>
      <c r="CS2513" s="6"/>
      <c r="CT2513" s="6"/>
      <c r="CU2513" s="6"/>
      <c r="CV2513" s="6"/>
      <c r="CW2513" s="6"/>
      <c r="CX2513" s="6"/>
      <c r="CY2513" s="6"/>
      <c r="CZ2513" s="6"/>
    </row>
    <row r="2514" spans="1:104" s="5" customFormat="1" hidden="1" x14ac:dyDescent="0.25">
      <c r="A2514" s="6"/>
      <c r="B2514" s="6"/>
      <c r="C2514" s="6"/>
      <c r="D2514" s="6"/>
      <c r="E2514" s="6"/>
      <c r="F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16"/>
      <c r="BC2514" s="6"/>
      <c r="BD2514" s="6"/>
      <c r="BE2514" s="6"/>
      <c r="BF2514" s="6"/>
      <c r="BG2514" s="6"/>
      <c r="BH2514" s="6"/>
      <c r="BI2514" s="6"/>
      <c r="BJ2514" s="6"/>
      <c r="BK2514" s="6"/>
      <c r="BL2514" s="6"/>
      <c r="BM2514" s="6"/>
      <c r="BN2514" s="6"/>
      <c r="BO2514" s="6"/>
      <c r="BP2514" s="6"/>
      <c r="BQ2514" s="6"/>
      <c r="BR2514" s="6"/>
      <c r="BS2514" s="6"/>
      <c r="BT2514" s="6"/>
      <c r="BU2514" s="6"/>
      <c r="BV2514" s="6"/>
      <c r="BW2514" s="6"/>
      <c r="BX2514" s="6"/>
      <c r="BY2514" s="6"/>
      <c r="BZ2514" s="6"/>
      <c r="CA2514" s="6"/>
      <c r="CB2514" s="6"/>
      <c r="CC2514" s="6"/>
      <c r="CD2514" s="6"/>
      <c r="CE2514" s="6"/>
      <c r="CF2514" s="6"/>
      <c r="CG2514" s="6"/>
      <c r="CH2514" s="6"/>
      <c r="CI2514" s="6"/>
      <c r="CJ2514" s="6"/>
      <c r="CK2514" s="6"/>
      <c r="CL2514" s="6"/>
      <c r="CM2514" s="6"/>
      <c r="CN2514" s="6"/>
      <c r="CO2514" s="6"/>
      <c r="CP2514" s="6"/>
      <c r="CQ2514" s="6"/>
      <c r="CR2514" s="6"/>
      <c r="CS2514" s="6"/>
      <c r="CT2514" s="6"/>
      <c r="CU2514" s="6"/>
      <c r="CV2514" s="6"/>
      <c r="CW2514" s="6"/>
      <c r="CX2514" s="6"/>
      <c r="CY2514" s="6"/>
      <c r="CZ2514" s="6"/>
    </row>
    <row r="2515" spans="1:104" s="5" customFormat="1" hidden="1" x14ac:dyDescent="0.25">
      <c r="A2515" s="6"/>
      <c r="B2515" s="6"/>
      <c r="C2515" s="6"/>
      <c r="D2515" s="6"/>
      <c r="E2515" s="6"/>
      <c r="F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16"/>
      <c r="BC2515" s="6"/>
      <c r="BD2515" s="6"/>
      <c r="BE2515" s="6"/>
      <c r="BF2515" s="6"/>
      <c r="BG2515" s="6"/>
      <c r="BH2515" s="6"/>
      <c r="BI2515" s="6"/>
      <c r="BJ2515" s="6"/>
      <c r="BK2515" s="6"/>
      <c r="BL2515" s="6"/>
      <c r="BM2515" s="6"/>
      <c r="BN2515" s="6"/>
      <c r="BO2515" s="6"/>
      <c r="BP2515" s="6"/>
      <c r="BQ2515" s="6"/>
      <c r="BR2515" s="6"/>
      <c r="BS2515" s="6"/>
      <c r="BT2515" s="6"/>
      <c r="BU2515" s="6"/>
      <c r="BV2515" s="6"/>
      <c r="BW2515" s="6"/>
      <c r="BX2515" s="6"/>
      <c r="BY2515" s="6"/>
      <c r="BZ2515" s="6"/>
      <c r="CA2515" s="6"/>
      <c r="CB2515" s="6"/>
      <c r="CC2515" s="6"/>
      <c r="CD2515" s="6"/>
      <c r="CE2515" s="6"/>
      <c r="CF2515" s="6"/>
      <c r="CG2515" s="6"/>
      <c r="CH2515" s="6"/>
      <c r="CI2515" s="6"/>
      <c r="CJ2515" s="6"/>
      <c r="CK2515" s="6"/>
      <c r="CL2515" s="6"/>
      <c r="CM2515" s="6"/>
      <c r="CN2515" s="6"/>
      <c r="CO2515" s="6"/>
      <c r="CP2515" s="6"/>
      <c r="CQ2515" s="6"/>
      <c r="CR2515" s="6"/>
      <c r="CS2515" s="6"/>
      <c r="CT2515" s="6"/>
      <c r="CU2515" s="6"/>
      <c r="CV2515" s="6"/>
      <c r="CW2515" s="6"/>
      <c r="CX2515" s="6"/>
      <c r="CY2515" s="6"/>
      <c r="CZ2515" s="6"/>
    </row>
    <row r="2516" spans="1:104" s="5" customFormat="1" ht="14.4" thickBot="1" x14ac:dyDescent="0.3">
      <c r="A2516" s="474"/>
      <c r="B2516" s="474"/>
      <c r="C2516" s="474"/>
      <c r="D2516" s="474"/>
      <c r="E2516" s="474"/>
      <c r="F2516" s="474"/>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16"/>
      <c r="BC2516" s="6"/>
      <c r="BD2516" s="6"/>
      <c r="BE2516" s="6"/>
      <c r="BF2516" s="6"/>
      <c r="BG2516" s="6"/>
      <c r="BH2516" s="6"/>
      <c r="BI2516" s="6"/>
      <c r="BJ2516" s="6"/>
      <c r="BK2516" s="6"/>
      <c r="BL2516" s="6"/>
      <c r="BM2516" s="6"/>
      <c r="BN2516" s="6"/>
      <c r="BO2516" s="6"/>
      <c r="BP2516" s="6"/>
      <c r="BQ2516" s="6"/>
      <c r="BR2516" s="6"/>
      <c r="BS2516" s="6"/>
      <c r="BT2516" s="6"/>
      <c r="BU2516" s="6"/>
      <c r="BV2516" s="6"/>
      <c r="BW2516" s="6"/>
      <c r="BX2516" s="6"/>
      <c r="BY2516" s="6"/>
      <c r="BZ2516" s="6"/>
      <c r="CA2516" s="6"/>
      <c r="CB2516" s="6"/>
      <c r="CC2516" s="6"/>
      <c r="CD2516" s="6"/>
      <c r="CE2516" s="6"/>
      <c r="CF2516" s="6"/>
      <c r="CG2516" s="6"/>
      <c r="CH2516" s="6"/>
      <c r="CI2516" s="6"/>
      <c r="CJ2516" s="6"/>
      <c r="CK2516" s="6"/>
      <c r="CL2516" s="6"/>
      <c r="CM2516" s="6"/>
      <c r="CN2516" s="6"/>
      <c r="CO2516" s="6"/>
      <c r="CP2516" s="6"/>
      <c r="CQ2516" s="6"/>
      <c r="CR2516" s="6"/>
      <c r="CS2516" s="6"/>
      <c r="CT2516" s="6"/>
      <c r="CU2516" s="6"/>
      <c r="CV2516" s="6"/>
      <c r="CW2516" s="6"/>
      <c r="CX2516" s="6"/>
      <c r="CY2516" s="6"/>
      <c r="CZ2516" s="6"/>
    </row>
    <row r="2517" spans="1:104" s="5" customFormat="1" ht="15" thickTop="1" thickBot="1" x14ac:dyDescent="0.3">
      <c r="A2517" s="424"/>
      <c r="B2517" s="424"/>
      <c r="C2517" s="424"/>
      <c r="D2517" s="424"/>
      <c r="E2517" s="424"/>
      <c r="F2517" s="424"/>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16"/>
      <c r="BC2517" s="6"/>
      <c r="BD2517" s="6"/>
      <c r="BE2517" s="6"/>
      <c r="BF2517" s="6"/>
      <c r="BG2517" s="6"/>
      <c r="BH2517" s="6"/>
      <c r="BI2517" s="6"/>
      <c r="BJ2517" s="6"/>
      <c r="BK2517" s="6"/>
      <c r="BL2517" s="6"/>
      <c r="BM2517" s="6"/>
      <c r="BN2517" s="6"/>
      <c r="BO2517" s="6"/>
      <c r="BP2517" s="6"/>
      <c r="BQ2517" s="6"/>
      <c r="BR2517" s="6"/>
      <c r="BS2517" s="6"/>
      <c r="BT2517" s="6"/>
      <c r="BU2517" s="6"/>
      <c r="BV2517" s="6"/>
      <c r="BW2517" s="6"/>
      <c r="BX2517" s="6"/>
      <c r="BY2517" s="6"/>
      <c r="BZ2517" s="6"/>
      <c r="CA2517" s="6"/>
      <c r="CB2517" s="6"/>
      <c r="CC2517" s="6"/>
      <c r="CD2517" s="6"/>
      <c r="CE2517" s="6"/>
      <c r="CF2517" s="6"/>
      <c r="CG2517" s="6"/>
      <c r="CH2517" s="6"/>
      <c r="CI2517" s="6"/>
      <c r="CJ2517" s="6"/>
      <c r="CK2517" s="6"/>
      <c r="CL2517" s="6"/>
      <c r="CM2517" s="6"/>
      <c r="CN2517" s="6"/>
      <c r="CO2517" s="6"/>
      <c r="CP2517" s="6"/>
      <c r="CQ2517" s="6"/>
      <c r="CR2517" s="6"/>
      <c r="CS2517" s="6"/>
      <c r="CT2517" s="6"/>
      <c r="CU2517" s="6"/>
      <c r="CV2517" s="6"/>
      <c r="CW2517" s="6"/>
      <c r="CX2517" s="6"/>
      <c r="CY2517" s="6"/>
      <c r="CZ2517" s="6"/>
    </row>
    <row r="2518" spans="1:104" s="5" customFormat="1" ht="14.4" thickTop="1" x14ac:dyDescent="0.25">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16"/>
      <c r="BC2518" s="6"/>
      <c r="BD2518" s="6"/>
      <c r="BE2518" s="6"/>
      <c r="BF2518" s="6"/>
      <c r="BG2518" s="6"/>
      <c r="BH2518" s="6"/>
      <c r="BI2518" s="6"/>
      <c r="BJ2518" s="6"/>
      <c r="BK2518" s="6"/>
      <c r="BL2518" s="6"/>
      <c r="BM2518" s="6"/>
      <c r="BN2518" s="6"/>
      <c r="BO2518" s="6"/>
      <c r="BP2518" s="6"/>
      <c r="BQ2518" s="6"/>
      <c r="BR2518" s="6"/>
      <c r="BS2518" s="6"/>
      <c r="BT2518" s="6"/>
      <c r="BU2518" s="6"/>
      <c r="BV2518" s="6"/>
      <c r="BW2518" s="6"/>
      <c r="BX2518" s="6"/>
      <c r="BY2518" s="6"/>
      <c r="BZ2518" s="6"/>
      <c r="CA2518" s="6"/>
      <c r="CB2518" s="6"/>
      <c r="CC2518" s="6"/>
      <c r="CD2518" s="6"/>
      <c r="CE2518" s="6"/>
      <c r="CF2518" s="6"/>
      <c r="CG2518" s="6"/>
      <c r="CH2518" s="6"/>
      <c r="CI2518" s="6"/>
      <c r="CJ2518" s="6"/>
      <c r="CK2518" s="6"/>
      <c r="CL2518" s="6"/>
      <c r="CM2518" s="6"/>
      <c r="CN2518" s="6"/>
      <c r="CO2518" s="6"/>
      <c r="CP2518" s="6"/>
      <c r="CQ2518" s="6"/>
      <c r="CR2518" s="6"/>
      <c r="CS2518" s="6"/>
      <c r="CT2518" s="6"/>
      <c r="CU2518" s="6"/>
      <c r="CV2518" s="6"/>
      <c r="CW2518" s="6"/>
      <c r="CX2518" s="6"/>
      <c r="CY2518" s="6"/>
      <c r="CZ2518" s="6"/>
    </row>
    <row r="2519" spans="1:104" s="5" customFormat="1" x14ac:dyDescent="0.25">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16"/>
      <c r="BC2519" s="6"/>
      <c r="BD2519" s="6"/>
      <c r="BE2519" s="6"/>
      <c r="BF2519" s="6"/>
      <c r="BG2519" s="6"/>
      <c r="BH2519" s="6"/>
      <c r="BI2519" s="6"/>
      <c r="BJ2519" s="6"/>
      <c r="BK2519" s="6"/>
      <c r="BL2519" s="6"/>
      <c r="BM2519" s="6"/>
      <c r="BN2519" s="6"/>
      <c r="BO2519" s="6"/>
      <c r="BP2519" s="6"/>
      <c r="BQ2519" s="6"/>
      <c r="BR2519" s="6"/>
      <c r="BS2519" s="6"/>
      <c r="BT2519" s="6"/>
      <c r="BU2519" s="6"/>
      <c r="BV2519" s="6"/>
      <c r="BW2519" s="6"/>
      <c r="BX2519" s="6"/>
      <c r="BY2519" s="6"/>
      <c r="BZ2519" s="6"/>
      <c r="CA2519" s="6"/>
      <c r="CB2519" s="6"/>
      <c r="CC2519" s="6"/>
      <c r="CD2519" s="6"/>
      <c r="CE2519" s="6"/>
      <c r="CF2519" s="6"/>
      <c r="CG2519" s="6"/>
      <c r="CH2519" s="6"/>
      <c r="CI2519" s="6"/>
      <c r="CJ2519" s="6"/>
      <c r="CK2519" s="6"/>
      <c r="CL2519" s="6"/>
      <c r="CM2519" s="6"/>
      <c r="CN2519" s="6"/>
      <c r="CO2519" s="6"/>
      <c r="CP2519" s="6"/>
      <c r="CQ2519" s="6"/>
      <c r="CR2519" s="6"/>
      <c r="CS2519" s="6"/>
      <c r="CT2519" s="6"/>
      <c r="CU2519" s="6"/>
      <c r="CV2519" s="6"/>
      <c r="CW2519" s="6"/>
      <c r="CX2519" s="6"/>
      <c r="CY2519" s="6"/>
      <c r="CZ2519" s="6"/>
    </row>
    <row r="2520" spans="1:104" s="5" customFormat="1" x14ac:dyDescent="0.25">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16"/>
      <c r="BC2520" s="6"/>
      <c r="BD2520" s="6"/>
      <c r="BE2520" s="6"/>
      <c r="BF2520" s="6"/>
      <c r="BG2520" s="6"/>
      <c r="BH2520" s="6"/>
      <c r="BI2520" s="6"/>
      <c r="BJ2520" s="6"/>
      <c r="BK2520" s="6"/>
      <c r="BL2520" s="6"/>
      <c r="BM2520" s="6"/>
      <c r="BN2520" s="6"/>
      <c r="BO2520" s="6"/>
      <c r="BP2520" s="6"/>
      <c r="BQ2520" s="6"/>
      <c r="BR2520" s="6"/>
      <c r="BS2520" s="6"/>
      <c r="BT2520" s="6"/>
      <c r="BU2520" s="6"/>
      <c r="BV2520" s="6"/>
      <c r="BW2520" s="6"/>
      <c r="BX2520" s="6"/>
      <c r="BY2520" s="6"/>
      <c r="BZ2520" s="6"/>
      <c r="CA2520" s="6"/>
      <c r="CB2520" s="6"/>
      <c r="CC2520" s="6"/>
      <c r="CD2520" s="6"/>
      <c r="CE2520" s="6"/>
      <c r="CF2520" s="6"/>
      <c r="CG2520" s="6"/>
      <c r="CH2520" s="6"/>
      <c r="CI2520" s="6"/>
      <c r="CJ2520" s="6"/>
      <c r="CK2520" s="6"/>
      <c r="CL2520" s="6"/>
      <c r="CM2520" s="6"/>
      <c r="CN2520" s="6"/>
      <c r="CO2520" s="6"/>
      <c r="CP2520" s="6"/>
      <c r="CQ2520" s="6"/>
      <c r="CR2520" s="6"/>
      <c r="CS2520" s="6"/>
      <c r="CT2520" s="6"/>
      <c r="CU2520" s="6"/>
      <c r="CV2520" s="6"/>
      <c r="CW2520" s="6"/>
      <c r="CX2520" s="6"/>
      <c r="CY2520" s="6"/>
      <c r="CZ2520" s="6"/>
    </row>
    <row r="2521" spans="1:104" s="5" customFormat="1" x14ac:dyDescent="0.25">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16"/>
      <c r="BC2521" s="6"/>
      <c r="BD2521" s="6"/>
      <c r="BE2521" s="6"/>
      <c r="BF2521" s="6"/>
      <c r="BG2521" s="6"/>
      <c r="BH2521" s="6"/>
      <c r="BI2521" s="6"/>
      <c r="BJ2521" s="6"/>
      <c r="BK2521" s="6"/>
      <c r="BL2521" s="6"/>
      <c r="BM2521" s="6"/>
      <c r="BN2521" s="6"/>
      <c r="BO2521" s="6"/>
      <c r="BP2521" s="6"/>
      <c r="BQ2521" s="6"/>
      <c r="BR2521" s="6"/>
      <c r="BS2521" s="6"/>
      <c r="BT2521" s="6"/>
      <c r="BU2521" s="6"/>
      <c r="BV2521" s="6"/>
      <c r="BW2521" s="6"/>
      <c r="BX2521" s="6"/>
      <c r="BY2521" s="6"/>
      <c r="BZ2521" s="6"/>
      <c r="CA2521" s="6"/>
      <c r="CB2521" s="6"/>
      <c r="CC2521" s="6"/>
      <c r="CD2521" s="6"/>
      <c r="CE2521" s="6"/>
      <c r="CF2521" s="6"/>
      <c r="CG2521" s="6"/>
      <c r="CH2521" s="6"/>
      <c r="CI2521" s="6"/>
      <c r="CJ2521" s="6"/>
      <c r="CK2521" s="6"/>
      <c r="CL2521" s="6"/>
      <c r="CM2521" s="6"/>
      <c r="CN2521" s="6"/>
      <c r="CO2521" s="6"/>
      <c r="CP2521" s="6"/>
      <c r="CQ2521" s="6"/>
      <c r="CR2521" s="6"/>
      <c r="CS2521" s="6"/>
      <c r="CT2521" s="6"/>
      <c r="CU2521" s="6"/>
      <c r="CV2521" s="6"/>
      <c r="CW2521" s="6"/>
      <c r="CX2521" s="6"/>
      <c r="CY2521" s="6"/>
      <c r="CZ2521" s="6"/>
    </row>
    <row r="2522" spans="1:104" s="5" customFormat="1" x14ac:dyDescent="0.25">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16"/>
      <c r="BC2522" s="6"/>
      <c r="BD2522" s="6"/>
      <c r="BE2522" s="6"/>
      <c r="BF2522" s="6"/>
      <c r="BG2522" s="6"/>
      <c r="BH2522" s="6"/>
      <c r="BI2522" s="6"/>
      <c r="BJ2522" s="6"/>
      <c r="BK2522" s="6"/>
      <c r="BL2522" s="6"/>
      <c r="BM2522" s="6"/>
      <c r="BN2522" s="6"/>
      <c r="BO2522" s="6"/>
      <c r="BP2522" s="6"/>
      <c r="BQ2522" s="6"/>
      <c r="BR2522" s="6"/>
      <c r="BS2522" s="6"/>
      <c r="BT2522" s="6"/>
      <c r="BU2522" s="6"/>
      <c r="BV2522" s="6"/>
      <c r="BW2522" s="6"/>
      <c r="BX2522" s="6"/>
      <c r="BY2522" s="6"/>
      <c r="BZ2522" s="6"/>
      <c r="CA2522" s="6"/>
      <c r="CB2522" s="6"/>
      <c r="CC2522" s="6"/>
      <c r="CD2522" s="6"/>
      <c r="CE2522" s="6"/>
      <c r="CF2522" s="6"/>
      <c r="CG2522" s="6"/>
      <c r="CH2522" s="6"/>
      <c r="CI2522" s="6"/>
      <c r="CJ2522" s="6"/>
      <c r="CK2522" s="6"/>
      <c r="CL2522" s="6"/>
      <c r="CM2522" s="6"/>
      <c r="CN2522" s="6"/>
      <c r="CO2522" s="6"/>
      <c r="CP2522" s="6"/>
      <c r="CQ2522" s="6"/>
      <c r="CR2522" s="6"/>
      <c r="CS2522" s="6"/>
      <c r="CT2522" s="6"/>
      <c r="CU2522" s="6"/>
      <c r="CV2522" s="6"/>
      <c r="CW2522" s="6"/>
      <c r="CX2522" s="6"/>
      <c r="CY2522" s="6"/>
      <c r="CZ2522" s="6"/>
    </row>
    <row r="2523" spans="1:104" s="5" customFormat="1" x14ac:dyDescent="0.25">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16"/>
      <c r="BC2523" s="6"/>
      <c r="BD2523" s="6"/>
      <c r="BE2523" s="6"/>
      <c r="BF2523" s="6"/>
      <c r="BG2523" s="6"/>
      <c r="BH2523" s="6"/>
      <c r="BI2523" s="6"/>
      <c r="BJ2523" s="6"/>
      <c r="BK2523" s="6"/>
      <c r="BL2523" s="6"/>
      <c r="BM2523" s="6"/>
      <c r="BN2523" s="6"/>
      <c r="BO2523" s="6"/>
      <c r="BP2523" s="6"/>
      <c r="BQ2523" s="6"/>
      <c r="BR2523" s="6"/>
      <c r="BS2523" s="6"/>
      <c r="BT2523" s="6"/>
      <c r="BU2523" s="6"/>
      <c r="BV2523" s="6"/>
      <c r="BW2523" s="6"/>
      <c r="BX2523" s="6"/>
      <c r="BY2523" s="6"/>
      <c r="BZ2523" s="6"/>
      <c r="CA2523" s="6"/>
      <c r="CB2523" s="6"/>
      <c r="CC2523" s="6"/>
      <c r="CD2523" s="6"/>
      <c r="CE2523" s="6"/>
      <c r="CF2523" s="6"/>
      <c r="CG2523" s="6"/>
      <c r="CH2523" s="6"/>
      <c r="CI2523" s="6"/>
      <c r="CJ2523" s="6"/>
      <c r="CK2523" s="6"/>
      <c r="CL2523" s="6"/>
      <c r="CM2523" s="6"/>
      <c r="CN2523" s="6"/>
      <c r="CO2523" s="6"/>
      <c r="CP2523" s="6"/>
      <c r="CQ2523" s="6"/>
      <c r="CR2523" s="6"/>
      <c r="CS2523" s="6"/>
      <c r="CT2523" s="6"/>
      <c r="CU2523" s="6"/>
      <c r="CV2523" s="6"/>
      <c r="CW2523" s="6"/>
      <c r="CX2523" s="6"/>
      <c r="CY2523" s="6"/>
      <c r="CZ2523" s="6"/>
    </row>
    <row r="2524" spans="1:104" s="5" customFormat="1" x14ac:dyDescent="0.25">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16"/>
      <c r="BC2524" s="6"/>
      <c r="BD2524" s="6"/>
      <c r="BE2524" s="6"/>
      <c r="BF2524" s="6"/>
      <c r="BG2524" s="6"/>
      <c r="BH2524" s="6"/>
      <c r="BI2524" s="6"/>
      <c r="BJ2524" s="6"/>
      <c r="BK2524" s="6"/>
      <c r="BL2524" s="6"/>
      <c r="BM2524" s="6"/>
      <c r="BN2524" s="6"/>
      <c r="BO2524" s="6"/>
      <c r="BP2524" s="6"/>
      <c r="BQ2524" s="6"/>
      <c r="BR2524" s="6"/>
      <c r="BS2524" s="6"/>
      <c r="BT2524" s="6"/>
      <c r="BU2524" s="6"/>
      <c r="BV2524" s="6"/>
      <c r="BW2524" s="6"/>
      <c r="BX2524" s="6"/>
      <c r="BY2524" s="6"/>
      <c r="BZ2524" s="6"/>
      <c r="CA2524" s="6"/>
      <c r="CB2524" s="6"/>
      <c r="CC2524" s="6"/>
      <c r="CD2524" s="6"/>
      <c r="CE2524" s="6"/>
      <c r="CF2524" s="6"/>
      <c r="CG2524" s="6"/>
      <c r="CH2524" s="6"/>
      <c r="CI2524" s="6"/>
      <c r="CJ2524" s="6"/>
      <c r="CK2524" s="6"/>
      <c r="CL2524" s="6"/>
      <c r="CM2524" s="6"/>
      <c r="CN2524" s="6"/>
      <c r="CO2524" s="6"/>
      <c r="CP2524" s="6"/>
      <c r="CQ2524" s="6"/>
      <c r="CR2524" s="6"/>
      <c r="CS2524" s="6"/>
      <c r="CT2524" s="6"/>
      <c r="CU2524" s="6"/>
      <c r="CV2524" s="6"/>
      <c r="CW2524" s="6"/>
      <c r="CX2524" s="6"/>
      <c r="CY2524" s="6"/>
      <c r="CZ2524" s="6"/>
    </row>
    <row r="2525" spans="1:104" s="5" customFormat="1" x14ac:dyDescent="0.25">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16"/>
      <c r="BC2525" s="6"/>
      <c r="BD2525" s="6"/>
      <c r="BE2525" s="6"/>
      <c r="BF2525" s="6"/>
      <c r="BG2525" s="6"/>
      <c r="BH2525" s="6"/>
      <c r="BI2525" s="6"/>
      <c r="BJ2525" s="6"/>
      <c r="BK2525" s="6"/>
      <c r="BL2525" s="6"/>
      <c r="BM2525" s="6"/>
      <c r="BN2525" s="6"/>
      <c r="BO2525" s="6"/>
      <c r="BP2525" s="6"/>
      <c r="BQ2525" s="6"/>
      <c r="BR2525" s="6"/>
      <c r="BS2525" s="6"/>
      <c r="BT2525" s="6"/>
      <c r="BU2525" s="6"/>
      <c r="BV2525" s="6"/>
      <c r="BW2525" s="6"/>
      <c r="BX2525" s="6"/>
      <c r="BY2525" s="6"/>
      <c r="BZ2525" s="6"/>
      <c r="CA2525" s="6"/>
      <c r="CB2525" s="6"/>
      <c r="CC2525" s="6"/>
      <c r="CD2525" s="6"/>
      <c r="CE2525" s="6"/>
      <c r="CF2525" s="6"/>
      <c r="CG2525" s="6"/>
      <c r="CH2525" s="6"/>
      <c r="CI2525" s="6"/>
      <c r="CJ2525" s="6"/>
      <c r="CK2525" s="6"/>
      <c r="CL2525" s="6"/>
      <c r="CM2525" s="6"/>
      <c r="CN2525" s="6"/>
      <c r="CO2525" s="6"/>
      <c r="CP2525" s="6"/>
      <c r="CQ2525" s="6"/>
      <c r="CR2525" s="6"/>
      <c r="CS2525" s="6"/>
      <c r="CT2525" s="6"/>
      <c r="CU2525" s="6"/>
      <c r="CV2525" s="6"/>
      <c r="CW2525" s="6"/>
      <c r="CX2525" s="6"/>
      <c r="CY2525" s="6"/>
      <c r="CZ2525" s="6"/>
    </row>
    <row r="2526" spans="1:104" s="5" customFormat="1" x14ac:dyDescent="0.25">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16"/>
      <c r="BC2526" s="6"/>
      <c r="BD2526" s="6"/>
      <c r="BE2526" s="6"/>
      <c r="BF2526" s="6"/>
      <c r="BG2526" s="6"/>
      <c r="BH2526" s="6"/>
      <c r="BI2526" s="6"/>
      <c r="BJ2526" s="6"/>
      <c r="BK2526" s="6"/>
      <c r="BL2526" s="6"/>
      <c r="BM2526" s="6"/>
      <c r="BN2526" s="6"/>
      <c r="BO2526" s="6"/>
      <c r="BP2526" s="6"/>
      <c r="BQ2526" s="6"/>
      <c r="BR2526" s="6"/>
      <c r="BS2526" s="6"/>
      <c r="BT2526" s="6"/>
      <c r="BU2526" s="6"/>
      <c r="BV2526" s="6"/>
      <c r="BW2526" s="6"/>
      <c r="BX2526" s="6"/>
      <c r="BY2526" s="6"/>
      <c r="BZ2526" s="6"/>
      <c r="CA2526" s="6"/>
      <c r="CB2526" s="6"/>
      <c r="CC2526" s="6"/>
      <c r="CD2526" s="6"/>
      <c r="CE2526" s="6"/>
      <c r="CF2526" s="6"/>
      <c r="CG2526" s="6"/>
      <c r="CH2526" s="6"/>
      <c r="CI2526" s="6"/>
      <c r="CJ2526" s="6"/>
      <c r="CK2526" s="6"/>
      <c r="CL2526" s="6"/>
      <c r="CM2526" s="6"/>
      <c r="CN2526" s="6"/>
      <c r="CO2526" s="6"/>
      <c r="CP2526" s="6"/>
      <c r="CQ2526" s="6"/>
      <c r="CR2526" s="6"/>
      <c r="CS2526" s="6"/>
      <c r="CT2526" s="6"/>
      <c r="CU2526" s="6"/>
      <c r="CV2526" s="6"/>
      <c r="CW2526" s="6"/>
      <c r="CX2526" s="6"/>
      <c r="CY2526" s="6"/>
      <c r="CZ2526" s="6"/>
    </row>
    <row r="2527" spans="1:104" s="5" customFormat="1" x14ac:dyDescent="0.25">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16"/>
      <c r="BC2527" s="6"/>
      <c r="BD2527" s="6"/>
      <c r="BE2527" s="6"/>
      <c r="BF2527" s="6"/>
      <c r="BG2527" s="6"/>
      <c r="BH2527" s="6"/>
      <c r="BI2527" s="6"/>
      <c r="BJ2527" s="6"/>
      <c r="BK2527" s="6"/>
      <c r="BL2527" s="6"/>
      <c r="BM2527" s="6"/>
      <c r="BN2527" s="6"/>
      <c r="BO2527" s="6"/>
      <c r="BP2527" s="6"/>
      <c r="BQ2527" s="6"/>
      <c r="BR2527" s="6"/>
      <c r="BS2527" s="6"/>
      <c r="BT2527" s="6"/>
      <c r="BU2527" s="6"/>
      <c r="BV2527" s="6"/>
      <c r="BW2527" s="6"/>
      <c r="BX2527" s="6"/>
      <c r="BY2527" s="6"/>
      <c r="BZ2527" s="6"/>
      <c r="CA2527" s="6"/>
      <c r="CB2527" s="6"/>
      <c r="CC2527" s="6"/>
      <c r="CD2527" s="6"/>
      <c r="CE2527" s="6"/>
      <c r="CF2527" s="6"/>
      <c r="CG2527" s="6"/>
      <c r="CH2527" s="6"/>
      <c r="CI2527" s="6"/>
      <c r="CJ2527" s="6"/>
      <c r="CK2527" s="6"/>
      <c r="CL2527" s="6"/>
      <c r="CM2527" s="6"/>
      <c r="CN2527" s="6"/>
      <c r="CO2527" s="6"/>
      <c r="CP2527" s="6"/>
      <c r="CQ2527" s="6"/>
      <c r="CR2527" s="6"/>
      <c r="CS2527" s="6"/>
      <c r="CT2527" s="6"/>
      <c r="CU2527" s="6"/>
      <c r="CV2527" s="6"/>
      <c r="CW2527" s="6"/>
      <c r="CX2527" s="6"/>
      <c r="CY2527" s="6"/>
      <c r="CZ2527" s="6"/>
    </row>
    <row r="2528" spans="1:104" s="5" customFormat="1" x14ac:dyDescent="0.25">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16"/>
      <c r="BC2528" s="6"/>
      <c r="BD2528" s="6"/>
      <c r="BE2528" s="6"/>
      <c r="BF2528" s="6"/>
      <c r="BG2528" s="6"/>
      <c r="BH2528" s="6"/>
      <c r="BI2528" s="6"/>
      <c r="BJ2528" s="6"/>
      <c r="BK2528" s="6"/>
      <c r="BL2528" s="6"/>
      <c r="BM2528" s="6"/>
      <c r="BN2528" s="6"/>
      <c r="BO2528" s="6"/>
      <c r="BP2528" s="6"/>
      <c r="BQ2528" s="6"/>
      <c r="BR2528" s="6"/>
      <c r="BS2528" s="6"/>
      <c r="BT2528" s="6"/>
      <c r="BU2528" s="6"/>
      <c r="BV2528" s="6"/>
      <c r="BW2528" s="6"/>
      <c r="BX2528" s="6"/>
      <c r="BY2528" s="6"/>
      <c r="BZ2528" s="6"/>
      <c r="CA2528" s="6"/>
      <c r="CB2528" s="6"/>
      <c r="CC2528" s="6"/>
      <c r="CD2528" s="6"/>
      <c r="CE2528" s="6"/>
      <c r="CF2528" s="6"/>
      <c r="CG2528" s="6"/>
      <c r="CH2528" s="6"/>
      <c r="CI2528" s="6"/>
      <c r="CJ2528" s="6"/>
      <c r="CK2528" s="6"/>
      <c r="CL2528" s="6"/>
      <c r="CM2528" s="6"/>
      <c r="CN2528" s="6"/>
      <c r="CO2528" s="6"/>
      <c r="CP2528" s="6"/>
      <c r="CQ2528" s="6"/>
      <c r="CR2528" s="6"/>
      <c r="CS2528" s="6"/>
      <c r="CT2528" s="6"/>
      <c r="CU2528" s="6"/>
      <c r="CV2528" s="6"/>
      <c r="CW2528" s="6"/>
      <c r="CX2528" s="6"/>
      <c r="CY2528" s="6"/>
      <c r="CZ2528" s="6"/>
    </row>
    <row r="2529" spans="27:104" s="5" customFormat="1" x14ac:dyDescent="0.25">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16"/>
      <c r="BC2529" s="6"/>
      <c r="BD2529" s="6"/>
      <c r="BE2529" s="6"/>
      <c r="BF2529" s="6"/>
      <c r="BG2529" s="6"/>
      <c r="BH2529" s="6"/>
      <c r="BI2529" s="6"/>
      <c r="BJ2529" s="6"/>
      <c r="BK2529" s="6"/>
      <c r="BL2529" s="6"/>
      <c r="BM2529" s="6"/>
      <c r="BN2529" s="6"/>
      <c r="BO2529" s="6"/>
      <c r="BP2529" s="6"/>
      <c r="BQ2529" s="6"/>
      <c r="BR2529" s="6"/>
      <c r="BS2529" s="6"/>
      <c r="BT2529" s="6"/>
      <c r="BU2529" s="6"/>
      <c r="BV2529" s="6"/>
      <c r="BW2529" s="6"/>
      <c r="BX2529" s="6"/>
      <c r="BY2529" s="6"/>
      <c r="BZ2529" s="6"/>
      <c r="CA2529" s="6"/>
      <c r="CB2529" s="6"/>
      <c r="CC2529" s="6"/>
      <c r="CD2529" s="6"/>
      <c r="CE2529" s="6"/>
      <c r="CF2529" s="6"/>
      <c r="CG2529" s="6"/>
      <c r="CH2529" s="6"/>
      <c r="CI2529" s="6"/>
      <c r="CJ2529" s="6"/>
      <c r="CK2529" s="6"/>
      <c r="CL2529" s="6"/>
      <c r="CM2529" s="6"/>
      <c r="CN2529" s="6"/>
      <c r="CO2529" s="6"/>
      <c r="CP2529" s="6"/>
      <c r="CQ2529" s="6"/>
      <c r="CR2529" s="6"/>
      <c r="CS2529" s="6"/>
      <c r="CT2529" s="6"/>
      <c r="CU2529" s="6"/>
      <c r="CV2529" s="6"/>
      <c r="CW2529" s="6"/>
      <c r="CX2529" s="6"/>
      <c r="CY2529" s="6"/>
      <c r="CZ2529" s="6"/>
    </row>
    <row r="2530" spans="27:104" s="5" customFormat="1" x14ac:dyDescent="0.25">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16"/>
      <c r="BC2530" s="6"/>
      <c r="BD2530" s="6"/>
      <c r="BE2530" s="6"/>
      <c r="BF2530" s="6"/>
      <c r="BG2530" s="6"/>
      <c r="BH2530" s="6"/>
      <c r="BI2530" s="6"/>
      <c r="BJ2530" s="6"/>
      <c r="BK2530" s="6"/>
      <c r="BL2530" s="6"/>
      <c r="BM2530" s="6"/>
      <c r="BN2530" s="6"/>
      <c r="BO2530" s="6"/>
      <c r="BP2530" s="6"/>
      <c r="BQ2530" s="6"/>
      <c r="BR2530" s="6"/>
      <c r="BS2530" s="6"/>
      <c r="BT2530" s="6"/>
      <c r="BU2530" s="6"/>
      <c r="BV2530" s="6"/>
      <c r="BW2530" s="6"/>
      <c r="BX2530" s="6"/>
      <c r="BY2530" s="6"/>
      <c r="BZ2530" s="6"/>
      <c r="CA2530" s="6"/>
      <c r="CB2530" s="6"/>
      <c r="CC2530" s="6"/>
      <c r="CD2530" s="6"/>
      <c r="CE2530" s="6"/>
      <c r="CF2530" s="6"/>
      <c r="CG2530" s="6"/>
      <c r="CH2530" s="6"/>
      <c r="CI2530" s="6"/>
      <c r="CJ2530" s="6"/>
      <c r="CK2530" s="6"/>
      <c r="CL2530" s="6"/>
      <c r="CM2530" s="6"/>
      <c r="CN2530" s="6"/>
      <c r="CO2530" s="6"/>
      <c r="CP2530" s="6"/>
      <c r="CQ2530" s="6"/>
      <c r="CR2530" s="6"/>
      <c r="CS2530" s="6"/>
      <c r="CT2530" s="6"/>
      <c r="CU2530" s="6"/>
      <c r="CV2530" s="6"/>
      <c r="CW2530" s="6"/>
      <c r="CX2530" s="6"/>
      <c r="CY2530" s="6"/>
      <c r="CZ2530" s="6"/>
    </row>
    <row r="2531" spans="27:104" s="5" customFormat="1" x14ac:dyDescent="0.25">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16"/>
      <c r="BC2531" s="6"/>
      <c r="BD2531" s="6"/>
      <c r="BE2531" s="6"/>
      <c r="BF2531" s="6"/>
      <c r="BG2531" s="6"/>
      <c r="BH2531" s="6"/>
      <c r="BI2531" s="6"/>
      <c r="BJ2531" s="6"/>
      <c r="BK2531" s="6"/>
      <c r="BL2531" s="6"/>
      <c r="BM2531" s="6"/>
      <c r="BN2531" s="6"/>
      <c r="BO2531" s="6"/>
      <c r="BP2531" s="6"/>
      <c r="BQ2531" s="6"/>
      <c r="BR2531" s="6"/>
      <c r="BS2531" s="6"/>
      <c r="BT2531" s="6"/>
      <c r="BU2531" s="6"/>
      <c r="BV2531" s="6"/>
      <c r="BW2531" s="6"/>
      <c r="BX2531" s="6"/>
      <c r="BY2531" s="6"/>
      <c r="BZ2531" s="6"/>
      <c r="CA2531" s="6"/>
      <c r="CB2531" s="6"/>
      <c r="CC2531" s="6"/>
      <c r="CD2531" s="6"/>
      <c r="CE2531" s="6"/>
      <c r="CF2531" s="6"/>
      <c r="CG2531" s="6"/>
      <c r="CH2531" s="6"/>
      <c r="CI2531" s="6"/>
      <c r="CJ2531" s="6"/>
      <c r="CK2531" s="6"/>
      <c r="CL2531" s="6"/>
      <c r="CM2531" s="6"/>
      <c r="CN2531" s="6"/>
      <c r="CO2531" s="6"/>
      <c r="CP2531" s="6"/>
      <c r="CQ2531" s="6"/>
      <c r="CR2531" s="6"/>
      <c r="CS2531" s="6"/>
      <c r="CT2531" s="6"/>
      <c r="CU2531" s="6"/>
      <c r="CV2531" s="6"/>
      <c r="CW2531" s="6"/>
      <c r="CX2531" s="6"/>
      <c r="CY2531" s="6"/>
      <c r="CZ2531" s="6"/>
    </row>
    <row r="2532" spans="27:104" s="5" customFormat="1" x14ac:dyDescent="0.25">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16"/>
      <c r="BC2532" s="6"/>
      <c r="BD2532" s="6"/>
      <c r="BE2532" s="6"/>
      <c r="BF2532" s="6"/>
      <c r="BG2532" s="6"/>
      <c r="BH2532" s="6"/>
      <c r="BI2532" s="6"/>
      <c r="BJ2532" s="6"/>
      <c r="BK2532" s="6"/>
      <c r="BL2532" s="6"/>
      <c r="BM2532" s="6"/>
      <c r="BN2532" s="6"/>
      <c r="BO2532" s="6"/>
      <c r="BP2532" s="6"/>
      <c r="BQ2532" s="6"/>
      <c r="BR2532" s="6"/>
      <c r="BS2532" s="6"/>
      <c r="BT2532" s="6"/>
      <c r="BU2532" s="6"/>
      <c r="BV2532" s="6"/>
      <c r="BW2532" s="6"/>
      <c r="BX2532" s="6"/>
      <c r="BY2532" s="6"/>
      <c r="BZ2532" s="6"/>
      <c r="CA2532" s="6"/>
      <c r="CB2532" s="6"/>
      <c r="CC2532" s="6"/>
      <c r="CD2532" s="6"/>
      <c r="CE2532" s="6"/>
      <c r="CF2532" s="6"/>
      <c r="CG2532" s="6"/>
      <c r="CH2532" s="6"/>
      <c r="CI2532" s="6"/>
      <c r="CJ2532" s="6"/>
      <c r="CK2532" s="6"/>
      <c r="CL2532" s="6"/>
      <c r="CM2532" s="6"/>
      <c r="CN2532" s="6"/>
      <c r="CO2532" s="6"/>
      <c r="CP2532" s="6"/>
      <c r="CQ2532" s="6"/>
      <c r="CR2532" s="6"/>
      <c r="CS2532" s="6"/>
      <c r="CT2532" s="6"/>
      <c r="CU2532" s="6"/>
      <c r="CV2532" s="6"/>
      <c r="CW2532" s="6"/>
      <c r="CX2532" s="6"/>
      <c r="CY2532" s="6"/>
      <c r="CZ2532" s="6"/>
    </row>
    <row r="2533" spans="27:104" s="5" customFormat="1" x14ac:dyDescent="0.25">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16"/>
      <c r="BC2533" s="6"/>
      <c r="BD2533" s="6"/>
      <c r="BE2533" s="6"/>
      <c r="BF2533" s="6"/>
      <c r="BG2533" s="6"/>
      <c r="BH2533" s="6"/>
      <c r="BI2533" s="6"/>
      <c r="BJ2533" s="6"/>
      <c r="BK2533" s="6"/>
      <c r="BL2533" s="6"/>
      <c r="BM2533" s="6"/>
      <c r="BN2533" s="6"/>
      <c r="BO2533" s="6"/>
      <c r="BP2533" s="6"/>
      <c r="BQ2533" s="6"/>
      <c r="BR2533" s="6"/>
      <c r="BS2533" s="6"/>
      <c r="BT2533" s="6"/>
      <c r="BU2533" s="6"/>
      <c r="BV2533" s="6"/>
      <c r="BW2533" s="6"/>
      <c r="BX2533" s="6"/>
      <c r="BY2533" s="6"/>
      <c r="BZ2533" s="6"/>
      <c r="CA2533" s="6"/>
      <c r="CB2533" s="6"/>
      <c r="CC2533" s="6"/>
      <c r="CD2533" s="6"/>
      <c r="CE2533" s="6"/>
      <c r="CF2533" s="6"/>
      <c r="CG2533" s="6"/>
      <c r="CH2533" s="6"/>
      <c r="CI2533" s="6"/>
      <c r="CJ2533" s="6"/>
      <c r="CK2533" s="6"/>
      <c r="CL2533" s="6"/>
      <c r="CM2533" s="6"/>
      <c r="CN2533" s="6"/>
      <c r="CO2533" s="6"/>
      <c r="CP2533" s="6"/>
      <c r="CQ2533" s="6"/>
      <c r="CR2533" s="6"/>
      <c r="CS2533" s="6"/>
      <c r="CT2533" s="6"/>
      <c r="CU2533" s="6"/>
      <c r="CV2533" s="6"/>
      <c r="CW2533" s="6"/>
      <c r="CX2533" s="6"/>
      <c r="CY2533" s="6"/>
      <c r="CZ2533" s="6"/>
    </row>
    <row r="2534" spans="27:104" s="5" customFormat="1" x14ac:dyDescent="0.25">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16"/>
      <c r="BC2534" s="6"/>
      <c r="BD2534" s="6"/>
      <c r="BE2534" s="6"/>
      <c r="BF2534" s="6"/>
      <c r="BG2534" s="6"/>
      <c r="BH2534" s="6"/>
      <c r="BI2534" s="6"/>
      <c r="BJ2534" s="6"/>
      <c r="BK2534" s="6"/>
      <c r="BL2534" s="6"/>
      <c r="BM2534" s="6"/>
      <c r="BN2534" s="6"/>
      <c r="BO2534" s="6"/>
      <c r="BP2534" s="6"/>
      <c r="BQ2534" s="6"/>
      <c r="BR2534" s="6"/>
      <c r="BS2534" s="6"/>
      <c r="BT2534" s="6"/>
      <c r="BU2534" s="6"/>
      <c r="BV2534" s="6"/>
      <c r="BW2534" s="6"/>
      <c r="BX2534" s="6"/>
      <c r="BY2534" s="6"/>
      <c r="BZ2534" s="6"/>
      <c r="CA2534" s="6"/>
      <c r="CB2534" s="6"/>
      <c r="CC2534" s="6"/>
      <c r="CD2534" s="6"/>
      <c r="CE2534" s="6"/>
      <c r="CF2534" s="6"/>
      <c r="CG2534" s="6"/>
      <c r="CH2534" s="6"/>
      <c r="CI2534" s="6"/>
      <c r="CJ2534" s="6"/>
      <c r="CK2534" s="6"/>
      <c r="CL2534" s="6"/>
      <c r="CM2534" s="6"/>
      <c r="CN2534" s="6"/>
      <c r="CO2534" s="6"/>
      <c r="CP2534" s="6"/>
      <c r="CQ2534" s="6"/>
      <c r="CR2534" s="6"/>
      <c r="CS2534" s="6"/>
      <c r="CT2534" s="6"/>
      <c r="CU2534" s="6"/>
      <c r="CV2534" s="6"/>
      <c r="CW2534" s="6"/>
      <c r="CX2534" s="6"/>
      <c r="CY2534" s="6"/>
      <c r="CZ2534" s="6"/>
    </row>
    <row r="2535" spans="27:104" s="5" customFormat="1" x14ac:dyDescent="0.25">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16"/>
      <c r="BC2535" s="6"/>
      <c r="BD2535" s="6"/>
      <c r="BE2535" s="6"/>
      <c r="BF2535" s="6"/>
      <c r="BG2535" s="6"/>
      <c r="BH2535" s="6"/>
      <c r="BI2535" s="6"/>
      <c r="BJ2535" s="6"/>
      <c r="BK2535" s="6"/>
      <c r="BL2535" s="6"/>
      <c r="BM2535" s="6"/>
      <c r="BN2535" s="6"/>
      <c r="BO2535" s="6"/>
      <c r="BP2535" s="6"/>
      <c r="BQ2535" s="6"/>
      <c r="BR2535" s="6"/>
      <c r="BS2535" s="6"/>
      <c r="BT2535" s="6"/>
      <c r="BU2535" s="6"/>
      <c r="BV2535" s="6"/>
      <c r="BW2535" s="6"/>
      <c r="BX2535" s="6"/>
      <c r="BY2535" s="6"/>
      <c r="BZ2535" s="6"/>
      <c r="CA2535" s="6"/>
      <c r="CB2535" s="6"/>
      <c r="CC2535" s="6"/>
      <c r="CD2535" s="6"/>
      <c r="CE2535" s="6"/>
      <c r="CF2535" s="6"/>
      <c r="CG2535" s="6"/>
      <c r="CH2535" s="6"/>
      <c r="CI2535" s="6"/>
      <c r="CJ2535" s="6"/>
      <c r="CK2535" s="6"/>
      <c r="CL2535" s="6"/>
      <c r="CM2535" s="6"/>
      <c r="CN2535" s="6"/>
      <c r="CO2535" s="6"/>
      <c r="CP2535" s="6"/>
      <c r="CQ2535" s="6"/>
      <c r="CR2535" s="6"/>
      <c r="CS2535" s="6"/>
      <c r="CT2535" s="6"/>
      <c r="CU2535" s="6"/>
      <c r="CV2535" s="6"/>
      <c r="CW2535" s="6"/>
      <c r="CX2535" s="6"/>
      <c r="CY2535" s="6"/>
      <c r="CZ2535" s="6"/>
    </row>
    <row r="2536" spans="27:104" s="5" customFormat="1" x14ac:dyDescent="0.25">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16"/>
      <c r="BC2536" s="6"/>
      <c r="BD2536" s="6"/>
      <c r="BE2536" s="6"/>
      <c r="BF2536" s="6"/>
      <c r="BG2536" s="6"/>
      <c r="BH2536" s="6"/>
      <c r="BI2536" s="6"/>
      <c r="BJ2536" s="6"/>
      <c r="BK2536" s="6"/>
      <c r="BL2536" s="6"/>
      <c r="BM2536" s="6"/>
      <c r="BN2536" s="6"/>
      <c r="BO2536" s="6"/>
      <c r="BP2536" s="6"/>
      <c r="BQ2536" s="6"/>
      <c r="BR2536" s="6"/>
      <c r="BS2536" s="6"/>
      <c r="BT2536" s="6"/>
      <c r="BU2536" s="6"/>
      <c r="BV2536" s="6"/>
      <c r="BW2536" s="6"/>
      <c r="BX2536" s="6"/>
      <c r="BY2536" s="6"/>
      <c r="BZ2536" s="6"/>
      <c r="CA2536" s="6"/>
      <c r="CB2536" s="6"/>
      <c r="CC2536" s="6"/>
      <c r="CD2536" s="6"/>
      <c r="CE2536" s="6"/>
      <c r="CF2536" s="6"/>
      <c r="CG2536" s="6"/>
      <c r="CH2536" s="6"/>
      <c r="CI2536" s="6"/>
      <c r="CJ2536" s="6"/>
      <c r="CK2536" s="6"/>
      <c r="CL2536" s="6"/>
      <c r="CM2536" s="6"/>
      <c r="CN2536" s="6"/>
      <c r="CO2536" s="6"/>
      <c r="CP2536" s="6"/>
      <c r="CQ2536" s="6"/>
      <c r="CR2536" s="6"/>
      <c r="CS2536" s="6"/>
      <c r="CT2536" s="6"/>
      <c r="CU2536" s="6"/>
      <c r="CV2536" s="6"/>
      <c r="CW2536" s="6"/>
      <c r="CX2536" s="6"/>
      <c r="CY2536" s="6"/>
      <c r="CZ2536" s="6"/>
    </row>
    <row r="2537" spans="27:104" s="5" customFormat="1" x14ac:dyDescent="0.25">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16"/>
      <c r="BC2537" s="6"/>
      <c r="BD2537" s="6"/>
      <c r="BE2537" s="6"/>
      <c r="BF2537" s="6"/>
      <c r="BG2537" s="6"/>
      <c r="BH2537" s="6"/>
      <c r="BI2537" s="6"/>
      <c r="BJ2537" s="6"/>
      <c r="BK2537" s="6"/>
      <c r="BL2537" s="6"/>
      <c r="BM2537" s="6"/>
      <c r="BN2537" s="6"/>
      <c r="BO2537" s="6"/>
      <c r="BP2537" s="6"/>
      <c r="BQ2537" s="6"/>
      <c r="BR2537" s="6"/>
      <c r="BS2537" s="6"/>
      <c r="BT2537" s="6"/>
      <c r="BU2537" s="6"/>
      <c r="BV2537" s="6"/>
      <c r="BW2537" s="6"/>
      <c r="BX2537" s="6"/>
      <c r="BY2537" s="6"/>
      <c r="BZ2537" s="6"/>
      <c r="CA2537" s="6"/>
      <c r="CB2537" s="6"/>
      <c r="CC2537" s="6"/>
      <c r="CD2537" s="6"/>
      <c r="CE2537" s="6"/>
      <c r="CF2537" s="6"/>
      <c r="CG2537" s="6"/>
      <c r="CH2537" s="6"/>
      <c r="CI2537" s="6"/>
      <c r="CJ2537" s="6"/>
      <c r="CK2537" s="6"/>
      <c r="CL2537" s="6"/>
      <c r="CM2537" s="6"/>
      <c r="CN2537" s="6"/>
      <c r="CO2537" s="6"/>
      <c r="CP2537" s="6"/>
      <c r="CQ2537" s="6"/>
      <c r="CR2537" s="6"/>
      <c r="CS2537" s="6"/>
      <c r="CT2537" s="6"/>
      <c r="CU2537" s="6"/>
      <c r="CV2537" s="6"/>
      <c r="CW2537" s="6"/>
      <c r="CX2537" s="6"/>
      <c r="CY2537" s="6"/>
      <c r="CZ2537" s="6"/>
    </row>
    <row r="2538" spans="27:104" s="5" customFormat="1" x14ac:dyDescent="0.25">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16"/>
      <c r="BC2538" s="6"/>
      <c r="BD2538" s="6"/>
      <c r="BE2538" s="6"/>
      <c r="BF2538" s="6"/>
      <c r="BG2538" s="6"/>
      <c r="BH2538" s="6"/>
      <c r="BI2538" s="6"/>
      <c r="BJ2538" s="6"/>
      <c r="BK2538" s="6"/>
      <c r="BL2538" s="6"/>
      <c r="BM2538" s="6"/>
      <c r="BN2538" s="6"/>
      <c r="BO2538" s="6"/>
      <c r="BP2538" s="6"/>
      <c r="BQ2538" s="6"/>
      <c r="BR2538" s="6"/>
      <c r="BS2538" s="6"/>
      <c r="BT2538" s="6"/>
      <c r="BU2538" s="6"/>
      <c r="BV2538" s="6"/>
      <c r="BW2538" s="6"/>
      <c r="BX2538" s="6"/>
      <c r="BY2538" s="6"/>
      <c r="BZ2538" s="6"/>
      <c r="CA2538" s="6"/>
      <c r="CB2538" s="6"/>
      <c r="CC2538" s="6"/>
      <c r="CD2538" s="6"/>
      <c r="CE2538" s="6"/>
      <c r="CF2538" s="6"/>
      <c r="CG2538" s="6"/>
      <c r="CH2538" s="6"/>
      <c r="CI2538" s="6"/>
      <c r="CJ2538" s="6"/>
      <c r="CK2538" s="6"/>
      <c r="CL2538" s="6"/>
      <c r="CM2538" s="6"/>
      <c r="CN2538" s="6"/>
      <c r="CO2538" s="6"/>
      <c r="CP2538" s="6"/>
      <c r="CQ2538" s="6"/>
      <c r="CR2538" s="6"/>
      <c r="CS2538" s="6"/>
      <c r="CT2538" s="6"/>
      <c r="CU2538" s="6"/>
      <c r="CV2538" s="6"/>
      <c r="CW2538" s="6"/>
      <c r="CX2538" s="6"/>
      <c r="CY2538" s="6"/>
      <c r="CZ2538" s="6"/>
    </row>
    <row r="2539" spans="27:104" s="5" customFormat="1" x14ac:dyDescent="0.25">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16"/>
      <c r="BC2539" s="6"/>
      <c r="BD2539" s="6"/>
      <c r="BE2539" s="6"/>
      <c r="BF2539" s="6"/>
      <c r="BG2539" s="6"/>
      <c r="BH2539" s="6"/>
      <c r="BI2539" s="6"/>
      <c r="BJ2539" s="6"/>
      <c r="BK2539" s="6"/>
      <c r="BL2539" s="6"/>
      <c r="BM2539" s="6"/>
      <c r="BN2539" s="6"/>
      <c r="BO2539" s="6"/>
      <c r="BP2539" s="6"/>
      <c r="BQ2539" s="6"/>
      <c r="BR2539" s="6"/>
      <c r="BS2539" s="6"/>
      <c r="BT2539" s="6"/>
      <c r="BU2539" s="6"/>
      <c r="BV2539" s="6"/>
      <c r="BW2539" s="6"/>
      <c r="BX2539" s="6"/>
      <c r="BY2539" s="6"/>
      <c r="BZ2539" s="6"/>
      <c r="CA2539" s="6"/>
      <c r="CB2539" s="6"/>
      <c r="CC2539" s="6"/>
      <c r="CD2539" s="6"/>
      <c r="CE2539" s="6"/>
      <c r="CF2539" s="6"/>
      <c r="CG2539" s="6"/>
      <c r="CH2539" s="6"/>
      <c r="CI2539" s="6"/>
      <c r="CJ2539" s="6"/>
      <c r="CK2539" s="6"/>
      <c r="CL2539" s="6"/>
      <c r="CM2539" s="6"/>
      <c r="CN2539" s="6"/>
      <c r="CO2539" s="6"/>
      <c r="CP2539" s="6"/>
      <c r="CQ2539" s="6"/>
      <c r="CR2539" s="6"/>
      <c r="CS2539" s="6"/>
      <c r="CT2539" s="6"/>
      <c r="CU2539" s="6"/>
      <c r="CV2539" s="6"/>
      <c r="CW2539" s="6"/>
      <c r="CX2539" s="6"/>
      <c r="CY2539" s="6"/>
      <c r="CZ2539" s="6"/>
    </row>
    <row r="2540" spans="27:104" s="5" customFormat="1" x14ac:dyDescent="0.25">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16"/>
      <c r="BC2540" s="6"/>
      <c r="BD2540" s="6"/>
      <c r="BE2540" s="6"/>
      <c r="BF2540" s="6"/>
      <c r="BG2540" s="6"/>
      <c r="BH2540" s="6"/>
      <c r="BI2540" s="6"/>
      <c r="BJ2540" s="6"/>
      <c r="BK2540" s="6"/>
      <c r="BL2540" s="6"/>
      <c r="BM2540" s="6"/>
      <c r="BN2540" s="6"/>
      <c r="BO2540" s="6"/>
      <c r="BP2540" s="6"/>
      <c r="BQ2540" s="6"/>
      <c r="BR2540" s="6"/>
      <c r="BS2540" s="6"/>
      <c r="BT2540" s="6"/>
      <c r="BU2540" s="6"/>
      <c r="BV2540" s="6"/>
      <c r="BW2540" s="6"/>
      <c r="BX2540" s="6"/>
      <c r="BY2540" s="6"/>
      <c r="BZ2540" s="6"/>
      <c r="CA2540" s="6"/>
      <c r="CB2540" s="6"/>
      <c r="CC2540" s="6"/>
      <c r="CD2540" s="6"/>
      <c r="CE2540" s="6"/>
      <c r="CF2540" s="6"/>
      <c r="CG2540" s="6"/>
      <c r="CH2540" s="6"/>
      <c r="CI2540" s="6"/>
      <c r="CJ2540" s="6"/>
      <c r="CK2540" s="6"/>
      <c r="CL2540" s="6"/>
      <c r="CM2540" s="6"/>
      <c r="CN2540" s="6"/>
      <c r="CO2540" s="6"/>
      <c r="CP2540" s="6"/>
      <c r="CQ2540" s="6"/>
      <c r="CR2540" s="6"/>
      <c r="CS2540" s="6"/>
      <c r="CT2540" s="6"/>
      <c r="CU2540" s="6"/>
      <c r="CV2540" s="6"/>
      <c r="CW2540" s="6"/>
      <c r="CX2540" s="6"/>
      <c r="CY2540" s="6"/>
      <c r="CZ2540" s="6"/>
    </row>
    <row r="2541" spans="27:104" s="5" customFormat="1" x14ac:dyDescent="0.25">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16"/>
      <c r="BC2541" s="6"/>
      <c r="BD2541" s="6"/>
      <c r="BE2541" s="6"/>
      <c r="BF2541" s="6"/>
      <c r="BG2541" s="6"/>
      <c r="BH2541" s="6"/>
      <c r="BI2541" s="6"/>
      <c r="BJ2541" s="6"/>
      <c r="BK2541" s="6"/>
      <c r="BL2541" s="6"/>
      <c r="BM2541" s="6"/>
      <c r="BN2541" s="6"/>
      <c r="BO2541" s="6"/>
      <c r="BP2541" s="6"/>
      <c r="BQ2541" s="6"/>
      <c r="BR2541" s="6"/>
      <c r="BS2541" s="6"/>
      <c r="BT2541" s="6"/>
      <c r="BU2541" s="6"/>
      <c r="BV2541" s="6"/>
      <c r="BW2541" s="6"/>
      <c r="BX2541" s="6"/>
      <c r="BY2541" s="6"/>
      <c r="BZ2541" s="6"/>
      <c r="CA2541" s="6"/>
      <c r="CB2541" s="6"/>
      <c r="CC2541" s="6"/>
      <c r="CD2541" s="6"/>
      <c r="CE2541" s="6"/>
      <c r="CF2541" s="6"/>
      <c r="CG2541" s="6"/>
      <c r="CH2541" s="6"/>
      <c r="CI2541" s="6"/>
      <c r="CJ2541" s="6"/>
      <c r="CK2541" s="6"/>
      <c r="CL2541" s="6"/>
      <c r="CM2541" s="6"/>
      <c r="CN2541" s="6"/>
      <c r="CO2541" s="6"/>
      <c r="CP2541" s="6"/>
      <c r="CQ2541" s="6"/>
      <c r="CR2541" s="6"/>
      <c r="CS2541" s="6"/>
      <c r="CT2541" s="6"/>
      <c r="CU2541" s="6"/>
      <c r="CV2541" s="6"/>
      <c r="CW2541" s="6"/>
      <c r="CX2541" s="6"/>
      <c r="CY2541" s="6"/>
      <c r="CZ2541" s="6"/>
    </row>
    <row r="2542" spans="27:104" s="5" customFormat="1" x14ac:dyDescent="0.25">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16"/>
      <c r="BC2542" s="6"/>
      <c r="BD2542" s="6"/>
      <c r="BE2542" s="6"/>
      <c r="BF2542" s="6"/>
      <c r="BG2542" s="6"/>
      <c r="BH2542" s="6"/>
      <c r="BI2542" s="6"/>
      <c r="BJ2542" s="6"/>
      <c r="BK2542" s="6"/>
      <c r="BL2542" s="6"/>
      <c r="BM2542" s="6"/>
      <c r="BN2542" s="6"/>
      <c r="BO2542" s="6"/>
      <c r="BP2542" s="6"/>
      <c r="BQ2542" s="6"/>
      <c r="BR2542" s="6"/>
      <c r="BS2542" s="6"/>
      <c r="BT2542" s="6"/>
      <c r="BU2542" s="6"/>
      <c r="BV2542" s="6"/>
      <c r="BW2542" s="6"/>
      <c r="BX2542" s="6"/>
      <c r="BY2542" s="6"/>
      <c r="BZ2542" s="6"/>
      <c r="CA2542" s="6"/>
      <c r="CB2542" s="6"/>
      <c r="CC2542" s="6"/>
      <c r="CD2542" s="6"/>
      <c r="CE2542" s="6"/>
      <c r="CF2542" s="6"/>
      <c r="CG2542" s="6"/>
      <c r="CH2542" s="6"/>
      <c r="CI2542" s="6"/>
      <c r="CJ2542" s="6"/>
      <c r="CK2542" s="6"/>
      <c r="CL2542" s="6"/>
      <c r="CM2542" s="6"/>
      <c r="CN2542" s="6"/>
      <c r="CO2542" s="6"/>
      <c r="CP2542" s="6"/>
      <c r="CQ2542" s="6"/>
      <c r="CR2542" s="6"/>
      <c r="CS2542" s="6"/>
      <c r="CT2542" s="6"/>
      <c r="CU2542" s="6"/>
      <c r="CV2542" s="6"/>
      <c r="CW2542" s="6"/>
      <c r="CX2542" s="6"/>
      <c r="CY2542" s="6"/>
      <c r="CZ2542" s="6"/>
    </row>
    <row r="2543" spans="27:104" s="5" customFormat="1" x14ac:dyDescent="0.25">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16"/>
      <c r="BC2543" s="6"/>
      <c r="BD2543" s="6"/>
      <c r="BE2543" s="6"/>
      <c r="BF2543" s="6"/>
      <c r="BG2543" s="6"/>
      <c r="BH2543" s="6"/>
      <c r="BI2543" s="6"/>
      <c r="BJ2543" s="6"/>
      <c r="BK2543" s="6"/>
      <c r="BL2543" s="6"/>
      <c r="BM2543" s="6"/>
      <c r="BN2543" s="6"/>
      <c r="BO2543" s="6"/>
      <c r="BP2543" s="6"/>
      <c r="BQ2543" s="6"/>
      <c r="BR2543" s="6"/>
      <c r="BS2543" s="6"/>
      <c r="BT2543" s="6"/>
      <c r="BU2543" s="6"/>
      <c r="BV2543" s="6"/>
      <c r="BW2543" s="6"/>
      <c r="BX2543" s="6"/>
      <c r="BY2543" s="6"/>
      <c r="BZ2543" s="6"/>
      <c r="CA2543" s="6"/>
      <c r="CB2543" s="6"/>
      <c r="CC2543" s="6"/>
      <c r="CD2543" s="6"/>
      <c r="CE2543" s="6"/>
      <c r="CF2543" s="6"/>
      <c r="CG2543" s="6"/>
      <c r="CH2543" s="6"/>
      <c r="CI2543" s="6"/>
      <c r="CJ2543" s="6"/>
      <c r="CK2543" s="6"/>
      <c r="CL2543" s="6"/>
      <c r="CM2543" s="6"/>
      <c r="CN2543" s="6"/>
      <c r="CO2543" s="6"/>
      <c r="CP2543" s="6"/>
      <c r="CQ2543" s="6"/>
      <c r="CR2543" s="6"/>
      <c r="CS2543" s="6"/>
      <c r="CT2543" s="6"/>
      <c r="CU2543" s="6"/>
      <c r="CV2543" s="6"/>
      <c r="CW2543" s="6"/>
      <c r="CX2543" s="6"/>
      <c r="CY2543" s="6"/>
      <c r="CZ2543" s="6"/>
    </row>
    <row r="2544" spans="27:104" s="5" customFormat="1" x14ac:dyDescent="0.25">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16"/>
      <c r="BC2544" s="6"/>
      <c r="BD2544" s="6"/>
      <c r="BE2544" s="6"/>
      <c r="BF2544" s="6"/>
      <c r="BG2544" s="6"/>
      <c r="BH2544" s="6"/>
      <c r="BI2544" s="6"/>
      <c r="BJ2544" s="6"/>
      <c r="BK2544" s="6"/>
      <c r="BL2544" s="6"/>
      <c r="BM2544" s="6"/>
      <c r="BN2544" s="6"/>
      <c r="BO2544" s="6"/>
      <c r="BP2544" s="6"/>
      <c r="BQ2544" s="6"/>
      <c r="BR2544" s="6"/>
      <c r="BS2544" s="6"/>
      <c r="BT2544" s="6"/>
      <c r="BU2544" s="6"/>
      <c r="BV2544" s="6"/>
      <c r="BW2544" s="6"/>
      <c r="BX2544" s="6"/>
      <c r="BY2544" s="6"/>
      <c r="BZ2544" s="6"/>
      <c r="CA2544" s="6"/>
      <c r="CB2544" s="6"/>
      <c r="CC2544" s="6"/>
      <c r="CD2544" s="6"/>
      <c r="CE2544" s="6"/>
      <c r="CF2544" s="6"/>
      <c r="CG2544" s="6"/>
      <c r="CH2544" s="6"/>
      <c r="CI2544" s="6"/>
      <c r="CJ2544" s="6"/>
      <c r="CK2544" s="6"/>
      <c r="CL2544" s="6"/>
      <c r="CM2544" s="6"/>
      <c r="CN2544" s="6"/>
      <c r="CO2544" s="6"/>
      <c r="CP2544" s="6"/>
      <c r="CQ2544" s="6"/>
      <c r="CR2544" s="6"/>
      <c r="CS2544" s="6"/>
      <c r="CT2544" s="6"/>
      <c r="CU2544" s="6"/>
      <c r="CV2544" s="6"/>
      <c r="CW2544" s="6"/>
      <c r="CX2544" s="6"/>
      <c r="CY2544" s="6"/>
      <c r="CZ2544" s="6"/>
    </row>
    <row r="2545" spans="27:104" s="5" customFormat="1" x14ac:dyDescent="0.25">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16"/>
      <c r="BC2545" s="6"/>
      <c r="BD2545" s="6"/>
      <c r="BE2545" s="6"/>
      <c r="BF2545" s="6"/>
      <c r="BG2545" s="6"/>
      <c r="BH2545" s="6"/>
      <c r="BI2545" s="6"/>
      <c r="BJ2545" s="6"/>
      <c r="BK2545" s="6"/>
      <c r="BL2545" s="6"/>
      <c r="BM2545" s="6"/>
      <c r="BN2545" s="6"/>
      <c r="BO2545" s="6"/>
      <c r="BP2545" s="6"/>
      <c r="BQ2545" s="6"/>
      <c r="BR2545" s="6"/>
      <c r="BS2545" s="6"/>
      <c r="BT2545" s="6"/>
      <c r="BU2545" s="6"/>
      <c r="BV2545" s="6"/>
      <c r="BW2545" s="6"/>
      <c r="BX2545" s="6"/>
      <c r="BY2545" s="6"/>
      <c r="BZ2545" s="6"/>
      <c r="CA2545" s="6"/>
      <c r="CB2545" s="6"/>
      <c r="CC2545" s="6"/>
      <c r="CD2545" s="6"/>
      <c r="CE2545" s="6"/>
      <c r="CF2545" s="6"/>
      <c r="CG2545" s="6"/>
      <c r="CH2545" s="6"/>
      <c r="CI2545" s="6"/>
      <c r="CJ2545" s="6"/>
      <c r="CK2545" s="6"/>
      <c r="CL2545" s="6"/>
      <c r="CM2545" s="6"/>
      <c r="CN2545" s="6"/>
      <c r="CO2545" s="6"/>
      <c r="CP2545" s="6"/>
      <c r="CQ2545" s="6"/>
      <c r="CR2545" s="6"/>
      <c r="CS2545" s="6"/>
      <c r="CT2545" s="6"/>
      <c r="CU2545" s="6"/>
      <c r="CV2545" s="6"/>
      <c r="CW2545" s="6"/>
      <c r="CX2545" s="6"/>
      <c r="CY2545" s="6"/>
      <c r="CZ2545" s="6"/>
    </row>
    <row r="2546" spans="27:104" s="5" customFormat="1" x14ac:dyDescent="0.25">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16"/>
      <c r="BC2546" s="6"/>
      <c r="BD2546" s="6"/>
      <c r="BE2546" s="6"/>
      <c r="BF2546" s="6"/>
      <c r="BG2546" s="6"/>
      <c r="BH2546" s="6"/>
      <c r="BI2546" s="6"/>
      <c r="BJ2546" s="6"/>
      <c r="BK2546" s="6"/>
      <c r="BL2546" s="6"/>
      <c r="BM2546" s="6"/>
      <c r="BN2546" s="6"/>
      <c r="BO2546" s="6"/>
      <c r="BP2546" s="6"/>
      <c r="BQ2546" s="6"/>
      <c r="BR2546" s="6"/>
      <c r="BS2546" s="6"/>
      <c r="BT2546" s="6"/>
      <c r="BU2546" s="6"/>
      <c r="BV2546" s="6"/>
      <c r="BW2546" s="6"/>
      <c r="BX2546" s="6"/>
      <c r="BY2546" s="6"/>
      <c r="BZ2546" s="6"/>
      <c r="CA2546" s="6"/>
      <c r="CB2546" s="6"/>
      <c r="CC2546" s="6"/>
      <c r="CD2546" s="6"/>
      <c r="CE2546" s="6"/>
      <c r="CF2546" s="6"/>
      <c r="CG2546" s="6"/>
      <c r="CH2546" s="6"/>
      <c r="CI2546" s="6"/>
      <c r="CJ2546" s="6"/>
      <c r="CK2546" s="6"/>
      <c r="CL2546" s="6"/>
      <c r="CM2546" s="6"/>
      <c r="CN2546" s="6"/>
      <c r="CO2546" s="6"/>
      <c r="CP2546" s="6"/>
      <c r="CQ2546" s="6"/>
      <c r="CR2546" s="6"/>
      <c r="CS2546" s="6"/>
      <c r="CT2546" s="6"/>
      <c r="CU2546" s="6"/>
      <c r="CV2546" s="6"/>
      <c r="CW2546" s="6"/>
      <c r="CX2546" s="6"/>
      <c r="CY2546" s="6"/>
      <c r="CZ2546" s="6"/>
    </row>
    <row r="2547" spans="27:104" s="5" customFormat="1" x14ac:dyDescent="0.25">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16"/>
      <c r="BC2547" s="6"/>
      <c r="BD2547" s="6"/>
      <c r="BE2547" s="6"/>
      <c r="BF2547" s="6"/>
      <c r="BG2547" s="6"/>
      <c r="BH2547" s="6"/>
      <c r="BI2547" s="6"/>
      <c r="BJ2547" s="6"/>
      <c r="BK2547" s="6"/>
      <c r="BL2547" s="6"/>
      <c r="BM2547" s="6"/>
      <c r="BN2547" s="6"/>
      <c r="BO2547" s="6"/>
      <c r="BP2547" s="6"/>
      <c r="BQ2547" s="6"/>
      <c r="BR2547" s="6"/>
      <c r="BS2547" s="6"/>
      <c r="BT2547" s="6"/>
      <c r="BU2547" s="6"/>
      <c r="BV2547" s="6"/>
      <c r="BW2547" s="6"/>
      <c r="BX2547" s="6"/>
      <c r="BY2547" s="6"/>
      <c r="BZ2547" s="6"/>
      <c r="CA2547" s="6"/>
      <c r="CB2547" s="6"/>
      <c r="CC2547" s="6"/>
      <c r="CD2547" s="6"/>
      <c r="CE2547" s="6"/>
      <c r="CF2547" s="6"/>
      <c r="CG2547" s="6"/>
      <c r="CH2547" s="6"/>
      <c r="CI2547" s="6"/>
      <c r="CJ2547" s="6"/>
      <c r="CK2547" s="6"/>
      <c r="CL2547" s="6"/>
      <c r="CM2547" s="6"/>
      <c r="CN2547" s="6"/>
      <c r="CO2547" s="6"/>
      <c r="CP2547" s="6"/>
      <c r="CQ2547" s="6"/>
      <c r="CR2547" s="6"/>
      <c r="CS2547" s="6"/>
      <c r="CT2547" s="6"/>
      <c r="CU2547" s="6"/>
      <c r="CV2547" s="6"/>
      <c r="CW2547" s="6"/>
      <c r="CX2547" s="6"/>
      <c r="CY2547" s="6"/>
      <c r="CZ2547" s="6"/>
    </row>
    <row r="2548" spans="27:104" s="5" customFormat="1" x14ac:dyDescent="0.25">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16"/>
      <c r="BC2548" s="6"/>
      <c r="BD2548" s="6"/>
      <c r="BE2548" s="6"/>
      <c r="BF2548" s="6"/>
      <c r="BG2548" s="6"/>
      <c r="BH2548" s="6"/>
      <c r="BI2548" s="6"/>
      <c r="BJ2548" s="6"/>
      <c r="BK2548" s="6"/>
      <c r="BL2548" s="6"/>
      <c r="BM2548" s="6"/>
      <c r="BN2548" s="6"/>
      <c r="BO2548" s="6"/>
      <c r="BP2548" s="6"/>
      <c r="BQ2548" s="6"/>
      <c r="BR2548" s="6"/>
      <c r="BS2548" s="6"/>
      <c r="BT2548" s="6"/>
      <c r="BU2548" s="6"/>
      <c r="BV2548" s="6"/>
      <c r="BW2548" s="6"/>
      <c r="BX2548" s="6"/>
      <c r="BY2548" s="6"/>
      <c r="BZ2548" s="6"/>
      <c r="CA2548" s="6"/>
      <c r="CB2548" s="6"/>
      <c r="CC2548" s="6"/>
      <c r="CD2548" s="6"/>
      <c r="CE2548" s="6"/>
      <c r="CF2548" s="6"/>
      <c r="CG2548" s="6"/>
      <c r="CH2548" s="6"/>
      <c r="CI2548" s="6"/>
      <c r="CJ2548" s="6"/>
      <c r="CK2548" s="6"/>
      <c r="CL2548" s="6"/>
      <c r="CM2548" s="6"/>
      <c r="CN2548" s="6"/>
      <c r="CO2548" s="6"/>
      <c r="CP2548" s="6"/>
      <c r="CQ2548" s="6"/>
      <c r="CR2548" s="6"/>
      <c r="CS2548" s="6"/>
      <c r="CT2548" s="6"/>
      <c r="CU2548" s="6"/>
      <c r="CV2548" s="6"/>
      <c r="CW2548" s="6"/>
      <c r="CX2548" s="6"/>
      <c r="CY2548" s="6"/>
      <c r="CZ2548" s="6"/>
    </row>
    <row r="2549" spans="27:104" s="5" customFormat="1" x14ac:dyDescent="0.25">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16"/>
      <c r="BC2549" s="6"/>
      <c r="BD2549" s="6"/>
      <c r="BE2549" s="6"/>
      <c r="BF2549" s="6"/>
      <c r="BG2549" s="6"/>
      <c r="BH2549" s="6"/>
      <c r="BI2549" s="6"/>
      <c r="BJ2549" s="6"/>
      <c r="BK2549" s="6"/>
      <c r="BL2549" s="6"/>
      <c r="BM2549" s="6"/>
      <c r="BN2549" s="6"/>
      <c r="BO2549" s="6"/>
      <c r="BP2549" s="6"/>
      <c r="BQ2549" s="6"/>
      <c r="BR2549" s="6"/>
      <c r="BS2549" s="6"/>
      <c r="BT2549" s="6"/>
      <c r="BU2549" s="6"/>
      <c r="BV2549" s="6"/>
      <c r="BW2549" s="6"/>
      <c r="BX2549" s="6"/>
      <c r="BY2549" s="6"/>
      <c r="BZ2549" s="6"/>
      <c r="CA2549" s="6"/>
      <c r="CB2549" s="6"/>
      <c r="CC2549" s="6"/>
      <c r="CD2549" s="6"/>
      <c r="CE2549" s="6"/>
      <c r="CF2549" s="6"/>
      <c r="CG2549" s="6"/>
      <c r="CH2549" s="6"/>
      <c r="CI2549" s="6"/>
      <c r="CJ2549" s="6"/>
      <c r="CK2549" s="6"/>
      <c r="CL2549" s="6"/>
      <c r="CM2549" s="6"/>
      <c r="CN2549" s="6"/>
      <c r="CO2549" s="6"/>
      <c r="CP2549" s="6"/>
      <c r="CQ2549" s="6"/>
      <c r="CR2549" s="6"/>
      <c r="CS2549" s="6"/>
      <c r="CT2549" s="6"/>
      <c r="CU2549" s="6"/>
      <c r="CV2549" s="6"/>
      <c r="CW2549" s="6"/>
      <c r="CX2549" s="6"/>
      <c r="CY2549" s="6"/>
      <c r="CZ2549" s="6"/>
    </row>
    <row r="2550" spans="27:104" s="5" customFormat="1" x14ac:dyDescent="0.25">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16"/>
      <c r="BC2550" s="6"/>
      <c r="BD2550" s="6"/>
      <c r="BE2550" s="6"/>
      <c r="BF2550" s="6"/>
      <c r="BG2550" s="6"/>
      <c r="BH2550" s="6"/>
      <c r="BI2550" s="6"/>
      <c r="BJ2550" s="6"/>
      <c r="BK2550" s="6"/>
      <c r="BL2550" s="6"/>
      <c r="BM2550" s="6"/>
      <c r="BN2550" s="6"/>
      <c r="BO2550" s="6"/>
      <c r="BP2550" s="6"/>
      <c r="BQ2550" s="6"/>
      <c r="BR2550" s="6"/>
      <c r="BS2550" s="6"/>
      <c r="BT2550" s="6"/>
      <c r="BU2550" s="6"/>
      <c r="BV2550" s="6"/>
      <c r="BW2550" s="6"/>
      <c r="BX2550" s="6"/>
      <c r="BY2550" s="6"/>
      <c r="BZ2550" s="6"/>
      <c r="CA2550" s="6"/>
      <c r="CB2550" s="6"/>
      <c r="CC2550" s="6"/>
      <c r="CD2550" s="6"/>
      <c r="CE2550" s="6"/>
      <c r="CF2550" s="6"/>
      <c r="CG2550" s="6"/>
      <c r="CH2550" s="6"/>
      <c r="CI2550" s="6"/>
      <c r="CJ2550" s="6"/>
      <c r="CK2550" s="6"/>
      <c r="CL2550" s="6"/>
      <c r="CM2550" s="6"/>
      <c r="CN2550" s="6"/>
      <c r="CO2550" s="6"/>
      <c r="CP2550" s="6"/>
      <c r="CQ2550" s="6"/>
      <c r="CR2550" s="6"/>
      <c r="CS2550" s="6"/>
      <c r="CT2550" s="6"/>
      <c r="CU2550" s="6"/>
      <c r="CV2550" s="6"/>
      <c r="CW2550" s="6"/>
      <c r="CX2550" s="6"/>
      <c r="CY2550" s="6"/>
      <c r="CZ2550" s="6"/>
    </row>
    <row r="2551" spans="27:104" s="5" customFormat="1" x14ac:dyDescent="0.25">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16"/>
      <c r="BC2551" s="6"/>
      <c r="BD2551" s="6"/>
      <c r="BE2551" s="6"/>
      <c r="BF2551" s="6"/>
      <c r="BG2551" s="6"/>
      <c r="BH2551" s="6"/>
      <c r="BI2551" s="6"/>
      <c r="BJ2551" s="6"/>
      <c r="BK2551" s="6"/>
      <c r="BL2551" s="6"/>
      <c r="BM2551" s="6"/>
      <c r="BN2551" s="6"/>
      <c r="BO2551" s="6"/>
      <c r="BP2551" s="6"/>
      <c r="BQ2551" s="6"/>
      <c r="BR2551" s="6"/>
      <c r="BS2551" s="6"/>
      <c r="BT2551" s="6"/>
      <c r="BU2551" s="6"/>
      <c r="BV2551" s="6"/>
      <c r="BW2551" s="6"/>
      <c r="BX2551" s="6"/>
      <c r="BY2551" s="6"/>
      <c r="BZ2551" s="6"/>
      <c r="CA2551" s="6"/>
      <c r="CB2551" s="6"/>
      <c r="CC2551" s="6"/>
      <c r="CD2551" s="6"/>
      <c r="CE2551" s="6"/>
      <c r="CF2551" s="6"/>
      <c r="CG2551" s="6"/>
      <c r="CH2551" s="6"/>
      <c r="CI2551" s="6"/>
      <c r="CJ2551" s="6"/>
      <c r="CK2551" s="6"/>
      <c r="CL2551" s="6"/>
      <c r="CM2551" s="6"/>
      <c r="CN2551" s="6"/>
      <c r="CO2551" s="6"/>
      <c r="CP2551" s="6"/>
      <c r="CQ2551" s="6"/>
      <c r="CR2551" s="6"/>
      <c r="CS2551" s="6"/>
      <c r="CT2551" s="6"/>
      <c r="CU2551" s="6"/>
      <c r="CV2551" s="6"/>
      <c r="CW2551" s="6"/>
      <c r="CX2551" s="6"/>
      <c r="CY2551" s="6"/>
      <c r="CZ2551" s="6"/>
    </row>
    <row r="2552" spans="27:104" s="5" customFormat="1" x14ac:dyDescent="0.25">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16"/>
      <c r="BC2552" s="6"/>
      <c r="BD2552" s="6"/>
      <c r="BE2552" s="6"/>
      <c r="BF2552" s="6"/>
      <c r="BG2552" s="6"/>
      <c r="BH2552" s="6"/>
      <c r="BI2552" s="6"/>
      <c r="BJ2552" s="6"/>
      <c r="BK2552" s="6"/>
      <c r="BL2552" s="6"/>
      <c r="BM2552" s="6"/>
      <c r="BN2552" s="6"/>
      <c r="BO2552" s="6"/>
      <c r="BP2552" s="6"/>
      <c r="BQ2552" s="6"/>
      <c r="BR2552" s="6"/>
      <c r="BS2552" s="6"/>
      <c r="BT2552" s="6"/>
      <c r="BU2552" s="6"/>
      <c r="BV2552" s="6"/>
      <c r="BW2552" s="6"/>
      <c r="BX2552" s="6"/>
      <c r="BY2552" s="6"/>
      <c r="BZ2552" s="6"/>
      <c r="CA2552" s="6"/>
      <c r="CB2552" s="6"/>
      <c r="CC2552" s="6"/>
      <c r="CD2552" s="6"/>
      <c r="CE2552" s="6"/>
      <c r="CF2552" s="6"/>
      <c r="CG2552" s="6"/>
      <c r="CH2552" s="6"/>
      <c r="CI2552" s="6"/>
      <c r="CJ2552" s="6"/>
      <c r="CK2552" s="6"/>
      <c r="CL2552" s="6"/>
      <c r="CM2552" s="6"/>
      <c r="CN2552" s="6"/>
      <c r="CO2552" s="6"/>
      <c r="CP2552" s="6"/>
      <c r="CQ2552" s="6"/>
      <c r="CR2552" s="6"/>
      <c r="CS2552" s="6"/>
      <c r="CT2552" s="6"/>
      <c r="CU2552" s="6"/>
      <c r="CV2552" s="6"/>
      <c r="CW2552" s="6"/>
      <c r="CX2552" s="6"/>
      <c r="CY2552" s="6"/>
      <c r="CZ2552" s="6"/>
    </row>
    <row r="2553" spans="27:104" s="5" customFormat="1" x14ac:dyDescent="0.25">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16"/>
      <c r="BC2553" s="6"/>
      <c r="BD2553" s="6"/>
      <c r="BE2553" s="6"/>
      <c r="BF2553" s="6"/>
      <c r="BG2553" s="6"/>
      <c r="BH2553" s="6"/>
      <c r="BI2553" s="6"/>
      <c r="BJ2553" s="6"/>
      <c r="BK2553" s="6"/>
      <c r="BL2553" s="6"/>
      <c r="BM2553" s="6"/>
      <c r="BN2553" s="6"/>
      <c r="BO2553" s="6"/>
      <c r="BP2553" s="6"/>
      <c r="BQ2553" s="6"/>
      <c r="BR2553" s="6"/>
      <c r="BS2553" s="6"/>
      <c r="BT2553" s="6"/>
      <c r="BU2553" s="6"/>
      <c r="BV2553" s="6"/>
      <c r="BW2553" s="6"/>
      <c r="BX2553" s="6"/>
      <c r="BY2553" s="6"/>
      <c r="BZ2553" s="6"/>
      <c r="CA2553" s="6"/>
      <c r="CB2553" s="6"/>
      <c r="CC2553" s="6"/>
      <c r="CD2553" s="6"/>
      <c r="CE2553" s="6"/>
      <c r="CF2553" s="6"/>
      <c r="CG2553" s="6"/>
      <c r="CH2553" s="6"/>
      <c r="CI2553" s="6"/>
      <c r="CJ2553" s="6"/>
      <c r="CK2553" s="6"/>
      <c r="CL2553" s="6"/>
      <c r="CM2553" s="6"/>
      <c r="CN2553" s="6"/>
      <c r="CO2553" s="6"/>
      <c r="CP2553" s="6"/>
      <c r="CQ2553" s="6"/>
      <c r="CR2553" s="6"/>
      <c r="CS2553" s="6"/>
      <c r="CT2553" s="6"/>
      <c r="CU2553" s="6"/>
      <c r="CV2553" s="6"/>
      <c r="CW2553" s="6"/>
      <c r="CX2553" s="6"/>
      <c r="CY2553" s="6"/>
      <c r="CZ2553" s="6"/>
    </row>
    <row r="2554" spans="27:104" s="5" customFormat="1" x14ac:dyDescent="0.25">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16"/>
      <c r="BC2554" s="6"/>
      <c r="BD2554" s="6"/>
      <c r="BE2554" s="6"/>
      <c r="BF2554" s="6"/>
      <c r="BG2554" s="6"/>
      <c r="BH2554" s="6"/>
      <c r="BI2554" s="6"/>
      <c r="BJ2554" s="6"/>
      <c r="BK2554" s="6"/>
      <c r="BL2554" s="6"/>
      <c r="BM2554" s="6"/>
      <c r="BN2554" s="6"/>
      <c r="BO2554" s="6"/>
      <c r="BP2554" s="6"/>
      <c r="BQ2554" s="6"/>
      <c r="BR2554" s="6"/>
      <c r="BS2554" s="6"/>
      <c r="BT2554" s="6"/>
      <c r="BU2554" s="6"/>
      <c r="BV2554" s="6"/>
      <c r="BW2554" s="6"/>
      <c r="BX2554" s="6"/>
      <c r="BY2554" s="6"/>
      <c r="BZ2554" s="6"/>
      <c r="CA2554" s="6"/>
      <c r="CB2554" s="6"/>
      <c r="CC2554" s="6"/>
      <c r="CD2554" s="6"/>
      <c r="CE2554" s="6"/>
      <c r="CF2554" s="6"/>
      <c r="CG2554" s="6"/>
      <c r="CH2554" s="6"/>
      <c r="CI2554" s="6"/>
      <c r="CJ2554" s="6"/>
      <c r="CK2554" s="6"/>
      <c r="CL2554" s="6"/>
      <c r="CM2554" s="6"/>
      <c r="CN2554" s="6"/>
      <c r="CO2554" s="6"/>
      <c r="CP2554" s="6"/>
      <c r="CQ2554" s="6"/>
      <c r="CR2554" s="6"/>
      <c r="CS2554" s="6"/>
      <c r="CT2554" s="6"/>
      <c r="CU2554" s="6"/>
      <c r="CV2554" s="6"/>
      <c r="CW2554" s="6"/>
      <c r="CX2554" s="6"/>
      <c r="CY2554" s="6"/>
      <c r="CZ2554" s="6"/>
    </row>
    <row r="2555" spans="27:104" s="5" customFormat="1" x14ac:dyDescent="0.25">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16"/>
      <c r="BC2555" s="6"/>
      <c r="BD2555" s="6"/>
      <c r="BE2555" s="6"/>
      <c r="BF2555" s="6"/>
      <c r="BG2555" s="6"/>
      <c r="BH2555" s="6"/>
      <c r="BI2555" s="6"/>
      <c r="BJ2555" s="6"/>
      <c r="BK2555" s="6"/>
      <c r="BL2555" s="6"/>
      <c r="BM2555" s="6"/>
      <c r="BN2555" s="6"/>
      <c r="BO2555" s="6"/>
      <c r="BP2555" s="6"/>
      <c r="BQ2555" s="6"/>
      <c r="BR2555" s="6"/>
      <c r="BS2555" s="6"/>
      <c r="BT2555" s="6"/>
      <c r="BU2555" s="6"/>
      <c r="BV2555" s="6"/>
      <c r="BW2555" s="6"/>
      <c r="BX2555" s="6"/>
      <c r="BY2555" s="6"/>
      <c r="BZ2555" s="6"/>
      <c r="CA2555" s="6"/>
      <c r="CB2555" s="6"/>
      <c r="CC2555" s="6"/>
      <c r="CD2555" s="6"/>
      <c r="CE2555" s="6"/>
      <c r="CF2555" s="6"/>
      <c r="CG2555" s="6"/>
      <c r="CH2555" s="6"/>
      <c r="CI2555" s="6"/>
      <c r="CJ2555" s="6"/>
      <c r="CK2555" s="6"/>
      <c r="CL2555" s="6"/>
      <c r="CM2555" s="6"/>
      <c r="CN2555" s="6"/>
      <c r="CO2555" s="6"/>
      <c r="CP2555" s="6"/>
      <c r="CQ2555" s="6"/>
      <c r="CR2555" s="6"/>
      <c r="CS2555" s="6"/>
      <c r="CT2555" s="6"/>
      <c r="CU2555" s="6"/>
      <c r="CV2555" s="6"/>
      <c r="CW2555" s="6"/>
      <c r="CX2555" s="6"/>
      <c r="CY2555" s="6"/>
      <c r="CZ2555" s="6"/>
    </row>
    <row r="2556" spans="27:104" s="5" customFormat="1" x14ac:dyDescent="0.25">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16"/>
      <c r="BC2556" s="6"/>
      <c r="BD2556" s="6"/>
      <c r="BE2556" s="6"/>
      <c r="BF2556" s="6"/>
      <c r="BG2556" s="6"/>
      <c r="BH2556" s="6"/>
      <c r="BI2556" s="6"/>
      <c r="BJ2556" s="6"/>
      <c r="BK2556" s="6"/>
      <c r="BL2556" s="6"/>
      <c r="BM2556" s="6"/>
      <c r="BN2556" s="6"/>
      <c r="BO2556" s="6"/>
      <c r="BP2556" s="6"/>
      <c r="BQ2556" s="6"/>
      <c r="BR2556" s="6"/>
      <c r="BS2556" s="6"/>
      <c r="BT2556" s="6"/>
      <c r="BU2556" s="6"/>
      <c r="BV2556" s="6"/>
      <c r="BW2556" s="6"/>
      <c r="BX2556" s="6"/>
      <c r="BY2556" s="6"/>
      <c r="BZ2556" s="6"/>
      <c r="CA2556" s="6"/>
      <c r="CB2556" s="6"/>
      <c r="CC2556" s="6"/>
      <c r="CD2556" s="6"/>
      <c r="CE2556" s="6"/>
      <c r="CF2556" s="6"/>
      <c r="CG2556" s="6"/>
      <c r="CH2556" s="6"/>
      <c r="CI2556" s="6"/>
      <c r="CJ2556" s="6"/>
      <c r="CK2556" s="6"/>
      <c r="CL2556" s="6"/>
      <c r="CM2556" s="6"/>
      <c r="CN2556" s="6"/>
      <c r="CO2556" s="6"/>
      <c r="CP2556" s="6"/>
      <c r="CQ2556" s="6"/>
      <c r="CR2556" s="6"/>
      <c r="CS2556" s="6"/>
      <c r="CT2556" s="6"/>
      <c r="CU2556" s="6"/>
      <c r="CV2556" s="6"/>
      <c r="CW2556" s="6"/>
      <c r="CX2556" s="6"/>
      <c r="CY2556" s="6"/>
      <c r="CZ2556" s="6"/>
    </row>
    <row r="2557" spans="27:104" s="5" customFormat="1" x14ac:dyDescent="0.25">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16"/>
      <c r="BC2557" s="6"/>
      <c r="BD2557" s="6"/>
      <c r="BE2557" s="6"/>
      <c r="BF2557" s="6"/>
      <c r="BG2557" s="6"/>
      <c r="BH2557" s="6"/>
      <c r="BI2557" s="6"/>
      <c r="BJ2557" s="6"/>
      <c r="BK2557" s="6"/>
      <c r="BL2557" s="6"/>
      <c r="BM2557" s="6"/>
      <c r="BN2557" s="6"/>
      <c r="BO2557" s="6"/>
      <c r="BP2557" s="6"/>
      <c r="BQ2557" s="6"/>
      <c r="BR2557" s="6"/>
      <c r="BS2557" s="6"/>
      <c r="BT2557" s="6"/>
      <c r="BU2557" s="6"/>
      <c r="BV2557" s="6"/>
      <c r="BW2557" s="6"/>
      <c r="BX2557" s="6"/>
      <c r="BY2557" s="6"/>
      <c r="BZ2557" s="6"/>
      <c r="CA2557" s="6"/>
      <c r="CB2557" s="6"/>
      <c r="CC2557" s="6"/>
      <c r="CD2557" s="6"/>
      <c r="CE2557" s="6"/>
      <c r="CF2557" s="6"/>
      <c r="CG2557" s="6"/>
      <c r="CH2557" s="6"/>
      <c r="CI2557" s="6"/>
      <c r="CJ2557" s="6"/>
      <c r="CK2557" s="6"/>
      <c r="CL2557" s="6"/>
      <c r="CM2557" s="6"/>
      <c r="CN2557" s="6"/>
      <c r="CO2557" s="6"/>
      <c r="CP2557" s="6"/>
      <c r="CQ2557" s="6"/>
      <c r="CR2557" s="6"/>
      <c r="CS2557" s="6"/>
      <c r="CT2557" s="6"/>
      <c r="CU2557" s="6"/>
      <c r="CV2557" s="6"/>
      <c r="CW2557" s="6"/>
      <c r="CX2557" s="6"/>
      <c r="CY2557" s="6"/>
      <c r="CZ2557" s="6"/>
    </row>
    <row r="2558" spans="27:104" s="5" customFormat="1" x14ac:dyDescent="0.25">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16"/>
      <c r="BC2558" s="6"/>
      <c r="BD2558" s="6"/>
      <c r="BE2558" s="6"/>
      <c r="BF2558" s="6"/>
      <c r="BG2558" s="6"/>
      <c r="BH2558" s="6"/>
      <c r="BI2558" s="6"/>
      <c r="BJ2558" s="6"/>
      <c r="BK2558" s="6"/>
      <c r="BL2558" s="6"/>
      <c r="BM2558" s="6"/>
      <c r="BN2558" s="6"/>
      <c r="BO2558" s="6"/>
      <c r="BP2558" s="6"/>
      <c r="BQ2558" s="6"/>
      <c r="BR2558" s="6"/>
      <c r="BS2558" s="6"/>
      <c r="BT2558" s="6"/>
      <c r="BU2558" s="6"/>
      <c r="BV2558" s="6"/>
      <c r="BW2558" s="6"/>
      <c r="BX2558" s="6"/>
      <c r="BY2558" s="6"/>
      <c r="BZ2558" s="6"/>
      <c r="CA2558" s="6"/>
      <c r="CB2558" s="6"/>
      <c r="CC2558" s="6"/>
      <c r="CD2558" s="6"/>
      <c r="CE2558" s="6"/>
      <c r="CF2558" s="6"/>
      <c r="CG2558" s="6"/>
      <c r="CH2558" s="6"/>
      <c r="CI2558" s="6"/>
      <c r="CJ2558" s="6"/>
      <c r="CK2558" s="6"/>
      <c r="CL2558" s="6"/>
      <c r="CM2558" s="6"/>
      <c r="CN2558" s="6"/>
      <c r="CO2558" s="6"/>
      <c r="CP2558" s="6"/>
      <c r="CQ2558" s="6"/>
      <c r="CR2558" s="6"/>
      <c r="CS2558" s="6"/>
      <c r="CT2558" s="6"/>
      <c r="CU2558" s="6"/>
      <c r="CV2558" s="6"/>
      <c r="CW2558" s="6"/>
      <c r="CX2558" s="6"/>
      <c r="CY2558" s="6"/>
      <c r="CZ2558" s="6"/>
    </row>
    <row r="2559" spans="27:104" s="5" customFormat="1" x14ac:dyDescent="0.25">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16"/>
      <c r="BC2559" s="6"/>
      <c r="BD2559" s="6"/>
      <c r="BE2559" s="6"/>
      <c r="BF2559" s="6"/>
      <c r="BG2559" s="6"/>
      <c r="BH2559" s="6"/>
      <c r="BI2559" s="6"/>
      <c r="BJ2559" s="6"/>
      <c r="BK2559" s="6"/>
      <c r="BL2559" s="6"/>
      <c r="BM2559" s="6"/>
      <c r="BN2559" s="6"/>
      <c r="BO2559" s="6"/>
      <c r="BP2559" s="6"/>
      <c r="BQ2559" s="6"/>
      <c r="BR2559" s="6"/>
      <c r="BS2559" s="6"/>
      <c r="BT2559" s="6"/>
      <c r="BU2559" s="6"/>
      <c r="BV2559" s="6"/>
      <c r="BW2559" s="6"/>
      <c r="BX2559" s="6"/>
      <c r="BY2559" s="6"/>
      <c r="BZ2559" s="6"/>
      <c r="CA2559" s="6"/>
      <c r="CB2559" s="6"/>
      <c r="CC2559" s="6"/>
      <c r="CD2559" s="6"/>
      <c r="CE2559" s="6"/>
      <c r="CF2559" s="6"/>
      <c r="CG2559" s="6"/>
      <c r="CH2559" s="6"/>
      <c r="CI2559" s="6"/>
      <c r="CJ2559" s="6"/>
      <c r="CK2559" s="6"/>
      <c r="CL2559" s="6"/>
      <c r="CM2559" s="6"/>
      <c r="CN2559" s="6"/>
      <c r="CO2559" s="6"/>
      <c r="CP2559" s="6"/>
      <c r="CQ2559" s="6"/>
      <c r="CR2559" s="6"/>
      <c r="CS2559" s="6"/>
      <c r="CT2559" s="6"/>
      <c r="CU2559" s="6"/>
      <c r="CV2559" s="6"/>
      <c r="CW2559" s="6"/>
      <c r="CX2559" s="6"/>
      <c r="CY2559" s="6"/>
      <c r="CZ2559" s="6"/>
    </row>
    <row r="2560" spans="27:104" s="5" customFormat="1" x14ac:dyDescent="0.25">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16"/>
      <c r="BC2560" s="6"/>
      <c r="BD2560" s="6"/>
      <c r="BE2560" s="6"/>
      <c r="BF2560" s="6"/>
      <c r="BG2560" s="6"/>
      <c r="BH2560" s="6"/>
      <c r="BI2560" s="6"/>
      <c r="BJ2560" s="6"/>
      <c r="BK2560" s="6"/>
      <c r="BL2560" s="6"/>
      <c r="BM2560" s="6"/>
      <c r="BN2560" s="6"/>
      <c r="BO2560" s="6"/>
      <c r="BP2560" s="6"/>
      <c r="BQ2560" s="6"/>
      <c r="BR2560" s="6"/>
      <c r="BS2560" s="6"/>
      <c r="BT2560" s="6"/>
      <c r="BU2560" s="6"/>
      <c r="BV2560" s="6"/>
      <c r="BW2560" s="6"/>
      <c r="BX2560" s="6"/>
      <c r="BY2560" s="6"/>
      <c r="BZ2560" s="6"/>
      <c r="CA2560" s="6"/>
      <c r="CB2560" s="6"/>
      <c r="CC2560" s="6"/>
      <c r="CD2560" s="6"/>
      <c r="CE2560" s="6"/>
      <c r="CF2560" s="6"/>
      <c r="CG2560" s="6"/>
      <c r="CH2560" s="6"/>
      <c r="CI2560" s="6"/>
      <c r="CJ2560" s="6"/>
      <c r="CK2560" s="6"/>
      <c r="CL2560" s="6"/>
      <c r="CM2560" s="6"/>
      <c r="CN2560" s="6"/>
      <c r="CO2560" s="6"/>
      <c r="CP2560" s="6"/>
      <c r="CQ2560" s="6"/>
      <c r="CR2560" s="6"/>
      <c r="CS2560" s="6"/>
      <c r="CT2560" s="6"/>
      <c r="CU2560" s="6"/>
      <c r="CV2560" s="6"/>
      <c r="CW2560" s="6"/>
      <c r="CX2560" s="6"/>
      <c r="CY2560" s="6"/>
      <c r="CZ2560" s="6"/>
    </row>
    <row r="2561" spans="27:104" s="5" customFormat="1" x14ac:dyDescent="0.25">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16"/>
      <c r="BC2561" s="6"/>
      <c r="BD2561" s="6"/>
      <c r="BE2561" s="6"/>
      <c r="BF2561" s="6"/>
      <c r="BG2561" s="6"/>
      <c r="BH2561" s="6"/>
      <c r="BI2561" s="6"/>
      <c r="BJ2561" s="6"/>
      <c r="BK2561" s="6"/>
      <c r="BL2561" s="6"/>
      <c r="BM2561" s="6"/>
      <c r="BN2561" s="6"/>
      <c r="BO2561" s="6"/>
      <c r="BP2561" s="6"/>
      <c r="BQ2561" s="6"/>
      <c r="BR2561" s="6"/>
      <c r="BS2561" s="6"/>
      <c r="BT2561" s="6"/>
      <c r="BU2561" s="6"/>
      <c r="BV2561" s="6"/>
      <c r="BW2561" s="6"/>
      <c r="BX2561" s="6"/>
      <c r="BY2561" s="6"/>
      <c r="BZ2561" s="6"/>
      <c r="CA2561" s="6"/>
      <c r="CB2561" s="6"/>
      <c r="CC2561" s="6"/>
      <c r="CD2561" s="6"/>
      <c r="CE2561" s="6"/>
      <c r="CF2561" s="6"/>
      <c r="CG2561" s="6"/>
      <c r="CH2561" s="6"/>
      <c r="CI2561" s="6"/>
      <c r="CJ2561" s="6"/>
      <c r="CK2561" s="6"/>
      <c r="CL2561" s="6"/>
      <c r="CM2561" s="6"/>
      <c r="CN2561" s="6"/>
      <c r="CO2561" s="6"/>
      <c r="CP2561" s="6"/>
      <c r="CQ2561" s="6"/>
      <c r="CR2561" s="6"/>
      <c r="CS2561" s="6"/>
      <c r="CT2561" s="6"/>
      <c r="CU2561" s="6"/>
      <c r="CV2561" s="6"/>
      <c r="CW2561" s="6"/>
      <c r="CX2561" s="6"/>
      <c r="CY2561" s="6"/>
      <c r="CZ2561" s="6"/>
    </row>
    <row r="2562" spans="27:104" s="5" customFormat="1" x14ac:dyDescent="0.25">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16"/>
      <c r="BC2562" s="6"/>
      <c r="BD2562" s="6"/>
      <c r="BE2562" s="6"/>
      <c r="BF2562" s="6"/>
      <c r="BG2562" s="6"/>
      <c r="BH2562" s="6"/>
      <c r="BI2562" s="6"/>
      <c r="BJ2562" s="6"/>
      <c r="BK2562" s="6"/>
      <c r="BL2562" s="6"/>
      <c r="BM2562" s="6"/>
      <c r="BN2562" s="6"/>
      <c r="BO2562" s="6"/>
      <c r="BP2562" s="6"/>
      <c r="BQ2562" s="6"/>
      <c r="BR2562" s="6"/>
      <c r="BS2562" s="6"/>
      <c r="BT2562" s="6"/>
      <c r="BU2562" s="6"/>
      <c r="BV2562" s="6"/>
      <c r="BW2562" s="6"/>
      <c r="BX2562" s="6"/>
      <c r="BY2562" s="6"/>
      <c r="BZ2562" s="6"/>
      <c r="CA2562" s="6"/>
      <c r="CB2562" s="6"/>
      <c r="CC2562" s="6"/>
      <c r="CD2562" s="6"/>
      <c r="CE2562" s="6"/>
      <c r="CF2562" s="6"/>
      <c r="CG2562" s="6"/>
      <c r="CH2562" s="6"/>
      <c r="CI2562" s="6"/>
      <c r="CJ2562" s="6"/>
      <c r="CK2562" s="6"/>
      <c r="CL2562" s="6"/>
      <c r="CM2562" s="6"/>
      <c r="CN2562" s="6"/>
      <c r="CO2562" s="6"/>
      <c r="CP2562" s="6"/>
      <c r="CQ2562" s="6"/>
      <c r="CR2562" s="6"/>
      <c r="CS2562" s="6"/>
      <c r="CT2562" s="6"/>
      <c r="CU2562" s="6"/>
      <c r="CV2562" s="6"/>
      <c r="CW2562" s="6"/>
      <c r="CX2562" s="6"/>
      <c r="CY2562" s="6"/>
      <c r="CZ2562" s="6"/>
    </row>
    <row r="2563" spans="27:104" s="5" customFormat="1" x14ac:dyDescent="0.25">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16"/>
      <c r="BC2563" s="6"/>
      <c r="BD2563" s="6"/>
      <c r="BE2563" s="6"/>
      <c r="BF2563" s="6"/>
      <c r="BG2563" s="6"/>
      <c r="BH2563" s="6"/>
      <c r="BI2563" s="6"/>
      <c r="BJ2563" s="6"/>
      <c r="BK2563" s="6"/>
      <c r="BL2563" s="6"/>
      <c r="BM2563" s="6"/>
      <c r="BN2563" s="6"/>
      <c r="BO2563" s="6"/>
      <c r="BP2563" s="6"/>
      <c r="BQ2563" s="6"/>
      <c r="BR2563" s="6"/>
      <c r="BS2563" s="6"/>
      <c r="BT2563" s="6"/>
      <c r="BU2563" s="6"/>
      <c r="BV2563" s="6"/>
      <c r="BW2563" s="6"/>
      <c r="BX2563" s="6"/>
      <c r="BY2563" s="6"/>
      <c r="BZ2563" s="6"/>
      <c r="CA2563" s="6"/>
      <c r="CB2563" s="6"/>
      <c r="CC2563" s="6"/>
      <c r="CD2563" s="6"/>
      <c r="CE2563" s="6"/>
      <c r="CF2563" s="6"/>
      <c r="CG2563" s="6"/>
      <c r="CH2563" s="6"/>
      <c r="CI2563" s="6"/>
      <c r="CJ2563" s="6"/>
      <c r="CK2563" s="6"/>
      <c r="CL2563" s="6"/>
      <c r="CM2563" s="6"/>
      <c r="CN2563" s="6"/>
      <c r="CO2563" s="6"/>
      <c r="CP2563" s="6"/>
      <c r="CQ2563" s="6"/>
      <c r="CR2563" s="6"/>
      <c r="CS2563" s="6"/>
      <c r="CT2563" s="6"/>
      <c r="CU2563" s="6"/>
      <c r="CV2563" s="6"/>
      <c r="CW2563" s="6"/>
      <c r="CX2563" s="6"/>
      <c r="CY2563" s="6"/>
      <c r="CZ2563" s="6"/>
    </row>
    <row r="2564" spans="27:104" s="5" customFormat="1" x14ac:dyDescent="0.25">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16"/>
      <c r="BC2564" s="6"/>
      <c r="BD2564" s="6"/>
      <c r="BE2564" s="6"/>
      <c r="BF2564" s="6"/>
      <c r="BG2564" s="6"/>
      <c r="BH2564" s="6"/>
      <c r="BI2564" s="6"/>
      <c r="BJ2564" s="6"/>
      <c r="BK2564" s="6"/>
      <c r="BL2564" s="6"/>
      <c r="BM2564" s="6"/>
      <c r="BN2564" s="6"/>
      <c r="BO2564" s="6"/>
      <c r="BP2564" s="6"/>
      <c r="BQ2564" s="6"/>
      <c r="BR2564" s="6"/>
      <c r="BS2564" s="6"/>
      <c r="BT2564" s="6"/>
      <c r="BU2564" s="6"/>
      <c r="BV2564" s="6"/>
      <c r="BW2564" s="6"/>
      <c r="BX2564" s="6"/>
      <c r="BY2564" s="6"/>
      <c r="BZ2564" s="6"/>
      <c r="CA2564" s="6"/>
      <c r="CB2564" s="6"/>
      <c r="CC2564" s="6"/>
      <c r="CD2564" s="6"/>
      <c r="CE2564" s="6"/>
      <c r="CF2564" s="6"/>
      <c r="CG2564" s="6"/>
      <c r="CH2564" s="6"/>
      <c r="CI2564" s="6"/>
      <c r="CJ2564" s="6"/>
      <c r="CK2564" s="6"/>
      <c r="CL2564" s="6"/>
      <c r="CM2564" s="6"/>
      <c r="CN2564" s="6"/>
      <c r="CO2564" s="6"/>
      <c r="CP2564" s="6"/>
      <c r="CQ2564" s="6"/>
      <c r="CR2564" s="6"/>
      <c r="CS2564" s="6"/>
      <c r="CT2564" s="6"/>
      <c r="CU2564" s="6"/>
      <c r="CV2564" s="6"/>
      <c r="CW2564" s="6"/>
      <c r="CX2564" s="6"/>
      <c r="CY2564" s="6"/>
      <c r="CZ2564" s="6"/>
    </row>
    <row r="2565" spans="27:104" s="5" customFormat="1" x14ac:dyDescent="0.25">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16"/>
      <c r="BC2565" s="6"/>
      <c r="BD2565" s="6"/>
      <c r="BE2565" s="6"/>
      <c r="BF2565" s="6"/>
      <c r="BG2565" s="6"/>
      <c r="BH2565" s="6"/>
      <c r="BI2565" s="6"/>
      <c r="BJ2565" s="6"/>
      <c r="BK2565" s="6"/>
      <c r="BL2565" s="6"/>
      <c r="BM2565" s="6"/>
      <c r="BN2565" s="6"/>
      <c r="BO2565" s="6"/>
      <c r="BP2565" s="6"/>
      <c r="BQ2565" s="6"/>
      <c r="BR2565" s="6"/>
      <c r="BS2565" s="6"/>
      <c r="BT2565" s="6"/>
      <c r="BU2565" s="6"/>
      <c r="BV2565" s="6"/>
      <c r="BW2565" s="6"/>
      <c r="BX2565" s="6"/>
      <c r="BY2565" s="6"/>
      <c r="BZ2565" s="6"/>
      <c r="CA2565" s="6"/>
      <c r="CB2565" s="6"/>
      <c r="CC2565" s="6"/>
      <c r="CD2565" s="6"/>
      <c r="CE2565" s="6"/>
      <c r="CF2565" s="6"/>
      <c r="CG2565" s="6"/>
      <c r="CH2565" s="6"/>
      <c r="CI2565" s="6"/>
      <c r="CJ2565" s="6"/>
      <c r="CK2565" s="6"/>
      <c r="CL2565" s="6"/>
      <c r="CM2565" s="6"/>
      <c r="CN2565" s="6"/>
      <c r="CO2565" s="6"/>
      <c r="CP2565" s="6"/>
      <c r="CQ2565" s="6"/>
      <c r="CR2565" s="6"/>
      <c r="CS2565" s="6"/>
      <c r="CT2565" s="6"/>
      <c r="CU2565" s="6"/>
      <c r="CV2565" s="6"/>
      <c r="CW2565" s="6"/>
      <c r="CX2565" s="6"/>
      <c r="CY2565" s="6"/>
      <c r="CZ2565" s="6"/>
    </row>
    <row r="2566" spans="27:104" s="5" customFormat="1" x14ac:dyDescent="0.25">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16"/>
      <c r="BC2566" s="6"/>
      <c r="BD2566" s="6"/>
      <c r="BE2566" s="6"/>
      <c r="BF2566" s="6"/>
      <c r="BG2566" s="6"/>
      <c r="BH2566" s="6"/>
      <c r="BI2566" s="6"/>
      <c r="BJ2566" s="6"/>
      <c r="BK2566" s="6"/>
      <c r="BL2566" s="6"/>
      <c r="BM2566" s="6"/>
      <c r="BN2566" s="6"/>
      <c r="BO2566" s="6"/>
      <c r="BP2566" s="6"/>
      <c r="BQ2566" s="6"/>
      <c r="BR2566" s="6"/>
      <c r="BS2566" s="6"/>
      <c r="BT2566" s="6"/>
      <c r="BU2566" s="6"/>
      <c r="BV2566" s="6"/>
      <c r="BW2566" s="6"/>
      <c r="BX2566" s="6"/>
      <c r="BY2566" s="6"/>
      <c r="BZ2566" s="6"/>
      <c r="CA2566" s="6"/>
      <c r="CB2566" s="6"/>
      <c r="CC2566" s="6"/>
      <c r="CD2566" s="6"/>
      <c r="CE2566" s="6"/>
      <c r="CF2566" s="6"/>
      <c r="CG2566" s="6"/>
      <c r="CH2566" s="6"/>
      <c r="CI2566" s="6"/>
      <c r="CJ2566" s="6"/>
      <c r="CK2566" s="6"/>
      <c r="CL2566" s="6"/>
      <c r="CM2566" s="6"/>
      <c r="CN2566" s="6"/>
      <c r="CO2566" s="6"/>
      <c r="CP2566" s="6"/>
      <c r="CQ2566" s="6"/>
      <c r="CR2566" s="6"/>
      <c r="CS2566" s="6"/>
      <c r="CT2566" s="6"/>
      <c r="CU2566" s="6"/>
      <c r="CV2566" s="6"/>
      <c r="CW2566" s="6"/>
      <c r="CX2566" s="6"/>
      <c r="CY2566" s="6"/>
      <c r="CZ2566" s="6"/>
    </row>
    <row r="2567" spans="27:104" s="5" customFormat="1" x14ac:dyDescent="0.25">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16"/>
      <c r="BC2567" s="6"/>
      <c r="BD2567" s="6"/>
      <c r="BE2567" s="6"/>
      <c r="BF2567" s="6"/>
      <c r="BG2567" s="6"/>
      <c r="BH2567" s="6"/>
      <c r="BI2567" s="6"/>
      <c r="BJ2567" s="6"/>
      <c r="BK2567" s="6"/>
      <c r="BL2567" s="6"/>
      <c r="BM2567" s="6"/>
      <c r="BN2567" s="6"/>
      <c r="BO2567" s="6"/>
      <c r="BP2567" s="6"/>
      <c r="BQ2567" s="6"/>
      <c r="BR2567" s="6"/>
      <c r="BS2567" s="6"/>
      <c r="BT2567" s="6"/>
      <c r="BU2567" s="6"/>
      <c r="BV2567" s="6"/>
      <c r="BW2567" s="6"/>
      <c r="BX2567" s="6"/>
      <c r="BY2567" s="6"/>
      <c r="BZ2567" s="6"/>
      <c r="CA2567" s="6"/>
      <c r="CB2567" s="6"/>
      <c r="CC2567" s="6"/>
      <c r="CD2567" s="6"/>
      <c r="CE2567" s="6"/>
      <c r="CF2567" s="6"/>
      <c r="CG2567" s="6"/>
      <c r="CH2567" s="6"/>
      <c r="CI2567" s="6"/>
      <c r="CJ2567" s="6"/>
      <c r="CK2567" s="6"/>
      <c r="CL2567" s="6"/>
      <c r="CM2567" s="6"/>
      <c r="CN2567" s="6"/>
      <c r="CO2567" s="6"/>
      <c r="CP2567" s="6"/>
      <c r="CQ2567" s="6"/>
      <c r="CR2567" s="6"/>
      <c r="CS2567" s="6"/>
      <c r="CT2567" s="6"/>
      <c r="CU2567" s="6"/>
      <c r="CV2567" s="6"/>
      <c r="CW2567" s="6"/>
      <c r="CX2567" s="6"/>
      <c r="CY2567" s="6"/>
      <c r="CZ2567" s="6"/>
    </row>
    <row r="2568" spans="27:104" s="5" customFormat="1" x14ac:dyDescent="0.25">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16"/>
      <c r="BC2568" s="6"/>
      <c r="BD2568" s="6"/>
      <c r="BE2568" s="6"/>
      <c r="BF2568" s="6"/>
      <c r="BG2568" s="6"/>
      <c r="BH2568" s="6"/>
      <c r="BI2568" s="6"/>
      <c r="BJ2568" s="6"/>
      <c r="BK2568" s="6"/>
      <c r="BL2568" s="6"/>
      <c r="BM2568" s="6"/>
      <c r="BN2568" s="6"/>
      <c r="BO2568" s="6"/>
      <c r="BP2568" s="6"/>
      <c r="BQ2568" s="6"/>
      <c r="BR2568" s="6"/>
      <c r="BS2568" s="6"/>
      <c r="BT2568" s="6"/>
      <c r="BU2568" s="6"/>
      <c r="BV2568" s="6"/>
      <c r="BW2568" s="6"/>
      <c r="BX2568" s="6"/>
      <c r="BY2568" s="6"/>
      <c r="BZ2568" s="6"/>
      <c r="CA2568" s="6"/>
      <c r="CB2568" s="6"/>
      <c r="CC2568" s="6"/>
      <c r="CD2568" s="6"/>
      <c r="CE2568" s="6"/>
      <c r="CF2568" s="6"/>
      <c r="CG2568" s="6"/>
      <c r="CH2568" s="6"/>
      <c r="CI2568" s="6"/>
      <c r="CJ2568" s="6"/>
      <c r="CK2568" s="6"/>
      <c r="CL2568" s="6"/>
      <c r="CM2568" s="6"/>
      <c r="CN2568" s="6"/>
      <c r="CO2568" s="6"/>
      <c r="CP2568" s="6"/>
      <c r="CQ2568" s="6"/>
      <c r="CR2568" s="6"/>
      <c r="CS2568" s="6"/>
      <c r="CT2568" s="6"/>
      <c r="CU2568" s="6"/>
      <c r="CV2568" s="6"/>
      <c r="CW2568" s="6"/>
      <c r="CX2568" s="6"/>
      <c r="CY2568" s="6"/>
      <c r="CZ2568" s="6"/>
    </row>
    <row r="2569" spans="27:104" s="5" customFormat="1" x14ac:dyDescent="0.25">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16"/>
      <c r="BC2569" s="6"/>
      <c r="BD2569" s="6"/>
      <c r="BE2569" s="6"/>
      <c r="BF2569" s="6"/>
      <c r="BG2569" s="6"/>
      <c r="BH2569" s="6"/>
      <c r="BI2569" s="6"/>
      <c r="BJ2569" s="6"/>
      <c r="BK2569" s="6"/>
      <c r="BL2569" s="6"/>
      <c r="BM2569" s="6"/>
      <c r="BN2569" s="6"/>
      <c r="BO2569" s="6"/>
      <c r="BP2569" s="6"/>
      <c r="BQ2569" s="6"/>
      <c r="BR2569" s="6"/>
      <c r="BS2569" s="6"/>
      <c r="BT2569" s="6"/>
      <c r="BU2569" s="6"/>
      <c r="BV2569" s="6"/>
      <c r="BW2569" s="6"/>
      <c r="BX2569" s="6"/>
      <c r="BY2569" s="6"/>
      <c r="BZ2569" s="6"/>
      <c r="CA2569" s="6"/>
      <c r="CB2569" s="6"/>
      <c r="CC2569" s="6"/>
      <c r="CD2569" s="6"/>
      <c r="CE2569" s="6"/>
      <c r="CF2569" s="6"/>
      <c r="CG2569" s="6"/>
      <c r="CH2569" s="6"/>
      <c r="CI2569" s="6"/>
      <c r="CJ2569" s="6"/>
      <c r="CK2569" s="6"/>
      <c r="CL2569" s="6"/>
      <c r="CM2569" s="6"/>
      <c r="CN2569" s="6"/>
      <c r="CO2569" s="6"/>
      <c r="CP2569" s="6"/>
      <c r="CQ2569" s="6"/>
      <c r="CR2569" s="6"/>
      <c r="CS2569" s="6"/>
      <c r="CT2569" s="6"/>
      <c r="CU2569" s="6"/>
      <c r="CV2569" s="6"/>
      <c r="CW2569" s="6"/>
      <c r="CX2569" s="6"/>
      <c r="CY2569" s="6"/>
      <c r="CZ2569" s="6"/>
    </row>
    <row r="2570" spans="27:104" s="5" customFormat="1" x14ac:dyDescent="0.25">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16"/>
      <c r="BC2570" s="6"/>
      <c r="BD2570" s="6"/>
      <c r="BE2570" s="6"/>
      <c r="BF2570" s="6"/>
      <c r="BG2570" s="6"/>
      <c r="BH2570" s="6"/>
      <c r="BI2570" s="6"/>
      <c r="BJ2570" s="6"/>
      <c r="BK2570" s="6"/>
      <c r="BL2570" s="6"/>
      <c r="BM2570" s="6"/>
      <c r="BN2570" s="6"/>
      <c r="BO2570" s="6"/>
      <c r="BP2570" s="6"/>
      <c r="BQ2570" s="6"/>
      <c r="BR2570" s="6"/>
      <c r="BS2570" s="6"/>
      <c r="BT2570" s="6"/>
      <c r="BU2570" s="6"/>
      <c r="BV2570" s="6"/>
      <c r="BW2570" s="6"/>
      <c r="BX2570" s="6"/>
      <c r="BY2570" s="6"/>
      <c r="BZ2570" s="6"/>
      <c r="CA2570" s="6"/>
      <c r="CB2570" s="6"/>
      <c r="CC2570" s="6"/>
      <c r="CD2570" s="6"/>
      <c r="CE2570" s="6"/>
      <c r="CF2570" s="6"/>
      <c r="CG2570" s="6"/>
      <c r="CH2570" s="6"/>
      <c r="CI2570" s="6"/>
      <c r="CJ2570" s="6"/>
      <c r="CK2570" s="6"/>
      <c r="CL2570" s="6"/>
      <c r="CM2570" s="6"/>
      <c r="CN2570" s="6"/>
      <c r="CO2570" s="6"/>
      <c r="CP2570" s="6"/>
      <c r="CQ2570" s="6"/>
      <c r="CR2570" s="6"/>
      <c r="CS2570" s="6"/>
      <c r="CT2570" s="6"/>
      <c r="CU2570" s="6"/>
      <c r="CV2570" s="6"/>
      <c r="CW2570" s="6"/>
      <c r="CX2570" s="6"/>
      <c r="CY2570" s="6"/>
      <c r="CZ2570" s="6"/>
    </row>
    <row r="2571" spans="27:104" s="5" customFormat="1" x14ac:dyDescent="0.25">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16"/>
      <c r="BC2571" s="6"/>
      <c r="BD2571" s="6"/>
      <c r="BE2571" s="6"/>
      <c r="BF2571" s="6"/>
      <c r="BG2571" s="6"/>
      <c r="BH2571" s="6"/>
      <c r="BI2571" s="6"/>
      <c r="BJ2571" s="6"/>
      <c r="BK2571" s="6"/>
      <c r="BL2571" s="6"/>
      <c r="BM2571" s="6"/>
      <c r="BN2571" s="6"/>
      <c r="BO2571" s="6"/>
      <c r="BP2571" s="6"/>
      <c r="BQ2571" s="6"/>
      <c r="BR2571" s="6"/>
      <c r="BS2571" s="6"/>
      <c r="BT2571" s="6"/>
      <c r="BU2571" s="6"/>
      <c r="BV2571" s="6"/>
      <c r="BW2571" s="6"/>
      <c r="BX2571" s="6"/>
      <c r="BY2571" s="6"/>
      <c r="BZ2571" s="6"/>
      <c r="CA2571" s="6"/>
      <c r="CB2571" s="6"/>
      <c r="CC2571" s="6"/>
      <c r="CD2571" s="6"/>
      <c r="CE2571" s="6"/>
      <c r="CF2571" s="6"/>
      <c r="CG2571" s="6"/>
      <c r="CH2571" s="6"/>
      <c r="CI2571" s="6"/>
      <c r="CJ2571" s="6"/>
      <c r="CK2571" s="6"/>
      <c r="CL2571" s="6"/>
      <c r="CM2571" s="6"/>
      <c r="CN2571" s="6"/>
      <c r="CO2571" s="6"/>
      <c r="CP2571" s="6"/>
      <c r="CQ2571" s="6"/>
      <c r="CR2571" s="6"/>
      <c r="CS2571" s="6"/>
      <c r="CT2571" s="6"/>
      <c r="CU2571" s="6"/>
      <c r="CV2571" s="6"/>
      <c r="CW2571" s="6"/>
      <c r="CX2571" s="6"/>
      <c r="CY2571" s="6"/>
      <c r="CZ2571" s="6"/>
    </row>
    <row r="2572" spans="27:104" s="5" customFormat="1" x14ac:dyDescent="0.25">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16"/>
      <c r="BC2572" s="6"/>
      <c r="BD2572" s="6"/>
      <c r="BE2572" s="6"/>
      <c r="BF2572" s="6"/>
      <c r="BG2572" s="6"/>
      <c r="BH2572" s="6"/>
      <c r="BI2572" s="6"/>
      <c r="BJ2572" s="6"/>
      <c r="BK2572" s="6"/>
      <c r="BL2572" s="6"/>
      <c r="BM2572" s="6"/>
      <c r="BN2572" s="6"/>
      <c r="BO2572" s="6"/>
      <c r="BP2572" s="6"/>
      <c r="BQ2572" s="6"/>
      <c r="BR2572" s="6"/>
      <c r="BS2572" s="6"/>
      <c r="BT2572" s="6"/>
      <c r="BU2572" s="6"/>
      <c r="BV2572" s="6"/>
      <c r="BW2572" s="6"/>
      <c r="BX2572" s="6"/>
      <c r="BY2572" s="6"/>
      <c r="BZ2572" s="6"/>
      <c r="CA2572" s="6"/>
      <c r="CB2572" s="6"/>
      <c r="CC2572" s="6"/>
      <c r="CD2572" s="6"/>
      <c r="CE2572" s="6"/>
      <c r="CF2572" s="6"/>
      <c r="CG2572" s="6"/>
      <c r="CH2572" s="6"/>
      <c r="CI2572" s="6"/>
      <c r="CJ2572" s="6"/>
      <c r="CK2572" s="6"/>
      <c r="CL2572" s="6"/>
      <c r="CM2572" s="6"/>
      <c r="CN2572" s="6"/>
      <c r="CO2572" s="6"/>
      <c r="CP2572" s="6"/>
      <c r="CQ2572" s="6"/>
      <c r="CR2572" s="6"/>
      <c r="CS2572" s="6"/>
      <c r="CT2572" s="6"/>
      <c r="CU2572" s="6"/>
      <c r="CV2572" s="6"/>
      <c r="CW2572" s="6"/>
      <c r="CX2572" s="6"/>
      <c r="CY2572" s="6"/>
      <c r="CZ2572" s="6"/>
    </row>
    <row r="2573" spans="27:104" s="5" customFormat="1" x14ac:dyDescent="0.25">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16"/>
      <c r="BC2573" s="6"/>
      <c r="BD2573" s="6"/>
      <c r="BE2573" s="6"/>
      <c r="BF2573" s="6"/>
      <c r="BG2573" s="6"/>
      <c r="BH2573" s="6"/>
      <c r="BI2573" s="6"/>
      <c r="BJ2573" s="6"/>
      <c r="BK2573" s="6"/>
      <c r="BL2573" s="6"/>
      <c r="BM2573" s="6"/>
      <c r="BN2573" s="6"/>
      <c r="BO2573" s="6"/>
      <c r="BP2573" s="6"/>
      <c r="BQ2573" s="6"/>
      <c r="BR2573" s="6"/>
      <c r="BS2573" s="6"/>
      <c r="BT2573" s="6"/>
      <c r="BU2573" s="6"/>
      <c r="BV2573" s="6"/>
      <c r="BW2573" s="6"/>
      <c r="BX2573" s="6"/>
      <c r="BY2573" s="6"/>
      <c r="BZ2573" s="6"/>
      <c r="CA2573" s="6"/>
      <c r="CB2573" s="6"/>
      <c r="CC2573" s="6"/>
      <c r="CD2573" s="6"/>
      <c r="CE2573" s="6"/>
      <c r="CF2573" s="6"/>
      <c r="CG2573" s="6"/>
      <c r="CH2573" s="6"/>
      <c r="CI2573" s="6"/>
      <c r="CJ2573" s="6"/>
      <c r="CK2573" s="6"/>
      <c r="CL2573" s="6"/>
      <c r="CM2573" s="6"/>
      <c r="CN2573" s="6"/>
      <c r="CO2573" s="6"/>
      <c r="CP2573" s="6"/>
      <c r="CQ2573" s="6"/>
      <c r="CR2573" s="6"/>
      <c r="CS2573" s="6"/>
      <c r="CT2573" s="6"/>
      <c r="CU2573" s="6"/>
      <c r="CV2573" s="6"/>
      <c r="CW2573" s="6"/>
      <c r="CX2573" s="6"/>
      <c r="CY2573" s="6"/>
      <c r="CZ2573" s="6"/>
    </row>
    <row r="2574" spans="27:104" s="5" customFormat="1" x14ac:dyDescent="0.25">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16"/>
      <c r="BC2574" s="6"/>
      <c r="BD2574" s="6"/>
      <c r="BE2574" s="6"/>
      <c r="BF2574" s="6"/>
      <c r="BG2574" s="6"/>
      <c r="BH2574" s="6"/>
      <c r="BI2574" s="6"/>
      <c r="BJ2574" s="6"/>
      <c r="BK2574" s="6"/>
      <c r="BL2574" s="6"/>
      <c r="BM2574" s="6"/>
      <c r="BN2574" s="6"/>
      <c r="BO2574" s="6"/>
      <c r="BP2574" s="6"/>
      <c r="BQ2574" s="6"/>
      <c r="BR2574" s="6"/>
      <c r="BS2574" s="6"/>
      <c r="BT2574" s="6"/>
      <c r="BU2574" s="6"/>
      <c r="BV2574" s="6"/>
      <c r="BW2574" s="6"/>
      <c r="BX2574" s="6"/>
      <c r="BY2574" s="6"/>
      <c r="BZ2574" s="6"/>
      <c r="CA2574" s="6"/>
      <c r="CB2574" s="6"/>
      <c r="CC2574" s="6"/>
      <c r="CD2574" s="6"/>
      <c r="CE2574" s="6"/>
      <c r="CF2574" s="6"/>
      <c r="CG2574" s="6"/>
      <c r="CH2574" s="6"/>
      <c r="CI2574" s="6"/>
      <c r="CJ2574" s="6"/>
      <c r="CK2574" s="6"/>
      <c r="CL2574" s="6"/>
      <c r="CM2574" s="6"/>
      <c r="CN2574" s="6"/>
      <c r="CO2574" s="6"/>
      <c r="CP2574" s="6"/>
      <c r="CQ2574" s="6"/>
      <c r="CR2574" s="6"/>
      <c r="CS2574" s="6"/>
      <c r="CT2574" s="6"/>
      <c r="CU2574" s="6"/>
      <c r="CV2574" s="6"/>
      <c r="CW2574" s="6"/>
      <c r="CX2574" s="6"/>
      <c r="CY2574" s="6"/>
      <c r="CZ2574" s="6"/>
    </row>
    <row r="2575" spans="27:104" s="5" customFormat="1" x14ac:dyDescent="0.25">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16"/>
      <c r="BC2575" s="6"/>
      <c r="BD2575" s="6"/>
      <c r="BE2575" s="6"/>
      <c r="BF2575" s="6"/>
      <c r="BG2575" s="6"/>
      <c r="BH2575" s="6"/>
      <c r="BI2575" s="6"/>
      <c r="BJ2575" s="6"/>
      <c r="BK2575" s="6"/>
      <c r="BL2575" s="6"/>
      <c r="BM2575" s="6"/>
      <c r="BN2575" s="6"/>
      <c r="BO2575" s="6"/>
      <c r="BP2575" s="6"/>
      <c r="BQ2575" s="6"/>
      <c r="BR2575" s="6"/>
      <c r="BS2575" s="6"/>
      <c r="BT2575" s="6"/>
      <c r="BU2575" s="6"/>
      <c r="BV2575" s="6"/>
      <c r="BW2575" s="6"/>
      <c r="BX2575" s="6"/>
      <c r="BY2575" s="6"/>
      <c r="BZ2575" s="6"/>
      <c r="CA2575" s="6"/>
      <c r="CB2575" s="6"/>
      <c r="CC2575" s="6"/>
      <c r="CD2575" s="6"/>
      <c r="CE2575" s="6"/>
      <c r="CF2575" s="6"/>
      <c r="CG2575" s="6"/>
      <c r="CH2575" s="6"/>
      <c r="CI2575" s="6"/>
      <c r="CJ2575" s="6"/>
      <c r="CK2575" s="6"/>
      <c r="CL2575" s="6"/>
      <c r="CM2575" s="6"/>
      <c r="CN2575" s="6"/>
      <c r="CO2575" s="6"/>
      <c r="CP2575" s="6"/>
      <c r="CQ2575" s="6"/>
      <c r="CR2575" s="6"/>
      <c r="CS2575" s="6"/>
      <c r="CT2575" s="6"/>
      <c r="CU2575" s="6"/>
      <c r="CV2575" s="6"/>
      <c r="CW2575" s="6"/>
      <c r="CX2575" s="6"/>
      <c r="CY2575" s="6"/>
      <c r="CZ2575" s="6"/>
    </row>
    <row r="2576" spans="27:104" s="5" customFormat="1" x14ac:dyDescent="0.25">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16"/>
      <c r="BC2576" s="6"/>
      <c r="BD2576" s="6"/>
      <c r="BE2576" s="6"/>
      <c r="BF2576" s="6"/>
      <c r="BG2576" s="6"/>
      <c r="BH2576" s="6"/>
      <c r="BI2576" s="6"/>
      <c r="BJ2576" s="6"/>
      <c r="BK2576" s="6"/>
      <c r="BL2576" s="6"/>
      <c r="BM2576" s="6"/>
      <c r="BN2576" s="6"/>
      <c r="BO2576" s="6"/>
      <c r="BP2576" s="6"/>
      <c r="BQ2576" s="6"/>
      <c r="BR2576" s="6"/>
      <c r="BS2576" s="6"/>
      <c r="BT2576" s="6"/>
      <c r="BU2576" s="6"/>
      <c r="BV2576" s="6"/>
      <c r="BW2576" s="6"/>
      <c r="BX2576" s="6"/>
      <c r="BY2576" s="6"/>
      <c r="BZ2576" s="6"/>
      <c r="CA2576" s="6"/>
      <c r="CB2576" s="6"/>
      <c r="CC2576" s="6"/>
      <c r="CD2576" s="6"/>
      <c r="CE2576" s="6"/>
      <c r="CF2576" s="6"/>
      <c r="CG2576" s="6"/>
      <c r="CH2576" s="6"/>
      <c r="CI2576" s="6"/>
      <c r="CJ2576" s="6"/>
      <c r="CK2576" s="6"/>
      <c r="CL2576" s="6"/>
      <c r="CM2576" s="6"/>
      <c r="CN2576" s="6"/>
      <c r="CO2576" s="6"/>
      <c r="CP2576" s="6"/>
      <c r="CQ2576" s="6"/>
      <c r="CR2576" s="6"/>
      <c r="CS2576" s="6"/>
      <c r="CT2576" s="6"/>
      <c r="CU2576" s="6"/>
      <c r="CV2576" s="6"/>
      <c r="CW2576" s="6"/>
      <c r="CX2576" s="6"/>
      <c r="CY2576" s="6"/>
      <c r="CZ2576" s="6"/>
    </row>
    <row r="2577" spans="27:104" s="5" customFormat="1" x14ac:dyDescent="0.25">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16"/>
      <c r="BC2577" s="6"/>
      <c r="BD2577" s="6"/>
      <c r="BE2577" s="6"/>
      <c r="BF2577" s="6"/>
      <c r="BG2577" s="6"/>
      <c r="BH2577" s="6"/>
      <c r="BI2577" s="6"/>
      <c r="BJ2577" s="6"/>
      <c r="BK2577" s="6"/>
      <c r="BL2577" s="6"/>
      <c r="BM2577" s="6"/>
      <c r="BN2577" s="6"/>
      <c r="BO2577" s="6"/>
      <c r="BP2577" s="6"/>
      <c r="BQ2577" s="6"/>
      <c r="BR2577" s="6"/>
      <c r="BS2577" s="6"/>
      <c r="BT2577" s="6"/>
      <c r="BU2577" s="6"/>
      <c r="BV2577" s="6"/>
      <c r="BW2577" s="6"/>
      <c r="BX2577" s="6"/>
      <c r="BY2577" s="6"/>
      <c r="BZ2577" s="6"/>
      <c r="CA2577" s="6"/>
      <c r="CB2577" s="6"/>
      <c r="CC2577" s="6"/>
      <c r="CD2577" s="6"/>
      <c r="CE2577" s="6"/>
      <c r="CF2577" s="6"/>
      <c r="CG2577" s="6"/>
      <c r="CH2577" s="6"/>
      <c r="CI2577" s="6"/>
      <c r="CJ2577" s="6"/>
      <c r="CK2577" s="6"/>
      <c r="CL2577" s="6"/>
      <c r="CM2577" s="6"/>
      <c r="CN2577" s="6"/>
      <c r="CO2577" s="6"/>
      <c r="CP2577" s="6"/>
      <c r="CQ2577" s="6"/>
      <c r="CR2577" s="6"/>
      <c r="CS2577" s="6"/>
      <c r="CT2577" s="6"/>
      <c r="CU2577" s="6"/>
      <c r="CV2577" s="6"/>
      <c r="CW2577" s="6"/>
      <c r="CX2577" s="6"/>
      <c r="CY2577" s="6"/>
      <c r="CZ2577" s="6"/>
    </row>
    <row r="2578" spans="27:104" s="5" customFormat="1" x14ac:dyDescent="0.25">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16"/>
      <c r="BC2578" s="6"/>
      <c r="BD2578" s="6"/>
      <c r="BE2578" s="6"/>
      <c r="BF2578" s="6"/>
      <c r="BG2578" s="6"/>
      <c r="BH2578" s="6"/>
      <c r="BI2578" s="6"/>
      <c r="BJ2578" s="6"/>
      <c r="BK2578" s="6"/>
      <c r="BL2578" s="6"/>
      <c r="BM2578" s="6"/>
      <c r="BN2578" s="6"/>
      <c r="BO2578" s="6"/>
      <c r="BP2578" s="6"/>
      <c r="BQ2578" s="6"/>
      <c r="BR2578" s="6"/>
      <c r="BS2578" s="6"/>
      <c r="BT2578" s="6"/>
      <c r="BU2578" s="6"/>
      <c r="BV2578" s="6"/>
      <c r="BW2578" s="6"/>
      <c r="BX2578" s="6"/>
      <c r="BY2578" s="6"/>
      <c r="BZ2578" s="6"/>
      <c r="CA2578" s="6"/>
      <c r="CB2578" s="6"/>
      <c r="CC2578" s="6"/>
      <c r="CD2578" s="6"/>
      <c r="CE2578" s="6"/>
      <c r="CF2578" s="6"/>
      <c r="CG2578" s="6"/>
      <c r="CH2578" s="6"/>
      <c r="CI2578" s="6"/>
      <c r="CJ2578" s="6"/>
      <c r="CK2578" s="6"/>
      <c r="CL2578" s="6"/>
      <c r="CM2578" s="6"/>
      <c r="CN2578" s="6"/>
      <c r="CO2578" s="6"/>
      <c r="CP2578" s="6"/>
      <c r="CQ2578" s="6"/>
      <c r="CR2578" s="6"/>
      <c r="CS2578" s="6"/>
      <c r="CT2578" s="6"/>
      <c r="CU2578" s="6"/>
      <c r="CV2578" s="6"/>
      <c r="CW2578" s="6"/>
      <c r="CX2578" s="6"/>
      <c r="CY2578" s="6"/>
      <c r="CZ2578" s="6"/>
    </row>
    <row r="2579" spans="27:104" s="5" customFormat="1" x14ac:dyDescent="0.25">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16"/>
      <c r="BC2579" s="6"/>
      <c r="BD2579" s="6"/>
      <c r="BE2579" s="6"/>
      <c r="BF2579" s="6"/>
      <c r="BG2579" s="6"/>
      <c r="BH2579" s="6"/>
      <c r="BI2579" s="6"/>
      <c r="BJ2579" s="6"/>
      <c r="BK2579" s="6"/>
      <c r="BL2579" s="6"/>
      <c r="BM2579" s="6"/>
      <c r="BN2579" s="6"/>
      <c r="BO2579" s="6"/>
      <c r="BP2579" s="6"/>
      <c r="BQ2579" s="6"/>
      <c r="BR2579" s="6"/>
      <c r="BS2579" s="6"/>
      <c r="BT2579" s="6"/>
      <c r="BU2579" s="6"/>
      <c r="BV2579" s="6"/>
      <c r="BW2579" s="6"/>
      <c r="BX2579" s="6"/>
      <c r="BY2579" s="6"/>
      <c r="BZ2579" s="6"/>
      <c r="CA2579" s="6"/>
      <c r="CB2579" s="6"/>
      <c r="CC2579" s="6"/>
      <c r="CD2579" s="6"/>
      <c r="CE2579" s="6"/>
      <c r="CF2579" s="6"/>
      <c r="CG2579" s="6"/>
      <c r="CH2579" s="6"/>
      <c r="CI2579" s="6"/>
      <c r="CJ2579" s="6"/>
      <c r="CK2579" s="6"/>
      <c r="CL2579" s="6"/>
      <c r="CM2579" s="6"/>
      <c r="CN2579" s="6"/>
      <c r="CO2579" s="6"/>
      <c r="CP2579" s="6"/>
      <c r="CQ2579" s="6"/>
      <c r="CR2579" s="6"/>
      <c r="CS2579" s="6"/>
      <c r="CT2579" s="6"/>
      <c r="CU2579" s="6"/>
      <c r="CV2579" s="6"/>
      <c r="CW2579" s="6"/>
      <c r="CX2579" s="6"/>
      <c r="CY2579" s="6"/>
      <c r="CZ2579" s="6"/>
    </row>
    <row r="2580" spans="27:104" s="5" customFormat="1" x14ac:dyDescent="0.25">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16"/>
      <c r="BC2580" s="6"/>
      <c r="BD2580" s="6"/>
      <c r="BE2580" s="6"/>
      <c r="BF2580" s="6"/>
      <c r="BG2580" s="6"/>
      <c r="BH2580" s="6"/>
      <c r="BI2580" s="6"/>
      <c r="BJ2580" s="6"/>
      <c r="BK2580" s="6"/>
      <c r="BL2580" s="6"/>
      <c r="BM2580" s="6"/>
      <c r="BN2580" s="6"/>
      <c r="BO2580" s="6"/>
      <c r="BP2580" s="6"/>
      <c r="BQ2580" s="6"/>
      <c r="BR2580" s="6"/>
      <c r="BS2580" s="6"/>
      <c r="BT2580" s="6"/>
      <c r="BU2580" s="6"/>
      <c r="BV2580" s="6"/>
      <c r="BW2580" s="6"/>
      <c r="BX2580" s="6"/>
      <c r="BY2580" s="6"/>
      <c r="BZ2580" s="6"/>
      <c r="CA2580" s="6"/>
      <c r="CB2580" s="6"/>
      <c r="CC2580" s="6"/>
      <c r="CD2580" s="6"/>
      <c r="CE2580" s="6"/>
      <c r="CF2580" s="6"/>
      <c r="CG2580" s="6"/>
      <c r="CH2580" s="6"/>
      <c r="CI2580" s="6"/>
      <c r="CJ2580" s="6"/>
      <c r="CK2580" s="6"/>
      <c r="CL2580" s="6"/>
      <c r="CM2580" s="6"/>
      <c r="CN2580" s="6"/>
      <c r="CO2580" s="6"/>
      <c r="CP2580" s="6"/>
      <c r="CQ2580" s="6"/>
      <c r="CR2580" s="6"/>
      <c r="CS2580" s="6"/>
      <c r="CT2580" s="6"/>
      <c r="CU2580" s="6"/>
      <c r="CV2580" s="6"/>
      <c r="CW2580" s="6"/>
      <c r="CX2580" s="6"/>
      <c r="CY2580" s="6"/>
      <c r="CZ2580" s="6"/>
    </row>
    <row r="2581" spans="27:104" s="5" customFormat="1" x14ac:dyDescent="0.25">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16"/>
      <c r="BC2581" s="6"/>
      <c r="BD2581" s="6"/>
      <c r="BE2581" s="6"/>
      <c r="BF2581" s="6"/>
      <c r="BG2581" s="6"/>
      <c r="BH2581" s="6"/>
      <c r="BI2581" s="6"/>
      <c r="BJ2581" s="6"/>
      <c r="BK2581" s="6"/>
      <c r="BL2581" s="6"/>
      <c r="BM2581" s="6"/>
      <c r="BN2581" s="6"/>
      <c r="BO2581" s="6"/>
      <c r="BP2581" s="6"/>
      <c r="BQ2581" s="6"/>
      <c r="BR2581" s="6"/>
      <c r="BS2581" s="6"/>
      <c r="BT2581" s="6"/>
      <c r="BU2581" s="6"/>
      <c r="BV2581" s="6"/>
      <c r="BW2581" s="6"/>
      <c r="BX2581" s="6"/>
      <c r="BY2581" s="6"/>
      <c r="BZ2581" s="6"/>
      <c r="CA2581" s="6"/>
      <c r="CB2581" s="6"/>
      <c r="CC2581" s="6"/>
      <c r="CD2581" s="6"/>
      <c r="CE2581" s="6"/>
      <c r="CF2581" s="6"/>
      <c r="CG2581" s="6"/>
      <c r="CH2581" s="6"/>
      <c r="CI2581" s="6"/>
      <c r="CJ2581" s="6"/>
      <c r="CK2581" s="6"/>
      <c r="CL2581" s="6"/>
      <c r="CM2581" s="6"/>
      <c r="CN2581" s="6"/>
      <c r="CO2581" s="6"/>
      <c r="CP2581" s="6"/>
      <c r="CQ2581" s="6"/>
      <c r="CR2581" s="6"/>
      <c r="CS2581" s="6"/>
      <c r="CT2581" s="6"/>
      <c r="CU2581" s="6"/>
      <c r="CV2581" s="6"/>
      <c r="CW2581" s="6"/>
      <c r="CX2581" s="6"/>
      <c r="CY2581" s="6"/>
      <c r="CZ2581" s="6"/>
    </row>
    <row r="2582" spans="27:104" s="5" customFormat="1" x14ac:dyDescent="0.25">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16"/>
      <c r="BC2582" s="6"/>
      <c r="BD2582" s="6"/>
      <c r="BE2582" s="6"/>
      <c r="BF2582" s="6"/>
      <c r="BG2582" s="6"/>
      <c r="BH2582" s="6"/>
      <c r="BI2582" s="6"/>
      <c r="BJ2582" s="6"/>
      <c r="BK2582" s="6"/>
      <c r="BL2582" s="6"/>
      <c r="BM2582" s="6"/>
      <c r="BN2582" s="6"/>
      <c r="BO2582" s="6"/>
      <c r="BP2582" s="6"/>
      <c r="BQ2582" s="6"/>
      <c r="BR2582" s="6"/>
      <c r="BS2582" s="6"/>
      <c r="BT2582" s="6"/>
      <c r="BU2582" s="6"/>
      <c r="BV2582" s="6"/>
      <c r="BW2582" s="6"/>
      <c r="BX2582" s="6"/>
      <c r="BY2582" s="6"/>
      <c r="BZ2582" s="6"/>
      <c r="CA2582" s="6"/>
      <c r="CB2582" s="6"/>
      <c r="CC2582" s="6"/>
      <c r="CD2582" s="6"/>
      <c r="CE2582" s="6"/>
      <c r="CF2582" s="6"/>
      <c r="CG2582" s="6"/>
      <c r="CH2582" s="6"/>
      <c r="CI2582" s="6"/>
      <c r="CJ2582" s="6"/>
      <c r="CK2582" s="6"/>
      <c r="CL2582" s="6"/>
      <c r="CM2582" s="6"/>
      <c r="CN2582" s="6"/>
      <c r="CO2582" s="6"/>
      <c r="CP2582" s="6"/>
      <c r="CQ2582" s="6"/>
      <c r="CR2582" s="6"/>
      <c r="CS2582" s="6"/>
      <c r="CT2582" s="6"/>
      <c r="CU2582" s="6"/>
      <c r="CV2582" s="6"/>
      <c r="CW2582" s="6"/>
      <c r="CX2582" s="6"/>
      <c r="CY2582" s="6"/>
      <c r="CZ2582" s="6"/>
    </row>
    <row r="2583" spans="27:104" s="5" customFormat="1" x14ac:dyDescent="0.25">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16"/>
      <c r="BC2583" s="6"/>
      <c r="BD2583" s="6"/>
      <c r="BE2583" s="6"/>
      <c r="BF2583" s="6"/>
      <c r="BG2583" s="6"/>
      <c r="BH2583" s="6"/>
      <c r="BI2583" s="6"/>
      <c r="BJ2583" s="6"/>
      <c r="BK2583" s="6"/>
      <c r="BL2583" s="6"/>
      <c r="BM2583" s="6"/>
      <c r="BN2583" s="6"/>
      <c r="BO2583" s="6"/>
      <c r="BP2583" s="6"/>
      <c r="BQ2583" s="6"/>
      <c r="BR2583" s="6"/>
      <c r="BS2583" s="6"/>
      <c r="BT2583" s="6"/>
      <c r="BU2583" s="6"/>
      <c r="BV2583" s="6"/>
      <c r="BW2583" s="6"/>
      <c r="BX2583" s="6"/>
      <c r="BY2583" s="6"/>
      <c r="BZ2583" s="6"/>
      <c r="CA2583" s="6"/>
      <c r="CB2583" s="6"/>
      <c r="CC2583" s="6"/>
      <c r="CD2583" s="6"/>
      <c r="CE2583" s="6"/>
      <c r="CF2583" s="6"/>
      <c r="CG2583" s="6"/>
      <c r="CH2583" s="6"/>
      <c r="CI2583" s="6"/>
      <c r="CJ2583" s="6"/>
      <c r="CK2583" s="6"/>
      <c r="CL2583" s="6"/>
      <c r="CM2583" s="6"/>
      <c r="CN2583" s="6"/>
      <c r="CO2583" s="6"/>
      <c r="CP2583" s="6"/>
      <c r="CQ2583" s="6"/>
      <c r="CR2583" s="6"/>
      <c r="CS2583" s="6"/>
      <c r="CT2583" s="6"/>
      <c r="CU2583" s="6"/>
      <c r="CV2583" s="6"/>
      <c r="CW2583" s="6"/>
      <c r="CX2583" s="6"/>
      <c r="CY2583" s="6"/>
      <c r="CZ2583" s="6"/>
    </row>
    <row r="2584" spans="27:104" s="5" customFormat="1" x14ac:dyDescent="0.25">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16"/>
      <c r="BC2584" s="6"/>
      <c r="BD2584" s="6"/>
      <c r="BE2584" s="6"/>
      <c r="BF2584" s="6"/>
      <c r="BG2584" s="6"/>
      <c r="BH2584" s="6"/>
      <c r="BI2584" s="6"/>
      <c r="BJ2584" s="6"/>
      <c r="BK2584" s="6"/>
      <c r="BL2584" s="6"/>
      <c r="BM2584" s="6"/>
      <c r="BN2584" s="6"/>
      <c r="BO2584" s="6"/>
      <c r="BP2584" s="6"/>
      <c r="BQ2584" s="6"/>
      <c r="BR2584" s="6"/>
      <c r="BS2584" s="6"/>
      <c r="BT2584" s="6"/>
      <c r="BU2584" s="6"/>
      <c r="BV2584" s="6"/>
      <c r="BW2584" s="6"/>
      <c r="BX2584" s="6"/>
      <c r="BY2584" s="6"/>
      <c r="BZ2584" s="6"/>
      <c r="CA2584" s="6"/>
      <c r="CB2584" s="6"/>
      <c r="CC2584" s="6"/>
      <c r="CD2584" s="6"/>
      <c r="CE2584" s="6"/>
      <c r="CF2584" s="6"/>
      <c r="CG2584" s="6"/>
      <c r="CH2584" s="6"/>
      <c r="CI2584" s="6"/>
      <c r="CJ2584" s="6"/>
      <c r="CK2584" s="6"/>
      <c r="CL2584" s="6"/>
      <c r="CM2584" s="6"/>
      <c r="CN2584" s="6"/>
      <c r="CO2584" s="6"/>
      <c r="CP2584" s="6"/>
      <c r="CQ2584" s="6"/>
      <c r="CR2584" s="6"/>
      <c r="CS2584" s="6"/>
      <c r="CT2584" s="6"/>
      <c r="CU2584" s="6"/>
      <c r="CV2584" s="6"/>
      <c r="CW2584" s="6"/>
      <c r="CX2584" s="6"/>
      <c r="CY2584" s="6"/>
      <c r="CZ2584" s="6"/>
    </row>
    <row r="2585" spans="27:104" s="5" customFormat="1" x14ac:dyDescent="0.25">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16"/>
      <c r="BC2585" s="6"/>
      <c r="BD2585" s="6"/>
      <c r="BE2585" s="6"/>
      <c r="BF2585" s="6"/>
      <c r="BG2585" s="6"/>
      <c r="BH2585" s="6"/>
      <c r="BI2585" s="6"/>
      <c r="BJ2585" s="6"/>
      <c r="BK2585" s="6"/>
      <c r="BL2585" s="6"/>
      <c r="BM2585" s="6"/>
      <c r="BN2585" s="6"/>
      <c r="BO2585" s="6"/>
      <c r="BP2585" s="6"/>
      <c r="BQ2585" s="6"/>
      <c r="BR2585" s="6"/>
      <c r="BS2585" s="6"/>
      <c r="BT2585" s="6"/>
      <c r="BU2585" s="6"/>
      <c r="BV2585" s="6"/>
      <c r="BW2585" s="6"/>
      <c r="BX2585" s="6"/>
      <c r="BY2585" s="6"/>
      <c r="BZ2585" s="6"/>
      <c r="CA2585" s="6"/>
      <c r="CB2585" s="6"/>
      <c r="CC2585" s="6"/>
      <c r="CD2585" s="6"/>
      <c r="CE2585" s="6"/>
      <c r="CF2585" s="6"/>
      <c r="CG2585" s="6"/>
      <c r="CH2585" s="6"/>
      <c r="CI2585" s="6"/>
      <c r="CJ2585" s="6"/>
      <c r="CK2585" s="6"/>
      <c r="CL2585" s="6"/>
      <c r="CM2585" s="6"/>
      <c r="CN2585" s="6"/>
      <c r="CO2585" s="6"/>
      <c r="CP2585" s="6"/>
      <c r="CQ2585" s="6"/>
      <c r="CR2585" s="6"/>
      <c r="CS2585" s="6"/>
      <c r="CT2585" s="6"/>
      <c r="CU2585" s="6"/>
      <c r="CV2585" s="6"/>
      <c r="CW2585" s="6"/>
      <c r="CX2585" s="6"/>
      <c r="CY2585" s="6"/>
      <c r="CZ2585" s="6"/>
    </row>
    <row r="2586" spans="27:104" s="5" customFormat="1" x14ac:dyDescent="0.25">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16"/>
      <c r="BC2586" s="6"/>
      <c r="BD2586" s="6"/>
      <c r="BE2586" s="6"/>
      <c r="BF2586" s="6"/>
      <c r="BG2586" s="6"/>
      <c r="BH2586" s="6"/>
      <c r="BI2586" s="6"/>
      <c r="BJ2586" s="6"/>
      <c r="BK2586" s="6"/>
      <c r="BL2586" s="6"/>
      <c r="BM2586" s="6"/>
      <c r="BN2586" s="6"/>
      <c r="BO2586" s="6"/>
      <c r="BP2586" s="6"/>
      <c r="BQ2586" s="6"/>
      <c r="BR2586" s="6"/>
      <c r="BS2586" s="6"/>
      <c r="BT2586" s="6"/>
      <c r="BU2586" s="6"/>
      <c r="BV2586" s="6"/>
      <c r="BW2586" s="6"/>
      <c r="BX2586" s="6"/>
      <c r="BY2586" s="6"/>
      <c r="BZ2586" s="6"/>
      <c r="CA2586" s="6"/>
      <c r="CB2586" s="6"/>
      <c r="CC2586" s="6"/>
      <c r="CD2586" s="6"/>
      <c r="CE2586" s="6"/>
      <c r="CF2586" s="6"/>
      <c r="CG2586" s="6"/>
      <c r="CH2586" s="6"/>
      <c r="CI2586" s="6"/>
      <c r="CJ2586" s="6"/>
      <c r="CK2586" s="6"/>
      <c r="CL2586" s="6"/>
      <c r="CM2586" s="6"/>
      <c r="CN2586" s="6"/>
      <c r="CO2586" s="6"/>
      <c r="CP2586" s="6"/>
      <c r="CQ2586" s="6"/>
      <c r="CR2586" s="6"/>
      <c r="CS2586" s="6"/>
      <c r="CT2586" s="6"/>
      <c r="CU2586" s="6"/>
      <c r="CV2586" s="6"/>
      <c r="CW2586" s="6"/>
      <c r="CX2586" s="6"/>
      <c r="CY2586" s="6"/>
      <c r="CZ2586" s="6"/>
    </row>
    <row r="2587" spans="27:104" s="5" customFormat="1" x14ac:dyDescent="0.25">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16"/>
      <c r="BC2587" s="6"/>
      <c r="BD2587" s="6"/>
      <c r="BE2587" s="6"/>
      <c r="BF2587" s="6"/>
      <c r="BG2587" s="6"/>
      <c r="BH2587" s="6"/>
      <c r="BI2587" s="6"/>
      <c r="BJ2587" s="6"/>
      <c r="BK2587" s="6"/>
      <c r="BL2587" s="6"/>
      <c r="BM2587" s="6"/>
      <c r="BN2587" s="6"/>
      <c r="BO2587" s="6"/>
      <c r="BP2587" s="6"/>
      <c r="BQ2587" s="6"/>
      <c r="BR2587" s="6"/>
      <c r="BS2587" s="6"/>
      <c r="BT2587" s="6"/>
      <c r="BU2587" s="6"/>
      <c r="BV2587" s="6"/>
      <c r="BW2587" s="6"/>
      <c r="BX2587" s="6"/>
      <c r="BY2587" s="6"/>
      <c r="BZ2587" s="6"/>
      <c r="CA2587" s="6"/>
      <c r="CB2587" s="6"/>
      <c r="CC2587" s="6"/>
      <c r="CD2587" s="6"/>
      <c r="CE2587" s="6"/>
      <c r="CF2587" s="6"/>
      <c r="CG2587" s="6"/>
      <c r="CH2587" s="6"/>
      <c r="CI2587" s="6"/>
      <c r="CJ2587" s="6"/>
      <c r="CK2587" s="6"/>
      <c r="CL2587" s="6"/>
      <c r="CM2587" s="6"/>
      <c r="CN2587" s="6"/>
      <c r="CO2587" s="6"/>
      <c r="CP2587" s="6"/>
      <c r="CQ2587" s="6"/>
      <c r="CR2587" s="6"/>
      <c r="CS2587" s="6"/>
      <c r="CT2587" s="6"/>
      <c r="CU2587" s="6"/>
      <c r="CV2587" s="6"/>
      <c r="CW2587" s="6"/>
      <c r="CX2587" s="6"/>
      <c r="CY2587" s="6"/>
      <c r="CZ2587" s="6"/>
    </row>
    <row r="2588" spans="27:104" s="5" customFormat="1" x14ac:dyDescent="0.25">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16"/>
      <c r="BC2588" s="6"/>
      <c r="BD2588" s="6"/>
      <c r="BE2588" s="6"/>
      <c r="BF2588" s="6"/>
      <c r="BG2588" s="6"/>
      <c r="BH2588" s="6"/>
      <c r="BI2588" s="6"/>
      <c r="BJ2588" s="6"/>
      <c r="BK2588" s="6"/>
      <c r="BL2588" s="6"/>
      <c r="BM2588" s="6"/>
      <c r="BN2588" s="6"/>
      <c r="BO2588" s="6"/>
      <c r="BP2588" s="6"/>
      <c r="BQ2588" s="6"/>
      <c r="BR2588" s="6"/>
      <c r="BS2588" s="6"/>
      <c r="BT2588" s="6"/>
      <c r="BU2588" s="6"/>
      <c r="BV2588" s="6"/>
      <c r="BW2588" s="6"/>
      <c r="BX2588" s="6"/>
      <c r="BY2588" s="6"/>
      <c r="BZ2588" s="6"/>
      <c r="CA2588" s="6"/>
      <c r="CB2588" s="6"/>
      <c r="CC2588" s="6"/>
      <c r="CD2588" s="6"/>
      <c r="CE2588" s="6"/>
      <c r="CF2588" s="6"/>
      <c r="CG2588" s="6"/>
      <c r="CH2588" s="6"/>
      <c r="CI2588" s="6"/>
      <c r="CJ2588" s="6"/>
      <c r="CK2588" s="6"/>
      <c r="CL2588" s="6"/>
      <c r="CM2588" s="6"/>
      <c r="CN2588" s="6"/>
      <c r="CO2588" s="6"/>
      <c r="CP2588" s="6"/>
      <c r="CQ2588" s="6"/>
      <c r="CR2588" s="6"/>
      <c r="CS2588" s="6"/>
      <c r="CT2588" s="6"/>
      <c r="CU2588" s="6"/>
      <c r="CV2588" s="6"/>
      <c r="CW2588" s="6"/>
      <c r="CX2588" s="6"/>
      <c r="CY2588" s="6"/>
      <c r="CZ2588" s="6"/>
    </row>
    <row r="2589" spans="27:104" s="5" customFormat="1" x14ac:dyDescent="0.25">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16"/>
      <c r="BC2589" s="6"/>
      <c r="BD2589" s="6"/>
      <c r="BE2589" s="6"/>
      <c r="BF2589" s="6"/>
      <c r="BG2589" s="6"/>
      <c r="BH2589" s="6"/>
      <c r="BI2589" s="6"/>
      <c r="BJ2589" s="6"/>
      <c r="BK2589" s="6"/>
      <c r="BL2589" s="6"/>
      <c r="BM2589" s="6"/>
      <c r="BN2589" s="6"/>
      <c r="BO2589" s="6"/>
      <c r="BP2589" s="6"/>
      <c r="BQ2589" s="6"/>
      <c r="BR2589" s="6"/>
      <c r="BS2589" s="6"/>
      <c r="BT2589" s="6"/>
      <c r="BU2589" s="6"/>
      <c r="BV2589" s="6"/>
      <c r="BW2589" s="6"/>
      <c r="BX2589" s="6"/>
      <c r="BY2589" s="6"/>
      <c r="BZ2589" s="6"/>
      <c r="CA2589" s="6"/>
      <c r="CB2589" s="6"/>
      <c r="CC2589" s="6"/>
      <c r="CD2589" s="6"/>
      <c r="CE2589" s="6"/>
      <c r="CF2589" s="6"/>
      <c r="CG2589" s="6"/>
      <c r="CH2589" s="6"/>
      <c r="CI2589" s="6"/>
      <c r="CJ2589" s="6"/>
      <c r="CK2589" s="6"/>
      <c r="CL2589" s="6"/>
      <c r="CM2589" s="6"/>
      <c r="CN2589" s="6"/>
      <c r="CO2589" s="6"/>
      <c r="CP2589" s="6"/>
      <c r="CQ2589" s="6"/>
      <c r="CR2589" s="6"/>
      <c r="CS2589" s="6"/>
      <c r="CT2589" s="6"/>
      <c r="CU2589" s="6"/>
      <c r="CV2589" s="6"/>
      <c r="CW2589" s="6"/>
      <c r="CX2589" s="6"/>
      <c r="CY2589" s="6"/>
      <c r="CZ2589" s="6"/>
    </row>
    <row r="2590" spans="27:104" s="5" customFormat="1" x14ac:dyDescent="0.25">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16"/>
      <c r="BC2590" s="6"/>
      <c r="BD2590" s="6"/>
      <c r="BE2590" s="6"/>
      <c r="BF2590" s="6"/>
      <c r="BG2590" s="6"/>
      <c r="BH2590" s="6"/>
      <c r="BI2590" s="6"/>
      <c r="BJ2590" s="6"/>
      <c r="BK2590" s="6"/>
      <c r="BL2590" s="6"/>
      <c r="BM2590" s="6"/>
      <c r="BN2590" s="6"/>
      <c r="BO2590" s="6"/>
      <c r="BP2590" s="6"/>
      <c r="BQ2590" s="6"/>
      <c r="BR2590" s="6"/>
      <c r="BS2590" s="6"/>
      <c r="BT2590" s="6"/>
      <c r="BU2590" s="6"/>
      <c r="BV2590" s="6"/>
      <c r="BW2590" s="6"/>
      <c r="BX2590" s="6"/>
      <c r="BY2590" s="6"/>
      <c r="BZ2590" s="6"/>
      <c r="CA2590" s="6"/>
      <c r="CB2590" s="6"/>
      <c r="CC2590" s="6"/>
      <c r="CD2590" s="6"/>
      <c r="CE2590" s="6"/>
      <c r="CF2590" s="6"/>
      <c r="CG2590" s="6"/>
      <c r="CH2590" s="6"/>
      <c r="CI2590" s="6"/>
      <c r="CJ2590" s="6"/>
      <c r="CK2590" s="6"/>
      <c r="CL2590" s="6"/>
      <c r="CM2590" s="6"/>
      <c r="CN2590" s="6"/>
      <c r="CO2590" s="6"/>
      <c r="CP2590" s="6"/>
      <c r="CQ2590" s="6"/>
      <c r="CR2590" s="6"/>
      <c r="CS2590" s="6"/>
      <c r="CT2590" s="6"/>
      <c r="CU2590" s="6"/>
      <c r="CV2590" s="6"/>
      <c r="CW2590" s="6"/>
      <c r="CX2590" s="6"/>
      <c r="CY2590" s="6"/>
      <c r="CZ2590" s="6"/>
    </row>
    <row r="2591" spans="27:104" s="5" customFormat="1" x14ac:dyDescent="0.25">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16"/>
      <c r="BC2591" s="6"/>
      <c r="BD2591" s="6"/>
      <c r="BE2591" s="6"/>
      <c r="BF2591" s="6"/>
      <c r="BG2591" s="6"/>
      <c r="BH2591" s="6"/>
      <c r="BI2591" s="6"/>
      <c r="BJ2591" s="6"/>
      <c r="BK2591" s="6"/>
      <c r="BL2591" s="6"/>
      <c r="BM2591" s="6"/>
      <c r="BN2591" s="6"/>
      <c r="BO2591" s="6"/>
      <c r="BP2591" s="6"/>
      <c r="BQ2591" s="6"/>
      <c r="BR2591" s="6"/>
      <c r="BS2591" s="6"/>
      <c r="BT2591" s="6"/>
      <c r="BU2591" s="6"/>
      <c r="BV2591" s="6"/>
      <c r="BW2591" s="6"/>
      <c r="BX2591" s="6"/>
      <c r="BY2591" s="6"/>
      <c r="BZ2591" s="6"/>
      <c r="CA2591" s="6"/>
      <c r="CB2591" s="6"/>
      <c r="CC2591" s="6"/>
      <c r="CD2591" s="6"/>
      <c r="CE2591" s="6"/>
      <c r="CF2591" s="6"/>
      <c r="CG2591" s="6"/>
      <c r="CH2591" s="6"/>
      <c r="CI2591" s="6"/>
      <c r="CJ2591" s="6"/>
      <c r="CK2591" s="6"/>
      <c r="CL2591" s="6"/>
      <c r="CM2591" s="6"/>
      <c r="CN2591" s="6"/>
      <c r="CO2591" s="6"/>
      <c r="CP2591" s="6"/>
      <c r="CQ2591" s="6"/>
      <c r="CR2591" s="6"/>
      <c r="CS2591" s="6"/>
      <c r="CT2591" s="6"/>
      <c r="CU2591" s="6"/>
      <c r="CV2591" s="6"/>
      <c r="CW2591" s="6"/>
      <c r="CX2591" s="6"/>
      <c r="CY2591" s="6"/>
      <c r="CZ2591" s="6"/>
    </row>
    <row r="2592" spans="27:104" s="5" customFormat="1" x14ac:dyDescent="0.25">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16"/>
      <c r="BC2592" s="6"/>
      <c r="BD2592" s="6"/>
      <c r="BE2592" s="6"/>
      <c r="BF2592" s="6"/>
      <c r="BG2592" s="6"/>
      <c r="BH2592" s="6"/>
      <c r="BI2592" s="6"/>
      <c r="BJ2592" s="6"/>
      <c r="BK2592" s="6"/>
      <c r="BL2592" s="6"/>
      <c r="BM2592" s="6"/>
      <c r="BN2592" s="6"/>
      <c r="BO2592" s="6"/>
      <c r="BP2592" s="6"/>
      <c r="BQ2592" s="6"/>
      <c r="BR2592" s="6"/>
      <c r="BS2592" s="6"/>
      <c r="BT2592" s="6"/>
      <c r="BU2592" s="6"/>
      <c r="BV2592" s="6"/>
      <c r="BW2592" s="6"/>
      <c r="BX2592" s="6"/>
      <c r="BY2592" s="6"/>
      <c r="BZ2592" s="6"/>
      <c r="CA2592" s="6"/>
      <c r="CB2592" s="6"/>
      <c r="CC2592" s="6"/>
      <c r="CD2592" s="6"/>
      <c r="CE2592" s="6"/>
      <c r="CF2592" s="6"/>
      <c r="CG2592" s="6"/>
      <c r="CH2592" s="6"/>
      <c r="CI2592" s="6"/>
      <c r="CJ2592" s="6"/>
      <c r="CK2592" s="6"/>
      <c r="CL2592" s="6"/>
      <c r="CM2592" s="6"/>
      <c r="CN2592" s="6"/>
      <c r="CO2592" s="6"/>
      <c r="CP2592" s="6"/>
      <c r="CQ2592" s="6"/>
      <c r="CR2592" s="6"/>
      <c r="CS2592" s="6"/>
      <c r="CT2592" s="6"/>
      <c r="CU2592" s="6"/>
      <c r="CV2592" s="6"/>
      <c r="CW2592" s="6"/>
      <c r="CX2592" s="6"/>
      <c r="CY2592" s="6"/>
      <c r="CZ2592" s="6"/>
    </row>
    <row r="2593" spans="27:104" s="5" customFormat="1" x14ac:dyDescent="0.25">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16"/>
      <c r="BC2593" s="6"/>
      <c r="BD2593" s="6"/>
      <c r="BE2593" s="6"/>
      <c r="BF2593" s="6"/>
      <c r="BG2593" s="6"/>
      <c r="BH2593" s="6"/>
      <c r="BI2593" s="6"/>
      <c r="BJ2593" s="6"/>
      <c r="BK2593" s="6"/>
      <c r="BL2593" s="6"/>
      <c r="BM2593" s="6"/>
      <c r="BN2593" s="6"/>
      <c r="BO2593" s="6"/>
      <c r="BP2593" s="6"/>
      <c r="BQ2593" s="6"/>
      <c r="BR2593" s="6"/>
      <c r="BS2593" s="6"/>
      <c r="BT2593" s="6"/>
      <c r="BU2593" s="6"/>
      <c r="BV2593" s="6"/>
      <c r="BW2593" s="6"/>
      <c r="BX2593" s="6"/>
      <c r="BY2593" s="6"/>
      <c r="BZ2593" s="6"/>
      <c r="CA2593" s="6"/>
      <c r="CB2593" s="6"/>
      <c r="CC2593" s="6"/>
      <c r="CD2593" s="6"/>
      <c r="CE2593" s="6"/>
      <c r="CF2593" s="6"/>
      <c r="CG2593" s="6"/>
      <c r="CH2593" s="6"/>
      <c r="CI2593" s="6"/>
      <c r="CJ2593" s="6"/>
      <c r="CK2593" s="6"/>
      <c r="CL2593" s="6"/>
      <c r="CM2593" s="6"/>
      <c r="CN2593" s="6"/>
      <c r="CO2593" s="6"/>
      <c r="CP2593" s="6"/>
      <c r="CQ2593" s="6"/>
      <c r="CR2593" s="6"/>
      <c r="CS2593" s="6"/>
      <c r="CT2593" s="6"/>
      <c r="CU2593" s="6"/>
      <c r="CV2593" s="6"/>
      <c r="CW2593" s="6"/>
      <c r="CX2593" s="6"/>
      <c r="CY2593" s="6"/>
      <c r="CZ2593" s="6"/>
    </row>
    <row r="2594" spans="27:104" s="5" customFormat="1" x14ac:dyDescent="0.25">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16"/>
      <c r="BC2594" s="6"/>
      <c r="BD2594" s="6"/>
      <c r="BE2594" s="6"/>
      <c r="BF2594" s="6"/>
      <c r="BG2594" s="6"/>
      <c r="BH2594" s="6"/>
      <c r="BI2594" s="6"/>
      <c r="BJ2594" s="6"/>
      <c r="BK2594" s="6"/>
      <c r="BL2594" s="6"/>
      <c r="BM2594" s="6"/>
      <c r="BN2594" s="6"/>
      <c r="BO2594" s="6"/>
      <c r="BP2594" s="6"/>
      <c r="BQ2594" s="6"/>
      <c r="BR2594" s="6"/>
      <c r="BS2594" s="6"/>
      <c r="BT2594" s="6"/>
      <c r="BU2594" s="6"/>
      <c r="BV2594" s="6"/>
      <c r="BW2594" s="6"/>
      <c r="BX2594" s="6"/>
      <c r="BY2594" s="6"/>
      <c r="BZ2594" s="6"/>
      <c r="CA2594" s="6"/>
      <c r="CB2594" s="6"/>
      <c r="CC2594" s="6"/>
      <c r="CD2594" s="6"/>
      <c r="CE2594" s="6"/>
      <c r="CF2594" s="6"/>
      <c r="CG2594" s="6"/>
      <c r="CH2594" s="6"/>
      <c r="CI2594" s="6"/>
      <c r="CJ2594" s="6"/>
      <c r="CK2594" s="6"/>
      <c r="CL2594" s="6"/>
      <c r="CM2594" s="6"/>
      <c r="CN2594" s="6"/>
      <c r="CO2594" s="6"/>
      <c r="CP2594" s="6"/>
      <c r="CQ2594" s="6"/>
      <c r="CR2594" s="6"/>
      <c r="CS2594" s="6"/>
      <c r="CT2594" s="6"/>
      <c r="CU2594" s="6"/>
      <c r="CV2594" s="6"/>
      <c r="CW2594" s="6"/>
      <c r="CX2594" s="6"/>
      <c r="CY2594" s="6"/>
      <c r="CZ2594" s="6"/>
    </row>
    <row r="2595" spans="27:104" s="5" customFormat="1" x14ac:dyDescent="0.25">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16"/>
      <c r="BC2595" s="6"/>
      <c r="BD2595" s="6"/>
      <c r="BE2595" s="6"/>
      <c r="BF2595" s="6"/>
      <c r="BG2595" s="6"/>
      <c r="BH2595" s="6"/>
      <c r="BI2595" s="6"/>
      <c r="BJ2595" s="6"/>
      <c r="BK2595" s="6"/>
      <c r="BL2595" s="6"/>
      <c r="BM2595" s="6"/>
      <c r="BN2595" s="6"/>
      <c r="BO2595" s="6"/>
      <c r="BP2595" s="6"/>
      <c r="BQ2595" s="6"/>
      <c r="BR2595" s="6"/>
      <c r="BS2595" s="6"/>
      <c r="BT2595" s="6"/>
      <c r="BU2595" s="6"/>
      <c r="BV2595" s="6"/>
      <c r="BW2595" s="6"/>
      <c r="BX2595" s="6"/>
      <c r="BY2595" s="6"/>
      <c r="BZ2595" s="6"/>
      <c r="CA2595" s="6"/>
      <c r="CB2595" s="6"/>
      <c r="CC2595" s="6"/>
      <c r="CD2595" s="6"/>
      <c r="CE2595" s="6"/>
      <c r="CF2595" s="6"/>
      <c r="CG2595" s="6"/>
      <c r="CH2595" s="6"/>
      <c r="CI2595" s="6"/>
      <c r="CJ2595" s="6"/>
      <c r="CK2595" s="6"/>
      <c r="CL2595" s="6"/>
      <c r="CM2595" s="6"/>
      <c r="CN2595" s="6"/>
      <c r="CO2595" s="6"/>
      <c r="CP2595" s="6"/>
      <c r="CQ2595" s="6"/>
      <c r="CR2595" s="6"/>
      <c r="CS2595" s="6"/>
      <c r="CT2595" s="6"/>
      <c r="CU2595" s="6"/>
      <c r="CV2595" s="6"/>
      <c r="CW2595" s="6"/>
      <c r="CX2595" s="6"/>
      <c r="CY2595" s="6"/>
      <c r="CZ2595" s="6"/>
    </row>
    <row r="2596" spans="27:104" s="5" customFormat="1" x14ac:dyDescent="0.25">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16"/>
      <c r="BC2596" s="6"/>
      <c r="BD2596" s="6"/>
      <c r="BE2596" s="6"/>
      <c r="BF2596" s="6"/>
      <c r="BG2596" s="6"/>
      <c r="BH2596" s="6"/>
      <c r="BI2596" s="6"/>
      <c r="BJ2596" s="6"/>
      <c r="BK2596" s="6"/>
      <c r="BL2596" s="6"/>
      <c r="BM2596" s="6"/>
      <c r="BN2596" s="6"/>
      <c r="BO2596" s="6"/>
      <c r="BP2596" s="6"/>
      <c r="BQ2596" s="6"/>
      <c r="BR2596" s="6"/>
      <c r="BS2596" s="6"/>
      <c r="BT2596" s="6"/>
      <c r="BU2596" s="6"/>
      <c r="BV2596" s="6"/>
      <c r="BW2596" s="6"/>
      <c r="BX2596" s="6"/>
      <c r="BY2596" s="6"/>
      <c r="BZ2596" s="6"/>
      <c r="CA2596" s="6"/>
      <c r="CB2596" s="6"/>
      <c r="CC2596" s="6"/>
      <c r="CD2596" s="6"/>
      <c r="CE2596" s="6"/>
      <c r="CF2596" s="6"/>
      <c r="CG2596" s="6"/>
      <c r="CH2596" s="6"/>
      <c r="CI2596" s="6"/>
      <c r="CJ2596" s="6"/>
      <c r="CK2596" s="6"/>
      <c r="CL2596" s="6"/>
      <c r="CM2596" s="6"/>
      <c r="CN2596" s="6"/>
      <c r="CO2596" s="6"/>
      <c r="CP2596" s="6"/>
      <c r="CQ2596" s="6"/>
      <c r="CR2596" s="6"/>
      <c r="CS2596" s="6"/>
      <c r="CT2596" s="6"/>
      <c r="CU2596" s="6"/>
      <c r="CV2596" s="6"/>
      <c r="CW2596" s="6"/>
      <c r="CX2596" s="6"/>
      <c r="CY2596" s="6"/>
      <c r="CZ2596" s="6"/>
    </row>
    <row r="2597" spans="27:104" s="5" customFormat="1" x14ac:dyDescent="0.25">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16"/>
      <c r="BC2597" s="6"/>
      <c r="BD2597" s="6"/>
      <c r="BE2597" s="6"/>
      <c r="BF2597" s="6"/>
      <c r="BG2597" s="6"/>
      <c r="BH2597" s="6"/>
      <c r="BI2597" s="6"/>
      <c r="BJ2597" s="6"/>
      <c r="BK2597" s="6"/>
      <c r="BL2597" s="6"/>
      <c r="BM2597" s="6"/>
      <c r="BN2597" s="6"/>
      <c r="BO2597" s="6"/>
      <c r="BP2597" s="6"/>
      <c r="BQ2597" s="6"/>
      <c r="BR2597" s="6"/>
      <c r="BS2597" s="6"/>
      <c r="BT2597" s="6"/>
      <c r="BU2597" s="6"/>
      <c r="BV2597" s="6"/>
      <c r="BW2597" s="6"/>
      <c r="BX2597" s="6"/>
      <c r="BY2597" s="6"/>
      <c r="BZ2597" s="6"/>
      <c r="CA2597" s="6"/>
      <c r="CB2597" s="6"/>
      <c r="CC2597" s="6"/>
      <c r="CD2597" s="6"/>
      <c r="CE2597" s="6"/>
      <c r="CF2597" s="6"/>
      <c r="CG2597" s="6"/>
      <c r="CH2597" s="6"/>
      <c r="CI2597" s="6"/>
      <c r="CJ2597" s="6"/>
      <c r="CK2597" s="6"/>
      <c r="CL2597" s="6"/>
      <c r="CM2597" s="6"/>
      <c r="CN2597" s="6"/>
      <c r="CO2597" s="6"/>
      <c r="CP2597" s="6"/>
      <c r="CQ2597" s="6"/>
      <c r="CR2597" s="6"/>
      <c r="CS2597" s="6"/>
      <c r="CT2597" s="6"/>
      <c r="CU2597" s="6"/>
      <c r="CV2597" s="6"/>
      <c r="CW2597" s="6"/>
      <c r="CX2597" s="6"/>
      <c r="CY2597" s="6"/>
      <c r="CZ2597" s="6"/>
    </row>
    <row r="2598" spans="27:104" s="5" customFormat="1" x14ac:dyDescent="0.25">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16"/>
      <c r="BC2598" s="6"/>
      <c r="BD2598" s="6"/>
      <c r="BE2598" s="6"/>
      <c r="BF2598" s="6"/>
      <c r="BG2598" s="6"/>
      <c r="BH2598" s="6"/>
      <c r="BI2598" s="6"/>
      <c r="BJ2598" s="6"/>
      <c r="BK2598" s="6"/>
      <c r="BL2598" s="6"/>
      <c r="BM2598" s="6"/>
      <c r="BN2598" s="6"/>
      <c r="BO2598" s="6"/>
      <c r="BP2598" s="6"/>
      <c r="BQ2598" s="6"/>
      <c r="BR2598" s="6"/>
      <c r="BS2598" s="6"/>
      <c r="BT2598" s="6"/>
      <c r="BU2598" s="6"/>
      <c r="BV2598" s="6"/>
      <c r="BW2598" s="6"/>
      <c r="BX2598" s="6"/>
      <c r="BY2598" s="6"/>
      <c r="BZ2598" s="6"/>
      <c r="CA2598" s="6"/>
      <c r="CB2598" s="6"/>
      <c r="CC2598" s="6"/>
      <c r="CD2598" s="6"/>
      <c r="CE2598" s="6"/>
      <c r="CF2598" s="6"/>
      <c r="CG2598" s="6"/>
      <c r="CH2598" s="6"/>
      <c r="CI2598" s="6"/>
      <c r="CJ2598" s="6"/>
      <c r="CK2598" s="6"/>
      <c r="CL2598" s="6"/>
      <c r="CM2598" s="6"/>
      <c r="CN2598" s="6"/>
      <c r="CO2598" s="6"/>
      <c r="CP2598" s="6"/>
      <c r="CQ2598" s="6"/>
      <c r="CR2598" s="6"/>
      <c r="CS2598" s="6"/>
      <c r="CT2598" s="6"/>
      <c r="CU2598" s="6"/>
      <c r="CV2598" s="6"/>
      <c r="CW2598" s="6"/>
      <c r="CX2598" s="6"/>
      <c r="CY2598" s="6"/>
      <c r="CZ2598" s="6"/>
    </row>
    <row r="2599" spans="27:104" s="5" customFormat="1" x14ac:dyDescent="0.25">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16"/>
      <c r="BC2599" s="6"/>
      <c r="BD2599" s="6"/>
      <c r="BE2599" s="6"/>
      <c r="BF2599" s="6"/>
      <c r="BG2599" s="6"/>
      <c r="BH2599" s="6"/>
      <c r="BI2599" s="6"/>
      <c r="BJ2599" s="6"/>
      <c r="BK2599" s="6"/>
      <c r="BL2599" s="6"/>
      <c r="BM2599" s="6"/>
      <c r="BN2599" s="6"/>
      <c r="BO2599" s="6"/>
      <c r="BP2599" s="6"/>
      <c r="BQ2599" s="6"/>
      <c r="BR2599" s="6"/>
      <c r="BS2599" s="6"/>
      <c r="BT2599" s="6"/>
      <c r="BU2599" s="6"/>
      <c r="BV2599" s="6"/>
      <c r="BW2599" s="6"/>
      <c r="BX2599" s="6"/>
      <c r="BY2599" s="6"/>
      <c r="BZ2599" s="6"/>
      <c r="CA2599" s="6"/>
      <c r="CB2599" s="6"/>
      <c r="CC2599" s="6"/>
      <c r="CD2599" s="6"/>
      <c r="CE2599" s="6"/>
      <c r="CF2599" s="6"/>
      <c r="CG2599" s="6"/>
      <c r="CH2599" s="6"/>
      <c r="CI2599" s="6"/>
      <c r="CJ2599" s="6"/>
      <c r="CK2599" s="6"/>
      <c r="CL2599" s="6"/>
      <c r="CM2599" s="6"/>
      <c r="CN2599" s="6"/>
      <c r="CO2599" s="6"/>
      <c r="CP2599" s="6"/>
      <c r="CQ2599" s="6"/>
      <c r="CR2599" s="6"/>
      <c r="CS2599" s="6"/>
      <c r="CT2599" s="6"/>
      <c r="CU2599" s="6"/>
      <c r="CV2599" s="6"/>
      <c r="CW2599" s="6"/>
      <c r="CX2599" s="6"/>
      <c r="CY2599" s="6"/>
      <c r="CZ2599" s="6"/>
    </row>
    <row r="2600" spans="27:104" s="5" customFormat="1" x14ac:dyDescent="0.25">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16"/>
      <c r="BC2600" s="6"/>
      <c r="BD2600" s="6"/>
      <c r="BE2600" s="6"/>
      <c r="BF2600" s="6"/>
      <c r="BG2600" s="6"/>
      <c r="BH2600" s="6"/>
      <c r="BI2600" s="6"/>
      <c r="BJ2600" s="6"/>
      <c r="BK2600" s="6"/>
      <c r="BL2600" s="6"/>
      <c r="BM2600" s="6"/>
      <c r="BN2600" s="6"/>
      <c r="BO2600" s="6"/>
      <c r="BP2600" s="6"/>
      <c r="BQ2600" s="6"/>
      <c r="BR2600" s="6"/>
      <c r="BS2600" s="6"/>
      <c r="BT2600" s="6"/>
      <c r="BU2600" s="6"/>
      <c r="BV2600" s="6"/>
      <c r="BW2600" s="6"/>
      <c r="BX2600" s="6"/>
      <c r="BY2600" s="6"/>
      <c r="BZ2600" s="6"/>
      <c r="CA2600" s="6"/>
      <c r="CB2600" s="6"/>
      <c r="CC2600" s="6"/>
      <c r="CD2600" s="6"/>
      <c r="CE2600" s="6"/>
      <c r="CF2600" s="6"/>
      <c r="CG2600" s="6"/>
      <c r="CH2600" s="6"/>
      <c r="CI2600" s="6"/>
      <c r="CJ2600" s="6"/>
      <c r="CK2600" s="6"/>
      <c r="CL2600" s="6"/>
      <c r="CM2600" s="6"/>
      <c r="CN2600" s="6"/>
      <c r="CO2600" s="6"/>
      <c r="CP2600" s="6"/>
      <c r="CQ2600" s="6"/>
      <c r="CR2600" s="6"/>
      <c r="CS2600" s="6"/>
      <c r="CT2600" s="6"/>
      <c r="CU2600" s="6"/>
      <c r="CV2600" s="6"/>
      <c r="CW2600" s="6"/>
      <c r="CX2600" s="6"/>
      <c r="CY2600" s="6"/>
      <c r="CZ2600" s="6"/>
    </row>
    <row r="2601" spans="27:104" s="5" customFormat="1" x14ac:dyDescent="0.25">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16"/>
      <c r="BC2601" s="6"/>
      <c r="BD2601" s="6"/>
      <c r="BE2601" s="6"/>
      <c r="BF2601" s="6"/>
      <c r="BG2601" s="6"/>
      <c r="BH2601" s="6"/>
      <c r="BI2601" s="6"/>
      <c r="BJ2601" s="6"/>
      <c r="BK2601" s="6"/>
      <c r="BL2601" s="6"/>
      <c r="BM2601" s="6"/>
      <c r="BN2601" s="6"/>
      <c r="BO2601" s="6"/>
      <c r="BP2601" s="6"/>
      <c r="BQ2601" s="6"/>
      <c r="BR2601" s="6"/>
      <c r="BS2601" s="6"/>
      <c r="BT2601" s="6"/>
      <c r="BU2601" s="6"/>
      <c r="BV2601" s="6"/>
      <c r="BW2601" s="6"/>
      <c r="BX2601" s="6"/>
      <c r="BY2601" s="6"/>
      <c r="BZ2601" s="6"/>
      <c r="CA2601" s="6"/>
      <c r="CB2601" s="6"/>
      <c r="CC2601" s="6"/>
      <c r="CD2601" s="6"/>
      <c r="CE2601" s="6"/>
      <c r="CF2601" s="6"/>
      <c r="CG2601" s="6"/>
      <c r="CH2601" s="6"/>
      <c r="CI2601" s="6"/>
      <c r="CJ2601" s="6"/>
      <c r="CK2601" s="6"/>
      <c r="CL2601" s="6"/>
      <c r="CM2601" s="6"/>
      <c r="CN2601" s="6"/>
      <c r="CO2601" s="6"/>
      <c r="CP2601" s="6"/>
      <c r="CQ2601" s="6"/>
      <c r="CR2601" s="6"/>
      <c r="CS2601" s="6"/>
      <c r="CT2601" s="6"/>
      <c r="CU2601" s="6"/>
      <c r="CV2601" s="6"/>
      <c r="CW2601" s="6"/>
      <c r="CX2601" s="6"/>
      <c r="CY2601" s="6"/>
      <c r="CZ2601" s="6"/>
    </row>
    <row r="2602" spans="27:104" s="5" customFormat="1" x14ac:dyDescent="0.25">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16"/>
      <c r="BC2602" s="6"/>
      <c r="BD2602" s="6"/>
      <c r="BE2602" s="6"/>
      <c r="BF2602" s="6"/>
      <c r="BG2602" s="6"/>
      <c r="BH2602" s="6"/>
      <c r="BI2602" s="6"/>
      <c r="BJ2602" s="6"/>
      <c r="BK2602" s="6"/>
      <c r="BL2602" s="6"/>
      <c r="BM2602" s="6"/>
      <c r="BN2602" s="6"/>
      <c r="BO2602" s="6"/>
      <c r="BP2602" s="6"/>
      <c r="BQ2602" s="6"/>
      <c r="BR2602" s="6"/>
      <c r="BS2602" s="6"/>
      <c r="BT2602" s="6"/>
      <c r="BU2602" s="6"/>
      <c r="BV2602" s="6"/>
      <c r="BW2602" s="6"/>
      <c r="BX2602" s="6"/>
      <c r="BY2602" s="6"/>
      <c r="BZ2602" s="6"/>
      <c r="CA2602" s="6"/>
      <c r="CB2602" s="6"/>
      <c r="CC2602" s="6"/>
      <c r="CD2602" s="6"/>
      <c r="CE2602" s="6"/>
      <c r="CF2602" s="6"/>
      <c r="CG2602" s="6"/>
      <c r="CH2602" s="6"/>
      <c r="CI2602" s="6"/>
      <c r="CJ2602" s="6"/>
      <c r="CK2602" s="6"/>
      <c r="CL2602" s="6"/>
      <c r="CM2602" s="6"/>
      <c r="CN2602" s="6"/>
      <c r="CO2602" s="6"/>
      <c r="CP2602" s="6"/>
      <c r="CQ2602" s="6"/>
      <c r="CR2602" s="6"/>
      <c r="CS2602" s="6"/>
      <c r="CT2602" s="6"/>
      <c r="CU2602" s="6"/>
      <c r="CV2602" s="6"/>
      <c r="CW2602" s="6"/>
      <c r="CX2602" s="6"/>
      <c r="CY2602" s="6"/>
      <c r="CZ2602" s="6"/>
    </row>
    <row r="2603" spans="27:104" s="5" customFormat="1" x14ac:dyDescent="0.25">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16"/>
      <c r="BC2603" s="6"/>
      <c r="BD2603" s="6"/>
      <c r="BE2603" s="6"/>
      <c r="BF2603" s="6"/>
      <c r="BG2603" s="6"/>
      <c r="BH2603" s="6"/>
      <c r="BI2603" s="6"/>
      <c r="BJ2603" s="6"/>
      <c r="BK2603" s="6"/>
      <c r="BL2603" s="6"/>
      <c r="BM2603" s="6"/>
      <c r="BN2603" s="6"/>
      <c r="BO2603" s="6"/>
      <c r="BP2603" s="6"/>
      <c r="BQ2603" s="6"/>
      <c r="BR2603" s="6"/>
      <c r="BS2603" s="6"/>
      <c r="BT2603" s="6"/>
      <c r="BU2603" s="6"/>
      <c r="BV2603" s="6"/>
      <c r="BW2603" s="6"/>
      <c r="BX2603" s="6"/>
      <c r="BY2603" s="6"/>
      <c r="BZ2603" s="6"/>
      <c r="CA2603" s="6"/>
      <c r="CB2603" s="6"/>
      <c r="CC2603" s="6"/>
      <c r="CD2603" s="6"/>
      <c r="CE2603" s="6"/>
      <c r="CF2603" s="6"/>
      <c r="CG2603" s="6"/>
      <c r="CH2603" s="6"/>
      <c r="CI2603" s="6"/>
      <c r="CJ2603" s="6"/>
      <c r="CK2603" s="6"/>
      <c r="CL2603" s="6"/>
      <c r="CM2603" s="6"/>
      <c r="CN2603" s="6"/>
      <c r="CO2603" s="6"/>
      <c r="CP2603" s="6"/>
      <c r="CQ2603" s="6"/>
      <c r="CR2603" s="6"/>
      <c r="CS2603" s="6"/>
      <c r="CT2603" s="6"/>
      <c r="CU2603" s="6"/>
      <c r="CV2603" s="6"/>
      <c r="CW2603" s="6"/>
      <c r="CX2603" s="6"/>
      <c r="CY2603" s="6"/>
      <c r="CZ2603" s="6"/>
    </row>
    <row r="2604" spans="27:104" s="5" customFormat="1" x14ac:dyDescent="0.25">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16"/>
      <c r="BC2604" s="6"/>
      <c r="BD2604" s="6"/>
      <c r="BE2604" s="6"/>
      <c r="BF2604" s="6"/>
      <c r="BG2604" s="6"/>
      <c r="BH2604" s="6"/>
      <c r="BI2604" s="6"/>
      <c r="BJ2604" s="6"/>
      <c r="BK2604" s="6"/>
      <c r="BL2604" s="6"/>
      <c r="BM2604" s="6"/>
      <c r="BN2604" s="6"/>
      <c r="BO2604" s="6"/>
      <c r="BP2604" s="6"/>
      <c r="BQ2604" s="6"/>
      <c r="BR2604" s="6"/>
      <c r="BS2604" s="6"/>
      <c r="BT2604" s="6"/>
      <c r="BU2604" s="6"/>
      <c r="BV2604" s="6"/>
      <c r="BW2604" s="6"/>
      <c r="BX2604" s="6"/>
      <c r="BY2604" s="6"/>
      <c r="BZ2604" s="6"/>
      <c r="CA2604" s="6"/>
      <c r="CB2604" s="6"/>
      <c r="CC2604" s="6"/>
      <c r="CD2604" s="6"/>
      <c r="CE2604" s="6"/>
      <c r="CF2604" s="6"/>
      <c r="CG2604" s="6"/>
      <c r="CH2604" s="6"/>
      <c r="CI2604" s="6"/>
      <c r="CJ2604" s="6"/>
      <c r="CK2604" s="6"/>
      <c r="CL2604" s="6"/>
      <c r="CM2604" s="6"/>
      <c r="CN2604" s="6"/>
      <c r="CO2604" s="6"/>
      <c r="CP2604" s="6"/>
      <c r="CQ2604" s="6"/>
      <c r="CR2604" s="6"/>
      <c r="CS2604" s="6"/>
      <c r="CT2604" s="6"/>
      <c r="CU2604" s="6"/>
      <c r="CV2604" s="6"/>
      <c r="CW2604" s="6"/>
      <c r="CX2604" s="6"/>
      <c r="CY2604" s="6"/>
      <c r="CZ2604" s="6"/>
    </row>
    <row r="2605" spans="27:104" s="5" customFormat="1" x14ac:dyDescent="0.25">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16"/>
      <c r="BC2605" s="6"/>
      <c r="BD2605" s="6"/>
      <c r="BE2605" s="6"/>
      <c r="BF2605" s="6"/>
      <c r="BG2605" s="6"/>
      <c r="BH2605" s="6"/>
      <c r="BI2605" s="6"/>
      <c r="BJ2605" s="6"/>
      <c r="BK2605" s="6"/>
      <c r="BL2605" s="6"/>
      <c r="BM2605" s="6"/>
      <c r="BN2605" s="6"/>
      <c r="BO2605" s="6"/>
      <c r="BP2605" s="6"/>
      <c r="BQ2605" s="6"/>
      <c r="BR2605" s="6"/>
      <c r="BS2605" s="6"/>
      <c r="BT2605" s="6"/>
      <c r="BU2605" s="6"/>
      <c r="BV2605" s="6"/>
      <c r="BW2605" s="6"/>
      <c r="BX2605" s="6"/>
      <c r="BY2605" s="6"/>
      <c r="BZ2605" s="6"/>
      <c r="CA2605" s="6"/>
      <c r="CB2605" s="6"/>
      <c r="CC2605" s="6"/>
      <c r="CD2605" s="6"/>
      <c r="CE2605" s="6"/>
      <c r="CF2605" s="6"/>
      <c r="CG2605" s="6"/>
      <c r="CH2605" s="6"/>
      <c r="CI2605" s="6"/>
      <c r="CJ2605" s="6"/>
      <c r="CK2605" s="6"/>
      <c r="CL2605" s="6"/>
      <c r="CM2605" s="6"/>
      <c r="CN2605" s="6"/>
      <c r="CO2605" s="6"/>
      <c r="CP2605" s="6"/>
      <c r="CQ2605" s="6"/>
      <c r="CR2605" s="6"/>
      <c r="CS2605" s="6"/>
      <c r="CT2605" s="6"/>
      <c r="CU2605" s="6"/>
      <c r="CV2605" s="6"/>
      <c r="CW2605" s="6"/>
      <c r="CX2605" s="6"/>
      <c r="CY2605" s="6"/>
      <c r="CZ2605" s="6"/>
    </row>
    <row r="2606" spans="27:104" s="5" customFormat="1" x14ac:dyDescent="0.25">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16"/>
      <c r="BC2606" s="6"/>
      <c r="BD2606" s="6"/>
      <c r="BE2606" s="6"/>
      <c r="BF2606" s="6"/>
      <c r="BG2606" s="6"/>
      <c r="BH2606" s="6"/>
      <c r="BI2606" s="6"/>
      <c r="BJ2606" s="6"/>
      <c r="BK2606" s="6"/>
      <c r="BL2606" s="6"/>
      <c r="BM2606" s="6"/>
      <c r="BN2606" s="6"/>
      <c r="BO2606" s="6"/>
      <c r="BP2606" s="6"/>
      <c r="BQ2606" s="6"/>
      <c r="BR2606" s="6"/>
      <c r="BS2606" s="6"/>
      <c r="BT2606" s="6"/>
      <c r="BU2606" s="6"/>
      <c r="BV2606" s="6"/>
      <c r="BW2606" s="6"/>
      <c r="BX2606" s="6"/>
      <c r="BY2606" s="6"/>
      <c r="BZ2606" s="6"/>
      <c r="CA2606" s="6"/>
      <c r="CB2606" s="6"/>
      <c r="CC2606" s="6"/>
      <c r="CD2606" s="6"/>
      <c r="CE2606" s="6"/>
      <c r="CF2606" s="6"/>
      <c r="CG2606" s="6"/>
      <c r="CH2606" s="6"/>
      <c r="CI2606" s="6"/>
      <c r="CJ2606" s="6"/>
      <c r="CK2606" s="6"/>
      <c r="CL2606" s="6"/>
      <c r="CM2606" s="6"/>
      <c r="CN2606" s="6"/>
      <c r="CO2606" s="6"/>
      <c r="CP2606" s="6"/>
      <c r="CQ2606" s="6"/>
      <c r="CR2606" s="6"/>
      <c r="CS2606" s="6"/>
      <c r="CT2606" s="6"/>
      <c r="CU2606" s="6"/>
      <c r="CV2606" s="6"/>
      <c r="CW2606" s="6"/>
      <c r="CX2606" s="6"/>
      <c r="CY2606" s="6"/>
      <c r="CZ2606" s="6"/>
    </row>
    <row r="2607" spans="27:104" s="5" customFormat="1" x14ac:dyDescent="0.25">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16"/>
      <c r="BC2607" s="6"/>
      <c r="BD2607" s="6"/>
      <c r="BE2607" s="6"/>
      <c r="BF2607" s="6"/>
      <c r="BG2607" s="6"/>
      <c r="BH2607" s="6"/>
      <c r="BI2607" s="6"/>
      <c r="BJ2607" s="6"/>
      <c r="BK2607" s="6"/>
      <c r="BL2607" s="6"/>
      <c r="BM2607" s="6"/>
      <c r="BN2607" s="6"/>
      <c r="BO2607" s="6"/>
      <c r="BP2607" s="6"/>
      <c r="BQ2607" s="6"/>
      <c r="BR2607" s="6"/>
      <c r="BS2607" s="6"/>
      <c r="BT2607" s="6"/>
      <c r="BU2607" s="6"/>
      <c r="BV2607" s="6"/>
      <c r="BW2607" s="6"/>
      <c r="BX2607" s="6"/>
      <c r="BY2607" s="6"/>
      <c r="BZ2607" s="6"/>
      <c r="CA2607" s="6"/>
      <c r="CB2607" s="6"/>
      <c r="CC2607" s="6"/>
      <c r="CD2607" s="6"/>
      <c r="CE2607" s="6"/>
      <c r="CF2607" s="6"/>
      <c r="CG2607" s="6"/>
      <c r="CH2607" s="6"/>
      <c r="CI2607" s="6"/>
      <c r="CJ2607" s="6"/>
      <c r="CK2607" s="6"/>
      <c r="CL2607" s="6"/>
      <c r="CM2607" s="6"/>
      <c r="CN2607" s="6"/>
      <c r="CO2607" s="6"/>
      <c r="CP2607" s="6"/>
      <c r="CQ2607" s="6"/>
      <c r="CR2607" s="6"/>
      <c r="CS2607" s="6"/>
      <c r="CT2607" s="6"/>
      <c r="CU2607" s="6"/>
      <c r="CV2607" s="6"/>
      <c r="CW2607" s="6"/>
      <c r="CX2607" s="6"/>
      <c r="CY2607" s="6"/>
      <c r="CZ2607" s="6"/>
    </row>
    <row r="2608" spans="27:104" s="5" customFormat="1" x14ac:dyDescent="0.25">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16"/>
      <c r="BC2608" s="6"/>
      <c r="BD2608" s="6"/>
      <c r="BE2608" s="6"/>
      <c r="BF2608" s="6"/>
      <c r="BG2608" s="6"/>
      <c r="BH2608" s="6"/>
      <c r="BI2608" s="6"/>
      <c r="BJ2608" s="6"/>
      <c r="BK2608" s="6"/>
      <c r="BL2608" s="6"/>
      <c r="BM2608" s="6"/>
      <c r="BN2608" s="6"/>
      <c r="BO2608" s="6"/>
      <c r="BP2608" s="6"/>
      <c r="BQ2608" s="6"/>
      <c r="BR2608" s="6"/>
      <c r="BS2608" s="6"/>
      <c r="BT2608" s="6"/>
      <c r="BU2608" s="6"/>
      <c r="BV2608" s="6"/>
      <c r="BW2608" s="6"/>
      <c r="BX2608" s="6"/>
      <c r="BY2608" s="6"/>
      <c r="BZ2608" s="6"/>
      <c r="CA2608" s="6"/>
      <c r="CB2608" s="6"/>
      <c r="CC2608" s="6"/>
      <c r="CD2608" s="6"/>
      <c r="CE2608" s="6"/>
      <c r="CF2608" s="6"/>
      <c r="CG2608" s="6"/>
      <c r="CH2608" s="6"/>
      <c r="CI2608" s="6"/>
      <c r="CJ2608" s="6"/>
      <c r="CK2608" s="6"/>
      <c r="CL2608" s="6"/>
      <c r="CM2608" s="6"/>
      <c r="CN2608" s="6"/>
      <c r="CO2608" s="6"/>
      <c r="CP2608" s="6"/>
      <c r="CQ2608" s="6"/>
      <c r="CR2608" s="6"/>
      <c r="CS2608" s="6"/>
      <c r="CT2608" s="6"/>
      <c r="CU2608" s="6"/>
      <c r="CV2608" s="6"/>
      <c r="CW2608" s="6"/>
      <c r="CX2608" s="6"/>
      <c r="CY2608" s="6"/>
      <c r="CZ2608" s="6"/>
    </row>
    <row r="2609" spans="27:104" s="5" customFormat="1" x14ac:dyDescent="0.25">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16"/>
      <c r="BC2609" s="6"/>
      <c r="BD2609" s="6"/>
      <c r="BE2609" s="6"/>
      <c r="BF2609" s="6"/>
      <c r="BG2609" s="6"/>
      <c r="BH2609" s="6"/>
      <c r="BI2609" s="6"/>
      <c r="BJ2609" s="6"/>
      <c r="BK2609" s="6"/>
      <c r="BL2609" s="6"/>
      <c r="BM2609" s="6"/>
      <c r="BN2609" s="6"/>
      <c r="BO2609" s="6"/>
      <c r="BP2609" s="6"/>
      <c r="BQ2609" s="6"/>
      <c r="BR2609" s="6"/>
      <c r="BS2609" s="6"/>
      <c r="BT2609" s="6"/>
      <c r="BU2609" s="6"/>
      <c r="BV2609" s="6"/>
      <c r="BW2609" s="6"/>
      <c r="BX2609" s="6"/>
      <c r="BY2609" s="6"/>
      <c r="BZ2609" s="6"/>
      <c r="CA2609" s="6"/>
      <c r="CB2609" s="6"/>
      <c r="CC2609" s="6"/>
      <c r="CD2609" s="6"/>
      <c r="CE2609" s="6"/>
      <c r="CF2609" s="6"/>
      <c r="CG2609" s="6"/>
      <c r="CH2609" s="6"/>
      <c r="CI2609" s="6"/>
      <c r="CJ2609" s="6"/>
      <c r="CK2609" s="6"/>
      <c r="CL2609" s="6"/>
      <c r="CM2609" s="6"/>
      <c r="CN2609" s="6"/>
      <c r="CO2609" s="6"/>
      <c r="CP2609" s="6"/>
      <c r="CQ2609" s="6"/>
      <c r="CR2609" s="6"/>
      <c r="CS2609" s="6"/>
      <c r="CT2609" s="6"/>
      <c r="CU2609" s="6"/>
      <c r="CV2609" s="6"/>
      <c r="CW2609" s="6"/>
      <c r="CX2609" s="6"/>
      <c r="CY2609" s="6"/>
      <c r="CZ2609" s="6"/>
    </row>
    <row r="2610" spans="27:104" s="5" customFormat="1" x14ac:dyDescent="0.25">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16"/>
      <c r="BC2610" s="6"/>
      <c r="BD2610" s="6"/>
      <c r="BE2610" s="6"/>
      <c r="BF2610" s="6"/>
      <c r="BG2610" s="6"/>
      <c r="BH2610" s="6"/>
      <c r="BI2610" s="6"/>
      <c r="BJ2610" s="6"/>
      <c r="BK2610" s="6"/>
      <c r="BL2610" s="6"/>
      <c r="BM2610" s="6"/>
      <c r="BN2610" s="6"/>
      <c r="BO2610" s="6"/>
      <c r="BP2610" s="6"/>
      <c r="BQ2610" s="6"/>
      <c r="BR2610" s="6"/>
      <c r="BS2610" s="6"/>
      <c r="BT2610" s="6"/>
      <c r="BU2610" s="6"/>
      <c r="BV2610" s="6"/>
      <c r="BW2610" s="6"/>
      <c r="BX2610" s="6"/>
      <c r="BY2610" s="6"/>
      <c r="BZ2610" s="6"/>
      <c r="CA2610" s="6"/>
      <c r="CB2610" s="6"/>
      <c r="CC2610" s="6"/>
      <c r="CD2610" s="6"/>
      <c r="CE2610" s="6"/>
      <c r="CF2610" s="6"/>
      <c r="CG2610" s="6"/>
      <c r="CH2610" s="6"/>
      <c r="CI2610" s="6"/>
      <c r="CJ2610" s="6"/>
      <c r="CK2610" s="6"/>
      <c r="CL2610" s="6"/>
      <c r="CM2610" s="6"/>
      <c r="CN2610" s="6"/>
      <c r="CO2610" s="6"/>
      <c r="CP2610" s="6"/>
      <c r="CQ2610" s="6"/>
      <c r="CR2610" s="6"/>
      <c r="CS2610" s="6"/>
      <c r="CT2610" s="6"/>
      <c r="CU2610" s="6"/>
      <c r="CV2610" s="6"/>
      <c r="CW2610" s="6"/>
      <c r="CX2610" s="6"/>
      <c r="CY2610" s="6"/>
      <c r="CZ2610" s="6"/>
    </row>
    <row r="2611" spans="27:104" s="5" customFormat="1" x14ac:dyDescent="0.25">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16"/>
      <c r="BC2611" s="6"/>
      <c r="BD2611" s="6"/>
      <c r="BE2611" s="6"/>
      <c r="BF2611" s="6"/>
      <c r="BG2611" s="6"/>
      <c r="BH2611" s="6"/>
      <c r="BI2611" s="6"/>
      <c r="BJ2611" s="6"/>
      <c r="BK2611" s="6"/>
      <c r="BL2611" s="6"/>
      <c r="BM2611" s="6"/>
      <c r="BN2611" s="6"/>
      <c r="BO2611" s="6"/>
      <c r="BP2611" s="6"/>
      <c r="BQ2611" s="6"/>
      <c r="BR2611" s="6"/>
      <c r="BS2611" s="6"/>
      <c r="BT2611" s="6"/>
      <c r="BU2611" s="6"/>
      <c r="BV2611" s="6"/>
      <c r="BW2611" s="6"/>
      <c r="BX2611" s="6"/>
      <c r="BY2611" s="6"/>
      <c r="BZ2611" s="6"/>
      <c r="CA2611" s="6"/>
      <c r="CB2611" s="6"/>
      <c r="CC2611" s="6"/>
      <c r="CD2611" s="6"/>
      <c r="CE2611" s="6"/>
      <c r="CF2611" s="6"/>
      <c r="CG2611" s="6"/>
      <c r="CH2611" s="6"/>
      <c r="CI2611" s="6"/>
      <c r="CJ2611" s="6"/>
      <c r="CK2611" s="6"/>
      <c r="CL2611" s="6"/>
      <c r="CM2611" s="6"/>
      <c r="CN2611" s="6"/>
      <c r="CO2611" s="6"/>
      <c r="CP2611" s="6"/>
      <c r="CQ2611" s="6"/>
      <c r="CR2611" s="6"/>
      <c r="CS2611" s="6"/>
      <c r="CT2611" s="6"/>
      <c r="CU2611" s="6"/>
      <c r="CV2611" s="6"/>
      <c r="CW2611" s="6"/>
      <c r="CX2611" s="6"/>
      <c r="CY2611" s="6"/>
      <c r="CZ2611" s="6"/>
    </row>
    <row r="2612" spans="27:104" s="5" customFormat="1" x14ac:dyDescent="0.25">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16"/>
      <c r="BC2612" s="6"/>
      <c r="BD2612" s="6"/>
      <c r="BE2612" s="6"/>
      <c r="BF2612" s="6"/>
      <c r="BG2612" s="6"/>
      <c r="BH2612" s="6"/>
      <c r="BI2612" s="6"/>
      <c r="BJ2612" s="6"/>
      <c r="BK2612" s="6"/>
      <c r="BL2612" s="6"/>
      <c r="BM2612" s="6"/>
      <c r="BN2612" s="6"/>
      <c r="BO2612" s="6"/>
      <c r="BP2612" s="6"/>
      <c r="BQ2612" s="6"/>
      <c r="BR2612" s="6"/>
      <c r="BS2612" s="6"/>
      <c r="BT2612" s="6"/>
      <c r="BU2612" s="6"/>
      <c r="BV2612" s="6"/>
      <c r="BW2612" s="6"/>
      <c r="BX2612" s="6"/>
      <c r="BY2612" s="6"/>
      <c r="BZ2612" s="6"/>
      <c r="CA2612" s="6"/>
      <c r="CB2612" s="6"/>
      <c r="CC2612" s="6"/>
      <c r="CD2612" s="6"/>
      <c r="CE2612" s="6"/>
      <c r="CF2612" s="6"/>
      <c r="CG2612" s="6"/>
      <c r="CH2612" s="6"/>
      <c r="CI2612" s="6"/>
      <c r="CJ2612" s="6"/>
      <c r="CK2612" s="6"/>
      <c r="CL2612" s="6"/>
      <c r="CM2612" s="6"/>
      <c r="CN2612" s="6"/>
      <c r="CO2612" s="6"/>
      <c r="CP2612" s="6"/>
      <c r="CQ2612" s="6"/>
      <c r="CR2612" s="6"/>
      <c r="CS2612" s="6"/>
      <c r="CT2612" s="6"/>
      <c r="CU2612" s="6"/>
      <c r="CV2612" s="6"/>
      <c r="CW2612" s="6"/>
      <c r="CX2612" s="6"/>
      <c r="CY2612" s="6"/>
      <c r="CZ2612" s="6"/>
    </row>
    <row r="2613" spans="27:104" s="5" customFormat="1" x14ac:dyDescent="0.25">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16"/>
      <c r="BC2613" s="6"/>
      <c r="BD2613" s="6"/>
      <c r="BE2613" s="6"/>
      <c r="BF2613" s="6"/>
      <c r="BG2613" s="6"/>
      <c r="BH2613" s="6"/>
      <c r="BI2613" s="6"/>
      <c r="BJ2613" s="6"/>
      <c r="BK2613" s="6"/>
      <c r="BL2613" s="6"/>
      <c r="BM2613" s="6"/>
      <c r="BN2613" s="6"/>
      <c r="BO2613" s="6"/>
      <c r="BP2613" s="6"/>
      <c r="BQ2613" s="6"/>
      <c r="BR2613" s="6"/>
      <c r="BS2613" s="6"/>
      <c r="BT2613" s="6"/>
      <c r="BU2613" s="6"/>
      <c r="BV2613" s="6"/>
      <c r="BW2613" s="6"/>
      <c r="BX2613" s="6"/>
      <c r="BY2613" s="6"/>
      <c r="BZ2613" s="6"/>
      <c r="CA2613" s="6"/>
      <c r="CB2613" s="6"/>
      <c r="CC2613" s="6"/>
      <c r="CD2613" s="6"/>
      <c r="CE2613" s="6"/>
      <c r="CF2613" s="6"/>
      <c r="CG2613" s="6"/>
      <c r="CH2613" s="6"/>
      <c r="CI2613" s="6"/>
      <c r="CJ2613" s="6"/>
      <c r="CK2613" s="6"/>
      <c r="CL2613" s="6"/>
      <c r="CM2613" s="6"/>
      <c r="CN2613" s="6"/>
      <c r="CO2613" s="6"/>
      <c r="CP2613" s="6"/>
      <c r="CQ2613" s="6"/>
      <c r="CR2613" s="6"/>
      <c r="CS2613" s="6"/>
      <c r="CT2613" s="6"/>
      <c r="CU2613" s="6"/>
      <c r="CV2613" s="6"/>
      <c r="CW2613" s="6"/>
      <c r="CX2613" s="6"/>
      <c r="CY2613" s="6"/>
      <c r="CZ2613" s="6"/>
    </row>
    <row r="2614" spans="27:104" s="5" customFormat="1" x14ac:dyDescent="0.25">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16"/>
      <c r="BC2614" s="6"/>
      <c r="BD2614" s="6"/>
      <c r="BE2614" s="6"/>
      <c r="BF2614" s="6"/>
      <c r="BG2614" s="6"/>
      <c r="BH2614" s="6"/>
      <c r="BI2614" s="6"/>
      <c r="BJ2614" s="6"/>
      <c r="BK2614" s="6"/>
      <c r="BL2614" s="6"/>
      <c r="BM2614" s="6"/>
      <c r="BN2614" s="6"/>
      <c r="BO2614" s="6"/>
      <c r="BP2614" s="6"/>
      <c r="BQ2614" s="6"/>
      <c r="BR2614" s="6"/>
      <c r="BS2614" s="6"/>
      <c r="BT2614" s="6"/>
      <c r="BU2614" s="6"/>
      <c r="BV2614" s="6"/>
      <c r="BW2614" s="6"/>
      <c r="BX2614" s="6"/>
      <c r="BY2614" s="6"/>
      <c r="BZ2614" s="6"/>
      <c r="CA2614" s="6"/>
      <c r="CB2614" s="6"/>
      <c r="CC2614" s="6"/>
      <c r="CD2614" s="6"/>
      <c r="CE2614" s="6"/>
      <c r="CF2614" s="6"/>
      <c r="CG2614" s="6"/>
      <c r="CH2614" s="6"/>
      <c r="CI2614" s="6"/>
      <c r="CJ2614" s="6"/>
      <c r="CK2614" s="6"/>
      <c r="CL2614" s="6"/>
      <c r="CM2614" s="6"/>
      <c r="CN2614" s="6"/>
      <c r="CO2614" s="6"/>
      <c r="CP2614" s="6"/>
      <c r="CQ2614" s="6"/>
      <c r="CR2614" s="6"/>
      <c r="CS2614" s="6"/>
      <c r="CT2614" s="6"/>
      <c r="CU2614" s="6"/>
      <c r="CV2614" s="6"/>
      <c r="CW2614" s="6"/>
      <c r="CX2614" s="6"/>
      <c r="CY2614" s="6"/>
      <c r="CZ2614" s="6"/>
    </row>
    <row r="2615" spans="27:104" s="5" customFormat="1" x14ac:dyDescent="0.25">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16"/>
      <c r="BC2615" s="6"/>
      <c r="BD2615" s="6"/>
      <c r="BE2615" s="6"/>
      <c r="BF2615" s="6"/>
      <c r="BG2615" s="6"/>
      <c r="BH2615" s="6"/>
      <c r="BI2615" s="6"/>
      <c r="BJ2615" s="6"/>
      <c r="BK2615" s="6"/>
      <c r="BL2615" s="6"/>
      <c r="BM2615" s="6"/>
      <c r="BN2615" s="6"/>
      <c r="BO2615" s="6"/>
      <c r="BP2615" s="6"/>
      <c r="BQ2615" s="6"/>
      <c r="BR2615" s="6"/>
      <c r="BS2615" s="6"/>
      <c r="BT2615" s="6"/>
      <c r="BU2615" s="6"/>
      <c r="BV2615" s="6"/>
      <c r="BW2615" s="6"/>
      <c r="BX2615" s="6"/>
      <c r="BY2615" s="6"/>
      <c r="BZ2615" s="6"/>
      <c r="CA2615" s="6"/>
      <c r="CB2615" s="6"/>
      <c r="CC2615" s="6"/>
      <c r="CD2615" s="6"/>
      <c r="CE2615" s="6"/>
      <c r="CF2615" s="6"/>
      <c r="CG2615" s="6"/>
      <c r="CH2615" s="6"/>
      <c r="CI2615" s="6"/>
      <c r="CJ2615" s="6"/>
      <c r="CK2615" s="6"/>
      <c r="CL2615" s="6"/>
      <c r="CM2615" s="6"/>
      <c r="CN2615" s="6"/>
      <c r="CO2615" s="6"/>
      <c r="CP2615" s="6"/>
      <c r="CQ2615" s="6"/>
      <c r="CR2615" s="6"/>
      <c r="CS2615" s="6"/>
      <c r="CT2615" s="6"/>
      <c r="CU2615" s="6"/>
      <c r="CV2615" s="6"/>
      <c r="CW2615" s="6"/>
      <c r="CX2615" s="6"/>
      <c r="CY2615" s="6"/>
      <c r="CZ2615" s="6"/>
    </row>
    <row r="2616" spans="27:104" s="5" customFormat="1" x14ac:dyDescent="0.25">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16"/>
      <c r="BC2616" s="6"/>
      <c r="BD2616" s="6"/>
      <c r="BE2616" s="6"/>
      <c r="BF2616" s="6"/>
      <c r="BG2616" s="6"/>
      <c r="BH2616" s="6"/>
      <c r="BI2616" s="6"/>
      <c r="BJ2616" s="6"/>
      <c r="BK2616" s="6"/>
      <c r="BL2616" s="6"/>
      <c r="BM2616" s="6"/>
      <c r="BN2616" s="6"/>
      <c r="BO2616" s="6"/>
      <c r="BP2616" s="6"/>
      <c r="BQ2616" s="6"/>
      <c r="BR2616" s="6"/>
      <c r="BS2616" s="6"/>
      <c r="BT2616" s="6"/>
      <c r="BU2616" s="6"/>
      <c r="BV2616" s="6"/>
      <c r="BW2616" s="6"/>
      <c r="BX2616" s="6"/>
      <c r="BY2616" s="6"/>
      <c r="BZ2616" s="6"/>
      <c r="CA2616" s="6"/>
      <c r="CB2616" s="6"/>
      <c r="CC2616" s="6"/>
      <c r="CD2616" s="6"/>
      <c r="CE2616" s="6"/>
      <c r="CF2616" s="6"/>
      <c r="CG2616" s="6"/>
      <c r="CH2616" s="6"/>
      <c r="CI2616" s="6"/>
      <c r="CJ2616" s="6"/>
      <c r="CK2616" s="6"/>
      <c r="CL2616" s="6"/>
      <c r="CM2616" s="6"/>
      <c r="CN2616" s="6"/>
      <c r="CO2616" s="6"/>
      <c r="CP2616" s="6"/>
      <c r="CQ2616" s="6"/>
      <c r="CR2616" s="6"/>
      <c r="CS2616" s="6"/>
      <c r="CT2616" s="6"/>
      <c r="CU2616" s="6"/>
      <c r="CV2616" s="6"/>
      <c r="CW2616" s="6"/>
      <c r="CX2616" s="6"/>
      <c r="CY2616" s="6"/>
      <c r="CZ2616" s="6"/>
    </row>
    <row r="2617" spans="27:104" s="5" customFormat="1" x14ac:dyDescent="0.25">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16"/>
      <c r="BC2617" s="6"/>
      <c r="BD2617" s="6"/>
      <c r="BE2617" s="6"/>
      <c r="BF2617" s="6"/>
      <c r="BG2617" s="6"/>
      <c r="BH2617" s="6"/>
      <c r="BI2617" s="6"/>
      <c r="BJ2617" s="6"/>
      <c r="BK2617" s="6"/>
      <c r="BL2617" s="6"/>
      <c r="BM2617" s="6"/>
      <c r="BN2617" s="6"/>
      <c r="BO2617" s="6"/>
      <c r="BP2617" s="6"/>
      <c r="BQ2617" s="6"/>
      <c r="BR2617" s="6"/>
      <c r="BS2617" s="6"/>
      <c r="BT2617" s="6"/>
      <c r="BU2617" s="6"/>
      <c r="BV2617" s="6"/>
      <c r="BW2617" s="6"/>
      <c r="BX2617" s="6"/>
      <c r="BY2617" s="6"/>
      <c r="BZ2617" s="6"/>
      <c r="CA2617" s="6"/>
      <c r="CB2617" s="6"/>
      <c r="CC2617" s="6"/>
      <c r="CD2617" s="6"/>
      <c r="CE2617" s="6"/>
      <c r="CF2617" s="6"/>
      <c r="CG2617" s="6"/>
      <c r="CH2617" s="6"/>
      <c r="CI2617" s="6"/>
      <c r="CJ2617" s="6"/>
      <c r="CK2617" s="6"/>
      <c r="CL2617" s="6"/>
      <c r="CM2617" s="6"/>
      <c r="CN2617" s="6"/>
      <c r="CO2617" s="6"/>
      <c r="CP2617" s="6"/>
      <c r="CQ2617" s="6"/>
      <c r="CR2617" s="6"/>
      <c r="CS2617" s="6"/>
      <c r="CT2617" s="6"/>
      <c r="CU2617" s="6"/>
      <c r="CV2617" s="6"/>
      <c r="CW2617" s="6"/>
      <c r="CX2617" s="6"/>
      <c r="CY2617" s="6"/>
      <c r="CZ2617" s="6"/>
    </row>
    <row r="2618" spans="27:104" s="5" customFormat="1" x14ac:dyDescent="0.25">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16"/>
      <c r="BC2618" s="6"/>
      <c r="BD2618" s="6"/>
      <c r="BE2618" s="6"/>
      <c r="BF2618" s="6"/>
      <c r="BG2618" s="6"/>
      <c r="BH2618" s="6"/>
      <c r="BI2618" s="6"/>
      <c r="BJ2618" s="6"/>
      <c r="BK2618" s="6"/>
      <c r="BL2618" s="6"/>
      <c r="BM2618" s="6"/>
      <c r="BN2618" s="6"/>
      <c r="BO2618" s="6"/>
      <c r="BP2618" s="6"/>
      <c r="BQ2618" s="6"/>
      <c r="BR2618" s="6"/>
      <c r="BS2618" s="6"/>
      <c r="BT2618" s="6"/>
      <c r="BU2618" s="6"/>
      <c r="BV2618" s="6"/>
      <c r="BW2618" s="6"/>
      <c r="BX2618" s="6"/>
      <c r="BY2618" s="6"/>
      <c r="BZ2618" s="6"/>
      <c r="CA2618" s="6"/>
      <c r="CB2618" s="6"/>
      <c r="CC2618" s="6"/>
      <c r="CD2618" s="6"/>
      <c r="CE2618" s="6"/>
      <c r="CF2618" s="6"/>
      <c r="CG2618" s="6"/>
      <c r="CH2618" s="6"/>
      <c r="CI2618" s="6"/>
      <c r="CJ2618" s="6"/>
      <c r="CK2618" s="6"/>
      <c r="CL2618" s="6"/>
      <c r="CM2618" s="6"/>
      <c r="CN2618" s="6"/>
      <c r="CO2618" s="6"/>
      <c r="CP2618" s="6"/>
      <c r="CQ2618" s="6"/>
      <c r="CR2618" s="6"/>
      <c r="CS2618" s="6"/>
      <c r="CT2618" s="6"/>
      <c r="CU2618" s="6"/>
      <c r="CV2618" s="6"/>
      <c r="CW2618" s="6"/>
      <c r="CX2618" s="6"/>
      <c r="CY2618" s="6"/>
      <c r="CZ2618" s="6"/>
    </row>
    <row r="2619" spans="27:104" s="5" customFormat="1" x14ac:dyDescent="0.25">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16"/>
      <c r="BC2619" s="6"/>
      <c r="BD2619" s="6"/>
      <c r="BE2619" s="6"/>
      <c r="BF2619" s="6"/>
      <c r="BG2619" s="6"/>
      <c r="BH2619" s="6"/>
      <c r="BI2619" s="6"/>
      <c r="BJ2619" s="6"/>
      <c r="BK2619" s="6"/>
      <c r="BL2619" s="6"/>
      <c r="BM2619" s="6"/>
      <c r="BN2619" s="6"/>
      <c r="BO2619" s="6"/>
      <c r="BP2619" s="6"/>
      <c r="BQ2619" s="6"/>
      <c r="BR2619" s="6"/>
      <c r="BS2619" s="6"/>
      <c r="BT2619" s="6"/>
      <c r="BU2619" s="6"/>
      <c r="BV2619" s="6"/>
      <c r="BW2619" s="6"/>
      <c r="BX2619" s="6"/>
      <c r="BY2619" s="6"/>
      <c r="BZ2619" s="6"/>
      <c r="CA2619" s="6"/>
      <c r="CB2619" s="6"/>
      <c r="CC2619" s="6"/>
      <c r="CD2619" s="6"/>
      <c r="CE2619" s="6"/>
      <c r="CF2619" s="6"/>
      <c r="CG2619" s="6"/>
      <c r="CH2619" s="6"/>
      <c r="CI2619" s="6"/>
      <c r="CJ2619" s="6"/>
      <c r="CK2619" s="6"/>
      <c r="CL2619" s="6"/>
      <c r="CM2619" s="6"/>
      <c r="CN2619" s="6"/>
      <c r="CO2619" s="6"/>
      <c r="CP2619" s="6"/>
      <c r="CQ2619" s="6"/>
      <c r="CR2619" s="6"/>
      <c r="CS2619" s="6"/>
      <c r="CT2619" s="6"/>
      <c r="CU2619" s="6"/>
      <c r="CV2619" s="6"/>
      <c r="CW2619" s="6"/>
      <c r="CX2619" s="6"/>
      <c r="CY2619" s="6"/>
      <c r="CZ2619" s="6"/>
    </row>
    <row r="2620" spans="27:104" s="5" customFormat="1" x14ac:dyDescent="0.25">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16"/>
      <c r="BC2620" s="6"/>
      <c r="BD2620" s="6"/>
      <c r="BE2620" s="6"/>
      <c r="BF2620" s="6"/>
      <c r="BG2620" s="6"/>
      <c r="BH2620" s="6"/>
      <c r="BI2620" s="6"/>
      <c r="BJ2620" s="6"/>
      <c r="BK2620" s="6"/>
      <c r="BL2620" s="6"/>
      <c r="BM2620" s="6"/>
      <c r="BN2620" s="6"/>
      <c r="BO2620" s="6"/>
      <c r="BP2620" s="6"/>
      <c r="BQ2620" s="6"/>
      <c r="BR2620" s="6"/>
      <c r="BS2620" s="6"/>
      <c r="BT2620" s="6"/>
      <c r="BU2620" s="6"/>
      <c r="BV2620" s="6"/>
      <c r="BW2620" s="6"/>
      <c r="BX2620" s="6"/>
      <c r="BY2620" s="6"/>
      <c r="BZ2620" s="6"/>
      <c r="CA2620" s="6"/>
      <c r="CB2620" s="6"/>
      <c r="CC2620" s="6"/>
      <c r="CD2620" s="6"/>
      <c r="CE2620" s="6"/>
      <c r="CF2620" s="6"/>
      <c r="CG2620" s="6"/>
      <c r="CH2620" s="6"/>
      <c r="CI2620" s="6"/>
      <c r="CJ2620" s="6"/>
      <c r="CK2620" s="6"/>
      <c r="CL2620" s="6"/>
      <c r="CM2620" s="6"/>
      <c r="CN2620" s="6"/>
      <c r="CO2620" s="6"/>
      <c r="CP2620" s="6"/>
      <c r="CQ2620" s="6"/>
      <c r="CR2620" s="6"/>
      <c r="CS2620" s="6"/>
      <c r="CT2620" s="6"/>
      <c r="CU2620" s="6"/>
      <c r="CV2620" s="6"/>
      <c r="CW2620" s="6"/>
      <c r="CX2620" s="6"/>
      <c r="CY2620" s="6"/>
      <c r="CZ2620" s="6"/>
    </row>
    <row r="2621" spans="27:104" s="5" customFormat="1" x14ac:dyDescent="0.25">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16"/>
      <c r="BC2621" s="6"/>
      <c r="BD2621" s="6"/>
      <c r="BE2621" s="6"/>
      <c r="BF2621" s="6"/>
      <c r="BG2621" s="6"/>
      <c r="BH2621" s="6"/>
      <c r="BI2621" s="6"/>
      <c r="BJ2621" s="6"/>
      <c r="BK2621" s="6"/>
      <c r="BL2621" s="6"/>
      <c r="BM2621" s="6"/>
      <c r="BN2621" s="6"/>
      <c r="BO2621" s="6"/>
      <c r="BP2621" s="6"/>
      <c r="BQ2621" s="6"/>
      <c r="BR2621" s="6"/>
      <c r="BS2621" s="6"/>
      <c r="BT2621" s="6"/>
      <c r="BU2621" s="6"/>
      <c r="BV2621" s="6"/>
      <c r="BW2621" s="6"/>
      <c r="BX2621" s="6"/>
      <c r="BY2621" s="6"/>
      <c r="BZ2621" s="6"/>
      <c r="CA2621" s="6"/>
      <c r="CB2621" s="6"/>
      <c r="CC2621" s="6"/>
      <c r="CD2621" s="6"/>
      <c r="CE2621" s="6"/>
      <c r="CF2621" s="6"/>
      <c r="CG2621" s="6"/>
      <c r="CH2621" s="6"/>
      <c r="CI2621" s="6"/>
      <c r="CJ2621" s="6"/>
      <c r="CK2621" s="6"/>
      <c r="CL2621" s="6"/>
      <c r="CM2621" s="6"/>
      <c r="CN2621" s="6"/>
      <c r="CO2621" s="6"/>
      <c r="CP2621" s="6"/>
      <c r="CQ2621" s="6"/>
      <c r="CR2621" s="6"/>
      <c r="CS2621" s="6"/>
      <c r="CT2621" s="6"/>
      <c r="CU2621" s="6"/>
      <c r="CV2621" s="6"/>
      <c r="CW2621" s="6"/>
      <c r="CX2621" s="6"/>
      <c r="CY2621" s="6"/>
      <c r="CZ2621" s="6"/>
    </row>
    <row r="2622" spans="27:104" s="5" customFormat="1" x14ac:dyDescent="0.25">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16"/>
      <c r="BC2622" s="6"/>
      <c r="BD2622" s="6"/>
      <c r="BE2622" s="6"/>
      <c r="BF2622" s="6"/>
      <c r="BG2622" s="6"/>
      <c r="BH2622" s="6"/>
      <c r="BI2622" s="6"/>
      <c r="BJ2622" s="6"/>
      <c r="BK2622" s="6"/>
      <c r="BL2622" s="6"/>
      <c r="BM2622" s="6"/>
      <c r="BN2622" s="6"/>
      <c r="BO2622" s="6"/>
      <c r="BP2622" s="6"/>
      <c r="BQ2622" s="6"/>
      <c r="BR2622" s="6"/>
      <c r="BS2622" s="6"/>
      <c r="BT2622" s="6"/>
      <c r="BU2622" s="6"/>
      <c r="BV2622" s="6"/>
      <c r="BW2622" s="6"/>
      <c r="BX2622" s="6"/>
      <c r="BY2622" s="6"/>
      <c r="BZ2622" s="6"/>
      <c r="CA2622" s="6"/>
      <c r="CB2622" s="6"/>
      <c r="CC2622" s="6"/>
      <c r="CD2622" s="6"/>
      <c r="CE2622" s="6"/>
      <c r="CF2622" s="6"/>
      <c r="CG2622" s="6"/>
      <c r="CH2622" s="6"/>
      <c r="CI2622" s="6"/>
      <c r="CJ2622" s="6"/>
      <c r="CK2622" s="6"/>
      <c r="CL2622" s="6"/>
      <c r="CM2622" s="6"/>
      <c r="CN2622" s="6"/>
      <c r="CO2622" s="6"/>
      <c r="CP2622" s="6"/>
      <c r="CQ2622" s="6"/>
      <c r="CR2622" s="6"/>
      <c r="CS2622" s="6"/>
      <c r="CT2622" s="6"/>
      <c r="CU2622" s="6"/>
      <c r="CV2622" s="6"/>
      <c r="CW2622" s="6"/>
      <c r="CX2622" s="6"/>
      <c r="CY2622" s="6"/>
      <c r="CZ2622" s="6"/>
    </row>
    <row r="2623" spans="27:104" s="5" customFormat="1" x14ac:dyDescent="0.25">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16"/>
      <c r="BC2623" s="6"/>
      <c r="BD2623" s="6"/>
      <c r="BE2623" s="6"/>
      <c r="BF2623" s="6"/>
      <c r="BG2623" s="6"/>
      <c r="BH2623" s="6"/>
      <c r="BI2623" s="6"/>
      <c r="BJ2623" s="6"/>
      <c r="BK2623" s="6"/>
      <c r="BL2623" s="6"/>
      <c r="BM2623" s="6"/>
      <c r="BN2623" s="6"/>
      <c r="BO2623" s="6"/>
      <c r="BP2623" s="6"/>
      <c r="BQ2623" s="6"/>
      <c r="BR2623" s="6"/>
      <c r="BS2623" s="6"/>
      <c r="BT2623" s="6"/>
      <c r="BU2623" s="6"/>
      <c r="BV2623" s="6"/>
      <c r="BW2623" s="6"/>
      <c r="BX2623" s="6"/>
      <c r="BY2623" s="6"/>
      <c r="BZ2623" s="6"/>
      <c r="CA2623" s="6"/>
      <c r="CB2623" s="6"/>
      <c r="CC2623" s="6"/>
      <c r="CD2623" s="6"/>
      <c r="CE2623" s="6"/>
      <c r="CF2623" s="6"/>
      <c r="CG2623" s="6"/>
      <c r="CH2623" s="6"/>
      <c r="CI2623" s="6"/>
      <c r="CJ2623" s="6"/>
      <c r="CK2623" s="6"/>
      <c r="CL2623" s="6"/>
      <c r="CM2623" s="6"/>
      <c r="CN2623" s="6"/>
      <c r="CO2623" s="6"/>
      <c r="CP2623" s="6"/>
      <c r="CQ2623" s="6"/>
      <c r="CR2623" s="6"/>
      <c r="CS2623" s="6"/>
      <c r="CT2623" s="6"/>
      <c r="CU2623" s="6"/>
      <c r="CV2623" s="6"/>
      <c r="CW2623" s="6"/>
      <c r="CX2623" s="6"/>
      <c r="CY2623" s="6"/>
      <c r="CZ2623" s="6"/>
    </row>
    <row r="2624" spans="27:104" s="5" customFormat="1" x14ac:dyDescent="0.25">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16"/>
      <c r="BC2624" s="6"/>
      <c r="BD2624" s="6"/>
      <c r="BE2624" s="6"/>
      <c r="BF2624" s="6"/>
      <c r="BG2624" s="6"/>
      <c r="BH2624" s="6"/>
      <c r="BI2624" s="6"/>
      <c r="BJ2624" s="6"/>
      <c r="BK2624" s="6"/>
      <c r="BL2624" s="6"/>
      <c r="BM2624" s="6"/>
      <c r="BN2624" s="6"/>
      <c r="BO2624" s="6"/>
      <c r="BP2624" s="6"/>
      <c r="BQ2624" s="6"/>
      <c r="BR2624" s="6"/>
      <c r="BS2624" s="6"/>
      <c r="BT2624" s="6"/>
      <c r="BU2624" s="6"/>
      <c r="BV2624" s="6"/>
      <c r="BW2624" s="6"/>
      <c r="BX2624" s="6"/>
      <c r="BY2624" s="6"/>
      <c r="BZ2624" s="6"/>
      <c r="CA2624" s="6"/>
      <c r="CB2624" s="6"/>
      <c r="CC2624" s="6"/>
      <c r="CD2624" s="6"/>
      <c r="CE2624" s="6"/>
      <c r="CF2624" s="6"/>
      <c r="CG2624" s="6"/>
      <c r="CH2624" s="6"/>
      <c r="CI2624" s="6"/>
      <c r="CJ2624" s="6"/>
      <c r="CK2624" s="6"/>
      <c r="CL2624" s="6"/>
      <c r="CM2624" s="6"/>
      <c r="CN2624" s="6"/>
      <c r="CO2624" s="6"/>
      <c r="CP2624" s="6"/>
      <c r="CQ2624" s="6"/>
      <c r="CR2624" s="6"/>
      <c r="CS2624" s="6"/>
      <c r="CT2624" s="6"/>
      <c r="CU2624" s="6"/>
      <c r="CV2624" s="6"/>
      <c r="CW2624" s="6"/>
      <c r="CX2624" s="6"/>
      <c r="CY2624" s="6"/>
      <c r="CZ2624" s="6"/>
    </row>
    <row r="2625" spans="27:104" s="5" customFormat="1" x14ac:dyDescent="0.25">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16"/>
      <c r="BC2625" s="6"/>
      <c r="BD2625" s="6"/>
      <c r="BE2625" s="6"/>
      <c r="BF2625" s="6"/>
      <c r="BG2625" s="6"/>
      <c r="BH2625" s="6"/>
      <c r="BI2625" s="6"/>
      <c r="BJ2625" s="6"/>
      <c r="BK2625" s="6"/>
      <c r="BL2625" s="6"/>
      <c r="BM2625" s="6"/>
      <c r="BN2625" s="6"/>
      <c r="BO2625" s="6"/>
      <c r="BP2625" s="6"/>
      <c r="BQ2625" s="6"/>
      <c r="BR2625" s="6"/>
      <c r="BS2625" s="6"/>
      <c r="BT2625" s="6"/>
      <c r="BU2625" s="6"/>
      <c r="BV2625" s="6"/>
      <c r="BW2625" s="6"/>
      <c r="BX2625" s="6"/>
      <c r="BY2625" s="6"/>
      <c r="BZ2625" s="6"/>
      <c r="CA2625" s="6"/>
      <c r="CB2625" s="6"/>
      <c r="CC2625" s="6"/>
      <c r="CD2625" s="6"/>
      <c r="CE2625" s="6"/>
      <c r="CF2625" s="6"/>
      <c r="CG2625" s="6"/>
      <c r="CH2625" s="6"/>
      <c r="CI2625" s="6"/>
      <c r="CJ2625" s="6"/>
      <c r="CK2625" s="6"/>
      <c r="CL2625" s="6"/>
      <c r="CM2625" s="6"/>
      <c r="CN2625" s="6"/>
      <c r="CO2625" s="6"/>
      <c r="CP2625" s="6"/>
      <c r="CQ2625" s="6"/>
      <c r="CR2625" s="6"/>
      <c r="CS2625" s="6"/>
      <c r="CT2625" s="6"/>
      <c r="CU2625" s="6"/>
      <c r="CV2625" s="6"/>
      <c r="CW2625" s="6"/>
      <c r="CX2625" s="6"/>
      <c r="CY2625" s="6"/>
      <c r="CZ2625" s="6"/>
    </row>
    <row r="2626" spans="27:104" s="5" customFormat="1" x14ac:dyDescent="0.25">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16"/>
      <c r="BC2626" s="6"/>
      <c r="BD2626" s="6"/>
      <c r="BE2626" s="6"/>
      <c r="BF2626" s="6"/>
      <c r="BG2626" s="6"/>
      <c r="BH2626" s="6"/>
      <c r="BI2626" s="6"/>
      <c r="BJ2626" s="6"/>
      <c r="BK2626" s="6"/>
      <c r="BL2626" s="6"/>
      <c r="BM2626" s="6"/>
      <c r="BN2626" s="6"/>
      <c r="BO2626" s="6"/>
      <c r="BP2626" s="6"/>
      <c r="BQ2626" s="6"/>
      <c r="BR2626" s="6"/>
      <c r="BS2626" s="6"/>
      <c r="BT2626" s="6"/>
      <c r="BU2626" s="6"/>
      <c r="BV2626" s="6"/>
      <c r="BW2626" s="6"/>
      <c r="BX2626" s="6"/>
      <c r="BY2626" s="6"/>
      <c r="BZ2626" s="6"/>
      <c r="CA2626" s="6"/>
      <c r="CB2626" s="6"/>
      <c r="CC2626" s="6"/>
      <c r="CD2626" s="6"/>
      <c r="CE2626" s="6"/>
      <c r="CF2626" s="6"/>
      <c r="CG2626" s="6"/>
      <c r="CH2626" s="6"/>
      <c r="CI2626" s="6"/>
      <c r="CJ2626" s="6"/>
      <c r="CK2626" s="6"/>
      <c r="CL2626" s="6"/>
      <c r="CM2626" s="6"/>
      <c r="CN2626" s="6"/>
      <c r="CO2626" s="6"/>
      <c r="CP2626" s="6"/>
      <c r="CQ2626" s="6"/>
      <c r="CR2626" s="6"/>
      <c r="CS2626" s="6"/>
      <c r="CT2626" s="6"/>
      <c r="CU2626" s="6"/>
      <c r="CV2626" s="6"/>
      <c r="CW2626" s="6"/>
      <c r="CX2626" s="6"/>
      <c r="CY2626" s="6"/>
      <c r="CZ2626" s="6"/>
    </row>
    <row r="2627" spans="27:104" s="5" customFormat="1" x14ac:dyDescent="0.25">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16"/>
      <c r="BC2627" s="6"/>
      <c r="BD2627" s="6"/>
      <c r="BE2627" s="6"/>
      <c r="BF2627" s="6"/>
      <c r="BG2627" s="6"/>
      <c r="BH2627" s="6"/>
      <c r="BI2627" s="6"/>
      <c r="BJ2627" s="6"/>
      <c r="BK2627" s="6"/>
      <c r="BL2627" s="6"/>
      <c r="BM2627" s="6"/>
      <c r="BN2627" s="6"/>
      <c r="BO2627" s="6"/>
      <c r="BP2627" s="6"/>
      <c r="BQ2627" s="6"/>
      <c r="BR2627" s="6"/>
      <c r="BS2627" s="6"/>
      <c r="BT2627" s="6"/>
      <c r="BU2627" s="6"/>
      <c r="BV2627" s="6"/>
      <c r="BW2627" s="6"/>
      <c r="BX2627" s="6"/>
      <c r="BY2627" s="6"/>
      <c r="BZ2627" s="6"/>
      <c r="CA2627" s="6"/>
      <c r="CB2627" s="6"/>
      <c r="CC2627" s="6"/>
      <c r="CD2627" s="6"/>
      <c r="CE2627" s="6"/>
      <c r="CF2627" s="6"/>
      <c r="CG2627" s="6"/>
      <c r="CH2627" s="6"/>
      <c r="CI2627" s="6"/>
      <c r="CJ2627" s="6"/>
      <c r="CK2627" s="6"/>
      <c r="CL2627" s="6"/>
      <c r="CM2627" s="6"/>
      <c r="CN2627" s="6"/>
      <c r="CO2627" s="6"/>
      <c r="CP2627" s="6"/>
      <c r="CQ2627" s="6"/>
      <c r="CR2627" s="6"/>
      <c r="CS2627" s="6"/>
      <c r="CT2627" s="6"/>
      <c r="CU2627" s="6"/>
      <c r="CV2627" s="6"/>
      <c r="CW2627" s="6"/>
      <c r="CX2627" s="6"/>
      <c r="CY2627" s="6"/>
      <c r="CZ2627" s="6"/>
    </row>
    <row r="2628" spans="27:104" s="5" customFormat="1" x14ac:dyDescent="0.25">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16"/>
      <c r="BC2628" s="6"/>
      <c r="BD2628" s="6"/>
      <c r="BE2628" s="6"/>
      <c r="BF2628" s="6"/>
      <c r="BG2628" s="6"/>
      <c r="BH2628" s="6"/>
      <c r="BI2628" s="6"/>
      <c r="BJ2628" s="6"/>
      <c r="BK2628" s="6"/>
      <c r="BL2628" s="6"/>
      <c r="BM2628" s="6"/>
      <c r="BN2628" s="6"/>
      <c r="BO2628" s="6"/>
      <c r="BP2628" s="6"/>
      <c r="BQ2628" s="6"/>
      <c r="BR2628" s="6"/>
      <c r="BS2628" s="6"/>
      <c r="BT2628" s="6"/>
      <c r="BU2628" s="6"/>
      <c r="BV2628" s="6"/>
      <c r="BW2628" s="6"/>
      <c r="BX2628" s="6"/>
      <c r="BY2628" s="6"/>
      <c r="BZ2628" s="6"/>
      <c r="CA2628" s="6"/>
      <c r="CB2628" s="6"/>
      <c r="CC2628" s="6"/>
      <c r="CD2628" s="6"/>
      <c r="CE2628" s="6"/>
      <c r="CF2628" s="6"/>
      <c r="CG2628" s="6"/>
      <c r="CH2628" s="6"/>
      <c r="CI2628" s="6"/>
      <c r="CJ2628" s="6"/>
      <c r="CK2628" s="6"/>
      <c r="CL2628" s="6"/>
      <c r="CM2628" s="6"/>
      <c r="CN2628" s="6"/>
      <c r="CO2628" s="6"/>
      <c r="CP2628" s="6"/>
      <c r="CQ2628" s="6"/>
      <c r="CR2628" s="6"/>
      <c r="CS2628" s="6"/>
      <c r="CT2628" s="6"/>
      <c r="CU2628" s="6"/>
      <c r="CV2628" s="6"/>
      <c r="CW2628" s="6"/>
      <c r="CX2628" s="6"/>
      <c r="CY2628" s="6"/>
      <c r="CZ2628" s="6"/>
    </row>
    <row r="2629" spans="27:104" s="5" customFormat="1" x14ac:dyDescent="0.25">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16"/>
      <c r="BC2629" s="6"/>
      <c r="BD2629" s="6"/>
      <c r="BE2629" s="6"/>
      <c r="BF2629" s="6"/>
      <c r="BG2629" s="6"/>
      <c r="BH2629" s="6"/>
      <c r="BI2629" s="6"/>
      <c r="BJ2629" s="6"/>
      <c r="BK2629" s="6"/>
      <c r="BL2629" s="6"/>
      <c r="BM2629" s="6"/>
      <c r="BN2629" s="6"/>
      <c r="BO2629" s="6"/>
      <c r="BP2629" s="6"/>
      <c r="BQ2629" s="6"/>
      <c r="BR2629" s="6"/>
      <c r="BS2629" s="6"/>
      <c r="BT2629" s="6"/>
      <c r="BU2629" s="6"/>
      <c r="BV2629" s="6"/>
      <c r="BW2629" s="6"/>
      <c r="BX2629" s="6"/>
      <c r="BY2629" s="6"/>
      <c r="BZ2629" s="6"/>
      <c r="CA2629" s="6"/>
      <c r="CB2629" s="6"/>
      <c r="CC2629" s="6"/>
      <c r="CD2629" s="6"/>
      <c r="CE2629" s="6"/>
      <c r="CF2629" s="6"/>
      <c r="CG2629" s="6"/>
      <c r="CH2629" s="6"/>
      <c r="CI2629" s="6"/>
      <c r="CJ2629" s="6"/>
      <c r="CK2629" s="6"/>
      <c r="CL2629" s="6"/>
      <c r="CM2629" s="6"/>
      <c r="CN2629" s="6"/>
      <c r="CO2629" s="6"/>
      <c r="CP2629" s="6"/>
      <c r="CQ2629" s="6"/>
      <c r="CR2629" s="6"/>
      <c r="CS2629" s="6"/>
      <c r="CT2629" s="6"/>
      <c r="CU2629" s="6"/>
      <c r="CV2629" s="6"/>
      <c r="CW2629" s="6"/>
      <c r="CX2629" s="6"/>
      <c r="CY2629" s="6"/>
      <c r="CZ2629" s="6"/>
    </row>
    <row r="2630" spans="27:104" s="5" customFormat="1" x14ac:dyDescent="0.25">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16"/>
      <c r="BC2630" s="6"/>
      <c r="BD2630" s="6"/>
      <c r="BE2630" s="6"/>
      <c r="BF2630" s="6"/>
      <c r="BG2630" s="6"/>
      <c r="BH2630" s="6"/>
      <c r="BI2630" s="6"/>
      <c r="BJ2630" s="6"/>
      <c r="BK2630" s="6"/>
      <c r="BL2630" s="6"/>
      <c r="BM2630" s="6"/>
      <c r="BN2630" s="6"/>
      <c r="BO2630" s="6"/>
      <c r="BP2630" s="6"/>
      <c r="BQ2630" s="6"/>
      <c r="BR2630" s="6"/>
      <c r="BS2630" s="6"/>
      <c r="BT2630" s="6"/>
      <c r="BU2630" s="6"/>
      <c r="BV2630" s="6"/>
      <c r="BW2630" s="6"/>
      <c r="BX2630" s="6"/>
      <c r="BY2630" s="6"/>
      <c r="BZ2630" s="6"/>
      <c r="CA2630" s="6"/>
      <c r="CB2630" s="6"/>
      <c r="CC2630" s="6"/>
      <c r="CD2630" s="6"/>
      <c r="CE2630" s="6"/>
      <c r="CF2630" s="6"/>
      <c r="CG2630" s="6"/>
      <c r="CH2630" s="6"/>
      <c r="CI2630" s="6"/>
      <c r="CJ2630" s="6"/>
      <c r="CK2630" s="6"/>
      <c r="CL2630" s="6"/>
      <c r="CM2630" s="6"/>
      <c r="CN2630" s="6"/>
      <c r="CO2630" s="6"/>
      <c r="CP2630" s="6"/>
      <c r="CQ2630" s="6"/>
      <c r="CR2630" s="6"/>
      <c r="CS2630" s="6"/>
      <c r="CT2630" s="6"/>
      <c r="CU2630" s="6"/>
      <c r="CV2630" s="6"/>
      <c r="CW2630" s="6"/>
      <c r="CX2630" s="6"/>
      <c r="CY2630" s="6"/>
      <c r="CZ2630" s="6"/>
    </row>
    <row r="2631" spans="27:104" s="5" customFormat="1" x14ac:dyDescent="0.25">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16"/>
      <c r="BC2631" s="6"/>
      <c r="BD2631" s="6"/>
      <c r="BE2631" s="6"/>
      <c r="BF2631" s="6"/>
      <c r="BG2631" s="6"/>
      <c r="BH2631" s="6"/>
      <c r="BI2631" s="6"/>
      <c r="BJ2631" s="6"/>
      <c r="BK2631" s="6"/>
      <c r="BL2631" s="6"/>
      <c r="BM2631" s="6"/>
      <c r="BN2631" s="6"/>
      <c r="BO2631" s="6"/>
      <c r="BP2631" s="6"/>
      <c r="BQ2631" s="6"/>
      <c r="BR2631" s="6"/>
      <c r="BS2631" s="6"/>
      <c r="BT2631" s="6"/>
      <c r="BU2631" s="6"/>
      <c r="BV2631" s="6"/>
      <c r="BW2631" s="6"/>
      <c r="BX2631" s="6"/>
      <c r="BY2631" s="6"/>
      <c r="BZ2631" s="6"/>
      <c r="CA2631" s="6"/>
      <c r="CB2631" s="6"/>
      <c r="CC2631" s="6"/>
      <c r="CD2631" s="6"/>
      <c r="CE2631" s="6"/>
      <c r="CF2631" s="6"/>
      <c r="CG2631" s="6"/>
      <c r="CH2631" s="6"/>
      <c r="CI2631" s="6"/>
      <c r="CJ2631" s="6"/>
      <c r="CK2631" s="6"/>
      <c r="CL2631" s="6"/>
      <c r="CM2631" s="6"/>
      <c r="CN2631" s="6"/>
      <c r="CO2631" s="6"/>
      <c r="CP2631" s="6"/>
      <c r="CQ2631" s="6"/>
      <c r="CR2631" s="6"/>
      <c r="CS2631" s="6"/>
      <c r="CT2631" s="6"/>
      <c r="CU2631" s="6"/>
      <c r="CV2631" s="6"/>
      <c r="CW2631" s="6"/>
      <c r="CX2631" s="6"/>
      <c r="CY2631" s="6"/>
      <c r="CZ2631" s="6"/>
    </row>
    <row r="2632" spans="27:104" s="5" customFormat="1" x14ac:dyDescent="0.25">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16"/>
      <c r="BC2632" s="6"/>
      <c r="BD2632" s="6"/>
      <c r="BE2632" s="6"/>
      <c r="BF2632" s="6"/>
      <c r="BG2632" s="6"/>
      <c r="BH2632" s="6"/>
      <c r="BI2632" s="6"/>
      <c r="BJ2632" s="6"/>
      <c r="BK2632" s="6"/>
      <c r="BL2632" s="6"/>
      <c r="BM2632" s="6"/>
      <c r="BN2632" s="6"/>
      <c r="BO2632" s="6"/>
      <c r="BP2632" s="6"/>
      <c r="BQ2632" s="6"/>
      <c r="BR2632" s="6"/>
      <c r="BS2632" s="6"/>
      <c r="BT2632" s="6"/>
      <c r="BU2632" s="6"/>
      <c r="BV2632" s="6"/>
      <c r="BW2632" s="6"/>
      <c r="BX2632" s="6"/>
      <c r="BY2632" s="6"/>
      <c r="BZ2632" s="6"/>
      <c r="CA2632" s="6"/>
      <c r="CB2632" s="6"/>
      <c r="CC2632" s="6"/>
      <c r="CD2632" s="6"/>
      <c r="CE2632" s="6"/>
      <c r="CF2632" s="6"/>
      <c r="CG2632" s="6"/>
      <c r="CH2632" s="6"/>
      <c r="CI2632" s="6"/>
      <c r="CJ2632" s="6"/>
      <c r="CK2632" s="6"/>
      <c r="CL2632" s="6"/>
      <c r="CM2632" s="6"/>
      <c r="CN2632" s="6"/>
      <c r="CO2632" s="6"/>
      <c r="CP2632" s="6"/>
      <c r="CQ2632" s="6"/>
      <c r="CR2632" s="6"/>
      <c r="CS2632" s="6"/>
      <c r="CT2632" s="6"/>
      <c r="CU2632" s="6"/>
      <c r="CV2632" s="6"/>
      <c r="CW2632" s="6"/>
      <c r="CX2632" s="6"/>
      <c r="CY2632" s="6"/>
      <c r="CZ2632" s="6"/>
    </row>
    <row r="2633" spans="27:104" s="5" customFormat="1" x14ac:dyDescent="0.25">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16"/>
      <c r="BC2633" s="6"/>
      <c r="BD2633" s="6"/>
      <c r="BE2633" s="6"/>
      <c r="BF2633" s="6"/>
      <c r="BG2633" s="6"/>
      <c r="BH2633" s="6"/>
      <c r="BI2633" s="6"/>
      <c r="BJ2633" s="6"/>
      <c r="BK2633" s="6"/>
      <c r="BL2633" s="6"/>
      <c r="BM2633" s="6"/>
      <c r="BN2633" s="6"/>
      <c r="BO2633" s="6"/>
      <c r="BP2633" s="6"/>
      <c r="BQ2633" s="6"/>
      <c r="BR2633" s="6"/>
      <c r="BS2633" s="6"/>
      <c r="BT2633" s="6"/>
      <c r="BU2633" s="6"/>
      <c r="BV2633" s="6"/>
      <c r="BW2633" s="6"/>
      <c r="BX2633" s="6"/>
      <c r="BY2633" s="6"/>
      <c r="BZ2633" s="6"/>
      <c r="CA2633" s="6"/>
      <c r="CB2633" s="6"/>
      <c r="CC2633" s="6"/>
      <c r="CD2633" s="6"/>
      <c r="CE2633" s="6"/>
      <c r="CF2633" s="6"/>
      <c r="CG2633" s="6"/>
      <c r="CH2633" s="6"/>
      <c r="CI2633" s="6"/>
      <c r="CJ2633" s="6"/>
      <c r="CK2633" s="6"/>
      <c r="CL2633" s="6"/>
      <c r="CM2633" s="6"/>
      <c r="CN2633" s="6"/>
      <c r="CO2633" s="6"/>
      <c r="CP2633" s="6"/>
      <c r="CQ2633" s="6"/>
      <c r="CR2633" s="6"/>
      <c r="CS2633" s="6"/>
      <c r="CT2633" s="6"/>
      <c r="CU2633" s="6"/>
      <c r="CV2633" s="6"/>
      <c r="CW2633" s="6"/>
      <c r="CX2633" s="6"/>
      <c r="CY2633" s="6"/>
      <c r="CZ2633" s="6"/>
    </row>
    <row r="2634" spans="27:104" s="5" customFormat="1" x14ac:dyDescent="0.25">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16"/>
      <c r="BC2634" s="6"/>
      <c r="BD2634" s="6"/>
      <c r="BE2634" s="6"/>
      <c r="BF2634" s="6"/>
      <c r="BG2634" s="6"/>
      <c r="BH2634" s="6"/>
      <c r="BI2634" s="6"/>
      <c r="BJ2634" s="6"/>
      <c r="BK2634" s="6"/>
      <c r="BL2634" s="6"/>
      <c r="BM2634" s="6"/>
      <c r="BN2634" s="6"/>
      <c r="BO2634" s="6"/>
      <c r="BP2634" s="6"/>
      <c r="BQ2634" s="6"/>
      <c r="BR2634" s="6"/>
      <c r="BS2634" s="6"/>
      <c r="BT2634" s="6"/>
      <c r="BU2634" s="6"/>
      <c r="BV2634" s="6"/>
      <c r="BW2634" s="6"/>
      <c r="BX2634" s="6"/>
      <c r="BY2634" s="6"/>
      <c r="BZ2634" s="6"/>
      <c r="CA2634" s="6"/>
      <c r="CB2634" s="6"/>
      <c r="CC2634" s="6"/>
      <c r="CD2634" s="6"/>
      <c r="CE2634" s="6"/>
      <c r="CF2634" s="6"/>
      <c r="CG2634" s="6"/>
      <c r="CH2634" s="6"/>
      <c r="CI2634" s="6"/>
      <c r="CJ2634" s="6"/>
      <c r="CK2634" s="6"/>
      <c r="CL2634" s="6"/>
      <c r="CM2634" s="6"/>
      <c r="CN2634" s="6"/>
      <c r="CO2634" s="6"/>
      <c r="CP2634" s="6"/>
      <c r="CQ2634" s="6"/>
      <c r="CR2634" s="6"/>
      <c r="CS2634" s="6"/>
      <c r="CT2634" s="6"/>
      <c r="CU2634" s="6"/>
      <c r="CV2634" s="6"/>
      <c r="CW2634" s="6"/>
      <c r="CX2634" s="6"/>
      <c r="CY2634" s="6"/>
      <c r="CZ2634" s="6"/>
    </row>
    <row r="2635" spans="27:104" s="5" customFormat="1" x14ac:dyDescent="0.25">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16"/>
      <c r="BC2635" s="6"/>
      <c r="BD2635" s="6"/>
      <c r="BE2635" s="6"/>
      <c r="BF2635" s="6"/>
      <c r="BG2635" s="6"/>
      <c r="BH2635" s="6"/>
      <c r="BI2635" s="6"/>
      <c r="BJ2635" s="6"/>
      <c r="BK2635" s="6"/>
      <c r="BL2635" s="6"/>
      <c r="BM2635" s="6"/>
      <c r="BN2635" s="6"/>
      <c r="BO2635" s="6"/>
      <c r="BP2635" s="6"/>
      <c r="BQ2635" s="6"/>
      <c r="BR2635" s="6"/>
      <c r="BS2635" s="6"/>
      <c r="BT2635" s="6"/>
      <c r="BU2635" s="6"/>
      <c r="BV2635" s="6"/>
      <c r="BW2635" s="6"/>
      <c r="BX2635" s="6"/>
      <c r="BY2635" s="6"/>
      <c r="BZ2635" s="6"/>
      <c r="CA2635" s="6"/>
      <c r="CB2635" s="6"/>
      <c r="CC2635" s="6"/>
      <c r="CD2635" s="6"/>
      <c r="CE2635" s="6"/>
      <c r="CF2635" s="6"/>
      <c r="CG2635" s="6"/>
      <c r="CH2635" s="6"/>
      <c r="CI2635" s="6"/>
      <c r="CJ2635" s="6"/>
      <c r="CK2635" s="6"/>
      <c r="CL2635" s="6"/>
      <c r="CM2635" s="6"/>
      <c r="CN2635" s="6"/>
      <c r="CO2635" s="6"/>
      <c r="CP2635" s="6"/>
      <c r="CQ2635" s="6"/>
      <c r="CR2635" s="6"/>
      <c r="CS2635" s="6"/>
      <c r="CT2635" s="6"/>
      <c r="CU2635" s="6"/>
      <c r="CV2635" s="6"/>
      <c r="CW2635" s="6"/>
      <c r="CX2635" s="6"/>
      <c r="CY2635" s="6"/>
      <c r="CZ2635" s="6"/>
    </row>
    <row r="2636" spans="27:104" s="5" customFormat="1" x14ac:dyDescent="0.25">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16"/>
      <c r="BC2636" s="6"/>
      <c r="BD2636" s="6"/>
      <c r="BE2636" s="6"/>
      <c r="BF2636" s="6"/>
      <c r="BG2636" s="6"/>
      <c r="BH2636" s="6"/>
      <c r="BI2636" s="6"/>
      <c r="BJ2636" s="6"/>
      <c r="BK2636" s="6"/>
      <c r="BL2636" s="6"/>
      <c r="BM2636" s="6"/>
      <c r="BN2636" s="6"/>
      <c r="BO2636" s="6"/>
      <c r="BP2636" s="6"/>
      <c r="BQ2636" s="6"/>
      <c r="BR2636" s="6"/>
      <c r="BS2636" s="6"/>
      <c r="BT2636" s="6"/>
      <c r="BU2636" s="6"/>
      <c r="BV2636" s="6"/>
      <c r="BW2636" s="6"/>
      <c r="BX2636" s="6"/>
      <c r="BY2636" s="6"/>
      <c r="BZ2636" s="6"/>
      <c r="CA2636" s="6"/>
      <c r="CB2636" s="6"/>
      <c r="CC2636" s="6"/>
      <c r="CD2636" s="6"/>
      <c r="CE2636" s="6"/>
      <c r="CF2636" s="6"/>
      <c r="CG2636" s="6"/>
      <c r="CH2636" s="6"/>
      <c r="CI2636" s="6"/>
      <c r="CJ2636" s="6"/>
      <c r="CK2636" s="6"/>
      <c r="CL2636" s="6"/>
      <c r="CM2636" s="6"/>
      <c r="CN2636" s="6"/>
      <c r="CO2636" s="6"/>
      <c r="CP2636" s="6"/>
      <c r="CQ2636" s="6"/>
      <c r="CR2636" s="6"/>
      <c r="CS2636" s="6"/>
      <c r="CT2636" s="6"/>
      <c r="CU2636" s="6"/>
      <c r="CV2636" s="6"/>
      <c r="CW2636" s="6"/>
      <c r="CX2636" s="6"/>
      <c r="CY2636" s="6"/>
      <c r="CZ2636" s="6"/>
    </row>
    <row r="2637" spans="27:104" s="5" customFormat="1" x14ac:dyDescent="0.25">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16"/>
      <c r="BC2637" s="6"/>
      <c r="BD2637" s="6"/>
      <c r="BE2637" s="6"/>
      <c r="BF2637" s="6"/>
      <c r="BG2637" s="6"/>
      <c r="BH2637" s="6"/>
      <c r="BI2637" s="6"/>
      <c r="BJ2637" s="6"/>
      <c r="BK2637" s="6"/>
      <c r="BL2637" s="6"/>
      <c r="BM2637" s="6"/>
      <c r="BN2637" s="6"/>
      <c r="BO2637" s="6"/>
      <c r="BP2637" s="6"/>
      <c r="BQ2637" s="6"/>
      <c r="BR2637" s="6"/>
      <c r="BS2637" s="6"/>
      <c r="BT2637" s="6"/>
      <c r="BU2637" s="6"/>
      <c r="BV2637" s="6"/>
      <c r="BW2637" s="6"/>
      <c r="BX2637" s="6"/>
      <c r="BY2637" s="6"/>
      <c r="BZ2637" s="6"/>
      <c r="CA2637" s="6"/>
      <c r="CB2637" s="6"/>
      <c r="CC2637" s="6"/>
      <c r="CD2637" s="6"/>
      <c r="CE2637" s="6"/>
      <c r="CF2637" s="6"/>
      <c r="CG2637" s="6"/>
      <c r="CH2637" s="6"/>
      <c r="CI2637" s="6"/>
      <c r="CJ2637" s="6"/>
      <c r="CK2637" s="6"/>
      <c r="CL2637" s="6"/>
      <c r="CM2637" s="6"/>
      <c r="CN2637" s="6"/>
      <c r="CO2637" s="6"/>
      <c r="CP2637" s="6"/>
      <c r="CQ2637" s="6"/>
      <c r="CR2637" s="6"/>
      <c r="CS2637" s="6"/>
      <c r="CT2637" s="6"/>
      <c r="CU2637" s="6"/>
      <c r="CV2637" s="6"/>
      <c r="CW2637" s="6"/>
      <c r="CX2637" s="6"/>
      <c r="CY2637" s="6"/>
      <c r="CZ2637" s="6"/>
    </row>
    <row r="2638" spans="27:104" s="5" customFormat="1" x14ac:dyDescent="0.25">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16"/>
      <c r="BC2638" s="6"/>
      <c r="BD2638" s="6"/>
      <c r="BE2638" s="6"/>
      <c r="BF2638" s="6"/>
      <c r="BG2638" s="6"/>
      <c r="BH2638" s="6"/>
      <c r="BI2638" s="6"/>
      <c r="BJ2638" s="6"/>
      <c r="BK2638" s="6"/>
      <c r="BL2638" s="6"/>
      <c r="BM2638" s="6"/>
      <c r="BN2638" s="6"/>
      <c r="BO2638" s="6"/>
      <c r="BP2638" s="6"/>
      <c r="BQ2638" s="6"/>
      <c r="BR2638" s="6"/>
      <c r="BS2638" s="6"/>
      <c r="BT2638" s="6"/>
      <c r="BU2638" s="6"/>
      <c r="BV2638" s="6"/>
      <c r="BW2638" s="6"/>
      <c r="BX2638" s="6"/>
      <c r="BY2638" s="6"/>
      <c r="BZ2638" s="6"/>
      <c r="CA2638" s="6"/>
      <c r="CB2638" s="6"/>
      <c r="CC2638" s="6"/>
      <c r="CD2638" s="6"/>
      <c r="CE2638" s="6"/>
      <c r="CF2638" s="6"/>
      <c r="CG2638" s="6"/>
      <c r="CH2638" s="6"/>
      <c r="CI2638" s="6"/>
      <c r="CJ2638" s="6"/>
      <c r="CK2638" s="6"/>
      <c r="CL2638" s="6"/>
      <c r="CM2638" s="6"/>
      <c r="CN2638" s="6"/>
      <c r="CO2638" s="6"/>
      <c r="CP2638" s="6"/>
      <c r="CQ2638" s="6"/>
      <c r="CR2638" s="6"/>
      <c r="CS2638" s="6"/>
      <c r="CT2638" s="6"/>
      <c r="CU2638" s="6"/>
      <c r="CV2638" s="6"/>
      <c r="CW2638" s="6"/>
      <c r="CX2638" s="6"/>
      <c r="CY2638" s="6"/>
      <c r="CZ2638" s="6"/>
    </row>
    <row r="2639" spans="27:104" s="5" customFormat="1" x14ac:dyDescent="0.25">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16"/>
      <c r="BC2639" s="6"/>
      <c r="BD2639" s="6"/>
      <c r="BE2639" s="6"/>
      <c r="BF2639" s="6"/>
      <c r="BG2639" s="6"/>
      <c r="BH2639" s="6"/>
      <c r="BI2639" s="6"/>
      <c r="BJ2639" s="6"/>
      <c r="BK2639" s="6"/>
      <c r="BL2639" s="6"/>
      <c r="BM2639" s="6"/>
      <c r="BN2639" s="6"/>
      <c r="BO2639" s="6"/>
      <c r="BP2639" s="6"/>
      <c r="BQ2639" s="6"/>
      <c r="BR2639" s="6"/>
      <c r="BS2639" s="6"/>
      <c r="BT2639" s="6"/>
      <c r="BU2639" s="6"/>
      <c r="BV2639" s="6"/>
      <c r="BW2639" s="6"/>
      <c r="BX2639" s="6"/>
      <c r="BY2639" s="6"/>
      <c r="BZ2639" s="6"/>
      <c r="CA2639" s="6"/>
      <c r="CB2639" s="6"/>
      <c r="CC2639" s="6"/>
      <c r="CD2639" s="6"/>
      <c r="CE2639" s="6"/>
      <c r="CF2639" s="6"/>
      <c r="CG2639" s="6"/>
      <c r="CH2639" s="6"/>
      <c r="CI2639" s="6"/>
      <c r="CJ2639" s="6"/>
      <c r="CK2639" s="6"/>
      <c r="CL2639" s="6"/>
      <c r="CM2639" s="6"/>
      <c r="CN2639" s="6"/>
      <c r="CO2639" s="6"/>
      <c r="CP2639" s="6"/>
      <c r="CQ2639" s="6"/>
      <c r="CR2639" s="6"/>
      <c r="CS2639" s="6"/>
      <c r="CT2639" s="6"/>
      <c r="CU2639" s="6"/>
      <c r="CV2639" s="6"/>
      <c r="CW2639" s="6"/>
      <c r="CX2639" s="6"/>
      <c r="CY2639" s="6"/>
      <c r="CZ2639" s="6"/>
    </row>
    <row r="2640" spans="27:104" s="5" customFormat="1" x14ac:dyDescent="0.25">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16"/>
      <c r="BC2640" s="6"/>
      <c r="BD2640" s="6"/>
      <c r="BE2640" s="6"/>
      <c r="BF2640" s="6"/>
      <c r="BG2640" s="6"/>
      <c r="BH2640" s="6"/>
      <c r="BI2640" s="6"/>
      <c r="BJ2640" s="6"/>
      <c r="BK2640" s="6"/>
      <c r="BL2640" s="6"/>
      <c r="BM2640" s="6"/>
      <c r="BN2640" s="6"/>
      <c r="BO2640" s="6"/>
      <c r="BP2640" s="6"/>
      <c r="BQ2640" s="6"/>
      <c r="BR2640" s="6"/>
      <c r="BS2640" s="6"/>
      <c r="BT2640" s="6"/>
      <c r="BU2640" s="6"/>
      <c r="BV2640" s="6"/>
      <c r="BW2640" s="6"/>
      <c r="BX2640" s="6"/>
      <c r="BY2640" s="6"/>
      <c r="BZ2640" s="6"/>
      <c r="CA2640" s="6"/>
      <c r="CB2640" s="6"/>
      <c r="CC2640" s="6"/>
      <c r="CD2640" s="6"/>
      <c r="CE2640" s="6"/>
      <c r="CF2640" s="6"/>
      <c r="CG2640" s="6"/>
      <c r="CH2640" s="6"/>
      <c r="CI2640" s="6"/>
      <c r="CJ2640" s="6"/>
      <c r="CK2640" s="6"/>
      <c r="CL2640" s="6"/>
      <c r="CM2640" s="6"/>
      <c r="CN2640" s="6"/>
      <c r="CO2640" s="6"/>
      <c r="CP2640" s="6"/>
      <c r="CQ2640" s="6"/>
      <c r="CR2640" s="6"/>
      <c r="CS2640" s="6"/>
      <c r="CT2640" s="6"/>
      <c r="CU2640" s="6"/>
      <c r="CV2640" s="6"/>
      <c r="CW2640" s="6"/>
      <c r="CX2640" s="6"/>
      <c r="CY2640" s="6"/>
      <c r="CZ2640" s="6"/>
    </row>
    <row r="2641" spans="27:104" s="5" customFormat="1" x14ac:dyDescent="0.25">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16"/>
      <c r="BC2641" s="6"/>
      <c r="BD2641" s="6"/>
      <c r="BE2641" s="6"/>
      <c r="BF2641" s="6"/>
      <c r="BG2641" s="6"/>
      <c r="BH2641" s="6"/>
      <c r="BI2641" s="6"/>
      <c r="BJ2641" s="6"/>
      <c r="BK2641" s="6"/>
      <c r="BL2641" s="6"/>
      <c r="BM2641" s="6"/>
      <c r="BN2641" s="6"/>
      <c r="BO2641" s="6"/>
      <c r="BP2641" s="6"/>
      <c r="BQ2641" s="6"/>
      <c r="BR2641" s="6"/>
      <c r="BS2641" s="6"/>
      <c r="BT2641" s="6"/>
      <c r="BU2641" s="6"/>
      <c r="BV2641" s="6"/>
      <c r="BW2641" s="6"/>
      <c r="BX2641" s="6"/>
      <c r="BY2641" s="6"/>
      <c r="BZ2641" s="6"/>
      <c r="CA2641" s="6"/>
      <c r="CB2641" s="6"/>
      <c r="CC2641" s="6"/>
      <c r="CD2641" s="6"/>
      <c r="CE2641" s="6"/>
      <c r="CF2641" s="6"/>
      <c r="CG2641" s="6"/>
      <c r="CH2641" s="6"/>
      <c r="CI2641" s="6"/>
      <c r="CJ2641" s="6"/>
      <c r="CK2641" s="6"/>
      <c r="CL2641" s="6"/>
      <c r="CM2641" s="6"/>
      <c r="CN2641" s="6"/>
      <c r="CO2641" s="6"/>
      <c r="CP2641" s="6"/>
      <c r="CQ2641" s="6"/>
      <c r="CR2641" s="6"/>
      <c r="CS2641" s="6"/>
      <c r="CT2641" s="6"/>
      <c r="CU2641" s="6"/>
      <c r="CV2641" s="6"/>
      <c r="CW2641" s="6"/>
      <c r="CX2641" s="6"/>
      <c r="CY2641" s="6"/>
      <c r="CZ2641" s="6"/>
    </row>
    <row r="2642" spans="27:104" s="5" customFormat="1" x14ac:dyDescent="0.25">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16"/>
      <c r="BC2642" s="6"/>
      <c r="BD2642" s="6"/>
      <c r="BE2642" s="6"/>
      <c r="BF2642" s="6"/>
      <c r="BG2642" s="6"/>
      <c r="BH2642" s="6"/>
      <c r="BI2642" s="6"/>
      <c r="BJ2642" s="6"/>
      <c r="BK2642" s="6"/>
      <c r="BL2642" s="6"/>
      <c r="BM2642" s="6"/>
      <c r="BN2642" s="6"/>
      <c r="BO2642" s="6"/>
      <c r="BP2642" s="6"/>
      <c r="BQ2642" s="6"/>
      <c r="BR2642" s="6"/>
      <c r="BS2642" s="6"/>
      <c r="BT2642" s="6"/>
      <c r="BU2642" s="6"/>
      <c r="BV2642" s="6"/>
      <c r="BW2642" s="6"/>
      <c r="BX2642" s="6"/>
      <c r="BY2642" s="6"/>
      <c r="BZ2642" s="6"/>
      <c r="CA2642" s="6"/>
      <c r="CB2642" s="6"/>
      <c r="CC2642" s="6"/>
      <c r="CD2642" s="6"/>
      <c r="CE2642" s="6"/>
      <c r="CF2642" s="6"/>
      <c r="CG2642" s="6"/>
      <c r="CH2642" s="6"/>
      <c r="CI2642" s="6"/>
      <c r="CJ2642" s="6"/>
      <c r="CK2642" s="6"/>
      <c r="CL2642" s="6"/>
      <c r="CM2642" s="6"/>
      <c r="CN2642" s="6"/>
      <c r="CO2642" s="6"/>
      <c r="CP2642" s="6"/>
      <c r="CQ2642" s="6"/>
      <c r="CR2642" s="6"/>
      <c r="CS2642" s="6"/>
      <c r="CT2642" s="6"/>
      <c r="CU2642" s="6"/>
      <c r="CV2642" s="6"/>
      <c r="CW2642" s="6"/>
      <c r="CX2642" s="6"/>
      <c r="CY2642" s="6"/>
      <c r="CZ2642" s="6"/>
    </row>
    <row r="2643" spans="27:104" s="5" customFormat="1" x14ac:dyDescent="0.25">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16"/>
      <c r="BC2643" s="6"/>
      <c r="BD2643" s="6"/>
      <c r="BE2643" s="6"/>
      <c r="BF2643" s="6"/>
      <c r="BG2643" s="6"/>
      <c r="BH2643" s="6"/>
      <c r="BI2643" s="6"/>
      <c r="BJ2643" s="6"/>
      <c r="BK2643" s="6"/>
      <c r="BL2643" s="6"/>
      <c r="BM2643" s="6"/>
      <c r="BN2643" s="6"/>
      <c r="BO2643" s="6"/>
      <c r="BP2643" s="6"/>
      <c r="BQ2643" s="6"/>
      <c r="BR2643" s="6"/>
      <c r="BS2643" s="6"/>
      <c r="BT2643" s="6"/>
      <c r="BU2643" s="6"/>
      <c r="BV2643" s="6"/>
      <c r="BW2643" s="6"/>
      <c r="BX2643" s="6"/>
      <c r="BY2643" s="6"/>
      <c r="BZ2643" s="6"/>
      <c r="CA2643" s="6"/>
      <c r="CB2643" s="6"/>
      <c r="CC2643" s="6"/>
      <c r="CD2643" s="6"/>
      <c r="CE2643" s="6"/>
      <c r="CF2643" s="6"/>
      <c r="CG2643" s="6"/>
      <c r="CH2643" s="6"/>
      <c r="CI2643" s="6"/>
      <c r="CJ2643" s="6"/>
      <c r="CK2643" s="6"/>
      <c r="CL2643" s="6"/>
      <c r="CM2643" s="6"/>
      <c r="CN2643" s="6"/>
      <c r="CO2643" s="6"/>
      <c r="CP2643" s="6"/>
      <c r="CQ2643" s="6"/>
      <c r="CR2643" s="6"/>
      <c r="CS2643" s="6"/>
      <c r="CT2643" s="6"/>
      <c r="CU2643" s="6"/>
      <c r="CV2643" s="6"/>
      <c r="CW2643" s="6"/>
      <c r="CX2643" s="6"/>
      <c r="CY2643" s="6"/>
      <c r="CZ2643" s="6"/>
    </row>
    <row r="2644" spans="27:104" s="5" customFormat="1" x14ac:dyDescent="0.25">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16"/>
      <c r="BC2644" s="6"/>
      <c r="BD2644" s="6"/>
      <c r="BE2644" s="6"/>
      <c r="BF2644" s="6"/>
      <c r="BG2644" s="6"/>
      <c r="BH2644" s="6"/>
      <c r="BI2644" s="6"/>
      <c r="BJ2644" s="6"/>
      <c r="BK2644" s="6"/>
      <c r="BL2644" s="6"/>
      <c r="BM2644" s="6"/>
      <c r="BN2644" s="6"/>
      <c r="BO2644" s="6"/>
      <c r="BP2644" s="6"/>
      <c r="BQ2644" s="6"/>
      <c r="BR2644" s="6"/>
      <c r="BS2644" s="6"/>
      <c r="BT2644" s="6"/>
      <c r="BU2644" s="6"/>
      <c r="BV2644" s="6"/>
      <c r="BW2644" s="6"/>
      <c r="BX2644" s="6"/>
      <c r="BY2644" s="6"/>
      <c r="BZ2644" s="6"/>
      <c r="CA2644" s="6"/>
      <c r="CB2644" s="6"/>
      <c r="CC2644" s="6"/>
      <c r="CD2644" s="6"/>
      <c r="CE2644" s="6"/>
      <c r="CF2644" s="6"/>
      <c r="CG2644" s="6"/>
      <c r="CH2644" s="6"/>
      <c r="CI2644" s="6"/>
      <c r="CJ2644" s="6"/>
      <c r="CK2644" s="6"/>
      <c r="CL2644" s="6"/>
      <c r="CM2644" s="6"/>
      <c r="CN2644" s="6"/>
      <c r="CO2644" s="6"/>
      <c r="CP2644" s="6"/>
      <c r="CQ2644" s="6"/>
      <c r="CR2644" s="6"/>
      <c r="CS2644" s="6"/>
      <c r="CT2644" s="6"/>
      <c r="CU2644" s="6"/>
      <c r="CV2644" s="6"/>
      <c r="CW2644" s="6"/>
      <c r="CX2644" s="6"/>
      <c r="CY2644" s="6"/>
      <c r="CZ2644" s="6"/>
    </row>
    <row r="2645" spans="27:104" s="5" customFormat="1" x14ac:dyDescent="0.25">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16"/>
      <c r="BC2645" s="6"/>
      <c r="BD2645" s="6"/>
      <c r="BE2645" s="6"/>
      <c r="BF2645" s="6"/>
      <c r="BG2645" s="6"/>
      <c r="BH2645" s="6"/>
      <c r="BI2645" s="6"/>
      <c r="BJ2645" s="6"/>
      <c r="BK2645" s="6"/>
      <c r="BL2645" s="6"/>
      <c r="BM2645" s="6"/>
      <c r="BN2645" s="6"/>
      <c r="BO2645" s="6"/>
      <c r="BP2645" s="6"/>
      <c r="BQ2645" s="6"/>
      <c r="BR2645" s="6"/>
      <c r="BS2645" s="6"/>
      <c r="BT2645" s="6"/>
      <c r="BU2645" s="6"/>
      <c r="BV2645" s="6"/>
      <c r="BW2645" s="6"/>
      <c r="BX2645" s="6"/>
      <c r="BY2645" s="6"/>
      <c r="BZ2645" s="6"/>
      <c r="CA2645" s="6"/>
      <c r="CB2645" s="6"/>
      <c r="CC2645" s="6"/>
      <c r="CD2645" s="6"/>
      <c r="CE2645" s="6"/>
      <c r="CF2645" s="6"/>
      <c r="CG2645" s="6"/>
      <c r="CH2645" s="6"/>
      <c r="CI2645" s="6"/>
      <c r="CJ2645" s="6"/>
      <c r="CK2645" s="6"/>
      <c r="CL2645" s="6"/>
      <c r="CM2645" s="6"/>
      <c r="CN2645" s="6"/>
      <c r="CO2645" s="6"/>
      <c r="CP2645" s="6"/>
      <c r="CQ2645" s="6"/>
      <c r="CR2645" s="6"/>
      <c r="CS2645" s="6"/>
      <c r="CT2645" s="6"/>
      <c r="CU2645" s="6"/>
      <c r="CV2645" s="6"/>
      <c r="CW2645" s="6"/>
      <c r="CX2645" s="6"/>
      <c r="CY2645" s="6"/>
      <c r="CZ2645" s="6"/>
    </row>
    <row r="2646" spans="27:104" s="5" customFormat="1" x14ac:dyDescent="0.25">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16"/>
      <c r="BC2646" s="6"/>
      <c r="BD2646" s="6"/>
      <c r="BE2646" s="6"/>
      <c r="BF2646" s="6"/>
      <c r="BG2646" s="6"/>
      <c r="BH2646" s="6"/>
      <c r="BI2646" s="6"/>
      <c r="BJ2646" s="6"/>
      <c r="BK2646" s="6"/>
      <c r="BL2646" s="6"/>
      <c r="BM2646" s="6"/>
      <c r="BN2646" s="6"/>
      <c r="BO2646" s="6"/>
      <c r="BP2646" s="6"/>
      <c r="BQ2646" s="6"/>
      <c r="BR2646" s="6"/>
      <c r="BS2646" s="6"/>
      <c r="BT2646" s="6"/>
      <c r="BU2646" s="6"/>
      <c r="BV2646" s="6"/>
      <c r="BW2646" s="6"/>
      <c r="BX2646" s="6"/>
      <c r="BY2646" s="6"/>
      <c r="BZ2646" s="6"/>
      <c r="CA2646" s="6"/>
      <c r="CB2646" s="6"/>
      <c r="CC2646" s="6"/>
      <c r="CD2646" s="6"/>
      <c r="CE2646" s="6"/>
      <c r="CF2646" s="6"/>
      <c r="CG2646" s="6"/>
      <c r="CH2646" s="6"/>
      <c r="CI2646" s="6"/>
      <c r="CJ2646" s="6"/>
      <c r="CK2646" s="6"/>
      <c r="CL2646" s="6"/>
      <c r="CM2646" s="6"/>
      <c r="CN2646" s="6"/>
      <c r="CO2646" s="6"/>
      <c r="CP2646" s="6"/>
      <c r="CQ2646" s="6"/>
      <c r="CR2646" s="6"/>
      <c r="CS2646" s="6"/>
      <c r="CT2646" s="6"/>
      <c r="CU2646" s="6"/>
      <c r="CV2646" s="6"/>
      <c r="CW2646" s="6"/>
      <c r="CX2646" s="6"/>
      <c r="CY2646" s="6"/>
      <c r="CZ2646" s="6"/>
    </row>
    <row r="2647" spans="27:104" s="5" customFormat="1" x14ac:dyDescent="0.25">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16"/>
      <c r="BC2647" s="6"/>
      <c r="BD2647" s="6"/>
      <c r="BE2647" s="6"/>
      <c r="BF2647" s="6"/>
      <c r="BG2647" s="6"/>
      <c r="BH2647" s="6"/>
      <c r="BI2647" s="6"/>
      <c r="BJ2647" s="6"/>
      <c r="BK2647" s="6"/>
      <c r="BL2647" s="6"/>
      <c r="BM2647" s="6"/>
      <c r="BN2647" s="6"/>
      <c r="BO2647" s="6"/>
      <c r="BP2647" s="6"/>
      <c r="BQ2647" s="6"/>
      <c r="BR2647" s="6"/>
      <c r="BS2647" s="6"/>
      <c r="BT2647" s="6"/>
      <c r="BU2647" s="6"/>
      <c r="BV2647" s="6"/>
      <c r="BW2647" s="6"/>
      <c r="BX2647" s="6"/>
      <c r="BY2647" s="6"/>
      <c r="BZ2647" s="6"/>
      <c r="CA2647" s="6"/>
      <c r="CB2647" s="6"/>
      <c r="CC2647" s="6"/>
      <c r="CD2647" s="6"/>
      <c r="CE2647" s="6"/>
      <c r="CF2647" s="6"/>
      <c r="CG2647" s="6"/>
      <c r="CH2647" s="6"/>
      <c r="CI2647" s="6"/>
      <c r="CJ2647" s="6"/>
      <c r="CK2647" s="6"/>
      <c r="CL2647" s="6"/>
      <c r="CM2647" s="6"/>
      <c r="CN2647" s="6"/>
      <c r="CO2647" s="6"/>
      <c r="CP2647" s="6"/>
      <c r="CQ2647" s="6"/>
      <c r="CR2647" s="6"/>
      <c r="CS2647" s="6"/>
      <c r="CT2647" s="6"/>
      <c r="CU2647" s="6"/>
      <c r="CV2647" s="6"/>
      <c r="CW2647" s="6"/>
      <c r="CX2647" s="6"/>
      <c r="CY2647" s="6"/>
      <c r="CZ2647" s="6"/>
    </row>
    <row r="2648" spans="27:104" s="5" customFormat="1" x14ac:dyDescent="0.25">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16"/>
      <c r="BC2648" s="6"/>
      <c r="BD2648" s="6"/>
      <c r="BE2648" s="6"/>
      <c r="BF2648" s="6"/>
      <c r="BG2648" s="6"/>
      <c r="BH2648" s="6"/>
      <c r="BI2648" s="6"/>
      <c r="BJ2648" s="6"/>
      <c r="BK2648" s="6"/>
      <c r="BL2648" s="6"/>
      <c r="BM2648" s="6"/>
      <c r="BN2648" s="6"/>
      <c r="BO2648" s="6"/>
      <c r="BP2648" s="6"/>
      <c r="BQ2648" s="6"/>
      <c r="BR2648" s="6"/>
      <c r="BS2648" s="6"/>
      <c r="BT2648" s="6"/>
      <c r="BU2648" s="6"/>
      <c r="BV2648" s="6"/>
      <c r="BW2648" s="6"/>
      <c r="BX2648" s="6"/>
      <c r="BY2648" s="6"/>
      <c r="BZ2648" s="6"/>
      <c r="CA2648" s="6"/>
      <c r="CB2648" s="6"/>
      <c r="CC2648" s="6"/>
      <c r="CD2648" s="6"/>
      <c r="CE2648" s="6"/>
      <c r="CF2648" s="6"/>
      <c r="CG2648" s="6"/>
      <c r="CH2648" s="6"/>
      <c r="CI2648" s="6"/>
      <c r="CJ2648" s="6"/>
      <c r="CK2648" s="6"/>
      <c r="CL2648" s="6"/>
      <c r="CM2648" s="6"/>
      <c r="CN2648" s="6"/>
      <c r="CO2648" s="6"/>
      <c r="CP2648" s="6"/>
      <c r="CQ2648" s="6"/>
      <c r="CR2648" s="6"/>
      <c r="CS2648" s="6"/>
      <c r="CT2648" s="6"/>
      <c r="CU2648" s="6"/>
      <c r="CV2648" s="6"/>
      <c r="CW2648" s="6"/>
      <c r="CX2648" s="6"/>
      <c r="CY2648" s="6"/>
      <c r="CZ2648" s="6"/>
    </row>
    <row r="2649" spans="27:104" s="5" customFormat="1" x14ac:dyDescent="0.25">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16"/>
      <c r="BC2649" s="6"/>
      <c r="BD2649" s="6"/>
      <c r="BE2649" s="6"/>
      <c r="BF2649" s="6"/>
      <c r="BG2649" s="6"/>
      <c r="BH2649" s="6"/>
      <c r="BI2649" s="6"/>
      <c r="BJ2649" s="6"/>
      <c r="BK2649" s="6"/>
      <c r="BL2649" s="6"/>
      <c r="BM2649" s="6"/>
      <c r="BN2649" s="6"/>
      <c r="BO2649" s="6"/>
      <c r="BP2649" s="6"/>
      <c r="BQ2649" s="6"/>
      <c r="BR2649" s="6"/>
      <c r="BS2649" s="6"/>
      <c r="BT2649" s="6"/>
      <c r="BU2649" s="6"/>
      <c r="BV2649" s="6"/>
      <c r="BW2649" s="6"/>
      <c r="BX2649" s="6"/>
      <c r="BY2649" s="6"/>
      <c r="BZ2649" s="6"/>
      <c r="CA2649" s="6"/>
      <c r="CB2649" s="6"/>
      <c r="CC2649" s="6"/>
      <c r="CD2649" s="6"/>
      <c r="CE2649" s="6"/>
      <c r="CF2649" s="6"/>
      <c r="CG2649" s="6"/>
      <c r="CH2649" s="6"/>
      <c r="CI2649" s="6"/>
      <c r="CJ2649" s="6"/>
      <c r="CK2649" s="6"/>
      <c r="CL2649" s="6"/>
      <c r="CM2649" s="6"/>
      <c r="CN2649" s="6"/>
      <c r="CO2649" s="6"/>
      <c r="CP2649" s="6"/>
      <c r="CQ2649" s="6"/>
      <c r="CR2649" s="6"/>
      <c r="CS2649" s="6"/>
      <c r="CT2649" s="6"/>
      <c r="CU2649" s="6"/>
      <c r="CV2649" s="6"/>
      <c r="CW2649" s="6"/>
      <c r="CX2649" s="6"/>
      <c r="CY2649" s="6"/>
      <c r="CZ2649" s="6"/>
    </row>
    <row r="2650" spans="27:104" s="5" customFormat="1" x14ac:dyDescent="0.25">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16"/>
      <c r="BC2650" s="6"/>
      <c r="BD2650" s="6"/>
      <c r="BE2650" s="6"/>
      <c r="BF2650" s="6"/>
      <c r="BG2650" s="6"/>
      <c r="BH2650" s="6"/>
      <c r="BI2650" s="6"/>
      <c r="BJ2650" s="6"/>
      <c r="BK2650" s="6"/>
      <c r="BL2650" s="6"/>
      <c r="BM2650" s="6"/>
      <c r="BN2650" s="6"/>
      <c r="BO2650" s="6"/>
      <c r="BP2650" s="6"/>
      <c r="BQ2650" s="6"/>
      <c r="BR2650" s="6"/>
      <c r="BS2650" s="6"/>
      <c r="BT2650" s="6"/>
      <c r="BU2650" s="6"/>
      <c r="BV2650" s="6"/>
      <c r="BW2650" s="6"/>
      <c r="BX2650" s="6"/>
      <c r="BY2650" s="6"/>
      <c r="BZ2650" s="6"/>
      <c r="CA2650" s="6"/>
      <c r="CB2650" s="6"/>
      <c r="CC2650" s="6"/>
      <c r="CD2650" s="6"/>
      <c r="CE2650" s="6"/>
      <c r="CF2650" s="6"/>
      <c r="CG2650" s="6"/>
      <c r="CH2650" s="6"/>
      <c r="CI2650" s="6"/>
      <c r="CJ2650" s="6"/>
      <c r="CK2650" s="6"/>
      <c r="CL2650" s="6"/>
      <c r="CM2650" s="6"/>
      <c r="CN2650" s="6"/>
      <c r="CO2650" s="6"/>
      <c r="CP2650" s="6"/>
      <c r="CQ2650" s="6"/>
      <c r="CR2650" s="6"/>
      <c r="CS2650" s="6"/>
      <c r="CT2650" s="6"/>
      <c r="CU2650" s="6"/>
      <c r="CV2650" s="6"/>
      <c r="CW2650" s="6"/>
      <c r="CX2650" s="6"/>
      <c r="CY2650" s="6"/>
      <c r="CZ2650" s="6"/>
    </row>
    <row r="2651" spans="27:104" s="5" customFormat="1" x14ac:dyDescent="0.25">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16"/>
      <c r="BC2651" s="6"/>
      <c r="BD2651" s="6"/>
      <c r="BE2651" s="6"/>
      <c r="BF2651" s="6"/>
      <c r="BG2651" s="6"/>
      <c r="BH2651" s="6"/>
      <c r="BI2651" s="6"/>
      <c r="BJ2651" s="6"/>
      <c r="BK2651" s="6"/>
      <c r="BL2651" s="6"/>
      <c r="BM2651" s="6"/>
      <c r="BN2651" s="6"/>
      <c r="BO2651" s="6"/>
      <c r="BP2651" s="6"/>
      <c r="BQ2651" s="6"/>
      <c r="BR2651" s="6"/>
      <c r="BS2651" s="6"/>
      <c r="BT2651" s="6"/>
      <c r="BU2651" s="6"/>
      <c r="BV2651" s="6"/>
      <c r="BW2651" s="6"/>
      <c r="BX2651" s="6"/>
      <c r="BY2651" s="6"/>
      <c r="BZ2651" s="6"/>
      <c r="CA2651" s="6"/>
      <c r="CB2651" s="6"/>
      <c r="CC2651" s="6"/>
      <c r="CD2651" s="6"/>
      <c r="CE2651" s="6"/>
      <c r="CF2651" s="6"/>
      <c r="CG2651" s="6"/>
      <c r="CH2651" s="6"/>
      <c r="CI2651" s="6"/>
      <c r="CJ2651" s="6"/>
      <c r="CK2651" s="6"/>
      <c r="CL2651" s="6"/>
      <c r="CM2651" s="6"/>
      <c r="CN2651" s="6"/>
      <c r="CO2651" s="6"/>
      <c r="CP2651" s="6"/>
      <c r="CQ2651" s="6"/>
      <c r="CR2651" s="6"/>
      <c r="CS2651" s="6"/>
      <c r="CT2651" s="6"/>
      <c r="CU2651" s="6"/>
      <c r="CV2651" s="6"/>
      <c r="CW2651" s="6"/>
      <c r="CX2651" s="6"/>
      <c r="CY2651" s="6"/>
      <c r="CZ2651" s="6"/>
    </row>
    <row r="2652" spans="27:104" s="5" customFormat="1" x14ac:dyDescent="0.25">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16"/>
      <c r="BC2652" s="6"/>
      <c r="BD2652" s="6"/>
      <c r="BE2652" s="6"/>
      <c r="BF2652" s="6"/>
      <c r="BG2652" s="6"/>
      <c r="BH2652" s="6"/>
      <c r="BI2652" s="6"/>
      <c r="BJ2652" s="6"/>
      <c r="BK2652" s="6"/>
      <c r="BL2652" s="6"/>
      <c r="BM2652" s="6"/>
      <c r="BN2652" s="6"/>
      <c r="BO2652" s="6"/>
      <c r="BP2652" s="6"/>
      <c r="BQ2652" s="6"/>
      <c r="BR2652" s="6"/>
      <c r="BS2652" s="6"/>
      <c r="BT2652" s="6"/>
      <c r="BU2652" s="6"/>
      <c r="BV2652" s="6"/>
      <c r="BW2652" s="6"/>
      <c r="BX2652" s="6"/>
      <c r="BY2652" s="6"/>
      <c r="BZ2652" s="6"/>
      <c r="CA2652" s="6"/>
      <c r="CB2652" s="6"/>
      <c r="CC2652" s="6"/>
      <c r="CD2652" s="6"/>
      <c r="CE2652" s="6"/>
      <c r="CF2652" s="6"/>
      <c r="CG2652" s="6"/>
      <c r="CH2652" s="6"/>
      <c r="CI2652" s="6"/>
      <c r="CJ2652" s="6"/>
      <c r="CK2652" s="6"/>
      <c r="CL2652" s="6"/>
      <c r="CM2652" s="6"/>
      <c r="CN2652" s="6"/>
      <c r="CO2652" s="6"/>
      <c r="CP2652" s="6"/>
      <c r="CQ2652" s="6"/>
      <c r="CR2652" s="6"/>
      <c r="CS2652" s="6"/>
      <c r="CT2652" s="6"/>
      <c r="CU2652" s="6"/>
      <c r="CV2652" s="6"/>
      <c r="CW2652" s="6"/>
      <c r="CX2652" s="6"/>
      <c r="CY2652" s="6"/>
      <c r="CZ2652" s="6"/>
    </row>
    <row r="2653" spans="27:104" s="5" customFormat="1" x14ac:dyDescent="0.25">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16"/>
      <c r="BC2653" s="6"/>
      <c r="BD2653" s="6"/>
      <c r="BE2653" s="6"/>
      <c r="BF2653" s="6"/>
      <c r="BG2653" s="6"/>
      <c r="BH2653" s="6"/>
      <c r="BI2653" s="6"/>
      <c r="BJ2653" s="6"/>
      <c r="BK2653" s="6"/>
      <c r="BL2653" s="6"/>
      <c r="BM2653" s="6"/>
      <c r="BN2653" s="6"/>
      <c r="BO2653" s="6"/>
      <c r="BP2653" s="6"/>
      <c r="BQ2653" s="6"/>
      <c r="BR2653" s="6"/>
      <c r="BS2653" s="6"/>
      <c r="BT2653" s="6"/>
      <c r="BU2653" s="6"/>
      <c r="BV2653" s="6"/>
      <c r="BW2653" s="6"/>
      <c r="BX2653" s="6"/>
      <c r="BY2653" s="6"/>
      <c r="BZ2653" s="6"/>
      <c r="CA2653" s="6"/>
      <c r="CB2653" s="6"/>
      <c r="CC2653" s="6"/>
      <c r="CD2653" s="6"/>
      <c r="CE2653" s="6"/>
      <c r="CF2653" s="6"/>
      <c r="CG2653" s="6"/>
      <c r="CH2653" s="6"/>
      <c r="CI2653" s="6"/>
      <c r="CJ2653" s="6"/>
      <c r="CK2653" s="6"/>
      <c r="CL2653" s="6"/>
      <c r="CM2653" s="6"/>
      <c r="CN2653" s="6"/>
      <c r="CO2653" s="6"/>
      <c r="CP2653" s="6"/>
      <c r="CQ2653" s="6"/>
      <c r="CR2653" s="6"/>
      <c r="CS2653" s="6"/>
      <c r="CT2653" s="6"/>
      <c r="CU2653" s="6"/>
      <c r="CV2653" s="6"/>
      <c r="CW2653" s="6"/>
      <c r="CX2653" s="6"/>
      <c r="CY2653" s="6"/>
      <c r="CZ2653" s="6"/>
    </row>
    <row r="2654" spans="27:104" s="5" customFormat="1" x14ac:dyDescent="0.25">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16"/>
      <c r="BC2654" s="6"/>
      <c r="BD2654" s="6"/>
      <c r="BE2654" s="6"/>
      <c r="BF2654" s="6"/>
      <c r="BG2654" s="6"/>
      <c r="BH2654" s="6"/>
      <c r="BI2654" s="6"/>
      <c r="BJ2654" s="6"/>
      <c r="BK2654" s="6"/>
      <c r="BL2654" s="6"/>
      <c r="BM2654" s="6"/>
      <c r="BN2654" s="6"/>
      <c r="BO2654" s="6"/>
      <c r="BP2654" s="6"/>
      <c r="BQ2654" s="6"/>
      <c r="BR2654" s="6"/>
      <c r="BS2654" s="6"/>
      <c r="BT2654" s="6"/>
      <c r="BU2654" s="6"/>
      <c r="BV2654" s="6"/>
      <c r="BW2654" s="6"/>
      <c r="BX2654" s="6"/>
      <c r="BY2654" s="6"/>
      <c r="BZ2654" s="6"/>
      <c r="CA2654" s="6"/>
      <c r="CB2654" s="6"/>
      <c r="CC2654" s="6"/>
      <c r="CD2654" s="6"/>
      <c r="CE2654" s="6"/>
      <c r="CF2654" s="6"/>
      <c r="CG2654" s="6"/>
      <c r="CH2654" s="6"/>
      <c r="CI2654" s="6"/>
      <c r="CJ2654" s="6"/>
      <c r="CK2654" s="6"/>
      <c r="CL2654" s="6"/>
      <c r="CM2654" s="6"/>
      <c r="CN2654" s="6"/>
      <c r="CO2654" s="6"/>
      <c r="CP2654" s="6"/>
      <c r="CQ2654" s="6"/>
      <c r="CR2654" s="6"/>
      <c r="CS2654" s="6"/>
      <c r="CT2654" s="6"/>
      <c r="CU2654" s="6"/>
      <c r="CV2654" s="6"/>
      <c r="CW2654" s="6"/>
      <c r="CX2654" s="6"/>
      <c r="CY2654" s="6"/>
      <c r="CZ2654" s="6"/>
    </row>
    <row r="2655" spans="27:104" s="5" customFormat="1" x14ac:dyDescent="0.25">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16"/>
      <c r="BC2655" s="6"/>
      <c r="BD2655" s="6"/>
      <c r="BE2655" s="6"/>
      <c r="BF2655" s="6"/>
      <c r="BG2655" s="6"/>
      <c r="BH2655" s="6"/>
      <c r="BI2655" s="6"/>
      <c r="BJ2655" s="6"/>
      <c r="BK2655" s="6"/>
      <c r="BL2655" s="6"/>
      <c r="BM2655" s="6"/>
      <c r="BN2655" s="6"/>
      <c r="BO2655" s="6"/>
      <c r="BP2655" s="6"/>
      <c r="BQ2655" s="6"/>
      <c r="BR2655" s="6"/>
      <c r="BS2655" s="6"/>
      <c r="BT2655" s="6"/>
      <c r="BU2655" s="6"/>
      <c r="BV2655" s="6"/>
      <c r="BW2655" s="6"/>
      <c r="BX2655" s="6"/>
      <c r="BY2655" s="6"/>
      <c r="BZ2655" s="6"/>
      <c r="CA2655" s="6"/>
      <c r="CB2655" s="6"/>
      <c r="CC2655" s="6"/>
      <c r="CD2655" s="6"/>
      <c r="CE2655" s="6"/>
      <c r="CF2655" s="6"/>
      <c r="CG2655" s="6"/>
      <c r="CH2655" s="6"/>
      <c r="CI2655" s="6"/>
      <c r="CJ2655" s="6"/>
      <c r="CK2655" s="6"/>
      <c r="CL2655" s="6"/>
      <c r="CM2655" s="6"/>
      <c r="CN2655" s="6"/>
      <c r="CO2655" s="6"/>
      <c r="CP2655" s="6"/>
      <c r="CQ2655" s="6"/>
      <c r="CR2655" s="6"/>
      <c r="CS2655" s="6"/>
      <c r="CT2655" s="6"/>
      <c r="CU2655" s="6"/>
      <c r="CV2655" s="6"/>
      <c r="CW2655" s="6"/>
      <c r="CX2655" s="6"/>
      <c r="CY2655" s="6"/>
      <c r="CZ2655" s="6"/>
    </row>
    <row r="2656" spans="27:104" s="5" customFormat="1" x14ac:dyDescent="0.25">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16"/>
      <c r="BC2656" s="6"/>
      <c r="BD2656" s="6"/>
      <c r="BE2656" s="6"/>
      <c r="BF2656" s="6"/>
      <c r="BG2656" s="6"/>
      <c r="BH2656" s="6"/>
      <c r="BI2656" s="6"/>
      <c r="BJ2656" s="6"/>
      <c r="BK2656" s="6"/>
      <c r="BL2656" s="6"/>
      <c r="BM2656" s="6"/>
      <c r="BN2656" s="6"/>
      <c r="BO2656" s="6"/>
      <c r="BP2656" s="6"/>
      <c r="BQ2656" s="6"/>
      <c r="BR2656" s="6"/>
      <c r="BS2656" s="6"/>
      <c r="BT2656" s="6"/>
      <c r="BU2656" s="6"/>
      <c r="BV2656" s="6"/>
      <c r="BW2656" s="6"/>
      <c r="BX2656" s="6"/>
      <c r="BY2656" s="6"/>
      <c r="BZ2656" s="6"/>
      <c r="CA2656" s="6"/>
      <c r="CB2656" s="6"/>
      <c r="CC2656" s="6"/>
      <c r="CD2656" s="6"/>
      <c r="CE2656" s="6"/>
      <c r="CF2656" s="6"/>
      <c r="CG2656" s="6"/>
      <c r="CH2656" s="6"/>
      <c r="CI2656" s="6"/>
      <c r="CJ2656" s="6"/>
      <c r="CK2656" s="6"/>
      <c r="CL2656" s="6"/>
      <c r="CM2656" s="6"/>
      <c r="CN2656" s="6"/>
      <c r="CO2656" s="6"/>
      <c r="CP2656" s="6"/>
      <c r="CQ2656" s="6"/>
      <c r="CR2656" s="6"/>
      <c r="CS2656" s="6"/>
      <c r="CT2656" s="6"/>
      <c r="CU2656" s="6"/>
      <c r="CV2656" s="6"/>
      <c r="CW2656" s="6"/>
      <c r="CX2656" s="6"/>
      <c r="CY2656" s="6"/>
      <c r="CZ2656" s="6"/>
    </row>
    <row r="2657" spans="27:104" s="5" customFormat="1" x14ac:dyDescent="0.25">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16"/>
      <c r="BC2657" s="6"/>
      <c r="BD2657" s="6"/>
      <c r="BE2657" s="6"/>
      <c r="BF2657" s="6"/>
      <c r="BG2657" s="6"/>
      <c r="BH2657" s="6"/>
      <c r="BI2657" s="6"/>
      <c r="BJ2657" s="6"/>
      <c r="BK2657" s="6"/>
      <c r="BL2657" s="6"/>
      <c r="BM2657" s="6"/>
      <c r="BN2657" s="6"/>
      <c r="BO2657" s="6"/>
      <c r="BP2657" s="6"/>
      <c r="BQ2657" s="6"/>
      <c r="BR2657" s="6"/>
      <c r="BS2657" s="6"/>
      <c r="BT2657" s="6"/>
      <c r="BU2657" s="6"/>
      <c r="BV2657" s="6"/>
      <c r="BW2657" s="6"/>
      <c r="BX2657" s="6"/>
      <c r="BY2657" s="6"/>
      <c r="BZ2657" s="6"/>
      <c r="CA2657" s="6"/>
      <c r="CB2657" s="6"/>
      <c r="CC2657" s="6"/>
      <c r="CD2657" s="6"/>
      <c r="CE2657" s="6"/>
      <c r="CF2657" s="6"/>
      <c r="CG2657" s="6"/>
      <c r="CH2657" s="6"/>
      <c r="CI2657" s="6"/>
      <c r="CJ2657" s="6"/>
      <c r="CK2657" s="6"/>
      <c r="CL2657" s="6"/>
      <c r="CM2657" s="6"/>
      <c r="CN2657" s="6"/>
      <c r="CO2657" s="6"/>
      <c r="CP2657" s="6"/>
      <c r="CQ2657" s="6"/>
      <c r="CR2657" s="6"/>
      <c r="CS2657" s="6"/>
      <c r="CT2657" s="6"/>
      <c r="CU2657" s="6"/>
      <c r="CV2657" s="6"/>
      <c r="CW2657" s="6"/>
      <c r="CX2657" s="6"/>
      <c r="CY2657" s="6"/>
      <c r="CZ2657" s="6"/>
    </row>
    <row r="2658" spans="27:104" s="5" customFormat="1" x14ac:dyDescent="0.25">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16"/>
      <c r="BC2658" s="6"/>
      <c r="BD2658" s="6"/>
      <c r="BE2658" s="6"/>
      <c r="BF2658" s="6"/>
      <c r="BG2658" s="6"/>
      <c r="BH2658" s="6"/>
      <c r="BI2658" s="6"/>
      <c r="BJ2658" s="6"/>
      <c r="BK2658" s="6"/>
      <c r="BL2658" s="6"/>
      <c r="BM2658" s="6"/>
      <c r="BN2658" s="6"/>
      <c r="BO2658" s="6"/>
      <c r="BP2658" s="6"/>
      <c r="BQ2658" s="6"/>
      <c r="BR2658" s="6"/>
      <c r="BS2658" s="6"/>
      <c r="BT2658" s="6"/>
      <c r="BU2658" s="6"/>
      <c r="BV2658" s="6"/>
      <c r="BW2658" s="6"/>
      <c r="BX2658" s="6"/>
      <c r="BY2658" s="6"/>
      <c r="BZ2658" s="6"/>
      <c r="CA2658" s="6"/>
      <c r="CB2658" s="6"/>
      <c r="CC2658" s="6"/>
      <c r="CD2658" s="6"/>
      <c r="CE2658" s="6"/>
      <c r="CF2658" s="6"/>
      <c r="CG2658" s="6"/>
      <c r="CH2658" s="6"/>
      <c r="CI2658" s="6"/>
      <c r="CJ2658" s="6"/>
      <c r="CK2658" s="6"/>
      <c r="CL2658" s="6"/>
      <c r="CM2658" s="6"/>
      <c r="CN2658" s="6"/>
      <c r="CO2658" s="6"/>
      <c r="CP2658" s="6"/>
      <c r="CQ2658" s="6"/>
      <c r="CR2658" s="6"/>
      <c r="CS2658" s="6"/>
      <c r="CT2658" s="6"/>
      <c r="CU2658" s="6"/>
      <c r="CV2658" s="6"/>
      <c r="CW2658" s="6"/>
      <c r="CX2658" s="6"/>
      <c r="CY2658" s="6"/>
      <c r="CZ2658" s="6"/>
    </row>
    <row r="2659" spans="27:104" s="5" customFormat="1" x14ac:dyDescent="0.25">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16"/>
      <c r="BC2659" s="6"/>
      <c r="BD2659" s="6"/>
      <c r="BE2659" s="6"/>
      <c r="BF2659" s="6"/>
      <c r="BG2659" s="6"/>
      <c r="BH2659" s="6"/>
      <c r="BI2659" s="6"/>
      <c r="BJ2659" s="6"/>
      <c r="BK2659" s="6"/>
      <c r="BL2659" s="6"/>
      <c r="BM2659" s="6"/>
      <c r="BN2659" s="6"/>
      <c r="BO2659" s="6"/>
      <c r="BP2659" s="6"/>
      <c r="BQ2659" s="6"/>
      <c r="BR2659" s="6"/>
      <c r="BS2659" s="6"/>
      <c r="BT2659" s="6"/>
      <c r="BU2659" s="6"/>
      <c r="BV2659" s="6"/>
      <c r="BW2659" s="6"/>
      <c r="BX2659" s="6"/>
      <c r="BY2659" s="6"/>
      <c r="BZ2659" s="6"/>
      <c r="CA2659" s="6"/>
      <c r="CB2659" s="6"/>
      <c r="CC2659" s="6"/>
      <c r="CD2659" s="6"/>
      <c r="CE2659" s="6"/>
      <c r="CF2659" s="6"/>
      <c r="CG2659" s="6"/>
      <c r="CH2659" s="6"/>
      <c r="CI2659" s="6"/>
      <c r="CJ2659" s="6"/>
      <c r="CK2659" s="6"/>
      <c r="CL2659" s="6"/>
      <c r="CM2659" s="6"/>
      <c r="CN2659" s="6"/>
      <c r="CO2659" s="6"/>
      <c r="CP2659" s="6"/>
      <c r="CQ2659" s="6"/>
      <c r="CR2659" s="6"/>
      <c r="CS2659" s="6"/>
      <c r="CT2659" s="6"/>
      <c r="CU2659" s="6"/>
      <c r="CV2659" s="6"/>
      <c r="CW2659" s="6"/>
      <c r="CX2659" s="6"/>
      <c r="CY2659" s="6"/>
      <c r="CZ2659" s="6"/>
    </row>
    <row r="2660" spans="27:104" s="5" customFormat="1" x14ac:dyDescent="0.25">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16"/>
      <c r="BC2660" s="6"/>
      <c r="BD2660" s="6"/>
      <c r="BE2660" s="6"/>
      <c r="BF2660" s="6"/>
      <c r="BG2660" s="6"/>
      <c r="BH2660" s="6"/>
      <c r="BI2660" s="6"/>
      <c r="BJ2660" s="6"/>
      <c r="BK2660" s="6"/>
      <c r="BL2660" s="6"/>
      <c r="BM2660" s="6"/>
      <c r="BN2660" s="6"/>
      <c r="BO2660" s="6"/>
      <c r="BP2660" s="6"/>
      <c r="BQ2660" s="6"/>
      <c r="BR2660" s="6"/>
      <c r="BS2660" s="6"/>
      <c r="BT2660" s="6"/>
      <c r="BU2660" s="6"/>
      <c r="BV2660" s="6"/>
      <c r="BW2660" s="6"/>
      <c r="BX2660" s="6"/>
      <c r="BY2660" s="6"/>
      <c r="BZ2660" s="6"/>
      <c r="CA2660" s="6"/>
      <c r="CB2660" s="6"/>
      <c r="CC2660" s="6"/>
      <c r="CD2660" s="6"/>
      <c r="CE2660" s="6"/>
      <c r="CF2660" s="6"/>
      <c r="CG2660" s="6"/>
      <c r="CH2660" s="6"/>
      <c r="CI2660" s="6"/>
      <c r="CJ2660" s="6"/>
      <c r="CK2660" s="6"/>
      <c r="CL2660" s="6"/>
      <c r="CM2660" s="6"/>
      <c r="CN2660" s="6"/>
      <c r="CO2660" s="6"/>
      <c r="CP2660" s="6"/>
      <c r="CQ2660" s="6"/>
      <c r="CR2660" s="6"/>
      <c r="CS2660" s="6"/>
      <c r="CT2660" s="6"/>
      <c r="CU2660" s="6"/>
      <c r="CV2660" s="6"/>
      <c r="CW2660" s="6"/>
      <c r="CX2660" s="6"/>
      <c r="CY2660" s="6"/>
      <c r="CZ2660" s="6"/>
    </row>
    <row r="2661" spans="27:104" s="5" customFormat="1" x14ac:dyDescent="0.25">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16"/>
      <c r="BC2661" s="6"/>
      <c r="BD2661" s="6"/>
      <c r="BE2661" s="6"/>
      <c r="BF2661" s="6"/>
      <c r="BG2661" s="6"/>
      <c r="BH2661" s="6"/>
      <c r="BI2661" s="6"/>
      <c r="BJ2661" s="6"/>
      <c r="BK2661" s="6"/>
      <c r="BL2661" s="6"/>
      <c r="BM2661" s="6"/>
      <c r="BN2661" s="6"/>
      <c r="BO2661" s="6"/>
      <c r="BP2661" s="6"/>
      <c r="BQ2661" s="6"/>
      <c r="BR2661" s="6"/>
      <c r="BS2661" s="6"/>
      <c r="BT2661" s="6"/>
      <c r="BU2661" s="6"/>
      <c r="BV2661" s="6"/>
      <c r="BW2661" s="6"/>
      <c r="BX2661" s="6"/>
      <c r="BY2661" s="6"/>
      <c r="BZ2661" s="6"/>
      <c r="CA2661" s="6"/>
      <c r="CB2661" s="6"/>
      <c r="CC2661" s="6"/>
      <c r="CD2661" s="6"/>
      <c r="CE2661" s="6"/>
      <c r="CF2661" s="6"/>
      <c r="CG2661" s="6"/>
      <c r="CH2661" s="6"/>
      <c r="CI2661" s="6"/>
      <c r="CJ2661" s="6"/>
      <c r="CK2661" s="6"/>
      <c r="CL2661" s="6"/>
      <c r="CM2661" s="6"/>
      <c r="CN2661" s="6"/>
      <c r="CO2661" s="6"/>
      <c r="CP2661" s="6"/>
      <c r="CQ2661" s="6"/>
      <c r="CR2661" s="6"/>
      <c r="CS2661" s="6"/>
      <c r="CT2661" s="6"/>
      <c r="CU2661" s="6"/>
      <c r="CV2661" s="6"/>
      <c r="CW2661" s="6"/>
      <c r="CX2661" s="6"/>
      <c r="CY2661" s="6"/>
      <c r="CZ2661" s="6"/>
    </row>
    <row r="2662" spans="27:104" s="5" customFormat="1" x14ac:dyDescent="0.25">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16"/>
      <c r="BC2662" s="6"/>
      <c r="BD2662" s="6"/>
      <c r="BE2662" s="6"/>
      <c r="BF2662" s="6"/>
      <c r="BG2662" s="6"/>
      <c r="BH2662" s="6"/>
      <c r="BI2662" s="6"/>
      <c r="BJ2662" s="6"/>
      <c r="BK2662" s="6"/>
      <c r="BL2662" s="6"/>
      <c r="BM2662" s="6"/>
      <c r="BN2662" s="6"/>
      <c r="BO2662" s="6"/>
      <c r="BP2662" s="6"/>
      <c r="BQ2662" s="6"/>
      <c r="BR2662" s="6"/>
      <c r="BS2662" s="6"/>
      <c r="BT2662" s="6"/>
      <c r="BU2662" s="6"/>
      <c r="BV2662" s="6"/>
      <c r="BW2662" s="6"/>
      <c r="BX2662" s="6"/>
      <c r="BY2662" s="6"/>
      <c r="BZ2662" s="6"/>
      <c r="CA2662" s="6"/>
      <c r="CB2662" s="6"/>
      <c r="CC2662" s="6"/>
      <c r="CD2662" s="6"/>
      <c r="CE2662" s="6"/>
      <c r="CF2662" s="6"/>
      <c r="CG2662" s="6"/>
      <c r="CH2662" s="6"/>
      <c r="CI2662" s="6"/>
      <c r="CJ2662" s="6"/>
      <c r="CK2662" s="6"/>
      <c r="CL2662" s="6"/>
      <c r="CM2662" s="6"/>
      <c r="CN2662" s="6"/>
      <c r="CO2662" s="6"/>
      <c r="CP2662" s="6"/>
      <c r="CQ2662" s="6"/>
      <c r="CR2662" s="6"/>
      <c r="CS2662" s="6"/>
      <c r="CT2662" s="6"/>
      <c r="CU2662" s="6"/>
      <c r="CV2662" s="6"/>
      <c r="CW2662" s="6"/>
      <c r="CX2662" s="6"/>
      <c r="CY2662" s="6"/>
      <c r="CZ2662" s="6"/>
    </row>
    <row r="2663" spans="27:104" s="5" customFormat="1" x14ac:dyDescent="0.25">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16"/>
      <c r="BC2663" s="6"/>
      <c r="BD2663" s="6"/>
      <c r="BE2663" s="6"/>
      <c r="BF2663" s="6"/>
      <c r="BG2663" s="6"/>
      <c r="BH2663" s="6"/>
      <c r="BI2663" s="6"/>
      <c r="BJ2663" s="6"/>
      <c r="BK2663" s="6"/>
      <c r="BL2663" s="6"/>
      <c r="BM2663" s="6"/>
      <c r="BN2663" s="6"/>
      <c r="BO2663" s="6"/>
      <c r="BP2663" s="6"/>
      <c r="BQ2663" s="6"/>
      <c r="BR2663" s="6"/>
      <c r="BS2663" s="6"/>
      <c r="BT2663" s="6"/>
      <c r="BU2663" s="6"/>
      <c r="BV2663" s="6"/>
      <c r="BW2663" s="6"/>
      <c r="BX2663" s="6"/>
      <c r="BY2663" s="6"/>
      <c r="BZ2663" s="6"/>
      <c r="CA2663" s="6"/>
      <c r="CB2663" s="6"/>
      <c r="CC2663" s="6"/>
      <c r="CD2663" s="6"/>
      <c r="CE2663" s="6"/>
      <c r="CF2663" s="6"/>
      <c r="CG2663" s="6"/>
      <c r="CH2663" s="6"/>
      <c r="CI2663" s="6"/>
      <c r="CJ2663" s="6"/>
      <c r="CK2663" s="6"/>
      <c r="CL2663" s="6"/>
      <c r="CM2663" s="6"/>
      <c r="CN2663" s="6"/>
      <c r="CO2663" s="6"/>
      <c r="CP2663" s="6"/>
      <c r="CQ2663" s="6"/>
      <c r="CR2663" s="6"/>
      <c r="CS2663" s="6"/>
      <c r="CT2663" s="6"/>
      <c r="CU2663" s="6"/>
      <c r="CV2663" s="6"/>
      <c r="CW2663" s="6"/>
      <c r="CX2663" s="6"/>
      <c r="CY2663" s="6"/>
      <c r="CZ2663" s="6"/>
    </row>
    <row r="2664" spans="27:104" s="5" customFormat="1" x14ac:dyDescent="0.25">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16"/>
      <c r="BC2664" s="6"/>
      <c r="BD2664" s="6"/>
      <c r="BE2664" s="6"/>
      <c r="BF2664" s="6"/>
      <c r="BG2664" s="6"/>
      <c r="BH2664" s="6"/>
      <c r="BI2664" s="6"/>
      <c r="BJ2664" s="6"/>
      <c r="BK2664" s="6"/>
      <c r="BL2664" s="6"/>
      <c r="BM2664" s="6"/>
      <c r="BN2664" s="6"/>
      <c r="BO2664" s="6"/>
      <c r="BP2664" s="6"/>
      <c r="BQ2664" s="6"/>
      <c r="BR2664" s="6"/>
      <c r="BS2664" s="6"/>
      <c r="BT2664" s="6"/>
      <c r="BU2664" s="6"/>
      <c r="BV2664" s="6"/>
      <c r="BW2664" s="6"/>
      <c r="BX2664" s="6"/>
      <c r="BY2664" s="6"/>
      <c r="BZ2664" s="6"/>
      <c r="CA2664" s="6"/>
      <c r="CB2664" s="6"/>
      <c r="CC2664" s="6"/>
      <c r="CD2664" s="6"/>
      <c r="CE2664" s="6"/>
      <c r="CF2664" s="6"/>
      <c r="CG2664" s="6"/>
      <c r="CH2664" s="6"/>
      <c r="CI2664" s="6"/>
      <c r="CJ2664" s="6"/>
      <c r="CK2664" s="6"/>
      <c r="CL2664" s="6"/>
      <c r="CM2664" s="6"/>
      <c r="CN2664" s="6"/>
      <c r="CO2664" s="6"/>
      <c r="CP2664" s="6"/>
      <c r="CQ2664" s="6"/>
      <c r="CR2664" s="6"/>
      <c r="CS2664" s="6"/>
      <c r="CT2664" s="6"/>
      <c r="CU2664" s="6"/>
      <c r="CV2664" s="6"/>
      <c r="CW2664" s="6"/>
      <c r="CX2664" s="6"/>
      <c r="CY2664" s="6"/>
      <c r="CZ2664" s="6"/>
    </row>
    <row r="2665" spans="27:104" s="5" customFormat="1" x14ac:dyDescent="0.25">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16"/>
      <c r="BC2665" s="6"/>
      <c r="BD2665" s="6"/>
      <c r="BE2665" s="6"/>
      <c r="BF2665" s="6"/>
      <c r="BG2665" s="6"/>
      <c r="BH2665" s="6"/>
      <c r="BI2665" s="6"/>
      <c r="BJ2665" s="6"/>
      <c r="BK2665" s="6"/>
      <c r="BL2665" s="6"/>
      <c r="BM2665" s="6"/>
      <c r="BN2665" s="6"/>
      <c r="BO2665" s="6"/>
      <c r="BP2665" s="6"/>
      <c r="BQ2665" s="6"/>
      <c r="BR2665" s="6"/>
      <c r="BS2665" s="6"/>
      <c r="BT2665" s="6"/>
      <c r="BU2665" s="6"/>
      <c r="BV2665" s="6"/>
      <c r="BW2665" s="6"/>
      <c r="BX2665" s="6"/>
      <c r="BY2665" s="6"/>
      <c r="BZ2665" s="6"/>
      <c r="CA2665" s="6"/>
      <c r="CB2665" s="6"/>
      <c r="CC2665" s="6"/>
      <c r="CD2665" s="6"/>
      <c r="CE2665" s="6"/>
      <c r="CF2665" s="6"/>
      <c r="CG2665" s="6"/>
      <c r="CH2665" s="6"/>
      <c r="CI2665" s="6"/>
      <c r="CJ2665" s="6"/>
      <c r="CK2665" s="6"/>
      <c r="CL2665" s="6"/>
      <c r="CM2665" s="6"/>
      <c r="CN2665" s="6"/>
      <c r="CO2665" s="6"/>
      <c r="CP2665" s="6"/>
      <c r="CQ2665" s="6"/>
      <c r="CR2665" s="6"/>
      <c r="CS2665" s="6"/>
      <c r="CT2665" s="6"/>
      <c r="CU2665" s="6"/>
      <c r="CV2665" s="6"/>
      <c r="CW2665" s="6"/>
      <c r="CX2665" s="6"/>
      <c r="CY2665" s="6"/>
      <c r="CZ2665" s="6"/>
    </row>
    <row r="2666" spans="27:104" s="5" customFormat="1" x14ac:dyDescent="0.25">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16"/>
      <c r="BC2666" s="6"/>
      <c r="BD2666" s="6"/>
      <c r="BE2666" s="6"/>
      <c r="BF2666" s="6"/>
      <c r="BG2666" s="6"/>
      <c r="BH2666" s="6"/>
      <c r="BI2666" s="6"/>
      <c r="BJ2666" s="6"/>
      <c r="BK2666" s="6"/>
      <c r="BL2666" s="6"/>
      <c r="BM2666" s="6"/>
      <c r="BN2666" s="6"/>
      <c r="BO2666" s="6"/>
      <c r="BP2666" s="6"/>
      <c r="BQ2666" s="6"/>
      <c r="BR2666" s="6"/>
      <c r="BS2666" s="6"/>
      <c r="BT2666" s="6"/>
      <c r="BU2666" s="6"/>
      <c r="BV2666" s="6"/>
      <c r="BW2666" s="6"/>
      <c r="BX2666" s="6"/>
      <c r="BY2666" s="6"/>
      <c r="BZ2666" s="6"/>
      <c r="CA2666" s="6"/>
      <c r="CB2666" s="6"/>
      <c r="CC2666" s="6"/>
      <c r="CD2666" s="6"/>
      <c r="CE2666" s="6"/>
      <c r="CF2666" s="6"/>
      <c r="CG2666" s="6"/>
      <c r="CH2666" s="6"/>
      <c r="CI2666" s="6"/>
      <c r="CJ2666" s="6"/>
      <c r="CK2666" s="6"/>
      <c r="CL2666" s="6"/>
      <c r="CM2666" s="6"/>
      <c r="CN2666" s="6"/>
      <c r="CO2666" s="6"/>
      <c r="CP2666" s="6"/>
      <c r="CQ2666" s="6"/>
      <c r="CR2666" s="6"/>
      <c r="CS2666" s="6"/>
      <c r="CT2666" s="6"/>
      <c r="CU2666" s="6"/>
      <c r="CV2666" s="6"/>
      <c r="CW2666" s="6"/>
      <c r="CX2666" s="6"/>
      <c r="CY2666" s="6"/>
      <c r="CZ2666" s="6"/>
    </row>
    <row r="2667" spans="27:104" s="5" customFormat="1" x14ac:dyDescent="0.25">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16"/>
      <c r="BC2667" s="6"/>
      <c r="BD2667" s="6"/>
      <c r="BE2667" s="6"/>
      <c r="BF2667" s="6"/>
      <c r="BG2667" s="6"/>
      <c r="BH2667" s="6"/>
      <c r="BI2667" s="6"/>
      <c r="BJ2667" s="6"/>
      <c r="BK2667" s="6"/>
      <c r="BL2667" s="6"/>
      <c r="BM2667" s="6"/>
      <c r="BN2667" s="6"/>
      <c r="BO2667" s="6"/>
      <c r="BP2667" s="6"/>
      <c r="BQ2667" s="6"/>
      <c r="BR2667" s="6"/>
      <c r="BS2667" s="6"/>
      <c r="BT2667" s="6"/>
      <c r="BU2667" s="6"/>
      <c r="BV2667" s="6"/>
      <c r="BW2667" s="6"/>
      <c r="BX2667" s="6"/>
      <c r="BY2667" s="6"/>
      <c r="BZ2667" s="6"/>
      <c r="CA2667" s="6"/>
      <c r="CB2667" s="6"/>
      <c r="CC2667" s="6"/>
      <c r="CD2667" s="6"/>
      <c r="CE2667" s="6"/>
      <c r="CF2667" s="6"/>
      <c r="CG2667" s="6"/>
      <c r="CH2667" s="6"/>
      <c r="CI2667" s="6"/>
      <c r="CJ2667" s="6"/>
      <c r="CK2667" s="6"/>
      <c r="CL2667" s="6"/>
      <c r="CM2667" s="6"/>
      <c r="CN2667" s="6"/>
      <c r="CO2667" s="6"/>
      <c r="CP2667" s="6"/>
      <c r="CQ2667" s="6"/>
      <c r="CR2667" s="6"/>
      <c r="CS2667" s="6"/>
      <c r="CT2667" s="6"/>
      <c r="CU2667" s="6"/>
      <c r="CV2667" s="6"/>
      <c r="CW2667" s="6"/>
      <c r="CX2667" s="6"/>
      <c r="CY2667" s="6"/>
      <c r="CZ2667" s="6"/>
    </row>
    <row r="2668" spans="27:104" s="5" customFormat="1" x14ac:dyDescent="0.25">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16"/>
      <c r="BC2668" s="6"/>
      <c r="BD2668" s="6"/>
      <c r="BE2668" s="6"/>
      <c r="BF2668" s="6"/>
      <c r="BG2668" s="6"/>
      <c r="BH2668" s="6"/>
      <c r="BI2668" s="6"/>
      <c r="BJ2668" s="6"/>
      <c r="BK2668" s="6"/>
      <c r="BL2668" s="6"/>
      <c r="BM2668" s="6"/>
      <c r="BN2668" s="6"/>
      <c r="BO2668" s="6"/>
      <c r="BP2668" s="6"/>
      <c r="BQ2668" s="6"/>
      <c r="BR2668" s="6"/>
      <c r="BS2668" s="6"/>
      <c r="BT2668" s="6"/>
      <c r="BU2668" s="6"/>
      <c r="BV2668" s="6"/>
      <c r="BW2668" s="6"/>
      <c r="BX2668" s="6"/>
      <c r="BY2668" s="6"/>
      <c r="BZ2668" s="6"/>
      <c r="CA2668" s="6"/>
      <c r="CB2668" s="6"/>
      <c r="CC2668" s="6"/>
      <c r="CD2668" s="6"/>
      <c r="CE2668" s="6"/>
      <c r="CF2668" s="6"/>
      <c r="CG2668" s="6"/>
      <c r="CH2668" s="6"/>
      <c r="CI2668" s="6"/>
      <c r="CJ2668" s="6"/>
      <c r="CK2668" s="6"/>
      <c r="CL2668" s="6"/>
      <c r="CM2668" s="6"/>
      <c r="CN2668" s="6"/>
      <c r="CO2668" s="6"/>
      <c r="CP2668" s="6"/>
      <c r="CQ2668" s="6"/>
      <c r="CR2668" s="6"/>
      <c r="CS2668" s="6"/>
      <c r="CT2668" s="6"/>
      <c r="CU2668" s="6"/>
      <c r="CV2668" s="6"/>
      <c r="CW2668" s="6"/>
      <c r="CX2668" s="6"/>
      <c r="CY2668" s="6"/>
      <c r="CZ2668" s="6"/>
    </row>
    <row r="2669" spans="27:104" s="5" customFormat="1" x14ac:dyDescent="0.25">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16"/>
      <c r="BC2669" s="6"/>
      <c r="BD2669" s="6"/>
      <c r="BE2669" s="6"/>
      <c r="BF2669" s="6"/>
      <c r="BG2669" s="6"/>
      <c r="BH2669" s="6"/>
      <c r="BI2669" s="6"/>
      <c r="BJ2669" s="6"/>
      <c r="BK2669" s="6"/>
      <c r="BL2669" s="6"/>
      <c r="BM2669" s="6"/>
      <c r="BN2669" s="6"/>
      <c r="BO2669" s="6"/>
      <c r="BP2669" s="6"/>
      <c r="BQ2669" s="6"/>
      <c r="BR2669" s="6"/>
      <c r="BS2669" s="6"/>
      <c r="BT2669" s="6"/>
      <c r="BU2669" s="6"/>
      <c r="BV2669" s="6"/>
      <c r="BW2669" s="6"/>
      <c r="BX2669" s="6"/>
      <c r="BY2669" s="6"/>
      <c r="BZ2669" s="6"/>
      <c r="CA2669" s="6"/>
      <c r="CB2669" s="6"/>
      <c r="CC2669" s="6"/>
      <c r="CD2669" s="6"/>
      <c r="CE2669" s="6"/>
      <c r="CF2669" s="6"/>
      <c r="CG2669" s="6"/>
      <c r="CH2669" s="6"/>
      <c r="CI2669" s="6"/>
      <c r="CJ2669" s="6"/>
      <c r="CK2669" s="6"/>
      <c r="CL2669" s="6"/>
      <c r="CM2669" s="6"/>
      <c r="CN2669" s="6"/>
      <c r="CO2669" s="6"/>
      <c r="CP2669" s="6"/>
      <c r="CQ2669" s="6"/>
      <c r="CR2669" s="6"/>
      <c r="CS2669" s="6"/>
      <c r="CT2669" s="6"/>
      <c r="CU2669" s="6"/>
      <c r="CV2669" s="6"/>
      <c r="CW2669" s="6"/>
      <c r="CX2669" s="6"/>
      <c r="CY2669" s="6"/>
      <c r="CZ2669" s="6"/>
    </row>
    <row r="2670" spans="27:104" s="5" customFormat="1" x14ac:dyDescent="0.25">
      <c r="AA2670" s="6"/>
      <c r="AB2670" s="6"/>
      <c r="AC2670" s="6"/>
      <c r="AD2670" s="6"/>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16"/>
      <c r="BC2670" s="6"/>
      <c r="BD2670" s="6"/>
      <c r="BE2670" s="6"/>
      <c r="BF2670" s="6"/>
      <c r="BG2670" s="6"/>
      <c r="BH2670" s="6"/>
      <c r="BI2670" s="6"/>
      <c r="BJ2670" s="6"/>
      <c r="BK2670" s="6"/>
      <c r="BL2670" s="6"/>
      <c r="BM2670" s="6"/>
      <c r="BN2670" s="6"/>
      <c r="BO2670" s="6"/>
      <c r="BP2670" s="6"/>
      <c r="BQ2670" s="6"/>
      <c r="BR2670" s="6"/>
      <c r="BS2670" s="6"/>
      <c r="BT2670" s="6"/>
      <c r="BU2670" s="6"/>
      <c r="BV2670" s="6"/>
      <c r="BW2670" s="6"/>
      <c r="BX2670" s="6"/>
      <c r="BY2670" s="6"/>
      <c r="BZ2670" s="6"/>
      <c r="CA2670" s="6"/>
      <c r="CB2670" s="6"/>
      <c r="CC2670" s="6"/>
      <c r="CD2670" s="6"/>
      <c r="CE2670" s="6"/>
      <c r="CF2670" s="6"/>
      <c r="CG2670" s="6"/>
      <c r="CH2670" s="6"/>
      <c r="CI2670" s="6"/>
      <c r="CJ2670" s="6"/>
      <c r="CK2670" s="6"/>
      <c r="CL2670" s="6"/>
      <c r="CM2670" s="6"/>
      <c r="CN2670" s="6"/>
      <c r="CO2670" s="6"/>
      <c r="CP2670" s="6"/>
      <c r="CQ2670" s="6"/>
      <c r="CR2670" s="6"/>
      <c r="CS2670" s="6"/>
      <c r="CT2670" s="6"/>
      <c r="CU2670" s="6"/>
      <c r="CV2670" s="6"/>
      <c r="CW2670" s="6"/>
      <c r="CX2670" s="6"/>
      <c r="CY2670" s="6"/>
      <c r="CZ2670" s="6"/>
    </row>
    <row r="2671" spans="27:104" s="5" customFormat="1" x14ac:dyDescent="0.25">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16"/>
      <c r="BC2671" s="6"/>
      <c r="BD2671" s="6"/>
      <c r="BE2671" s="6"/>
      <c r="BF2671" s="6"/>
      <c r="BG2671" s="6"/>
      <c r="BH2671" s="6"/>
      <c r="BI2671" s="6"/>
      <c r="BJ2671" s="6"/>
      <c r="BK2671" s="6"/>
      <c r="BL2671" s="6"/>
      <c r="BM2671" s="6"/>
      <c r="BN2671" s="6"/>
      <c r="BO2671" s="6"/>
      <c r="BP2671" s="6"/>
      <c r="BQ2671" s="6"/>
      <c r="BR2671" s="6"/>
      <c r="BS2671" s="6"/>
      <c r="BT2671" s="6"/>
      <c r="BU2671" s="6"/>
      <c r="BV2671" s="6"/>
      <c r="BW2671" s="6"/>
      <c r="BX2671" s="6"/>
      <c r="BY2671" s="6"/>
      <c r="BZ2671" s="6"/>
      <c r="CA2671" s="6"/>
      <c r="CB2671" s="6"/>
      <c r="CC2671" s="6"/>
      <c r="CD2671" s="6"/>
      <c r="CE2671" s="6"/>
      <c r="CF2671" s="6"/>
      <c r="CG2671" s="6"/>
      <c r="CH2671" s="6"/>
      <c r="CI2671" s="6"/>
      <c r="CJ2671" s="6"/>
      <c r="CK2671" s="6"/>
      <c r="CL2671" s="6"/>
      <c r="CM2671" s="6"/>
      <c r="CN2671" s="6"/>
      <c r="CO2671" s="6"/>
      <c r="CP2671" s="6"/>
      <c r="CQ2671" s="6"/>
      <c r="CR2671" s="6"/>
      <c r="CS2671" s="6"/>
      <c r="CT2671" s="6"/>
      <c r="CU2671" s="6"/>
      <c r="CV2671" s="6"/>
      <c r="CW2671" s="6"/>
      <c r="CX2671" s="6"/>
      <c r="CY2671" s="6"/>
      <c r="CZ2671" s="6"/>
    </row>
    <row r="2672" spans="27:104" s="5" customFormat="1" x14ac:dyDescent="0.25">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16"/>
      <c r="BC2672" s="6"/>
      <c r="BD2672" s="6"/>
      <c r="BE2672" s="6"/>
      <c r="BF2672" s="6"/>
      <c r="BG2672" s="6"/>
      <c r="BH2672" s="6"/>
      <c r="BI2672" s="6"/>
      <c r="BJ2672" s="6"/>
      <c r="BK2672" s="6"/>
      <c r="BL2672" s="6"/>
      <c r="BM2672" s="6"/>
      <c r="BN2672" s="6"/>
      <c r="BO2672" s="6"/>
      <c r="BP2672" s="6"/>
      <c r="BQ2672" s="6"/>
      <c r="BR2672" s="6"/>
      <c r="BS2672" s="6"/>
      <c r="BT2672" s="6"/>
      <c r="BU2672" s="6"/>
      <c r="BV2672" s="6"/>
      <c r="BW2672" s="6"/>
      <c r="BX2672" s="6"/>
      <c r="BY2672" s="6"/>
      <c r="BZ2672" s="6"/>
      <c r="CA2672" s="6"/>
      <c r="CB2672" s="6"/>
      <c r="CC2672" s="6"/>
      <c r="CD2672" s="6"/>
      <c r="CE2672" s="6"/>
      <c r="CF2672" s="6"/>
      <c r="CG2672" s="6"/>
      <c r="CH2672" s="6"/>
      <c r="CI2672" s="6"/>
      <c r="CJ2672" s="6"/>
      <c r="CK2672" s="6"/>
      <c r="CL2672" s="6"/>
      <c r="CM2672" s="6"/>
      <c r="CN2672" s="6"/>
      <c r="CO2672" s="6"/>
      <c r="CP2672" s="6"/>
      <c r="CQ2672" s="6"/>
      <c r="CR2672" s="6"/>
      <c r="CS2672" s="6"/>
      <c r="CT2672" s="6"/>
      <c r="CU2672" s="6"/>
      <c r="CV2672" s="6"/>
      <c r="CW2672" s="6"/>
      <c r="CX2672" s="6"/>
      <c r="CY2672" s="6"/>
      <c r="CZ2672" s="6"/>
    </row>
    <row r="2673" spans="27:104" s="5" customFormat="1" x14ac:dyDescent="0.25">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16"/>
      <c r="BC2673" s="6"/>
      <c r="BD2673" s="6"/>
      <c r="BE2673" s="6"/>
      <c r="BF2673" s="6"/>
      <c r="BG2673" s="6"/>
      <c r="BH2673" s="6"/>
      <c r="BI2673" s="6"/>
      <c r="BJ2673" s="6"/>
      <c r="BK2673" s="6"/>
      <c r="BL2673" s="6"/>
      <c r="BM2673" s="6"/>
      <c r="BN2673" s="6"/>
      <c r="BO2673" s="6"/>
      <c r="BP2673" s="6"/>
      <c r="BQ2673" s="6"/>
      <c r="BR2673" s="6"/>
      <c r="BS2673" s="6"/>
      <c r="BT2673" s="6"/>
      <c r="BU2673" s="6"/>
      <c r="BV2673" s="6"/>
      <c r="BW2673" s="6"/>
      <c r="BX2673" s="6"/>
      <c r="BY2673" s="6"/>
      <c r="BZ2673" s="6"/>
      <c r="CA2673" s="6"/>
      <c r="CB2673" s="6"/>
      <c r="CC2673" s="6"/>
      <c r="CD2673" s="6"/>
      <c r="CE2673" s="6"/>
      <c r="CF2673" s="6"/>
      <c r="CG2673" s="6"/>
      <c r="CH2673" s="6"/>
      <c r="CI2673" s="6"/>
      <c r="CJ2673" s="6"/>
      <c r="CK2673" s="6"/>
      <c r="CL2673" s="6"/>
      <c r="CM2673" s="6"/>
      <c r="CN2673" s="6"/>
      <c r="CO2673" s="6"/>
      <c r="CP2673" s="6"/>
      <c r="CQ2673" s="6"/>
      <c r="CR2673" s="6"/>
      <c r="CS2673" s="6"/>
      <c r="CT2673" s="6"/>
      <c r="CU2673" s="6"/>
      <c r="CV2673" s="6"/>
      <c r="CW2673" s="6"/>
      <c r="CX2673" s="6"/>
      <c r="CY2673" s="6"/>
      <c r="CZ2673" s="6"/>
    </row>
    <row r="2674" spans="27:104" s="5" customFormat="1" x14ac:dyDescent="0.25">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16"/>
      <c r="BC2674" s="6"/>
      <c r="BD2674" s="6"/>
      <c r="BE2674" s="6"/>
      <c r="BF2674" s="6"/>
      <c r="BG2674" s="6"/>
      <c r="BH2674" s="6"/>
      <c r="BI2674" s="6"/>
      <c r="BJ2674" s="6"/>
      <c r="BK2674" s="6"/>
      <c r="BL2674" s="6"/>
      <c r="BM2674" s="6"/>
      <c r="BN2674" s="6"/>
      <c r="BO2674" s="6"/>
      <c r="BP2674" s="6"/>
      <c r="BQ2674" s="6"/>
      <c r="BR2674" s="6"/>
      <c r="BS2674" s="6"/>
      <c r="BT2674" s="6"/>
      <c r="BU2674" s="6"/>
      <c r="BV2674" s="6"/>
      <c r="BW2674" s="6"/>
      <c r="BX2674" s="6"/>
      <c r="BY2674" s="6"/>
      <c r="BZ2674" s="6"/>
      <c r="CA2674" s="6"/>
      <c r="CB2674" s="6"/>
      <c r="CC2674" s="6"/>
      <c r="CD2674" s="6"/>
      <c r="CE2674" s="6"/>
      <c r="CF2674" s="6"/>
      <c r="CG2674" s="6"/>
      <c r="CH2674" s="6"/>
      <c r="CI2674" s="6"/>
      <c r="CJ2674" s="6"/>
      <c r="CK2674" s="6"/>
      <c r="CL2674" s="6"/>
      <c r="CM2674" s="6"/>
      <c r="CN2674" s="6"/>
      <c r="CO2674" s="6"/>
      <c r="CP2674" s="6"/>
      <c r="CQ2674" s="6"/>
      <c r="CR2674" s="6"/>
      <c r="CS2674" s="6"/>
      <c r="CT2674" s="6"/>
      <c r="CU2674" s="6"/>
      <c r="CV2674" s="6"/>
      <c r="CW2674" s="6"/>
      <c r="CX2674" s="6"/>
      <c r="CY2674" s="6"/>
      <c r="CZ2674" s="6"/>
    </row>
    <row r="2675" spans="27:104" s="5" customFormat="1" x14ac:dyDescent="0.25">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16"/>
      <c r="BC2675" s="6"/>
      <c r="BD2675" s="6"/>
      <c r="BE2675" s="6"/>
      <c r="BF2675" s="6"/>
      <c r="BG2675" s="6"/>
      <c r="BH2675" s="6"/>
      <c r="BI2675" s="6"/>
      <c r="BJ2675" s="6"/>
      <c r="BK2675" s="6"/>
      <c r="BL2675" s="6"/>
      <c r="BM2675" s="6"/>
      <c r="BN2675" s="6"/>
      <c r="BO2675" s="6"/>
      <c r="BP2675" s="6"/>
      <c r="BQ2675" s="6"/>
      <c r="BR2675" s="6"/>
      <c r="BS2675" s="6"/>
      <c r="BT2675" s="6"/>
      <c r="BU2675" s="6"/>
      <c r="BV2675" s="6"/>
      <c r="BW2675" s="6"/>
      <c r="BX2675" s="6"/>
      <c r="BY2675" s="6"/>
      <c r="BZ2675" s="6"/>
      <c r="CA2675" s="6"/>
      <c r="CB2675" s="6"/>
      <c r="CC2675" s="6"/>
      <c r="CD2675" s="6"/>
      <c r="CE2675" s="6"/>
      <c r="CF2675" s="6"/>
      <c r="CG2675" s="6"/>
      <c r="CH2675" s="6"/>
      <c r="CI2675" s="6"/>
      <c r="CJ2675" s="6"/>
      <c r="CK2675" s="6"/>
      <c r="CL2675" s="6"/>
      <c r="CM2675" s="6"/>
      <c r="CN2675" s="6"/>
      <c r="CO2675" s="6"/>
      <c r="CP2675" s="6"/>
      <c r="CQ2675" s="6"/>
      <c r="CR2675" s="6"/>
      <c r="CS2675" s="6"/>
      <c r="CT2675" s="6"/>
      <c r="CU2675" s="6"/>
      <c r="CV2675" s="6"/>
      <c r="CW2675" s="6"/>
      <c r="CX2675" s="6"/>
      <c r="CY2675" s="6"/>
      <c r="CZ2675" s="6"/>
    </row>
    <row r="2676" spans="27:104" s="5" customFormat="1" x14ac:dyDescent="0.25">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16"/>
      <c r="BC2676" s="6"/>
      <c r="BD2676" s="6"/>
      <c r="BE2676" s="6"/>
      <c r="BF2676" s="6"/>
      <c r="BG2676" s="6"/>
      <c r="BH2676" s="6"/>
      <c r="BI2676" s="6"/>
      <c r="BJ2676" s="6"/>
      <c r="BK2676" s="6"/>
      <c r="BL2676" s="6"/>
      <c r="BM2676" s="6"/>
      <c r="BN2676" s="6"/>
      <c r="BO2676" s="6"/>
      <c r="BP2676" s="6"/>
      <c r="BQ2676" s="6"/>
      <c r="BR2676" s="6"/>
      <c r="BS2676" s="6"/>
      <c r="BT2676" s="6"/>
      <c r="BU2676" s="6"/>
      <c r="BV2676" s="6"/>
      <c r="BW2676" s="6"/>
      <c r="BX2676" s="6"/>
      <c r="BY2676" s="6"/>
      <c r="BZ2676" s="6"/>
      <c r="CA2676" s="6"/>
      <c r="CB2676" s="6"/>
      <c r="CC2676" s="6"/>
      <c r="CD2676" s="6"/>
      <c r="CE2676" s="6"/>
      <c r="CF2676" s="6"/>
      <c r="CG2676" s="6"/>
      <c r="CH2676" s="6"/>
      <c r="CI2676" s="6"/>
      <c r="CJ2676" s="6"/>
      <c r="CK2676" s="6"/>
      <c r="CL2676" s="6"/>
      <c r="CM2676" s="6"/>
      <c r="CN2676" s="6"/>
      <c r="CO2676" s="6"/>
      <c r="CP2676" s="6"/>
      <c r="CQ2676" s="6"/>
      <c r="CR2676" s="6"/>
      <c r="CS2676" s="6"/>
      <c r="CT2676" s="6"/>
      <c r="CU2676" s="6"/>
      <c r="CV2676" s="6"/>
      <c r="CW2676" s="6"/>
      <c r="CX2676" s="6"/>
      <c r="CY2676" s="6"/>
      <c r="CZ2676" s="6"/>
    </row>
    <row r="2677" spans="27:104" s="5" customFormat="1" x14ac:dyDescent="0.25">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16"/>
      <c r="BC2677" s="6"/>
      <c r="BD2677" s="6"/>
      <c r="BE2677" s="6"/>
      <c r="BF2677" s="6"/>
      <c r="BG2677" s="6"/>
      <c r="BH2677" s="6"/>
      <c r="BI2677" s="6"/>
      <c r="BJ2677" s="6"/>
      <c r="BK2677" s="6"/>
      <c r="BL2677" s="6"/>
      <c r="BM2677" s="6"/>
      <c r="BN2677" s="6"/>
      <c r="BO2677" s="6"/>
      <c r="BP2677" s="6"/>
      <c r="BQ2677" s="6"/>
      <c r="BR2677" s="6"/>
      <c r="BS2677" s="6"/>
      <c r="BT2677" s="6"/>
      <c r="BU2677" s="6"/>
      <c r="BV2677" s="6"/>
      <c r="BW2677" s="6"/>
      <c r="BX2677" s="6"/>
      <c r="BY2677" s="6"/>
      <c r="BZ2677" s="6"/>
      <c r="CA2677" s="6"/>
      <c r="CB2677" s="6"/>
      <c r="CC2677" s="6"/>
      <c r="CD2677" s="6"/>
      <c r="CE2677" s="6"/>
      <c r="CF2677" s="6"/>
      <c r="CG2677" s="6"/>
      <c r="CH2677" s="6"/>
      <c r="CI2677" s="6"/>
      <c r="CJ2677" s="6"/>
      <c r="CK2677" s="6"/>
      <c r="CL2677" s="6"/>
      <c r="CM2677" s="6"/>
      <c r="CN2677" s="6"/>
      <c r="CO2677" s="6"/>
      <c r="CP2677" s="6"/>
      <c r="CQ2677" s="6"/>
      <c r="CR2677" s="6"/>
      <c r="CS2677" s="6"/>
      <c r="CT2677" s="6"/>
      <c r="CU2677" s="6"/>
      <c r="CV2677" s="6"/>
      <c r="CW2677" s="6"/>
      <c r="CX2677" s="6"/>
      <c r="CY2677" s="6"/>
      <c r="CZ2677" s="6"/>
    </row>
    <row r="2678" spans="27:104" s="5" customFormat="1" x14ac:dyDescent="0.25">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16"/>
      <c r="BC2678" s="6"/>
      <c r="BD2678" s="6"/>
      <c r="BE2678" s="6"/>
      <c r="BF2678" s="6"/>
      <c r="BG2678" s="6"/>
      <c r="BH2678" s="6"/>
      <c r="BI2678" s="6"/>
      <c r="BJ2678" s="6"/>
      <c r="BK2678" s="6"/>
      <c r="BL2678" s="6"/>
      <c r="BM2678" s="6"/>
      <c r="BN2678" s="6"/>
      <c r="BO2678" s="6"/>
      <c r="BP2678" s="6"/>
      <c r="BQ2678" s="6"/>
      <c r="BR2678" s="6"/>
      <c r="BS2678" s="6"/>
      <c r="BT2678" s="6"/>
      <c r="BU2678" s="6"/>
      <c r="BV2678" s="6"/>
      <c r="BW2678" s="6"/>
      <c r="BX2678" s="6"/>
      <c r="BY2678" s="6"/>
      <c r="BZ2678" s="6"/>
      <c r="CA2678" s="6"/>
      <c r="CB2678" s="6"/>
      <c r="CC2678" s="6"/>
      <c r="CD2678" s="6"/>
      <c r="CE2678" s="6"/>
      <c r="CF2678" s="6"/>
      <c r="CG2678" s="6"/>
      <c r="CH2678" s="6"/>
      <c r="CI2678" s="6"/>
      <c r="CJ2678" s="6"/>
      <c r="CK2678" s="6"/>
      <c r="CL2678" s="6"/>
      <c r="CM2678" s="6"/>
      <c r="CN2678" s="6"/>
      <c r="CO2678" s="6"/>
      <c r="CP2678" s="6"/>
      <c r="CQ2678" s="6"/>
      <c r="CR2678" s="6"/>
      <c r="CS2678" s="6"/>
      <c r="CT2678" s="6"/>
      <c r="CU2678" s="6"/>
      <c r="CV2678" s="6"/>
      <c r="CW2678" s="6"/>
      <c r="CX2678" s="6"/>
      <c r="CY2678" s="6"/>
      <c r="CZ2678" s="6"/>
    </row>
    <row r="2679" spans="27:104" s="5" customFormat="1" x14ac:dyDescent="0.25">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16"/>
      <c r="BC2679" s="6"/>
      <c r="BD2679" s="6"/>
      <c r="BE2679" s="6"/>
      <c r="BF2679" s="6"/>
      <c r="BG2679" s="6"/>
      <c r="BH2679" s="6"/>
      <c r="BI2679" s="6"/>
      <c r="BJ2679" s="6"/>
      <c r="BK2679" s="6"/>
      <c r="BL2679" s="6"/>
      <c r="BM2679" s="6"/>
      <c r="BN2679" s="6"/>
      <c r="BO2679" s="6"/>
      <c r="BP2679" s="6"/>
      <c r="BQ2679" s="6"/>
      <c r="BR2679" s="6"/>
      <c r="BS2679" s="6"/>
      <c r="BT2679" s="6"/>
      <c r="BU2679" s="6"/>
      <c r="BV2679" s="6"/>
      <c r="BW2679" s="6"/>
      <c r="BX2679" s="6"/>
      <c r="BY2679" s="6"/>
      <c r="BZ2679" s="6"/>
      <c r="CA2679" s="6"/>
      <c r="CB2679" s="6"/>
      <c r="CC2679" s="6"/>
      <c r="CD2679" s="6"/>
      <c r="CE2679" s="6"/>
      <c r="CF2679" s="6"/>
      <c r="CG2679" s="6"/>
      <c r="CH2679" s="6"/>
      <c r="CI2679" s="6"/>
      <c r="CJ2679" s="6"/>
      <c r="CK2679" s="6"/>
      <c r="CL2679" s="6"/>
      <c r="CM2679" s="6"/>
      <c r="CN2679" s="6"/>
      <c r="CO2679" s="6"/>
      <c r="CP2679" s="6"/>
      <c r="CQ2679" s="6"/>
      <c r="CR2679" s="6"/>
      <c r="CS2679" s="6"/>
      <c r="CT2679" s="6"/>
      <c r="CU2679" s="6"/>
      <c r="CV2679" s="6"/>
      <c r="CW2679" s="6"/>
      <c r="CX2679" s="6"/>
      <c r="CY2679" s="6"/>
      <c r="CZ2679" s="6"/>
    </row>
    <row r="2680" spans="27:104" s="5" customFormat="1" x14ac:dyDescent="0.25">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16"/>
      <c r="BC2680" s="6"/>
      <c r="BD2680" s="6"/>
      <c r="BE2680" s="6"/>
      <c r="BF2680" s="6"/>
      <c r="BG2680" s="6"/>
      <c r="BH2680" s="6"/>
      <c r="BI2680" s="6"/>
      <c r="BJ2680" s="6"/>
      <c r="BK2680" s="6"/>
      <c r="BL2680" s="6"/>
      <c r="BM2680" s="6"/>
      <c r="BN2680" s="6"/>
      <c r="BO2680" s="6"/>
      <c r="BP2680" s="6"/>
      <c r="BQ2680" s="6"/>
      <c r="BR2680" s="6"/>
      <c r="BS2680" s="6"/>
      <c r="BT2680" s="6"/>
      <c r="BU2680" s="6"/>
      <c r="BV2680" s="6"/>
      <c r="BW2680" s="6"/>
      <c r="BX2680" s="6"/>
      <c r="BY2680" s="6"/>
      <c r="BZ2680" s="6"/>
      <c r="CA2680" s="6"/>
      <c r="CB2680" s="6"/>
      <c r="CC2680" s="6"/>
      <c r="CD2680" s="6"/>
      <c r="CE2680" s="6"/>
      <c r="CF2680" s="6"/>
      <c r="CG2680" s="6"/>
      <c r="CH2680" s="6"/>
      <c r="CI2680" s="6"/>
      <c r="CJ2680" s="6"/>
      <c r="CK2680" s="6"/>
      <c r="CL2680" s="6"/>
      <c r="CM2680" s="6"/>
      <c r="CN2680" s="6"/>
      <c r="CO2680" s="6"/>
      <c r="CP2680" s="6"/>
      <c r="CQ2680" s="6"/>
      <c r="CR2680" s="6"/>
      <c r="CS2680" s="6"/>
      <c r="CT2680" s="6"/>
      <c r="CU2680" s="6"/>
      <c r="CV2680" s="6"/>
      <c r="CW2680" s="6"/>
      <c r="CX2680" s="6"/>
      <c r="CY2680" s="6"/>
      <c r="CZ2680" s="6"/>
    </row>
    <row r="2681" spans="27:104" s="5" customFormat="1" x14ac:dyDescent="0.25">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16"/>
      <c r="BC2681" s="6"/>
      <c r="BD2681" s="6"/>
      <c r="BE2681" s="6"/>
      <c r="BF2681" s="6"/>
      <c r="BG2681" s="6"/>
      <c r="BH2681" s="6"/>
      <c r="BI2681" s="6"/>
      <c r="BJ2681" s="6"/>
      <c r="BK2681" s="6"/>
      <c r="BL2681" s="6"/>
      <c r="BM2681" s="6"/>
      <c r="BN2681" s="6"/>
      <c r="BO2681" s="6"/>
      <c r="BP2681" s="6"/>
      <c r="BQ2681" s="6"/>
      <c r="BR2681" s="6"/>
      <c r="BS2681" s="6"/>
      <c r="BT2681" s="6"/>
      <c r="BU2681" s="6"/>
      <c r="BV2681" s="6"/>
      <c r="BW2681" s="6"/>
      <c r="BX2681" s="6"/>
      <c r="BY2681" s="6"/>
      <c r="BZ2681" s="6"/>
      <c r="CA2681" s="6"/>
      <c r="CB2681" s="6"/>
      <c r="CC2681" s="6"/>
      <c r="CD2681" s="6"/>
      <c r="CE2681" s="6"/>
      <c r="CF2681" s="6"/>
      <c r="CG2681" s="6"/>
      <c r="CH2681" s="6"/>
      <c r="CI2681" s="6"/>
      <c r="CJ2681" s="6"/>
      <c r="CK2681" s="6"/>
      <c r="CL2681" s="6"/>
      <c r="CM2681" s="6"/>
      <c r="CN2681" s="6"/>
      <c r="CO2681" s="6"/>
      <c r="CP2681" s="6"/>
      <c r="CQ2681" s="6"/>
      <c r="CR2681" s="6"/>
      <c r="CS2681" s="6"/>
      <c r="CT2681" s="6"/>
      <c r="CU2681" s="6"/>
      <c r="CV2681" s="6"/>
      <c r="CW2681" s="6"/>
      <c r="CX2681" s="6"/>
      <c r="CY2681" s="6"/>
      <c r="CZ2681" s="6"/>
    </row>
    <row r="2682" spans="27:104" s="5" customFormat="1" x14ac:dyDescent="0.25">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16"/>
      <c r="BC2682" s="6"/>
      <c r="BD2682" s="6"/>
      <c r="BE2682" s="6"/>
      <c r="BF2682" s="6"/>
      <c r="BG2682" s="6"/>
      <c r="BH2682" s="6"/>
      <c r="BI2682" s="6"/>
      <c r="BJ2682" s="6"/>
      <c r="BK2682" s="6"/>
      <c r="BL2682" s="6"/>
      <c r="BM2682" s="6"/>
      <c r="BN2682" s="6"/>
      <c r="BO2682" s="6"/>
      <c r="BP2682" s="6"/>
      <c r="BQ2682" s="6"/>
      <c r="BR2682" s="6"/>
      <c r="BS2682" s="6"/>
      <c r="BT2682" s="6"/>
      <c r="BU2682" s="6"/>
      <c r="BV2682" s="6"/>
      <c r="BW2682" s="6"/>
      <c r="BX2682" s="6"/>
      <c r="BY2682" s="6"/>
      <c r="BZ2682" s="6"/>
      <c r="CA2682" s="6"/>
      <c r="CB2682" s="6"/>
      <c r="CC2682" s="6"/>
      <c r="CD2682" s="6"/>
      <c r="CE2682" s="6"/>
      <c r="CF2682" s="6"/>
      <c r="CG2682" s="6"/>
      <c r="CH2682" s="6"/>
      <c r="CI2682" s="6"/>
      <c r="CJ2682" s="6"/>
      <c r="CK2682" s="6"/>
      <c r="CL2682" s="6"/>
      <c r="CM2682" s="6"/>
      <c r="CN2682" s="6"/>
      <c r="CO2682" s="6"/>
      <c r="CP2682" s="6"/>
      <c r="CQ2682" s="6"/>
      <c r="CR2682" s="6"/>
      <c r="CS2682" s="6"/>
      <c r="CT2682" s="6"/>
      <c r="CU2682" s="6"/>
      <c r="CV2682" s="6"/>
      <c r="CW2682" s="6"/>
      <c r="CX2682" s="6"/>
      <c r="CY2682" s="6"/>
      <c r="CZ2682" s="6"/>
    </row>
    <row r="2683" spans="27:104" s="5" customFormat="1" x14ac:dyDescent="0.25">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16"/>
      <c r="BC2683" s="6"/>
      <c r="BD2683" s="6"/>
      <c r="BE2683" s="6"/>
      <c r="BF2683" s="6"/>
      <c r="BG2683" s="6"/>
      <c r="BH2683" s="6"/>
      <c r="BI2683" s="6"/>
      <c r="BJ2683" s="6"/>
      <c r="BK2683" s="6"/>
      <c r="BL2683" s="6"/>
      <c r="BM2683" s="6"/>
      <c r="BN2683" s="6"/>
      <c r="BO2683" s="6"/>
      <c r="BP2683" s="6"/>
      <c r="BQ2683" s="6"/>
      <c r="BR2683" s="6"/>
      <c r="BS2683" s="6"/>
      <c r="BT2683" s="6"/>
      <c r="BU2683" s="6"/>
      <c r="BV2683" s="6"/>
      <c r="BW2683" s="6"/>
      <c r="BX2683" s="6"/>
      <c r="BY2683" s="6"/>
      <c r="BZ2683" s="6"/>
      <c r="CA2683" s="6"/>
      <c r="CB2683" s="6"/>
      <c r="CC2683" s="6"/>
      <c r="CD2683" s="6"/>
      <c r="CE2683" s="6"/>
      <c r="CF2683" s="6"/>
      <c r="CG2683" s="6"/>
      <c r="CH2683" s="6"/>
      <c r="CI2683" s="6"/>
      <c r="CJ2683" s="6"/>
      <c r="CK2683" s="6"/>
      <c r="CL2683" s="6"/>
      <c r="CM2683" s="6"/>
      <c r="CN2683" s="6"/>
      <c r="CO2683" s="6"/>
      <c r="CP2683" s="6"/>
      <c r="CQ2683" s="6"/>
      <c r="CR2683" s="6"/>
      <c r="CS2683" s="6"/>
      <c r="CT2683" s="6"/>
      <c r="CU2683" s="6"/>
      <c r="CV2683" s="6"/>
      <c r="CW2683" s="6"/>
      <c r="CX2683" s="6"/>
      <c r="CY2683" s="6"/>
      <c r="CZ2683" s="6"/>
    </row>
    <row r="2684" spans="27:104" s="5" customFormat="1" x14ac:dyDescent="0.25">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16"/>
      <c r="BC2684" s="6"/>
      <c r="BD2684" s="6"/>
      <c r="BE2684" s="6"/>
      <c r="BF2684" s="6"/>
      <c r="BG2684" s="6"/>
      <c r="BH2684" s="6"/>
      <c r="BI2684" s="6"/>
      <c r="BJ2684" s="6"/>
      <c r="BK2684" s="6"/>
      <c r="BL2684" s="6"/>
      <c r="BM2684" s="6"/>
      <c r="BN2684" s="6"/>
      <c r="BO2684" s="6"/>
      <c r="BP2684" s="6"/>
      <c r="BQ2684" s="6"/>
      <c r="BR2684" s="6"/>
      <c r="BS2684" s="6"/>
      <c r="BT2684" s="6"/>
      <c r="BU2684" s="6"/>
      <c r="BV2684" s="6"/>
      <c r="BW2684" s="6"/>
      <c r="BX2684" s="6"/>
      <c r="BY2684" s="6"/>
      <c r="BZ2684" s="6"/>
      <c r="CA2684" s="6"/>
      <c r="CB2684" s="6"/>
      <c r="CC2684" s="6"/>
      <c r="CD2684" s="6"/>
      <c r="CE2684" s="6"/>
      <c r="CF2684" s="6"/>
      <c r="CG2684" s="6"/>
      <c r="CH2684" s="6"/>
      <c r="CI2684" s="6"/>
      <c r="CJ2684" s="6"/>
      <c r="CK2684" s="6"/>
      <c r="CL2684" s="6"/>
      <c r="CM2684" s="6"/>
      <c r="CN2684" s="6"/>
      <c r="CO2684" s="6"/>
      <c r="CP2684" s="6"/>
      <c r="CQ2684" s="6"/>
      <c r="CR2684" s="6"/>
      <c r="CS2684" s="6"/>
      <c r="CT2684" s="6"/>
      <c r="CU2684" s="6"/>
      <c r="CV2684" s="6"/>
      <c r="CW2684" s="6"/>
      <c r="CX2684" s="6"/>
      <c r="CY2684" s="6"/>
      <c r="CZ2684" s="6"/>
    </row>
    <row r="2685" spans="27:104" s="5" customFormat="1" x14ac:dyDescent="0.25">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16"/>
      <c r="BC2685" s="6"/>
      <c r="BD2685" s="6"/>
      <c r="BE2685" s="6"/>
      <c r="BF2685" s="6"/>
      <c r="BG2685" s="6"/>
      <c r="BH2685" s="6"/>
      <c r="BI2685" s="6"/>
      <c r="BJ2685" s="6"/>
      <c r="BK2685" s="6"/>
      <c r="BL2685" s="6"/>
      <c r="BM2685" s="6"/>
      <c r="BN2685" s="6"/>
      <c r="BO2685" s="6"/>
      <c r="BP2685" s="6"/>
      <c r="BQ2685" s="6"/>
      <c r="BR2685" s="6"/>
      <c r="BS2685" s="6"/>
      <c r="BT2685" s="6"/>
      <c r="BU2685" s="6"/>
      <c r="BV2685" s="6"/>
      <c r="BW2685" s="6"/>
      <c r="BX2685" s="6"/>
      <c r="BY2685" s="6"/>
      <c r="BZ2685" s="6"/>
      <c r="CA2685" s="6"/>
      <c r="CB2685" s="6"/>
      <c r="CC2685" s="6"/>
      <c r="CD2685" s="6"/>
      <c r="CE2685" s="6"/>
      <c r="CF2685" s="6"/>
      <c r="CG2685" s="6"/>
      <c r="CH2685" s="6"/>
      <c r="CI2685" s="6"/>
      <c r="CJ2685" s="6"/>
      <c r="CK2685" s="6"/>
      <c r="CL2685" s="6"/>
      <c r="CM2685" s="6"/>
      <c r="CN2685" s="6"/>
      <c r="CO2685" s="6"/>
      <c r="CP2685" s="6"/>
      <c r="CQ2685" s="6"/>
      <c r="CR2685" s="6"/>
      <c r="CS2685" s="6"/>
      <c r="CT2685" s="6"/>
      <c r="CU2685" s="6"/>
      <c r="CV2685" s="6"/>
      <c r="CW2685" s="6"/>
      <c r="CX2685" s="6"/>
      <c r="CY2685" s="6"/>
      <c r="CZ2685" s="6"/>
    </row>
    <row r="2686" spans="27:104" s="5" customFormat="1" x14ac:dyDescent="0.25">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16"/>
      <c r="BC2686" s="6"/>
      <c r="BD2686" s="6"/>
      <c r="BE2686" s="6"/>
      <c r="BF2686" s="6"/>
      <c r="BG2686" s="6"/>
      <c r="BH2686" s="6"/>
      <c r="BI2686" s="6"/>
      <c r="BJ2686" s="6"/>
      <c r="BK2686" s="6"/>
      <c r="BL2686" s="6"/>
      <c r="BM2686" s="6"/>
      <c r="BN2686" s="6"/>
      <c r="BO2686" s="6"/>
      <c r="BP2686" s="6"/>
      <c r="BQ2686" s="6"/>
      <c r="BR2686" s="6"/>
      <c r="BS2686" s="6"/>
      <c r="BT2686" s="6"/>
      <c r="BU2686" s="6"/>
      <c r="BV2686" s="6"/>
      <c r="BW2686" s="6"/>
      <c r="BX2686" s="6"/>
      <c r="BY2686" s="6"/>
      <c r="BZ2686" s="6"/>
      <c r="CA2686" s="6"/>
      <c r="CB2686" s="6"/>
      <c r="CC2686" s="6"/>
      <c r="CD2686" s="6"/>
      <c r="CE2686" s="6"/>
      <c r="CF2686" s="6"/>
      <c r="CG2686" s="6"/>
      <c r="CH2686" s="6"/>
      <c r="CI2686" s="6"/>
      <c r="CJ2686" s="6"/>
      <c r="CK2686" s="6"/>
      <c r="CL2686" s="6"/>
      <c r="CM2686" s="6"/>
      <c r="CN2686" s="6"/>
      <c r="CO2686" s="6"/>
      <c r="CP2686" s="6"/>
      <c r="CQ2686" s="6"/>
      <c r="CR2686" s="6"/>
      <c r="CS2686" s="6"/>
      <c r="CT2686" s="6"/>
      <c r="CU2686" s="6"/>
      <c r="CV2686" s="6"/>
      <c r="CW2686" s="6"/>
      <c r="CX2686" s="6"/>
      <c r="CY2686" s="6"/>
      <c r="CZ2686" s="6"/>
    </row>
    <row r="2687" spans="27:104" s="5" customFormat="1" x14ac:dyDescent="0.25">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16"/>
      <c r="BC2687" s="6"/>
      <c r="BD2687" s="6"/>
      <c r="BE2687" s="6"/>
      <c r="BF2687" s="6"/>
      <c r="BG2687" s="6"/>
      <c r="BH2687" s="6"/>
      <c r="BI2687" s="6"/>
      <c r="BJ2687" s="6"/>
      <c r="BK2687" s="6"/>
      <c r="BL2687" s="6"/>
      <c r="BM2687" s="6"/>
      <c r="BN2687" s="6"/>
      <c r="BO2687" s="6"/>
      <c r="BP2687" s="6"/>
      <c r="BQ2687" s="6"/>
      <c r="BR2687" s="6"/>
      <c r="BS2687" s="6"/>
      <c r="BT2687" s="6"/>
      <c r="BU2687" s="6"/>
      <c r="BV2687" s="6"/>
      <c r="BW2687" s="6"/>
      <c r="BX2687" s="6"/>
      <c r="BY2687" s="6"/>
      <c r="BZ2687" s="6"/>
      <c r="CA2687" s="6"/>
      <c r="CB2687" s="6"/>
      <c r="CC2687" s="6"/>
      <c r="CD2687" s="6"/>
      <c r="CE2687" s="6"/>
      <c r="CF2687" s="6"/>
      <c r="CG2687" s="6"/>
      <c r="CH2687" s="6"/>
      <c r="CI2687" s="6"/>
      <c r="CJ2687" s="6"/>
      <c r="CK2687" s="6"/>
      <c r="CL2687" s="6"/>
      <c r="CM2687" s="6"/>
      <c r="CN2687" s="6"/>
      <c r="CO2687" s="6"/>
      <c r="CP2687" s="6"/>
      <c r="CQ2687" s="6"/>
      <c r="CR2687" s="6"/>
      <c r="CS2687" s="6"/>
      <c r="CT2687" s="6"/>
      <c r="CU2687" s="6"/>
      <c r="CV2687" s="6"/>
      <c r="CW2687" s="6"/>
      <c r="CX2687" s="6"/>
      <c r="CY2687" s="6"/>
      <c r="CZ2687" s="6"/>
    </row>
    <row r="2688" spans="27:104" s="5" customFormat="1" x14ac:dyDescent="0.25">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16"/>
      <c r="BC2688" s="6"/>
      <c r="BD2688" s="6"/>
      <c r="BE2688" s="6"/>
      <c r="BF2688" s="6"/>
      <c r="BG2688" s="6"/>
      <c r="BH2688" s="6"/>
      <c r="BI2688" s="6"/>
      <c r="BJ2688" s="6"/>
      <c r="BK2688" s="6"/>
      <c r="BL2688" s="6"/>
      <c r="BM2688" s="6"/>
      <c r="BN2688" s="6"/>
      <c r="BO2688" s="6"/>
      <c r="BP2688" s="6"/>
      <c r="BQ2688" s="6"/>
      <c r="BR2688" s="6"/>
      <c r="BS2688" s="6"/>
      <c r="BT2688" s="6"/>
      <c r="BU2688" s="6"/>
      <c r="BV2688" s="6"/>
      <c r="BW2688" s="6"/>
      <c r="BX2688" s="6"/>
      <c r="BY2688" s="6"/>
      <c r="BZ2688" s="6"/>
      <c r="CA2688" s="6"/>
      <c r="CB2688" s="6"/>
      <c r="CC2688" s="6"/>
      <c r="CD2688" s="6"/>
      <c r="CE2688" s="6"/>
      <c r="CF2688" s="6"/>
      <c r="CG2688" s="6"/>
      <c r="CH2688" s="6"/>
      <c r="CI2688" s="6"/>
      <c r="CJ2688" s="6"/>
      <c r="CK2688" s="6"/>
      <c r="CL2688" s="6"/>
      <c r="CM2688" s="6"/>
      <c r="CN2688" s="6"/>
      <c r="CO2688" s="6"/>
      <c r="CP2688" s="6"/>
      <c r="CQ2688" s="6"/>
      <c r="CR2688" s="6"/>
      <c r="CS2688" s="6"/>
      <c r="CT2688" s="6"/>
      <c r="CU2688" s="6"/>
      <c r="CV2688" s="6"/>
      <c r="CW2688" s="6"/>
      <c r="CX2688" s="6"/>
      <c r="CY2688" s="6"/>
      <c r="CZ2688" s="6"/>
    </row>
    <row r="2689" spans="27:104" s="5" customFormat="1" x14ac:dyDescent="0.25">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16"/>
      <c r="BC2689" s="6"/>
      <c r="BD2689" s="6"/>
      <c r="BE2689" s="6"/>
      <c r="BF2689" s="6"/>
      <c r="BG2689" s="6"/>
      <c r="BH2689" s="6"/>
      <c r="BI2689" s="6"/>
      <c r="BJ2689" s="6"/>
      <c r="BK2689" s="6"/>
      <c r="BL2689" s="6"/>
      <c r="BM2689" s="6"/>
      <c r="BN2689" s="6"/>
      <c r="BO2689" s="6"/>
      <c r="BP2689" s="6"/>
      <c r="BQ2689" s="6"/>
      <c r="BR2689" s="6"/>
      <c r="BS2689" s="6"/>
      <c r="BT2689" s="6"/>
      <c r="BU2689" s="6"/>
      <c r="BV2689" s="6"/>
      <c r="BW2689" s="6"/>
      <c r="BX2689" s="6"/>
      <c r="BY2689" s="6"/>
      <c r="BZ2689" s="6"/>
      <c r="CA2689" s="6"/>
      <c r="CB2689" s="6"/>
      <c r="CC2689" s="6"/>
      <c r="CD2689" s="6"/>
      <c r="CE2689" s="6"/>
      <c r="CF2689" s="6"/>
      <c r="CG2689" s="6"/>
      <c r="CH2689" s="6"/>
      <c r="CI2689" s="6"/>
      <c r="CJ2689" s="6"/>
      <c r="CK2689" s="6"/>
      <c r="CL2689" s="6"/>
      <c r="CM2689" s="6"/>
      <c r="CN2689" s="6"/>
      <c r="CO2689" s="6"/>
      <c r="CP2689" s="6"/>
      <c r="CQ2689" s="6"/>
      <c r="CR2689" s="6"/>
      <c r="CS2689" s="6"/>
      <c r="CT2689" s="6"/>
      <c r="CU2689" s="6"/>
      <c r="CV2689" s="6"/>
      <c r="CW2689" s="6"/>
      <c r="CX2689" s="6"/>
      <c r="CY2689" s="6"/>
      <c r="CZ2689" s="6"/>
    </row>
    <row r="2690" spans="27:104" s="5" customFormat="1" x14ac:dyDescent="0.25">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16"/>
      <c r="BC2690" s="6"/>
      <c r="BD2690" s="6"/>
      <c r="BE2690" s="6"/>
      <c r="BF2690" s="6"/>
      <c r="BG2690" s="6"/>
      <c r="BH2690" s="6"/>
      <c r="BI2690" s="6"/>
      <c r="BJ2690" s="6"/>
      <c r="BK2690" s="6"/>
      <c r="BL2690" s="6"/>
      <c r="BM2690" s="6"/>
      <c r="BN2690" s="6"/>
      <c r="BO2690" s="6"/>
      <c r="BP2690" s="6"/>
      <c r="BQ2690" s="6"/>
      <c r="BR2690" s="6"/>
      <c r="BS2690" s="6"/>
      <c r="BT2690" s="6"/>
      <c r="BU2690" s="6"/>
      <c r="BV2690" s="6"/>
      <c r="BW2690" s="6"/>
      <c r="BX2690" s="6"/>
      <c r="BY2690" s="6"/>
      <c r="BZ2690" s="6"/>
      <c r="CA2690" s="6"/>
      <c r="CB2690" s="6"/>
      <c r="CC2690" s="6"/>
      <c r="CD2690" s="6"/>
      <c r="CE2690" s="6"/>
      <c r="CF2690" s="6"/>
      <c r="CG2690" s="6"/>
      <c r="CH2690" s="6"/>
      <c r="CI2690" s="6"/>
      <c r="CJ2690" s="6"/>
      <c r="CK2690" s="6"/>
      <c r="CL2690" s="6"/>
      <c r="CM2690" s="6"/>
      <c r="CN2690" s="6"/>
      <c r="CO2690" s="6"/>
      <c r="CP2690" s="6"/>
      <c r="CQ2690" s="6"/>
      <c r="CR2690" s="6"/>
      <c r="CS2690" s="6"/>
      <c r="CT2690" s="6"/>
      <c r="CU2690" s="6"/>
      <c r="CV2690" s="6"/>
      <c r="CW2690" s="6"/>
      <c r="CX2690" s="6"/>
      <c r="CY2690" s="6"/>
      <c r="CZ2690" s="6"/>
    </row>
    <row r="2691" spans="27:104" s="5" customFormat="1" x14ac:dyDescent="0.25">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16"/>
      <c r="BC2691" s="6"/>
      <c r="BD2691" s="6"/>
      <c r="BE2691" s="6"/>
      <c r="BF2691" s="6"/>
      <c r="BG2691" s="6"/>
      <c r="BH2691" s="6"/>
      <c r="BI2691" s="6"/>
      <c r="BJ2691" s="6"/>
      <c r="BK2691" s="6"/>
      <c r="BL2691" s="6"/>
      <c r="BM2691" s="6"/>
      <c r="BN2691" s="6"/>
      <c r="BO2691" s="6"/>
      <c r="BP2691" s="6"/>
      <c r="BQ2691" s="6"/>
      <c r="BR2691" s="6"/>
      <c r="BS2691" s="6"/>
      <c r="BT2691" s="6"/>
      <c r="BU2691" s="6"/>
      <c r="BV2691" s="6"/>
      <c r="BW2691" s="6"/>
      <c r="BX2691" s="6"/>
      <c r="BY2691" s="6"/>
      <c r="BZ2691" s="6"/>
      <c r="CA2691" s="6"/>
      <c r="CB2691" s="6"/>
      <c r="CC2691" s="6"/>
      <c r="CD2691" s="6"/>
      <c r="CE2691" s="6"/>
      <c r="CF2691" s="6"/>
      <c r="CG2691" s="6"/>
      <c r="CH2691" s="6"/>
      <c r="CI2691" s="6"/>
      <c r="CJ2691" s="6"/>
      <c r="CK2691" s="6"/>
      <c r="CL2691" s="6"/>
      <c r="CM2691" s="6"/>
      <c r="CN2691" s="6"/>
      <c r="CO2691" s="6"/>
      <c r="CP2691" s="6"/>
      <c r="CQ2691" s="6"/>
      <c r="CR2691" s="6"/>
      <c r="CS2691" s="6"/>
      <c r="CT2691" s="6"/>
      <c r="CU2691" s="6"/>
      <c r="CV2691" s="6"/>
      <c r="CW2691" s="6"/>
      <c r="CX2691" s="6"/>
      <c r="CY2691" s="6"/>
      <c r="CZ2691" s="6"/>
    </row>
    <row r="2692" spans="27:104" s="5" customFormat="1" x14ac:dyDescent="0.25">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16"/>
      <c r="BC2692" s="6"/>
      <c r="BD2692" s="6"/>
      <c r="BE2692" s="6"/>
      <c r="BF2692" s="6"/>
      <c r="BG2692" s="6"/>
      <c r="BH2692" s="6"/>
      <c r="BI2692" s="6"/>
      <c r="BJ2692" s="6"/>
      <c r="BK2692" s="6"/>
      <c r="BL2692" s="6"/>
      <c r="BM2692" s="6"/>
      <c r="BN2692" s="6"/>
      <c r="BO2692" s="6"/>
      <c r="BP2692" s="6"/>
      <c r="BQ2692" s="6"/>
      <c r="BR2692" s="6"/>
      <c r="BS2692" s="6"/>
      <c r="BT2692" s="6"/>
      <c r="BU2692" s="6"/>
      <c r="BV2692" s="6"/>
      <c r="BW2692" s="6"/>
      <c r="BX2692" s="6"/>
      <c r="BY2692" s="6"/>
      <c r="BZ2692" s="6"/>
      <c r="CA2692" s="6"/>
      <c r="CB2692" s="6"/>
      <c r="CC2692" s="6"/>
      <c r="CD2692" s="6"/>
      <c r="CE2692" s="6"/>
      <c r="CF2692" s="6"/>
      <c r="CG2692" s="6"/>
      <c r="CH2692" s="6"/>
      <c r="CI2692" s="6"/>
      <c r="CJ2692" s="6"/>
      <c r="CK2692" s="6"/>
      <c r="CL2692" s="6"/>
      <c r="CM2692" s="6"/>
      <c r="CN2692" s="6"/>
      <c r="CO2692" s="6"/>
      <c r="CP2692" s="6"/>
      <c r="CQ2692" s="6"/>
      <c r="CR2692" s="6"/>
      <c r="CS2692" s="6"/>
      <c r="CT2692" s="6"/>
      <c r="CU2692" s="6"/>
      <c r="CV2692" s="6"/>
      <c r="CW2692" s="6"/>
      <c r="CX2692" s="6"/>
      <c r="CY2692" s="6"/>
      <c r="CZ2692" s="6"/>
    </row>
    <row r="2693" spans="27:104" s="5" customFormat="1" x14ac:dyDescent="0.25">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16"/>
      <c r="BC2693" s="6"/>
      <c r="BD2693" s="6"/>
      <c r="BE2693" s="6"/>
      <c r="BF2693" s="6"/>
      <c r="BG2693" s="6"/>
      <c r="BH2693" s="6"/>
      <c r="BI2693" s="6"/>
      <c r="BJ2693" s="6"/>
      <c r="BK2693" s="6"/>
      <c r="BL2693" s="6"/>
      <c r="BM2693" s="6"/>
      <c r="BN2693" s="6"/>
      <c r="BO2693" s="6"/>
      <c r="BP2693" s="6"/>
      <c r="BQ2693" s="6"/>
      <c r="BR2693" s="6"/>
      <c r="BS2693" s="6"/>
      <c r="BT2693" s="6"/>
      <c r="BU2693" s="6"/>
      <c r="BV2693" s="6"/>
      <c r="BW2693" s="6"/>
      <c r="BX2693" s="6"/>
      <c r="BY2693" s="6"/>
      <c r="BZ2693" s="6"/>
      <c r="CA2693" s="6"/>
      <c r="CB2693" s="6"/>
      <c r="CC2693" s="6"/>
      <c r="CD2693" s="6"/>
      <c r="CE2693" s="6"/>
      <c r="CF2693" s="6"/>
      <c r="CG2693" s="6"/>
      <c r="CH2693" s="6"/>
      <c r="CI2693" s="6"/>
      <c r="CJ2693" s="6"/>
      <c r="CK2693" s="6"/>
      <c r="CL2693" s="6"/>
      <c r="CM2693" s="6"/>
      <c r="CN2693" s="6"/>
      <c r="CO2693" s="6"/>
      <c r="CP2693" s="6"/>
      <c r="CQ2693" s="6"/>
      <c r="CR2693" s="6"/>
      <c r="CS2693" s="6"/>
      <c r="CT2693" s="6"/>
      <c r="CU2693" s="6"/>
      <c r="CV2693" s="6"/>
      <c r="CW2693" s="6"/>
      <c r="CX2693" s="6"/>
      <c r="CY2693" s="6"/>
      <c r="CZ2693" s="6"/>
    </row>
    <row r="2694" spans="27:104" s="5" customFormat="1" x14ac:dyDescent="0.25">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16"/>
      <c r="BC2694" s="6"/>
      <c r="BD2694" s="6"/>
      <c r="BE2694" s="6"/>
      <c r="BF2694" s="6"/>
      <c r="BG2694" s="6"/>
      <c r="BH2694" s="6"/>
      <c r="BI2694" s="6"/>
      <c r="BJ2694" s="6"/>
      <c r="BK2694" s="6"/>
      <c r="BL2694" s="6"/>
      <c r="BM2694" s="6"/>
      <c r="BN2694" s="6"/>
      <c r="BO2694" s="6"/>
      <c r="BP2694" s="6"/>
      <c r="BQ2694" s="6"/>
      <c r="BR2694" s="6"/>
      <c r="BS2694" s="6"/>
      <c r="BT2694" s="6"/>
      <c r="BU2694" s="6"/>
      <c r="BV2694" s="6"/>
      <c r="BW2694" s="6"/>
      <c r="BX2694" s="6"/>
      <c r="BY2694" s="6"/>
      <c r="BZ2694" s="6"/>
      <c r="CA2694" s="6"/>
      <c r="CB2694" s="6"/>
      <c r="CC2694" s="6"/>
      <c r="CD2694" s="6"/>
      <c r="CE2694" s="6"/>
      <c r="CF2694" s="6"/>
      <c r="CG2694" s="6"/>
      <c r="CH2694" s="6"/>
      <c r="CI2694" s="6"/>
      <c r="CJ2694" s="6"/>
      <c r="CK2694" s="6"/>
      <c r="CL2694" s="6"/>
      <c r="CM2694" s="6"/>
      <c r="CN2694" s="6"/>
      <c r="CO2694" s="6"/>
      <c r="CP2694" s="6"/>
      <c r="CQ2694" s="6"/>
      <c r="CR2694" s="6"/>
      <c r="CS2694" s="6"/>
      <c r="CT2694" s="6"/>
      <c r="CU2694" s="6"/>
      <c r="CV2694" s="6"/>
      <c r="CW2694" s="6"/>
      <c r="CX2694" s="6"/>
      <c r="CY2694" s="6"/>
      <c r="CZ2694" s="6"/>
    </row>
    <row r="2695" spans="27:104" s="5" customFormat="1" x14ac:dyDescent="0.25">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16"/>
      <c r="BC2695" s="6"/>
      <c r="BD2695" s="6"/>
      <c r="BE2695" s="6"/>
      <c r="BF2695" s="6"/>
      <c r="BG2695" s="6"/>
      <c r="BH2695" s="6"/>
      <c r="BI2695" s="6"/>
      <c r="BJ2695" s="6"/>
      <c r="BK2695" s="6"/>
      <c r="BL2695" s="6"/>
      <c r="BM2695" s="6"/>
      <c r="BN2695" s="6"/>
      <c r="BO2695" s="6"/>
      <c r="BP2695" s="6"/>
      <c r="BQ2695" s="6"/>
      <c r="BR2695" s="6"/>
      <c r="BS2695" s="6"/>
      <c r="BT2695" s="6"/>
      <c r="BU2695" s="6"/>
      <c r="BV2695" s="6"/>
      <c r="BW2695" s="6"/>
      <c r="BX2695" s="6"/>
      <c r="BY2695" s="6"/>
      <c r="BZ2695" s="6"/>
      <c r="CA2695" s="6"/>
      <c r="CB2695" s="6"/>
      <c r="CC2695" s="6"/>
      <c r="CD2695" s="6"/>
      <c r="CE2695" s="6"/>
      <c r="CF2695" s="6"/>
      <c r="CG2695" s="6"/>
      <c r="CH2695" s="6"/>
      <c r="CI2695" s="6"/>
      <c r="CJ2695" s="6"/>
      <c r="CK2695" s="6"/>
      <c r="CL2695" s="6"/>
      <c r="CM2695" s="6"/>
      <c r="CN2695" s="6"/>
      <c r="CO2695" s="6"/>
      <c r="CP2695" s="6"/>
      <c r="CQ2695" s="6"/>
      <c r="CR2695" s="6"/>
      <c r="CS2695" s="6"/>
      <c r="CT2695" s="6"/>
      <c r="CU2695" s="6"/>
      <c r="CV2695" s="6"/>
      <c r="CW2695" s="6"/>
      <c r="CX2695" s="6"/>
      <c r="CY2695" s="6"/>
      <c r="CZ2695" s="6"/>
    </row>
    <row r="2696" spans="27:104" s="5" customFormat="1" x14ac:dyDescent="0.25">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16"/>
      <c r="BC2696" s="6"/>
      <c r="BD2696" s="6"/>
      <c r="BE2696" s="6"/>
      <c r="BF2696" s="6"/>
      <c r="BG2696" s="6"/>
      <c r="BH2696" s="6"/>
      <c r="BI2696" s="6"/>
      <c r="BJ2696" s="6"/>
      <c r="BK2696" s="6"/>
      <c r="BL2696" s="6"/>
      <c r="BM2696" s="6"/>
      <c r="BN2696" s="6"/>
      <c r="BO2696" s="6"/>
      <c r="BP2696" s="6"/>
      <c r="BQ2696" s="6"/>
      <c r="BR2696" s="6"/>
      <c r="BS2696" s="6"/>
      <c r="BT2696" s="6"/>
      <c r="BU2696" s="6"/>
      <c r="BV2696" s="6"/>
      <c r="BW2696" s="6"/>
      <c r="BX2696" s="6"/>
      <c r="BY2696" s="6"/>
      <c r="BZ2696" s="6"/>
      <c r="CA2696" s="6"/>
      <c r="CB2696" s="6"/>
      <c r="CC2696" s="6"/>
      <c r="CD2696" s="6"/>
      <c r="CE2696" s="6"/>
      <c r="CF2696" s="6"/>
      <c r="CG2696" s="6"/>
      <c r="CH2696" s="6"/>
      <c r="CI2696" s="6"/>
      <c r="CJ2696" s="6"/>
      <c r="CK2696" s="6"/>
      <c r="CL2696" s="6"/>
      <c r="CM2696" s="6"/>
      <c r="CN2696" s="6"/>
      <c r="CO2696" s="6"/>
      <c r="CP2696" s="6"/>
      <c r="CQ2696" s="6"/>
      <c r="CR2696" s="6"/>
      <c r="CS2696" s="6"/>
      <c r="CT2696" s="6"/>
      <c r="CU2696" s="6"/>
      <c r="CV2696" s="6"/>
      <c r="CW2696" s="6"/>
      <c r="CX2696" s="6"/>
      <c r="CY2696" s="6"/>
      <c r="CZ2696" s="6"/>
    </row>
    <row r="2697" spans="27:104" s="5" customFormat="1" x14ac:dyDescent="0.25">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16"/>
      <c r="BC2697" s="6"/>
      <c r="BD2697" s="6"/>
      <c r="BE2697" s="6"/>
      <c r="BF2697" s="6"/>
      <c r="BG2697" s="6"/>
      <c r="BH2697" s="6"/>
      <c r="BI2697" s="6"/>
      <c r="BJ2697" s="6"/>
      <c r="BK2697" s="6"/>
      <c r="BL2697" s="6"/>
      <c r="BM2697" s="6"/>
      <c r="BN2697" s="6"/>
      <c r="BO2697" s="6"/>
      <c r="BP2697" s="6"/>
      <c r="BQ2697" s="6"/>
      <c r="BR2697" s="6"/>
      <c r="BS2697" s="6"/>
      <c r="BT2697" s="6"/>
      <c r="BU2697" s="6"/>
      <c r="BV2697" s="6"/>
      <c r="BW2697" s="6"/>
      <c r="BX2697" s="6"/>
      <c r="BY2697" s="6"/>
      <c r="BZ2697" s="6"/>
      <c r="CA2697" s="6"/>
      <c r="CB2697" s="6"/>
      <c r="CC2697" s="6"/>
      <c r="CD2697" s="6"/>
      <c r="CE2697" s="6"/>
      <c r="CF2697" s="6"/>
      <c r="CG2697" s="6"/>
      <c r="CH2697" s="6"/>
      <c r="CI2697" s="6"/>
      <c r="CJ2697" s="6"/>
      <c r="CK2697" s="6"/>
      <c r="CL2697" s="6"/>
      <c r="CM2697" s="6"/>
      <c r="CN2697" s="6"/>
      <c r="CO2697" s="6"/>
      <c r="CP2697" s="6"/>
      <c r="CQ2697" s="6"/>
      <c r="CR2697" s="6"/>
      <c r="CS2697" s="6"/>
      <c r="CT2697" s="6"/>
      <c r="CU2697" s="6"/>
      <c r="CV2697" s="6"/>
      <c r="CW2697" s="6"/>
      <c r="CX2697" s="6"/>
      <c r="CY2697" s="6"/>
      <c r="CZ2697" s="6"/>
    </row>
    <row r="2698" spans="27:104" s="5" customFormat="1" x14ac:dyDescent="0.25">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16"/>
      <c r="BC2698" s="6"/>
      <c r="BD2698" s="6"/>
      <c r="BE2698" s="6"/>
      <c r="BF2698" s="6"/>
      <c r="BG2698" s="6"/>
      <c r="BH2698" s="6"/>
      <c r="BI2698" s="6"/>
      <c r="BJ2698" s="6"/>
      <c r="BK2698" s="6"/>
      <c r="BL2698" s="6"/>
      <c r="BM2698" s="6"/>
      <c r="BN2698" s="6"/>
      <c r="BO2698" s="6"/>
      <c r="BP2698" s="6"/>
      <c r="BQ2698" s="6"/>
      <c r="BR2698" s="6"/>
      <c r="BS2698" s="6"/>
      <c r="BT2698" s="6"/>
      <c r="BU2698" s="6"/>
      <c r="BV2698" s="6"/>
      <c r="BW2698" s="6"/>
      <c r="BX2698" s="6"/>
      <c r="BY2698" s="6"/>
      <c r="BZ2698" s="6"/>
      <c r="CA2698" s="6"/>
      <c r="CB2698" s="6"/>
      <c r="CC2698" s="6"/>
      <c r="CD2698" s="6"/>
      <c r="CE2698" s="6"/>
      <c r="CF2698" s="6"/>
      <c r="CG2698" s="6"/>
      <c r="CH2698" s="6"/>
      <c r="CI2698" s="6"/>
      <c r="CJ2698" s="6"/>
      <c r="CK2698" s="6"/>
      <c r="CL2698" s="6"/>
      <c r="CM2698" s="6"/>
      <c r="CN2698" s="6"/>
      <c r="CO2698" s="6"/>
      <c r="CP2698" s="6"/>
      <c r="CQ2698" s="6"/>
      <c r="CR2698" s="6"/>
      <c r="CS2698" s="6"/>
      <c r="CT2698" s="6"/>
      <c r="CU2698" s="6"/>
      <c r="CV2698" s="6"/>
      <c r="CW2698" s="6"/>
      <c r="CX2698" s="6"/>
      <c r="CY2698" s="6"/>
      <c r="CZ2698" s="6"/>
    </row>
    <row r="2699" spans="27:104" s="5" customFormat="1" x14ac:dyDescent="0.25">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16"/>
      <c r="BC2699" s="6"/>
      <c r="BD2699" s="6"/>
      <c r="BE2699" s="6"/>
      <c r="BF2699" s="6"/>
      <c r="BG2699" s="6"/>
      <c r="BH2699" s="6"/>
      <c r="BI2699" s="6"/>
      <c r="BJ2699" s="6"/>
      <c r="BK2699" s="6"/>
      <c r="BL2699" s="6"/>
      <c r="BM2699" s="6"/>
      <c r="BN2699" s="6"/>
      <c r="BO2699" s="6"/>
      <c r="BP2699" s="6"/>
      <c r="BQ2699" s="6"/>
      <c r="BR2699" s="6"/>
      <c r="BS2699" s="6"/>
      <c r="BT2699" s="6"/>
      <c r="BU2699" s="6"/>
      <c r="BV2699" s="6"/>
      <c r="BW2699" s="6"/>
      <c r="BX2699" s="6"/>
      <c r="BY2699" s="6"/>
      <c r="BZ2699" s="6"/>
      <c r="CA2699" s="6"/>
      <c r="CB2699" s="6"/>
      <c r="CC2699" s="6"/>
      <c r="CD2699" s="6"/>
      <c r="CE2699" s="6"/>
      <c r="CF2699" s="6"/>
      <c r="CG2699" s="6"/>
      <c r="CH2699" s="6"/>
      <c r="CI2699" s="6"/>
      <c r="CJ2699" s="6"/>
      <c r="CK2699" s="6"/>
      <c r="CL2699" s="6"/>
      <c r="CM2699" s="6"/>
      <c r="CN2699" s="6"/>
      <c r="CO2699" s="6"/>
      <c r="CP2699" s="6"/>
      <c r="CQ2699" s="6"/>
      <c r="CR2699" s="6"/>
      <c r="CS2699" s="6"/>
      <c r="CT2699" s="6"/>
      <c r="CU2699" s="6"/>
      <c r="CV2699" s="6"/>
      <c r="CW2699" s="6"/>
      <c r="CX2699" s="6"/>
      <c r="CY2699" s="6"/>
      <c r="CZ2699" s="6"/>
    </row>
    <row r="2700" spans="27:104" s="5" customFormat="1" x14ac:dyDescent="0.25">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16"/>
      <c r="BC2700" s="6"/>
      <c r="BD2700" s="6"/>
      <c r="BE2700" s="6"/>
      <c r="BF2700" s="6"/>
      <c r="BG2700" s="6"/>
      <c r="BH2700" s="6"/>
      <c r="BI2700" s="6"/>
      <c r="BJ2700" s="6"/>
      <c r="BK2700" s="6"/>
      <c r="BL2700" s="6"/>
      <c r="BM2700" s="6"/>
      <c r="BN2700" s="6"/>
      <c r="BO2700" s="6"/>
      <c r="BP2700" s="6"/>
      <c r="BQ2700" s="6"/>
      <c r="BR2700" s="6"/>
      <c r="BS2700" s="6"/>
      <c r="BT2700" s="6"/>
      <c r="BU2700" s="6"/>
      <c r="BV2700" s="6"/>
      <c r="BW2700" s="6"/>
      <c r="BX2700" s="6"/>
      <c r="BY2700" s="6"/>
      <c r="BZ2700" s="6"/>
      <c r="CA2700" s="6"/>
      <c r="CB2700" s="6"/>
      <c r="CC2700" s="6"/>
      <c r="CD2700" s="6"/>
      <c r="CE2700" s="6"/>
      <c r="CF2700" s="6"/>
      <c r="CG2700" s="6"/>
      <c r="CH2700" s="6"/>
      <c r="CI2700" s="6"/>
      <c r="CJ2700" s="6"/>
      <c r="CK2700" s="6"/>
      <c r="CL2700" s="6"/>
      <c r="CM2700" s="6"/>
      <c r="CN2700" s="6"/>
      <c r="CO2700" s="6"/>
      <c r="CP2700" s="6"/>
      <c r="CQ2700" s="6"/>
      <c r="CR2700" s="6"/>
      <c r="CS2700" s="6"/>
      <c r="CT2700" s="6"/>
      <c r="CU2700" s="6"/>
      <c r="CV2700" s="6"/>
      <c r="CW2700" s="6"/>
      <c r="CX2700" s="6"/>
      <c r="CY2700" s="6"/>
      <c r="CZ2700" s="6"/>
    </row>
    <row r="2701" spans="27:104" s="5" customFormat="1" x14ac:dyDescent="0.25">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16"/>
      <c r="BC2701" s="6"/>
      <c r="BD2701" s="6"/>
      <c r="BE2701" s="6"/>
      <c r="BF2701" s="6"/>
      <c r="BG2701" s="6"/>
      <c r="BH2701" s="6"/>
      <c r="BI2701" s="6"/>
      <c r="BJ2701" s="6"/>
      <c r="BK2701" s="6"/>
      <c r="BL2701" s="6"/>
      <c r="BM2701" s="6"/>
      <c r="BN2701" s="6"/>
      <c r="BO2701" s="6"/>
      <c r="BP2701" s="6"/>
      <c r="BQ2701" s="6"/>
      <c r="BR2701" s="6"/>
      <c r="BS2701" s="6"/>
      <c r="BT2701" s="6"/>
      <c r="BU2701" s="6"/>
      <c r="BV2701" s="6"/>
      <c r="BW2701" s="6"/>
      <c r="BX2701" s="6"/>
      <c r="BY2701" s="6"/>
      <c r="BZ2701" s="6"/>
      <c r="CA2701" s="6"/>
      <c r="CB2701" s="6"/>
      <c r="CC2701" s="6"/>
      <c r="CD2701" s="6"/>
      <c r="CE2701" s="6"/>
      <c r="CF2701" s="6"/>
      <c r="CG2701" s="6"/>
      <c r="CH2701" s="6"/>
      <c r="CI2701" s="6"/>
      <c r="CJ2701" s="6"/>
      <c r="CK2701" s="6"/>
      <c r="CL2701" s="6"/>
      <c r="CM2701" s="6"/>
      <c r="CN2701" s="6"/>
      <c r="CO2701" s="6"/>
      <c r="CP2701" s="6"/>
      <c r="CQ2701" s="6"/>
      <c r="CR2701" s="6"/>
      <c r="CS2701" s="6"/>
      <c r="CT2701" s="6"/>
      <c r="CU2701" s="6"/>
      <c r="CV2701" s="6"/>
      <c r="CW2701" s="6"/>
      <c r="CX2701" s="6"/>
      <c r="CY2701" s="6"/>
      <c r="CZ2701" s="6"/>
    </row>
    <row r="2702" spans="27:104" s="5" customFormat="1" x14ac:dyDescent="0.25">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16"/>
      <c r="BC2702" s="6"/>
      <c r="BD2702" s="6"/>
      <c r="BE2702" s="6"/>
      <c r="BF2702" s="6"/>
      <c r="BG2702" s="6"/>
      <c r="BH2702" s="6"/>
      <c r="BI2702" s="6"/>
      <c r="BJ2702" s="6"/>
      <c r="BK2702" s="6"/>
      <c r="BL2702" s="6"/>
      <c r="BM2702" s="6"/>
      <c r="BN2702" s="6"/>
      <c r="BO2702" s="6"/>
      <c r="BP2702" s="6"/>
      <c r="BQ2702" s="6"/>
      <c r="BR2702" s="6"/>
      <c r="BS2702" s="6"/>
      <c r="BT2702" s="6"/>
      <c r="BU2702" s="6"/>
      <c r="BV2702" s="6"/>
      <c r="BW2702" s="6"/>
      <c r="BX2702" s="6"/>
      <c r="BY2702" s="6"/>
      <c r="BZ2702" s="6"/>
      <c r="CA2702" s="6"/>
      <c r="CB2702" s="6"/>
      <c r="CC2702" s="6"/>
      <c r="CD2702" s="6"/>
      <c r="CE2702" s="6"/>
      <c r="CF2702" s="6"/>
      <c r="CG2702" s="6"/>
      <c r="CH2702" s="6"/>
      <c r="CI2702" s="6"/>
      <c r="CJ2702" s="6"/>
      <c r="CK2702" s="6"/>
      <c r="CL2702" s="6"/>
      <c r="CM2702" s="6"/>
      <c r="CN2702" s="6"/>
      <c r="CO2702" s="6"/>
      <c r="CP2702" s="6"/>
      <c r="CQ2702" s="6"/>
      <c r="CR2702" s="6"/>
      <c r="CS2702" s="6"/>
      <c r="CT2702" s="6"/>
      <c r="CU2702" s="6"/>
      <c r="CV2702" s="6"/>
      <c r="CW2702" s="6"/>
      <c r="CX2702" s="6"/>
      <c r="CY2702" s="6"/>
      <c r="CZ2702" s="6"/>
    </row>
    <row r="2703" spans="27:104" s="5" customFormat="1" x14ac:dyDescent="0.25">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16"/>
      <c r="BC2703" s="6"/>
      <c r="BD2703" s="6"/>
      <c r="BE2703" s="6"/>
      <c r="BF2703" s="6"/>
      <c r="BG2703" s="6"/>
      <c r="BH2703" s="6"/>
      <c r="BI2703" s="6"/>
      <c r="BJ2703" s="6"/>
      <c r="BK2703" s="6"/>
      <c r="BL2703" s="6"/>
      <c r="BM2703" s="6"/>
      <c r="BN2703" s="6"/>
      <c r="BO2703" s="6"/>
      <c r="BP2703" s="6"/>
      <c r="BQ2703" s="6"/>
      <c r="BR2703" s="6"/>
      <c r="BS2703" s="6"/>
      <c r="BT2703" s="6"/>
      <c r="BU2703" s="6"/>
      <c r="BV2703" s="6"/>
      <c r="BW2703" s="6"/>
      <c r="BX2703" s="6"/>
      <c r="BY2703" s="6"/>
      <c r="BZ2703" s="6"/>
      <c r="CA2703" s="6"/>
      <c r="CB2703" s="6"/>
      <c r="CC2703" s="6"/>
      <c r="CD2703" s="6"/>
      <c r="CE2703" s="6"/>
      <c r="CF2703" s="6"/>
      <c r="CG2703" s="6"/>
      <c r="CH2703" s="6"/>
      <c r="CI2703" s="6"/>
      <c r="CJ2703" s="6"/>
      <c r="CK2703" s="6"/>
      <c r="CL2703" s="6"/>
      <c r="CM2703" s="6"/>
      <c r="CN2703" s="6"/>
      <c r="CO2703" s="6"/>
      <c r="CP2703" s="6"/>
      <c r="CQ2703" s="6"/>
      <c r="CR2703" s="6"/>
      <c r="CS2703" s="6"/>
      <c r="CT2703" s="6"/>
      <c r="CU2703" s="6"/>
      <c r="CV2703" s="6"/>
      <c r="CW2703" s="6"/>
      <c r="CX2703" s="6"/>
      <c r="CY2703" s="6"/>
      <c r="CZ2703" s="6"/>
    </row>
    <row r="2704" spans="27:104" s="5" customFormat="1" x14ac:dyDescent="0.25">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16"/>
      <c r="BC2704" s="6"/>
      <c r="BD2704" s="6"/>
      <c r="BE2704" s="6"/>
      <c r="BF2704" s="6"/>
      <c r="BG2704" s="6"/>
      <c r="BH2704" s="6"/>
      <c r="BI2704" s="6"/>
      <c r="BJ2704" s="6"/>
      <c r="BK2704" s="6"/>
      <c r="BL2704" s="6"/>
      <c r="BM2704" s="6"/>
      <c r="BN2704" s="6"/>
      <c r="BO2704" s="6"/>
      <c r="BP2704" s="6"/>
      <c r="BQ2704" s="6"/>
      <c r="BR2704" s="6"/>
      <c r="BS2704" s="6"/>
      <c r="BT2704" s="6"/>
      <c r="BU2704" s="6"/>
      <c r="BV2704" s="6"/>
      <c r="BW2704" s="6"/>
      <c r="BX2704" s="6"/>
      <c r="BY2704" s="6"/>
      <c r="BZ2704" s="6"/>
      <c r="CA2704" s="6"/>
      <c r="CB2704" s="6"/>
      <c r="CC2704" s="6"/>
      <c r="CD2704" s="6"/>
      <c r="CE2704" s="6"/>
      <c r="CF2704" s="6"/>
      <c r="CG2704" s="6"/>
      <c r="CH2704" s="6"/>
      <c r="CI2704" s="6"/>
      <c r="CJ2704" s="6"/>
      <c r="CK2704" s="6"/>
      <c r="CL2704" s="6"/>
      <c r="CM2704" s="6"/>
      <c r="CN2704" s="6"/>
      <c r="CO2704" s="6"/>
      <c r="CP2704" s="6"/>
      <c r="CQ2704" s="6"/>
      <c r="CR2704" s="6"/>
      <c r="CS2704" s="6"/>
      <c r="CT2704" s="6"/>
      <c r="CU2704" s="6"/>
      <c r="CV2704" s="6"/>
      <c r="CW2704" s="6"/>
      <c r="CX2704" s="6"/>
      <c r="CY2704" s="6"/>
      <c r="CZ2704" s="6"/>
    </row>
    <row r="2705" spans="27:104" s="5" customFormat="1" x14ac:dyDescent="0.25">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16"/>
      <c r="BC2705" s="6"/>
      <c r="BD2705" s="6"/>
      <c r="BE2705" s="6"/>
      <c r="BF2705" s="6"/>
      <c r="BG2705" s="6"/>
      <c r="BH2705" s="6"/>
      <c r="BI2705" s="6"/>
      <c r="BJ2705" s="6"/>
      <c r="BK2705" s="6"/>
      <c r="BL2705" s="6"/>
      <c r="BM2705" s="6"/>
      <c r="BN2705" s="6"/>
      <c r="BO2705" s="6"/>
      <c r="BP2705" s="6"/>
      <c r="BQ2705" s="6"/>
      <c r="BR2705" s="6"/>
      <c r="BS2705" s="6"/>
      <c r="BT2705" s="6"/>
      <c r="BU2705" s="6"/>
      <c r="BV2705" s="6"/>
      <c r="BW2705" s="6"/>
      <c r="BX2705" s="6"/>
      <c r="BY2705" s="6"/>
      <c r="BZ2705" s="6"/>
      <c r="CA2705" s="6"/>
      <c r="CB2705" s="6"/>
      <c r="CC2705" s="6"/>
      <c r="CD2705" s="6"/>
      <c r="CE2705" s="6"/>
      <c r="CF2705" s="6"/>
      <c r="CG2705" s="6"/>
      <c r="CH2705" s="6"/>
      <c r="CI2705" s="6"/>
      <c r="CJ2705" s="6"/>
      <c r="CK2705" s="6"/>
      <c r="CL2705" s="6"/>
      <c r="CM2705" s="6"/>
      <c r="CN2705" s="6"/>
      <c r="CO2705" s="6"/>
      <c r="CP2705" s="6"/>
      <c r="CQ2705" s="6"/>
      <c r="CR2705" s="6"/>
      <c r="CS2705" s="6"/>
      <c r="CT2705" s="6"/>
      <c r="CU2705" s="6"/>
      <c r="CV2705" s="6"/>
      <c r="CW2705" s="6"/>
      <c r="CX2705" s="6"/>
      <c r="CY2705" s="6"/>
      <c r="CZ2705" s="6"/>
    </row>
    <row r="2706" spans="27:104" s="5" customFormat="1" x14ac:dyDescent="0.25">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16"/>
      <c r="BC2706" s="6"/>
      <c r="BD2706" s="6"/>
      <c r="BE2706" s="6"/>
      <c r="BF2706" s="6"/>
      <c r="BG2706" s="6"/>
      <c r="BH2706" s="6"/>
      <c r="BI2706" s="6"/>
      <c r="BJ2706" s="6"/>
      <c r="BK2706" s="6"/>
      <c r="BL2706" s="6"/>
      <c r="BM2706" s="6"/>
      <c r="BN2706" s="6"/>
      <c r="BO2706" s="6"/>
      <c r="BP2706" s="6"/>
      <c r="BQ2706" s="6"/>
      <c r="BR2706" s="6"/>
      <c r="BS2706" s="6"/>
      <c r="BT2706" s="6"/>
      <c r="BU2706" s="6"/>
      <c r="BV2706" s="6"/>
      <c r="BW2706" s="6"/>
      <c r="BX2706" s="6"/>
      <c r="BY2706" s="6"/>
      <c r="BZ2706" s="6"/>
      <c r="CA2706" s="6"/>
      <c r="CB2706" s="6"/>
      <c r="CC2706" s="6"/>
      <c r="CD2706" s="6"/>
      <c r="CE2706" s="6"/>
      <c r="CF2706" s="6"/>
      <c r="CG2706" s="6"/>
      <c r="CH2706" s="6"/>
      <c r="CI2706" s="6"/>
      <c r="CJ2706" s="6"/>
      <c r="CK2706" s="6"/>
      <c r="CL2706" s="6"/>
      <c r="CM2706" s="6"/>
      <c r="CN2706" s="6"/>
      <c r="CO2706" s="6"/>
      <c r="CP2706" s="6"/>
      <c r="CQ2706" s="6"/>
      <c r="CR2706" s="6"/>
      <c r="CS2706" s="6"/>
      <c r="CT2706" s="6"/>
      <c r="CU2706" s="6"/>
      <c r="CV2706" s="6"/>
      <c r="CW2706" s="6"/>
      <c r="CX2706" s="6"/>
      <c r="CY2706" s="6"/>
      <c r="CZ2706" s="6"/>
    </row>
    <row r="2707" spans="27:104" s="5" customFormat="1" x14ac:dyDescent="0.25">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16"/>
      <c r="BC2707" s="6"/>
      <c r="BD2707" s="6"/>
      <c r="BE2707" s="6"/>
      <c r="BF2707" s="6"/>
      <c r="BG2707" s="6"/>
      <c r="BH2707" s="6"/>
      <c r="BI2707" s="6"/>
      <c r="BJ2707" s="6"/>
      <c r="BK2707" s="6"/>
      <c r="BL2707" s="6"/>
      <c r="BM2707" s="6"/>
      <c r="BN2707" s="6"/>
      <c r="BO2707" s="6"/>
      <c r="BP2707" s="6"/>
      <c r="BQ2707" s="6"/>
      <c r="BR2707" s="6"/>
      <c r="BS2707" s="6"/>
      <c r="BT2707" s="6"/>
      <c r="BU2707" s="6"/>
      <c r="BV2707" s="6"/>
      <c r="BW2707" s="6"/>
      <c r="BX2707" s="6"/>
      <c r="BY2707" s="6"/>
      <c r="BZ2707" s="6"/>
      <c r="CA2707" s="6"/>
      <c r="CB2707" s="6"/>
      <c r="CC2707" s="6"/>
      <c r="CD2707" s="6"/>
      <c r="CE2707" s="6"/>
      <c r="CF2707" s="6"/>
      <c r="CG2707" s="6"/>
      <c r="CH2707" s="6"/>
      <c r="CI2707" s="6"/>
      <c r="CJ2707" s="6"/>
      <c r="CK2707" s="6"/>
      <c r="CL2707" s="6"/>
      <c r="CM2707" s="6"/>
      <c r="CN2707" s="6"/>
      <c r="CO2707" s="6"/>
      <c r="CP2707" s="6"/>
      <c r="CQ2707" s="6"/>
      <c r="CR2707" s="6"/>
      <c r="CS2707" s="6"/>
      <c r="CT2707" s="6"/>
      <c r="CU2707" s="6"/>
      <c r="CV2707" s="6"/>
      <c r="CW2707" s="6"/>
      <c r="CX2707" s="6"/>
      <c r="CY2707" s="6"/>
      <c r="CZ2707" s="6"/>
    </row>
    <row r="2708" spans="27:104" s="5" customFormat="1" x14ac:dyDescent="0.25">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16"/>
      <c r="BC2708" s="6"/>
      <c r="BD2708" s="6"/>
      <c r="BE2708" s="6"/>
      <c r="BF2708" s="6"/>
      <c r="BG2708" s="6"/>
      <c r="BH2708" s="6"/>
      <c r="BI2708" s="6"/>
      <c r="BJ2708" s="6"/>
      <c r="BK2708" s="6"/>
      <c r="BL2708" s="6"/>
      <c r="BM2708" s="6"/>
      <c r="BN2708" s="6"/>
      <c r="BO2708" s="6"/>
      <c r="BP2708" s="6"/>
      <c r="BQ2708" s="6"/>
      <c r="BR2708" s="6"/>
      <c r="BS2708" s="6"/>
      <c r="BT2708" s="6"/>
      <c r="BU2708" s="6"/>
      <c r="BV2708" s="6"/>
      <c r="BW2708" s="6"/>
      <c r="BX2708" s="6"/>
      <c r="BY2708" s="6"/>
      <c r="BZ2708" s="6"/>
      <c r="CA2708" s="6"/>
      <c r="CB2708" s="6"/>
      <c r="CC2708" s="6"/>
      <c r="CD2708" s="6"/>
      <c r="CE2708" s="6"/>
      <c r="CF2708" s="6"/>
      <c r="CG2708" s="6"/>
      <c r="CH2708" s="6"/>
      <c r="CI2708" s="6"/>
      <c r="CJ2708" s="6"/>
      <c r="CK2708" s="6"/>
      <c r="CL2708" s="6"/>
      <c r="CM2708" s="6"/>
      <c r="CN2708" s="6"/>
      <c r="CO2708" s="6"/>
      <c r="CP2708" s="6"/>
      <c r="CQ2708" s="6"/>
      <c r="CR2708" s="6"/>
      <c r="CS2708" s="6"/>
      <c r="CT2708" s="6"/>
      <c r="CU2708" s="6"/>
      <c r="CV2708" s="6"/>
      <c r="CW2708" s="6"/>
      <c r="CX2708" s="6"/>
      <c r="CY2708" s="6"/>
      <c r="CZ2708" s="6"/>
    </row>
    <row r="2709" spans="27:104" s="5" customFormat="1" x14ac:dyDescent="0.25">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16"/>
      <c r="BC2709" s="6"/>
      <c r="BD2709" s="6"/>
      <c r="BE2709" s="6"/>
      <c r="BF2709" s="6"/>
      <c r="BG2709" s="6"/>
      <c r="BH2709" s="6"/>
      <c r="BI2709" s="6"/>
      <c r="BJ2709" s="6"/>
      <c r="BK2709" s="6"/>
      <c r="BL2709" s="6"/>
      <c r="BM2709" s="6"/>
      <c r="BN2709" s="6"/>
      <c r="BO2709" s="6"/>
      <c r="BP2709" s="6"/>
      <c r="BQ2709" s="6"/>
      <c r="BR2709" s="6"/>
      <c r="BS2709" s="6"/>
      <c r="BT2709" s="6"/>
      <c r="BU2709" s="6"/>
      <c r="BV2709" s="6"/>
      <c r="BW2709" s="6"/>
      <c r="BX2709" s="6"/>
      <c r="BY2709" s="6"/>
      <c r="BZ2709" s="6"/>
      <c r="CA2709" s="6"/>
      <c r="CB2709" s="6"/>
      <c r="CC2709" s="6"/>
      <c r="CD2709" s="6"/>
      <c r="CE2709" s="6"/>
      <c r="CF2709" s="6"/>
      <c r="CG2709" s="6"/>
      <c r="CH2709" s="6"/>
      <c r="CI2709" s="6"/>
      <c r="CJ2709" s="6"/>
      <c r="CK2709" s="6"/>
      <c r="CL2709" s="6"/>
      <c r="CM2709" s="6"/>
      <c r="CN2709" s="6"/>
      <c r="CO2709" s="6"/>
      <c r="CP2709" s="6"/>
      <c r="CQ2709" s="6"/>
      <c r="CR2709" s="6"/>
      <c r="CS2709" s="6"/>
      <c r="CT2709" s="6"/>
      <c r="CU2709" s="6"/>
      <c r="CV2709" s="6"/>
      <c r="CW2709" s="6"/>
      <c r="CX2709" s="6"/>
      <c r="CY2709" s="6"/>
      <c r="CZ2709" s="6"/>
    </row>
    <row r="2710" spans="27:104" s="5" customFormat="1" x14ac:dyDescent="0.25">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16"/>
      <c r="BC2710" s="6"/>
      <c r="BD2710" s="6"/>
      <c r="BE2710" s="6"/>
      <c r="BF2710" s="6"/>
      <c r="BG2710" s="6"/>
      <c r="BH2710" s="6"/>
      <c r="BI2710" s="6"/>
      <c r="BJ2710" s="6"/>
      <c r="BK2710" s="6"/>
      <c r="BL2710" s="6"/>
      <c r="BM2710" s="6"/>
      <c r="BN2710" s="6"/>
      <c r="BO2710" s="6"/>
      <c r="BP2710" s="6"/>
      <c r="BQ2710" s="6"/>
      <c r="BR2710" s="6"/>
      <c r="BS2710" s="6"/>
      <c r="BT2710" s="6"/>
      <c r="BU2710" s="6"/>
      <c r="BV2710" s="6"/>
      <c r="BW2710" s="6"/>
      <c r="BX2710" s="6"/>
      <c r="BY2710" s="6"/>
      <c r="BZ2710" s="6"/>
      <c r="CA2710" s="6"/>
      <c r="CB2710" s="6"/>
      <c r="CC2710" s="6"/>
      <c r="CD2710" s="6"/>
      <c r="CE2710" s="6"/>
      <c r="CF2710" s="6"/>
      <c r="CG2710" s="6"/>
      <c r="CH2710" s="6"/>
      <c r="CI2710" s="6"/>
      <c r="CJ2710" s="6"/>
      <c r="CK2710" s="6"/>
      <c r="CL2710" s="6"/>
      <c r="CM2710" s="6"/>
      <c r="CN2710" s="6"/>
      <c r="CO2710" s="6"/>
      <c r="CP2710" s="6"/>
      <c r="CQ2710" s="6"/>
      <c r="CR2710" s="6"/>
      <c r="CS2710" s="6"/>
      <c r="CT2710" s="6"/>
      <c r="CU2710" s="6"/>
      <c r="CV2710" s="6"/>
      <c r="CW2710" s="6"/>
      <c r="CX2710" s="6"/>
      <c r="CY2710" s="6"/>
      <c r="CZ2710" s="6"/>
    </row>
    <row r="2711" spans="27:104" s="5" customFormat="1" x14ac:dyDescent="0.25">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16"/>
      <c r="BC2711" s="6"/>
      <c r="BD2711" s="6"/>
      <c r="BE2711" s="6"/>
      <c r="BF2711" s="6"/>
      <c r="BG2711" s="6"/>
      <c r="BH2711" s="6"/>
      <c r="BI2711" s="6"/>
      <c r="BJ2711" s="6"/>
      <c r="BK2711" s="6"/>
      <c r="BL2711" s="6"/>
      <c r="BM2711" s="6"/>
      <c r="BN2711" s="6"/>
      <c r="BO2711" s="6"/>
      <c r="BP2711" s="6"/>
      <c r="BQ2711" s="6"/>
      <c r="BR2711" s="6"/>
      <c r="BS2711" s="6"/>
      <c r="BT2711" s="6"/>
      <c r="BU2711" s="6"/>
      <c r="BV2711" s="6"/>
      <c r="BW2711" s="6"/>
      <c r="BX2711" s="6"/>
      <c r="BY2711" s="6"/>
      <c r="BZ2711" s="6"/>
      <c r="CA2711" s="6"/>
      <c r="CB2711" s="6"/>
      <c r="CC2711" s="6"/>
      <c r="CD2711" s="6"/>
      <c r="CE2711" s="6"/>
      <c r="CF2711" s="6"/>
      <c r="CG2711" s="6"/>
      <c r="CH2711" s="6"/>
      <c r="CI2711" s="6"/>
      <c r="CJ2711" s="6"/>
      <c r="CK2711" s="6"/>
      <c r="CL2711" s="6"/>
      <c r="CM2711" s="6"/>
      <c r="CN2711" s="6"/>
      <c r="CO2711" s="6"/>
      <c r="CP2711" s="6"/>
      <c r="CQ2711" s="6"/>
      <c r="CR2711" s="6"/>
      <c r="CS2711" s="6"/>
      <c r="CT2711" s="6"/>
      <c r="CU2711" s="6"/>
      <c r="CV2711" s="6"/>
      <c r="CW2711" s="6"/>
      <c r="CX2711" s="6"/>
      <c r="CY2711" s="6"/>
      <c r="CZ2711" s="6"/>
    </row>
    <row r="2712" spans="27:104" s="5" customFormat="1" x14ac:dyDescent="0.25">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16"/>
      <c r="BC2712" s="6"/>
      <c r="BD2712" s="6"/>
      <c r="BE2712" s="6"/>
      <c r="BF2712" s="6"/>
      <c r="BG2712" s="6"/>
      <c r="BH2712" s="6"/>
      <c r="BI2712" s="6"/>
      <c r="BJ2712" s="6"/>
      <c r="BK2712" s="6"/>
      <c r="BL2712" s="6"/>
      <c r="BM2712" s="6"/>
      <c r="BN2712" s="6"/>
      <c r="BO2712" s="6"/>
      <c r="BP2712" s="6"/>
      <c r="BQ2712" s="6"/>
      <c r="BR2712" s="6"/>
      <c r="BS2712" s="6"/>
      <c r="BT2712" s="6"/>
      <c r="BU2712" s="6"/>
      <c r="BV2712" s="6"/>
      <c r="BW2712" s="6"/>
      <c r="BX2712" s="6"/>
      <c r="BY2712" s="6"/>
      <c r="BZ2712" s="6"/>
      <c r="CA2712" s="6"/>
      <c r="CB2712" s="6"/>
      <c r="CC2712" s="6"/>
      <c r="CD2712" s="6"/>
      <c r="CE2712" s="6"/>
      <c r="CF2712" s="6"/>
      <c r="CG2712" s="6"/>
      <c r="CH2712" s="6"/>
      <c r="CI2712" s="6"/>
      <c r="CJ2712" s="6"/>
      <c r="CK2712" s="6"/>
      <c r="CL2712" s="6"/>
      <c r="CM2712" s="6"/>
      <c r="CN2712" s="6"/>
      <c r="CO2712" s="6"/>
      <c r="CP2712" s="6"/>
      <c r="CQ2712" s="6"/>
      <c r="CR2712" s="6"/>
      <c r="CS2712" s="6"/>
      <c r="CT2712" s="6"/>
      <c r="CU2712" s="6"/>
      <c r="CV2712" s="6"/>
      <c r="CW2712" s="6"/>
      <c r="CX2712" s="6"/>
      <c r="CY2712" s="6"/>
      <c r="CZ2712" s="6"/>
    </row>
    <row r="2713" spans="27:104" s="5" customFormat="1" x14ac:dyDescent="0.25">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16"/>
      <c r="BC2713" s="6"/>
      <c r="BD2713" s="6"/>
      <c r="BE2713" s="6"/>
      <c r="BF2713" s="6"/>
      <c r="BG2713" s="6"/>
      <c r="BH2713" s="6"/>
      <c r="BI2713" s="6"/>
      <c r="BJ2713" s="6"/>
      <c r="BK2713" s="6"/>
      <c r="BL2713" s="6"/>
      <c r="BM2713" s="6"/>
      <c r="BN2713" s="6"/>
      <c r="BO2713" s="6"/>
      <c r="BP2713" s="6"/>
      <c r="BQ2713" s="6"/>
      <c r="BR2713" s="6"/>
      <c r="BS2713" s="6"/>
      <c r="BT2713" s="6"/>
      <c r="BU2713" s="6"/>
      <c r="BV2713" s="6"/>
      <c r="BW2713" s="6"/>
      <c r="BX2713" s="6"/>
      <c r="BY2713" s="6"/>
      <c r="BZ2713" s="6"/>
      <c r="CA2713" s="6"/>
      <c r="CB2713" s="6"/>
      <c r="CC2713" s="6"/>
      <c r="CD2713" s="6"/>
      <c r="CE2713" s="6"/>
      <c r="CF2713" s="6"/>
      <c r="CG2713" s="6"/>
      <c r="CH2713" s="6"/>
      <c r="CI2713" s="6"/>
      <c r="CJ2713" s="6"/>
      <c r="CK2713" s="6"/>
      <c r="CL2713" s="6"/>
      <c r="CM2713" s="6"/>
      <c r="CN2713" s="6"/>
      <c r="CO2713" s="6"/>
      <c r="CP2713" s="6"/>
      <c r="CQ2713" s="6"/>
      <c r="CR2713" s="6"/>
      <c r="CS2713" s="6"/>
      <c r="CT2713" s="6"/>
      <c r="CU2713" s="6"/>
      <c r="CV2713" s="6"/>
      <c r="CW2713" s="6"/>
      <c r="CX2713" s="6"/>
      <c r="CY2713" s="6"/>
      <c r="CZ2713" s="6"/>
    </row>
    <row r="2714" spans="27:104" s="5" customFormat="1" x14ac:dyDescent="0.25">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16"/>
      <c r="BC2714" s="6"/>
      <c r="BD2714" s="6"/>
      <c r="BE2714" s="6"/>
      <c r="BF2714" s="6"/>
      <c r="BG2714" s="6"/>
      <c r="BH2714" s="6"/>
      <c r="BI2714" s="6"/>
      <c r="BJ2714" s="6"/>
      <c r="BK2714" s="6"/>
      <c r="BL2714" s="6"/>
      <c r="BM2714" s="6"/>
      <c r="BN2714" s="6"/>
      <c r="BO2714" s="6"/>
      <c r="BP2714" s="6"/>
      <c r="BQ2714" s="6"/>
      <c r="BR2714" s="6"/>
      <c r="BS2714" s="6"/>
      <c r="BT2714" s="6"/>
      <c r="BU2714" s="6"/>
      <c r="BV2714" s="6"/>
      <c r="BW2714" s="6"/>
      <c r="BX2714" s="6"/>
      <c r="BY2714" s="6"/>
      <c r="BZ2714" s="6"/>
      <c r="CA2714" s="6"/>
      <c r="CB2714" s="6"/>
      <c r="CC2714" s="6"/>
      <c r="CD2714" s="6"/>
      <c r="CE2714" s="6"/>
      <c r="CF2714" s="6"/>
      <c r="CG2714" s="6"/>
      <c r="CH2714" s="6"/>
      <c r="CI2714" s="6"/>
      <c r="CJ2714" s="6"/>
      <c r="CK2714" s="6"/>
      <c r="CL2714" s="6"/>
      <c r="CM2714" s="6"/>
      <c r="CN2714" s="6"/>
      <c r="CO2714" s="6"/>
      <c r="CP2714" s="6"/>
      <c r="CQ2714" s="6"/>
      <c r="CR2714" s="6"/>
      <c r="CS2714" s="6"/>
      <c r="CT2714" s="6"/>
      <c r="CU2714" s="6"/>
      <c r="CV2714" s="6"/>
      <c r="CW2714" s="6"/>
      <c r="CX2714" s="6"/>
      <c r="CY2714" s="6"/>
      <c r="CZ2714" s="6"/>
    </row>
    <row r="2715" spans="27:104" s="5" customFormat="1" x14ac:dyDescent="0.25">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16"/>
      <c r="BC2715" s="6"/>
      <c r="BD2715" s="6"/>
      <c r="BE2715" s="6"/>
      <c r="BF2715" s="6"/>
      <c r="BG2715" s="6"/>
      <c r="BH2715" s="6"/>
      <c r="BI2715" s="6"/>
      <c r="BJ2715" s="6"/>
      <c r="BK2715" s="6"/>
      <c r="BL2715" s="6"/>
      <c r="BM2715" s="6"/>
      <c r="BN2715" s="6"/>
      <c r="BO2715" s="6"/>
      <c r="BP2715" s="6"/>
      <c r="BQ2715" s="6"/>
      <c r="BR2715" s="6"/>
      <c r="BS2715" s="6"/>
      <c r="BT2715" s="6"/>
      <c r="BU2715" s="6"/>
      <c r="BV2715" s="6"/>
      <c r="BW2715" s="6"/>
      <c r="BX2715" s="6"/>
      <c r="BY2715" s="6"/>
      <c r="BZ2715" s="6"/>
      <c r="CA2715" s="6"/>
      <c r="CB2715" s="6"/>
      <c r="CC2715" s="6"/>
      <c r="CD2715" s="6"/>
      <c r="CE2715" s="6"/>
      <c r="CF2715" s="6"/>
      <c r="CG2715" s="6"/>
      <c r="CH2715" s="6"/>
      <c r="CI2715" s="6"/>
      <c r="CJ2715" s="6"/>
      <c r="CK2715" s="6"/>
      <c r="CL2715" s="6"/>
      <c r="CM2715" s="6"/>
      <c r="CN2715" s="6"/>
      <c r="CO2715" s="6"/>
      <c r="CP2715" s="6"/>
      <c r="CQ2715" s="6"/>
      <c r="CR2715" s="6"/>
      <c r="CS2715" s="6"/>
      <c r="CT2715" s="6"/>
      <c r="CU2715" s="6"/>
      <c r="CV2715" s="6"/>
      <c r="CW2715" s="6"/>
      <c r="CX2715" s="6"/>
      <c r="CY2715" s="6"/>
      <c r="CZ2715" s="6"/>
    </row>
    <row r="2716" spans="27:104" s="5" customFormat="1" x14ac:dyDescent="0.25">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16"/>
      <c r="BC2716" s="6"/>
      <c r="BD2716" s="6"/>
      <c r="BE2716" s="6"/>
      <c r="BF2716" s="6"/>
      <c r="BG2716" s="6"/>
      <c r="BH2716" s="6"/>
      <c r="BI2716" s="6"/>
      <c r="BJ2716" s="6"/>
      <c r="BK2716" s="6"/>
      <c r="BL2716" s="6"/>
      <c r="BM2716" s="6"/>
      <c r="BN2716" s="6"/>
      <c r="BO2716" s="6"/>
      <c r="BP2716" s="6"/>
      <c r="BQ2716" s="6"/>
      <c r="BR2716" s="6"/>
      <c r="BS2716" s="6"/>
      <c r="BT2716" s="6"/>
      <c r="BU2716" s="6"/>
      <c r="BV2716" s="6"/>
      <c r="BW2716" s="6"/>
      <c r="BX2716" s="6"/>
      <c r="BY2716" s="6"/>
      <c r="BZ2716" s="6"/>
      <c r="CA2716" s="6"/>
      <c r="CB2716" s="6"/>
      <c r="CC2716" s="6"/>
      <c r="CD2716" s="6"/>
      <c r="CE2716" s="6"/>
      <c r="CF2716" s="6"/>
      <c r="CG2716" s="6"/>
      <c r="CH2716" s="6"/>
      <c r="CI2716" s="6"/>
      <c r="CJ2716" s="6"/>
      <c r="CK2716" s="6"/>
      <c r="CL2716" s="6"/>
      <c r="CM2716" s="6"/>
      <c r="CN2716" s="6"/>
      <c r="CO2716" s="6"/>
      <c r="CP2716" s="6"/>
      <c r="CQ2716" s="6"/>
      <c r="CR2716" s="6"/>
      <c r="CS2716" s="6"/>
      <c r="CT2716" s="6"/>
      <c r="CU2716" s="6"/>
      <c r="CV2716" s="6"/>
      <c r="CW2716" s="6"/>
      <c r="CX2716" s="6"/>
      <c r="CY2716" s="6"/>
      <c r="CZ2716" s="6"/>
    </row>
    <row r="2717" spans="27:104" s="5" customFormat="1" x14ac:dyDescent="0.25">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16"/>
      <c r="BC2717" s="6"/>
      <c r="BD2717" s="6"/>
      <c r="BE2717" s="6"/>
      <c r="BF2717" s="6"/>
      <c r="BG2717" s="6"/>
      <c r="BH2717" s="6"/>
      <c r="BI2717" s="6"/>
      <c r="BJ2717" s="6"/>
      <c r="BK2717" s="6"/>
      <c r="BL2717" s="6"/>
      <c r="BM2717" s="6"/>
      <c r="BN2717" s="6"/>
      <c r="BO2717" s="6"/>
      <c r="BP2717" s="6"/>
      <c r="BQ2717" s="6"/>
      <c r="BR2717" s="6"/>
      <c r="BS2717" s="6"/>
      <c r="BT2717" s="6"/>
      <c r="BU2717" s="6"/>
      <c r="BV2717" s="6"/>
      <c r="BW2717" s="6"/>
      <c r="BX2717" s="6"/>
      <c r="BY2717" s="6"/>
      <c r="BZ2717" s="6"/>
      <c r="CA2717" s="6"/>
      <c r="CB2717" s="6"/>
      <c r="CC2717" s="6"/>
      <c r="CD2717" s="6"/>
      <c r="CE2717" s="6"/>
      <c r="CF2717" s="6"/>
      <c r="CG2717" s="6"/>
      <c r="CH2717" s="6"/>
      <c r="CI2717" s="6"/>
      <c r="CJ2717" s="6"/>
      <c r="CK2717" s="6"/>
      <c r="CL2717" s="6"/>
      <c r="CM2717" s="6"/>
      <c r="CN2717" s="6"/>
      <c r="CO2717" s="6"/>
      <c r="CP2717" s="6"/>
      <c r="CQ2717" s="6"/>
      <c r="CR2717" s="6"/>
      <c r="CS2717" s="6"/>
      <c r="CT2717" s="6"/>
      <c r="CU2717" s="6"/>
      <c r="CV2717" s="6"/>
      <c r="CW2717" s="6"/>
      <c r="CX2717" s="6"/>
      <c r="CY2717" s="6"/>
      <c r="CZ2717" s="6"/>
    </row>
    <row r="2718" spans="27:104" s="5" customFormat="1" x14ac:dyDescent="0.25">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16"/>
      <c r="BC2718" s="6"/>
      <c r="BD2718" s="6"/>
      <c r="BE2718" s="6"/>
      <c r="BF2718" s="6"/>
      <c r="BG2718" s="6"/>
      <c r="BH2718" s="6"/>
      <c r="BI2718" s="6"/>
      <c r="BJ2718" s="6"/>
      <c r="BK2718" s="6"/>
      <c r="BL2718" s="6"/>
      <c r="BM2718" s="6"/>
      <c r="BN2718" s="6"/>
      <c r="BO2718" s="6"/>
      <c r="BP2718" s="6"/>
      <c r="BQ2718" s="6"/>
      <c r="BR2718" s="6"/>
      <c r="BS2718" s="6"/>
      <c r="BT2718" s="6"/>
      <c r="BU2718" s="6"/>
      <c r="BV2718" s="6"/>
      <c r="BW2718" s="6"/>
      <c r="BX2718" s="6"/>
      <c r="BY2718" s="6"/>
      <c r="BZ2718" s="6"/>
      <c r="CA2718" s="6"/>
      <c r="CB2718" s="6"/>
      <c r="CC2718" s="6"/>
      <c r="CD2718" s="6"/>
      <c r="CE2718" s="6"/>
      <c r="CF2718" s="6"/>
      <c r="CG2718" s="6"/>
      <c r="CH2718" s="6"/>
      <c r="CI2718" s="6"/>
      <c r="CJ2718" s="6"/>
      <c r="CK2718" s="6"/>
      <c r="CL2718" s="6"/>
      <c r="CM2718" s="6"/>
      <c r="CN2718" s="6"/>
      <c r="CO2718" s="6"/>
      <c r="CP2718" s="6"/>
      <c r="CQ2718" s="6"/>
      <c r="CR2718" s="6"/>
      <c r="CS2718" s="6"/>
      <c r="CT2718" s="6"/>
      <c r="CU2718" s="6"/>
      <c r="CV2718" s="6"/>
      <c r="CW2718" s="6"/>
      <c r="CX2718" s="6"/>
      <c r="CY2718" s="6"/>
      <c r="CZ2718" s="6"/>
    </row>
    <row r="2719" spans="27:104" s="5" customFormat="1" x14ac:dyDescent="0.25">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16"/>
      <c r="BC2719" s="6"/>
      <c r="BD2719" s="6"/>
      <c r="BE2719" s="6"/>
      <c r="BF2719" s="6"/>
      <c r="BG2719" s="6"/>
      <c r="BH2719" s="6"/>
      <c r="BI2719" s="6"/>
      <c r="BJ2719" s="6"/>
      <c r="BK2719" s="6"/>
      <c r="BL2719" s="6"/>
      <c r="BM2719" s="6"/>
      <c r="BN2719" s="6"/>
      <c r="BO2719" s="6"/>
      <c r="BP2719" s="6"/>
      <c r="BQ2719" s="6"/>
      <c r="BR2719" s="6"/>
      <c r="BS2719" s="6"/>
      <c r="BT2719" s="6"/>
      <c r="BU2719" s="6"/>
      <c r="BV2719" s="6"/>
      <c r="BW2719" s="6"/>
      <c r="BX2719" s="6"/>
      <c r="BY2719" s="6"/>
      <c r="BZ2719" s="6"/>
      <c r="CA2719" s="6"/>
      <c r="CB2719" s="6"/>
      <c r="CC2719" s="6"/>
      <c r="CD2719" s="6"/>
      <c r="CE2719" s="6"/>
      <c r="CF2719" s="6"/>
      <c r="CG2719" s="6"/>
      <c r="CH2719" s="6"/>
      <c r="CI2719" s="6"/>
      <c r="CJ2719" s="6"/>
      <c r="CK2719" s="6"/>
      <c r="CL2719" s="6"/>
      <c r="CM2719" s="6"/>
      <c r="CN2719" s="6"/>
      <c r="CO2719" s="6"/>
      <c r="CP2719" s="6"/>
      <c r="CQ2719" s="6"/>
      <c r="CR2719" s="6"/>
      <c r="CS2719" s="6"/>
      <c r="CT2719" s="6"/>
      <c r="CU2719" s="6"/>
      <c r="CV2719" s="6"/>
      <c r="CW2719" s="6"/>
      <c r="CX2719" s="6"/>
      <c r="CY2719" s="6"/>
      <c r="CZ2719" s="6"/>
    </row>
    <row r="2720" spans="27:104" s="5" customFormat="1" x14ac:dyDescent="0.25">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16"/>
      <c r="BC2720" s="6"/>
      <c r="BD2720" s="6"/>
      <c r="BE2720" s="6"/>
      <c r="BF2720" s="6"/>
      <c r="BG2720" s="6"/>
      <c r="BH2720" s="6"/>
      <c r="BI2720" s="6"/>
      <c r="BJ2720" s="6"/>
      <c r="BK2720" s="6"/>
      <c r="BL2720" s="6"/>
      <c r="BM2720" s="6"/>
      <c r="BN2720" s="6"/>
      <c r="BO2720" s="6"/>
      <c r="BP2720" s="6"/>
      <c r="BQ2720" s="6"/>
      <c r="BR2720" s="6"/>
      <c r="BS2720" s="6"/>
      <c r="BT2720" s="6"/>
      <c r="BU2720" s="6"/>
      <c r="BV2720" s="6"/>
      <c r="BW2720" s="6"/>
      <c r="BX2720" s="6"/>
      <c r="BY2720" s="6"/>
      <c r="BZ2720" s="6"/>
      <c r="CA2720" s="6"/>
      <c r="CB2720" s="6"/>
      <c r="CC2720" s="6"/>
      <c r="CD2720" s="6"/>
      <c r="CE2720" s="6"/>
      <c r="CF2720" s="6"/>
      <c r="CG2720" s="6"/>
      <c r="CH2720" s="6"/>
      <c r="CI2720" s="6"/>
      <c r="CJ2720" s="6"/>
      <c r="CK2720" s="6"/>
      <c r="CL2720" s="6"/>
      <c r="CM2720" s="6"/>
      <c r="CN2720" s="6"/>
      <c r="CO2720" s="6"/>
      <c r="CP2720" s="6"/>
      <c r="CQ2720" s="6"/>
      <c r="CR2720" s="6"/>
      <c r="CS2720" s="6"/>
      <c r="CT2720" s="6"/>
      <c r="CU2720" s="6"/>
      <c r="CV2720" s="6"/>
      <c r="CW2720" s="6"/>
      <c r="CX2720" s="6"/>
      <c r="CY2720" s="6"/>
      <c r="CZ2720" s="6"/>
    </row>
    <row r="2721" spans="27:104" s="5" customFormat="1" x14ac:dyDescent="0.25">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16"/>
      <c r="BC2721" s="6"/>
      <c r="BD2721" s="6"/>
      <c r="BE2721" s="6"/>
      <c r="BF2721" s="6"/>
      <c r="BG2721" s="6"/>
      <c r="BH2721" s="6"/>
      <c r="BI2721" s="6"/>
      <c r="BJ2721" s="6"/>
      <c r="BK2721" s="6"/>
      <c r="BL2721" s="6"/>
      <c r="BM2721" s="6"/>
      <c r="BN2721" s="6"/>
      <c r="BO2721" s="6"/>
      <c r="BP2721" s="6"/>
      <c r="BQ2721" s="6"/>
      <c r="BR2721" s="6"/>
      <c r="BS2721" s="6"/>
      <c r="BT2721" s="6"/>
      <c r="BU2721" s="6"/>
      <c r="BV2721" s="6"/>
      <c r="BW2721" s="6"/>
      <c r="BX2721" s="6"/>
      <c r="BY2721" s="6"/>
      <c r="BZ2721" s="6"/>
      <c r="CA2721" s="6"/>
      <c r="CB2721" s="6"/>
      <c r="CC2721" s="6"/>
      <c r="CD2721" s="6"/>
      <c r="CE2721" s="6"/>
      <c r="CF2721" s="6"/>
      <c r="CG2721" s="6"/>
      <c r="CH2721" s="6"/>
      <c r="CI2721" s="6"/>
      <c r="CJ2721" s="6"/>
      <c r="CK2721" s="6"/>
      <c r="CL2721" s="6"/>
      <c r="CM2721" s="6"/>
      <c r="CN2721" s="6"/>
      <c r="CO2721" s="6"/>
      <c r="CP2721" s="6"/>
      <c r="CQ2721" s="6"/>
      <c r="CR2721" s="6"/>
      <c r="CS2721" s="6"/>
      <c r="CT2721" s="6"/>
      <c r="CU2721" s="6"/>
      <c r="CV2721" s="6"/>
      <c r="CW2721" s="6"/>
      <c r="CX2721" s="6"/>
      <c r="CY2721" s="6"/>
      <c r="CZ2721" s="6"/>
    </row>
    <row r="2722" spans="27:104" s="5" customFormat="1" x14ac:dyDescent="0.25">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16"/>
      <c r="BC2722" s="6"/>
      <c r="BD2722" s="6"/>
      <c r="BE2722" s="6"/>
      <c r="BF2722" s="6"/>
      <c r="BG2722" s="6"/>
      <c r="BH2722" s="6"/>
      <c r="BI2722" s="6"/>
      <c r="BJ2722" s="6"/>
      <c r="BK2722" s="6"/>
      <c r="BL2722" s="6"/>
      <c r="BM2722" s="6"/>
      <c r="BN2722" s="6"/>
      <c r="BO2722" s="6"/>
      <c r="BP2722" s="6"/>
      <c r="BQ2722" s="6"/>
      <c r="BR2722" s="6"/>
      <c r="BS2722" s="6"/>
      <c r="BT2722" s="6"/>
      <c r="BU2722" s="6"/>
      <c r="BV2722" s="6"/>
      <c r="BW2722" s="6"/>
      <c r="BX2722" s="6"/>
      <c r="BY2722" s="6"/>
      <c r="BZ2722" s="6"/>
      <c r="CA2722" s="6"/>
      <c r="CB2722" s="6"/>
      <c r="CC2722" s="6"/>
      <c r="CD2722" s="6"/>
      <c r="CE2722" s="6"/>
      <c r="CF2722" s="6"/>
      <c r="CG2722" s="6"/>
      <c r="CH2722" s="6"/>
      <c r="CI2722" s="6"/>
      <c r="CJ2722" s="6"/>
      <c r="CK2722" s="6"/>
      <c r="CL2722" s="6"/>
      <c r="CM2722" s="6"/>
      <c r="CN2722" s="6"/>
      <c r="CO2722" s="6"/>
      <c r="CP2722" s="6"/>
      <c r="CQ2722" s="6"/>
      <c r="CR2722" s="6"/>
      <c r="CS2722" s="6"/>
      <c r="CT2722" s="6"/>
      <c r="CU2722" s="6"/>
      <c r="CV2722" s="6"/>
      <c r="CW2722" s="6"/>
      <c r="CX2722" s="6"/>
      <c r="CY2722" s="6"/>
      <c r="CZ2722" s="6"/>
    </row>
    <row r="2723" spans="27:104" s="5" customFormat="1" x14ac:dyDescent="0.25">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16"/>
      <c r="BC2723" s="6"/>
      <c r="BD2723" s="6"/>
      <c r="BE2723" s="6"/>
      <c r="BF2723" s="6"/>
      <c r="BG2723" s="6"/>
      <c r="BH2723" s="6"/>
      <c r="BI2723" s="6"/>
      <c r="BJ2723" s="6"/>
      <c r="BK2723" s="6"/>
      <c r="BL2723" s="6"/>
      <c r="BM2723" s="6"/>
      <c r="BN2723" s="6"/>
      <c r="BO2723" s="6"/>
      <c r="BP2723" s="6"/>
      <c r="BQ2723" s="6"/>
      <c r="BR2723" s="6"/>
      <c r="BS2723" s="6"/>
      <c r="BT2723" s="6"/>
      <c r="BU2723" s="6"/>
      <c r="BV2723" s="6"/>
      <c r="BW2723" s="6"/>
      <c r="BX2723" s="6"/>
      <c r="BY2723" s="6"/>
      <c r="BZ2723" s="6"/>
      <c r="CA2723" s="6"/>
      <c r="CB2723" s="6"/>
      <c r="CC2723" s="6"/>
      <c r="CD2723" s="6"/>
      <c r="CE2723" s="6"/>
      <c r="CF2723" s="6"/>
      <c r="CG2723" s="6"/>
      <c r="CH2723" s="6"/>
      <c r="CI2723" s="6"/>
      <c r="CJ2723" s="6"/>
      <c r="CK2723" s="6"/>
      <c r="CL2723" s="6"/>
      <c r="CM2723" s="6"/>
      <c r="CN2723" s="6"/>
      <c r="CO2723" s="6"/>
      <c r="CP2723" s="6"/>
      <c r="CQ2723" s="6"/>
      <c r="CR2723" s="6"/>
      <c r="CS2723" s="6"/>
      <c r="CT2723" s="6"/>
      <c r="CU2723" s="6"/>
      <c r="CV2723" s="6"/>
      <c r="CW2723" s="6"/>
      <c r="CX2723" s="6"/>
      <c r="CY2723" s="6"/>
      <c r="CZ2723" s="6"/>
    </row>
    <row r="2724" spans="27:104" s="5" customFormat="1" x14ac:dyDescent="0.25">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16"/>
      <c r="BC2724" s="6"/>
      <c r="BD2724" s="6"/>
      <c r="BE2724" s="6"/>
      <c r="BF2724" s="6"/>
      <c r="BG2724" s="6"/>
      <c r="BH2724" s="6"/>
      <c r="BI2724" s="6"/>
      <c r="BJ2724" s="6"/>
      <c r="BK2724" s="6"/>
      <c r="BL2724" s="6"/>
      <c r="BM2724" s="6"/>
      <c r="BN2724" s="6"/>
      <c r="BO2724" s="6"/>
      <c r="BP2724" s="6"/>
      <c r="BQ2724" s="6"/>
      <c r="BR2724" s="6"/>
      <c r="BS2724" s="6"/>
      <c r="BT2724" s="6"/>
      <c r="BU2724" s="6"/>
      <c r="BV2724" s="6"/>
      <c r="BW2724" s="6"/>
      <c r="BX2724" s="6"/>
      <c r="BY2724" s="6"/>
      <c r="BZ2724" s="6"/>
      <c r="CA2724" s="6"/>
      <c r="CB2724" s="6"/>
      <c r="CC2724" s="6"/>
      <c r="CD2724" s="6"/>
      <c r="CE2724" s="6"/>
      <c r="CF2724" s="6"/>
      <c r="CG2724" s="6"/>
      <c r="CH2724" s="6"/>
      <c r="CI2724" s="6"/>
      <c r="CJ2724" s="6"/>
      <c r="CK2724" s="6"/>
      <c r="CL2724" s="6"/>
      <c r="CM2724" s="6"/>
      <c r="CN2724" s="6"/>
      <c r="CO2724" s="6"/>
      <c r="CP2724" s="6"/>
      <c r="CQ2724" s="6"/>
      <c r="CR2724" s="6"/>
      <c r="CS2724" s="6"/>
      <c r="CT2724" s="6"/>
      <c r="CU2724" s="6"/>
      <c r="CV2724" s="6"/>
      <c r="CW2724" s="6"/>
      <c r="CX2724" s="6"/>
      <c r="CY2724" s="6"/>
      <c r="CZ2724" s="6"/>
    </row>
    <row r="2725" spans="27:104" s="5" customFormat="1" x14ac:dyDescent="0.25">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16"/>
      <c r="BC2725" s="6"/>
      <c r="BD2725" s="6"/>
      <c r="BE2725" s="6"/>
      <c r="BF2725" s="6"/>
      <c r="BG2725" s="6"/>
      <c r="BH2725" s="6"/>
      <c r="BI2725" s="6"/>
      <c r="BJ2725" s="6"/>
      <c r="BK2725" s="6"/>
      <c r="BL2725" s="6"/>
      <c r="BM2725" s="6"/>
      <c r="BN2725" s="6"/>
      <c r="BO2725" s="6"/>
      <c r="BP2725" s="6"/>
      <c r="BQ2725" s="6"/>
      <c r="BR2725" s="6"/>
      <c r="BS2725" s="6"/>
      <c r="BT2725" s="6"/>
      <c r="BU2725" s="6"/>
      <c r="BV2725" s="6"/>
      <c r="BW2725" s="6"/>
      <c r="BX2725" s="6"/>
      <c r="BY2725" s="6"/>
      <c r="BZ2725" s="6"/>
      <c r="CA2725" s="6"/>
      <c r="CB2725" s="6"/>
      <c r="CC2725" s="6"/>
      <c r="CD2725" s="6"/>
      <c r="CE2725" s="6"/>
      <c r="CF2725" s="6"/>
      <c r="CG2725" s="6"/>
      <c r="CH2725" s="6"/>
      <c r="CI2725" s="6"/>
      <c r="CJ2725" s="6"/>
      <c r="CK2725" s="6"/>
      <c r="CL2725" s="6"/>
      <c r="CM2725" s="6"/>
      <c r="CN2725" s="6"/>
      <c r="CO2725" s="6"/>
      <c r="CP2725" s="6"/>
      <c r="CQ2725" s="6"/>
      <c r="CR2725" s="6"/>
      <c r="CS2725" s="6"/>
      <c r="CT2725" s="6"/>
      <c r="CU2725" s="6"/>
      <c r="CV2725" s="6"/>
      <c r="CW2725" s="6"/>
      <c r="CX2725" s="6"/>
      <c r="CY2725" s="6"/>
      <c r="CZ2725" s="6"/>
    </row>
    <row r="2726" spans="27:104" s="5" customFormat="1" x14ac:dyDescent="0.25">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16"/>
      <c r="BC2726" s="6"/>
      <c r="BD2726" s="6"/>
      <c r="BE2726" s="6"/>
      <c r="BF2726" s="6"/>
      <c r="BG2726" s="6"/>
      <c r="BH2726" s="6"/>
      <c r="BI2726" s="6"/>
      <c r="BJ2726" s="6"/>
      <c r="BK2726" s="6"/>
      <c r="BL2726" s="6"/>
      <c r="BM2726" s="6"/>
      <c r="BN2726" s="6"/>
      <c r="BO2726" s="6"/>
      <c r="BP2726" s="6"/>
      <c r="BQ2726" s="6"/>
      <c r="BR2726" s="6"/>
      <c r="BS2726" s="6"/>
      <c r="BT2726" s="6"/>
      <c r="BU2726" s="6"/>
      <c r="BV2726" s="6"/>
      <c r="BW2726" s="6"/>
      <c r="BX2726" s="6"/>
      <c r="BY2726" s="6"/>
      <c r="BZ2726" s="6"/>
      <c r="CA2726" s="6"/>
      <c r="CB2726" s="6"/>
      <c r="CC2726" s="6"/>
      <c r="CD2726" s="6"/>
      <c r="CE2726" s="6"/>
      <c r="CF2726" s="6"/>
      <c r="CG2726" s="6"/>
      <c r="CH2726" s="6"/>
      <c r="CI2726" s="6"/>
      <c r="CJ2726" s="6"/>
      <c r="CK2726" s="6"/>
      <c r="CL2726" s="6"/>
      <c r="CM2726" s="6"/>
      <c r="CN2726" s="6"/>
      <c r="CO2726" s="6"/>
      <c r="CP2726" s="6"/>
      <c r="CQ2726" s="6"/>
      <c r="CR2726" s="6"/>
      <c r="CS2726" s="6"/>
      <c r="CT2726" s="6"/>
      <c r="CU2726" s="6"/>
      <c r="CV2726" s="6"/>
      <c r="CW2726" s="6"/>
      <c r="CX2726" s="6"/>
      <c r="CY2726" s="6"/>
      <c r="CZ2726" s="6"/>
    </row>
    <row r="2727" spans="27:104" s="5" customFormat="1" x14ac:dyDescent="0.25">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16"/>
      <c r="BC2727" s="6"/>
      <c r="BD2727" s="6"/>
      <c r="BE2727" s="6"/>
      <c r="BF2727" s="6"/>
      <c r="BG2727" s="6"/>
      <c r="BH2727" s="6"/>
      <c r="BI2727" s="6"/>
      <c r="BJ2727" s="6"/>
      <c r="BK2727" s="6"/>
      <c r="BL2727" s="6"/>
      <c r="BM2727" s="6"/>
      <c r="BN2727" s="6"/>
      <c r="BO2727" s="6"/>
      <c r="BP2727" s="6"/>
      <c r="BQ2727" s="6"/>
      <c r="BR2727" s="6"/>
      <c r="BS2727" s="6"/>
      <c r="BT2727" s="6"/>
      <c r="BU2727" s="6"/>
      <c r="BV2727" s="6"/>
      <c r="BW2727" s="6"/>
      <c r="BX2727" s="6"/>
      <c r="BY2727" s="6"/>
      <c r="BZ2727" s="6"/>
      <c r="CA2727" s="6"/>
      <c r="CB2727" s="6"/>
      <c r="CC2727" s="6"/>
      <c r="CD2727" s="6"/>
      <c r="CE2727" s="6"/>
      <c r="CF2727" s="6"/>
      <c r="CG2727" s="6"/>
      <c r="CH2727" s="6"/>
      <c r="CI2727" s="6"/>
      <c r="CJ2727" s="6"/>
      <c r="CK2727" s="6"/>
      <c r="CL2727" s="6"/>
      <c r="CM2727" s="6"/>
      <c r="CN2727" s="6"/>
      <c r="CO2727" s="6"/>
      <c r="CP2727" s="6"/>
      <c r="CQ2727" s="6"/>
      <c r="CR2727" s="6"/>
      <c r="CS2727" s="6"/>
      <c r="CT2727" s="6"/>
      <c r="CU2727" s="6"/>
      <c r="CV2727" s="6"/>
      <c r="CW2727" s="6"/>
      <c r="CX2727" s="6"/>
      <c r="CY2727" s="6"/>
      <c r="CZ2727" s="6"/>
    </row>
    <row r="2728" spans="27:104" s="5" customFormat="1" x14ac:dyDescent="0.25">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16"/>
      <c r="BC2728" s="6"/>
      <c r="BD2728" s="6"/>
      <c r="BE2728" s="6"/>
      <c r="BF2728" s="6"/>
      <c r="BG2728" s="6"/>
      <c r="BH2728" s="6"/>
      <c r="BI2728" s="6"/>
      <c r="BJ2728" s="6"/>
      <c r="BK2728" s="6"/>
      <c r="BL2728" s="6"/>
      <c r="BM2728" s="6"/>
      <c r="BN2728" s="6"/>
      <c r="BO2728" s="6"/>
      <c r="BP2728" s="6"/>
      <c r="BQ2728" s="6"/>
      <c r="BR2728" s="6"/>
      <c r="BS2728" s="6"/>
      <c r="BT2728" s="6"/>
      <c r="BU2728" s="6"/>
      <c r="BV2728" s="6"/>
      <c r="BW2728" s="6"/>
      <c r="BX2728" s="6"/>
      <c r="BY2728" s="6"/>
      <c r="BZ2728" s="6"/>
      <c r="CA2728" s="6"/>
      <c r="CB2728" s="6"/>
      <c r="CC2728" s="6"/>
      <c r="CD2728" s="6"/>
      <c r="CE2728" s="6"/>
      <c r="CF2728" s="6"/>
      <c r="CG2728" s="6"/>
      <c r="CH2728" s="6"/>
      <c r="CI2728" s="6"/>
      <c r="CJ2728" s="6"/>
      <c r="CK2728" s="6"/>
      <c r="CL2728" s="6"/>
      <c r="CM2728" s="6"/>
      <c r="CN2728" s="6"/>
      <c r="CO2728" s="6"/>
      <c r="CP2728" s="6"/>
      <c r="CQ2728" s="6"/>
      <c r="CR2728" s="6"/>
      <c r="CS2728" s="6"/>
      <c r="CT2728" s="6"/>
      <c r="CU2728" s="6"/>
      <c r="CV2728" s="6"/>
      <c r="CW2728" s="6"/>
      <c r="CX2728" s="6"/>
      <c r="CY2728" s="6"/>
      <c r="CZ2728" s="6"/>
    </row>
    <row r="2729" spans="27:104" s="5" customFormat="1" x14ac:dyDescent="0.25">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16"/>
      <c r="BC2729" s="6"/>
      <c r="BD2729" s="6"/>
      <c r="BE2729" s="6"/>
      <c r="BF2729" s="6"/>
      <c r="BG2729" s="6"/>
      <c r="BH2729" s="6"/>
      <c r="BI2729" s="6"/>
      <c r="BJ2729" s="6"/>
      <c r="BK2729" s="6"/>
      <c r="BL2729" s="6"/>
      <c r="BM2729" s="6"/>
      <c r="BN2729" s="6"/>
      <c r="BO2729" s="6"/>
      <c r="BP2729" s="6"/>
      <c r="BQ2729" s="6"/>
      <c r="BR2729" s="6"/>
      <c r="BS2729" s="6"/>
      <c r="BT2729" s="6"/>
      <c r="BU2729" s="6"/>
      <c r="BV2729" s="6"/>
      <c r="BW2729" s="6"/>
      <c r="BX2729" s="6"/>
      <c r="BY2729" s="6"/>
      <c r="BZ2729" s="6"/>
      <c r="CA2729" s="6"/>
      <c r="CB2729" s="6"/>
      <c r="CC2729" s="6"/>
      <c r="CD2729" s="6"/>
      <c r="CE2729" s="6"/>
      <c r="CF2729" s="6"/>
      <c r="CG2729" s="6"/>
      <c r="CH2729" s="6"/>
      <c r="CI2729" s="6"/>
      <c r="CJ2729" s="6"/>
      <c r="CK2729" s="6"/>
      <c r="CL2729" s="6"/>
      <c r="CM2729" s="6"/>
      <c r="CN2729" s="6"/>
      <c r="CO2729" s="6"/>
      <c r="CP2729" s="6"/>
      <c r="CQ2729" s="6"/>
      <c r="CR2729" s="6"/>
      <c r="CS2729" s="6"/>
      <c r="CT2729" s="6"/>
      <c r="CU2729" s="6"/>
      <c r="CV2729" s="6"/>
      <c r="CW2729" s="6"/>
      <c r="CX2729" s="6"/>
      <c r="CY2729" s="6"/>
      <c r="CZ2729" s="6"/>
    </row>
    <row r="2730" spans="27:104" s="5" customFormat="1" x14ac:dyDescent="0.25">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16"/>
      <c r="BC2730" s="6"/>
      <c r="BD2730" s="6"/>
      <c r="BE2730" s="6"/>
      <c r="BF2730" s="6"/>
      <c r="BG2730" s="6"/>
      <c r="BH2730" s="6"/>
      <c r="BI2730" s="6"/>
      <c r="BJ2730" s="6"/>
      <c r="BK2730" s="6"/>
      <c r="BL2730" s="6"/>
      <c r="BM2730" s="6"/>
      <c r="BN2730" s="6"/>
      <c r="BO2730" s="6"/>
      <c r="BP2730" s="6"/>
      <c r="BQ2730" s="6"/>
      <c r="BR2730" s="6"/>
      <c r="BS2730" s="6"/>
      <c r="BT2730" s="6"/>
      <c r="BU2730" s="6"/>
      <c r="BV2730" s="6"/>
      <c r="BW2730" s="6"/>
      <c r="BX2730" s="6"/>
      <c r="BY2730" s="6"/>
      <c r="BZ2730" s="6"/>
      <c r="CA2730" s="6"/>
      <c r="CB2730" s="6"/>
      <c r="CC2730" s="6"/>
      <c r="CD2730" s="6"/>
      <c r="CE2730" s="6"/>
      <c r="CF2730" s="6"/>
      <c r="CG2730" s="6"/>
      <c r="CH2730" s="6"/>
      <c r="CI2730" s="6"/>
      <c r="CJ2730" s="6"/>
      <c r="CK2730" s="6"/>
      <c r="CL2730" s="6"/>
      <c r="CM2730" s="6"/>
      <c r="CN2730" s="6"/>
      <c r="CO2730" s="6"/>
      <c r="CP2730" s="6"/>
      <c r="CQ2730" s="6"/>
      <c r="CR2730" s="6"/>
      <c r="CS2730" s="6"/>
      <c r="CT2730" s="6"/>
      <c r="CU2730" s="6"/>
      <c r="CV2730" s="6"/>
      <c r="CW2730" s="6"/>
      <c r="CX2730" s="6"/>
      <c r="CY2730" s="6"/>
      <c r="CZ2730" s="6"/>
    </row>
    <row r="2731" spans="27:104" s="5" customFormat="1" x14ac:dyDescent="0.25">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16"/>
      <c r="BC2731" s="6"/>
      <c r="BD2731" s="6"/>
      <c r="BE2731" s="6"/>
      <c r="BF2731" s="6"/>
      <c r="BG2731" s="6"/>
      <c r="BH2731" s="6"/>
      <c r="BI2731" s="6"/>
      <c r="BJ2731" s="6"/>
      <c r="BK2731" s="6"/>
      <c r="BL2731" s="6"/>
      <c r="BM2731" s="6"/>
      <c r="BN2731" s="6"/>
      <c r="BO2731" s="6"/>
      <c r="BP2731" s="6"/>
      <c r="BQ2731" s="6"/>
      <c r="BR2731" s="6"/>
      <c r="BS2731" s="6"/>
      <c r="BT2731" s="6"/>
      <c r="BU2731" s="6"/>
      <c r="BV2731" s="6"/>
      <c r="BW2731" s="6"/>
      <c r="BX2731" s="6"/>
      <c r="BY2731" s="6"/>
      <c r="BZ2731" s="6"/>
      <c r="CA2731" s="6"/>
      <c r="CB2731" s="6"/>
      <c r="CC2731" s="6"/>
      <c r="CD2731" s="6"/>
      <c r="CE2731" s="6"/>
      <c r="CF2731" s="6"/>
      <c r="CG2731" s="6"/>
      <c r="CH2731" s="6"/>
      <c r="CI2731" s="6"/>
      <c r="CJ2731" s="6"/>
      <c r="CK2731" s="6"/>
      <c r="CL2731" s="6"/>
      <c r="CM2731" s="6"/>
      <c r="CN2731" s="6"/>
      <c r="CO2731" s="6"/>
      <c r="CP2731" s="6"/>
      <c r="CQ2731" s="6"/>
      <c r="CR2731" s="6"/>
      <c r="CS2731" s="6"/>
      <c r="CT2731" s="6"/>
      <c r="CU2731" s="6"/>
      <c r="CV2731" s="6"/>
      <c r="CW2731" s="6"/>
      <c r="CX2731" s="6"/>
      <c r="CY2731" s="6"/>
      <c r="CZ2731" s="6"/>
    </row>
    <row r="2732" spans="27:104" s="5" customFormat="1" x14ac:dyDescent="0.25">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16"/>
      <c r="BC2732" s="6"/>
      <c r="BD2732" s="6"/>
      <c r="BE2732" s="6"/>
      <c r="BF2732" s="6"/>
      <c r="BG2732" s="6"/>
      <c r="BH2732" s="6"/>
      <c r="BI2732" s="6"/>
      <c r="BJ2732" s="6"/>
      <c r="BK2732" s="6"/>
      <c r="BL2732" s="6"/>
      <c r="BM2732" s="6"/>
      <c r="BN2732" s="6"/>
      <c r="BO2732" s="6"/>
      <c r="BP2732" s="6"/>
      <c r="BQ2732" s="6"/>
      <c r="BR2732" s="6"/>
      <c r="BS2732" s="6"/>
      <c r="BT2732" s="6"/>
      <c r="BU2732" s="6"/>
      <c r="BV2732" s="6"/>
      <c r="BW2732" s="6"/>
      <c r="BX2732" s="6"/>
      <c r="BY2732" s="6"/>
      <c r="BZ2732" s="6"/>
      <c r="CA2732" s="6"/>
      <c r="CB2732" s="6"/>
      <c r="CC2732" s="6"/>
      <c r="CD2732" s="6"/>
      <c r="CE2732" s="6"/>
      <c r="CF2732" s="6"/>
      <c r="CG2732" s="6"/>
      <c r="CH2732" s="6"/>
      <c r="CI2732" s="6"/>
      <c r="CJ2732" s="6"/>
      <c r="CK2732" s="6"/>
      <c r="CL2732" s="6"/>
      <c r="CM2732" s="6"/>
      <c r="CN2732" s="6"/>
      <c r="CO2732" s="6"/>
      <c r="CP2732" s="6"/>
      <c r="CQ2732" s="6"/>
      <c r="CR2732" s="6"/>
      <c r="CS2732" s="6"/>
      <c r="CT2732" s="6"/>
      <c r="CU2732" s="6"/>
      <c r="CV2732" s="6"/>
      <c r="CW2732" s="6"/>
      <c r="CX2732" s="6"/>
      <c r="CY2732" s="6"/>
      <c r="CZ2732" s="6"/>
    </row>
    <row r="2733" spans="27:104" s="5" customFormat="1" x14ac:dyDescent="0.25">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16"/>
      <c r="BC2733" s="6"/>
      <c r="BD2733" s="6"/>
      <c r="BE2733" s="6"/>
      <c r="BF2733" s="6"/>
      <c r="BG2733" s="6"/>
      <c r="BH2733" s="6"/>
      <c r="BI2733" s="6"/>
      <c r="BJ2733" s="6"/>
      <c r="BK2733" s="6"/>
      <c r="BL2733" s="6"/>
      <c r="BM2733" s="6"/>
      <c r="BN2733" s="6"/>
      <c r="BO2733" s="6"/>
      <c r="BP2733" s="6"/>
      <c r="BQ2733" s="6"/>
      <c r="BR2733" s="6"/>
      <c r="BS2733" s="6"/>
      <c r="BT2733" s="6"/>
      <c r="BU2733" s="6"/>
      <c r="BV2733" s="6"/>
      <c r="BW2733" s="6"/>
      <c r="BX2733" s="6"/>
      <c r="BY2733" s="6"/>
      <c r="BZ2733" s="6"/>
      <c r="CA2733" s="6"/>
      <c r="CB2733" s="6"/>
      <c r="CC2733" s="6"/>
      <c r="CD2733" s="6"/>
      <c r="CE2733" s="6"/>
      <c r="CF2733" s="6"/>
      <c r="CG2733" s="6"/>
      <c r="CH2733" s="6"/>
      <c r="CI2733" s="6"/>
      <c r="CJ2733" s="6"/>
      <c r="CK2733" s="6"/>
      <c r="CL2733" s="6"/>
      <c r="CM2733" s="6"/>
      <c r="CN2733" s="6"/>
      <c r="CO2733" s="6"/>
      <c r="CP2733" s="6"/>
      <c r="CQ2733" s="6"/>
      <c r="CR2733" s="6"/>
      <c r="CS2733" s="6"/>
      <c r="CT2733" s="6"/>
      <c r="CU2733" s="6"/>
      <c r="CV2733" s="6"/>
      <c r="CW2733" s="6"/>
      <c r="CX2733" s="6"/>
      <c r="CY2733" s="6"/>
      <c r="CZ2733" s="6"/>
    </row>
    <row r="2734" spans="27:104" s="5" customFormat="1" x14ac:dyDescent="0.25">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16"/>
      <c r="BC2734" s="6"/>
      <c r="BD2734" s="6"/>
      <c r="BE2734" s="6"/>
      <c r="BF2734" s="6"/>
      <c r="BG2734" s="6"/>
      <c r="BH2734" s="6"/>
      <c r="BI2734" s="6"/>
      <c r="BJ2734" s="6"/>
      <c r="BK2734" s="6"/>
      <c r="BL2734" s="6"/>
      <c r="BM2734" s="6"/>
      <c r="BN2734" s="6"/>
      <c r="BO2734" s="6"/>
      <c r="BP2734" s="6"/>
      <c r="BQ2734" s="6"/>
      <c r="BR2734" s="6"/>
      <c r="BS2734" s="6"/>
      <c r="BT2734" s="6"/>
      <c r="BU2734" s="6"/>
      <c r="BV2734" s="6"/>
      <c r="BW2734" s="6"/>
      <c r="BX2734" s="6"/>
      <c r="BY2734" s="6"/>
      <c r="BZ2734" s="6"/>
      <c r="CA2734" s="6"/>
      <c r="CB2734" s="6"/>
      <c r="CC2734" s="6"/>
      <c r="CD2734" s="6"/>
      <c r="CE2734" s="6"/>
      <c r="CF2734" s="6"/>
      <c r="CG2734" s="6"/>
      <c r="CH2734" s="6"/>
      <c r="CI2734" s="6"/>
      <c r="CJ2734" s="6"/>
      <c r="CK2734" s="6"/>
      <c r="CL2734" s="6"/>
      <c r="CM2734" s="6"/>
      <c r="CN2734" s="6"/>
      <c r="CO2734" s="6"/>
      <c r="CP2734" s="6"/>
      <c r="CQ2734" s="6"/>
      <c r="CR2734" s="6"/>
      <c r="CS2734" s="6"/>
      <c r="CT2734" s="6"/>
      <c r="CU2734" s="6"/>
      <c r="CV2734" s="6"/>
      <c r="CW2734" s="6"/>
      <c r="CX2734" s="6"/>
      <c r="CY2734" s="6"/>
      <c r="CZ2734" s="6"/>
    </row>
    <row r="2735" spans="27:104" s="5" customFormat="1" x14ac:dyDescent="0.25">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16"/>
      <c r="BC2735" s="6"/>
      <c r="BD2735" s="6"/>
      <c r="BE2735" s="6"/>
      <c r="BF2735" s="6"/>
      <c r="BG2735" s="6"/>
      <c r="BH2735" s="6"/>
      <c r="BI2735" s="6"/>
      <c r="BJ2735" s="6"/>
      <c r="BK2735" s="6"/>
      <c r="BL2735" s="6"/>
      <c r="BM2735" s="6"/>
      <c r="BN2735" s="6"/>
      <c r="BO2735" s="6"/>
      <c r="BP2735" s="6"/>
      <c r="BQ2735" s="6"/>
      <c r="BR2735" s="6"/>
      <c r="BS2735" s="6"/>
      <c r="BT2735" s="6"/>
      <c r="BU2735" s="6"/>
      <c r="BV2735" s="6"/>
      <c r="BW2735" s="6"/>
      <c r="BX2735" s="6"/>
      <c r="BY2735" s="6"/>
      <c r="BZ2735" s="6"/>
      <c r="CA2735" s="6"/>
      <c r="CB2735" s="6"/>
      <c r="CC2735" s="6"/>
      <c r="CD2735" s="6"/>
      <c r="CE2735" s="6"/>
      <c r="CF2735" s="6"/>
      <c r="CG2735" s="6"/>
      <c r="CH2735" s="6"/>
      <c r="CI2735" s="6"/>
      <c r="CJ2735" s="6"/>
      <c r="CK2735" s="6"/>
      <c r="CL2735" s="6"/>
      <c r="CM2735" s="6"/>
      <c r="CN2735" s="6"/>
      <c r="CO2735" s="6"/>
      <c r="CP2735" s="6"/>
      <c r="CQ2735" s="6"/>
      <c r="CR2735" s="6"/>
      <c r="CS2735" s="6"/>
      <c r="CT2735" s="6"/>
      <c r="CU2735" s="6"/>
      <c r="CV2735" s="6"/>
      <c r="CW2735" s="6"/>
      <c r="CX2735" s="6"/>
      <c r="CY2735" s="6"/>
      <c r="CZ2735" s="6"/>
    </row>
    <row r="2736" spans="27:104" s="5" customFormat="1" x14ac:dyDescent="0.25">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16"/>
      <c r="BC2736" s="6"/>
      <c r="BD2736" s="6"/>
      <c r="BE2736" s="6"/>
      <c r="BF2736" s="6"/>
      <c r="BG2736" s="6"/>
      <c r="BH2736" s="6"/>
      <c r="BI2736" s="6"/>
      <c r="BJ2736" s="6"/>
      <c r="BK2736" s="6"/>
      <c r="BL2736" s="6"/>
      <c r="BM2736" s="6"/>
      <c r="BN2736" s="6"/>
      <c r="BO2736" s="6"/>
      <c r="BP2736" s="6"/>
      <c r="BQ2736" s="6"/>
      <c r="BR2736" s="6"/>
      <c r="BS2736" s="6"/>
      <c r="BT2736" s="6"/>
      <c r="BU2736" s="6"/>
      <c r="BV2736" s="6"/>
      <c r="BW2736" s="6"/>
      <c r="BX2736" s="6"/>
      <c r="BY2736" s="6"/>
      <c r="BZ2736" s="6"/>
      <c r="CA2736" s="6"/>
      <c r="CB2736" s="6"/>
      <c r="CC2736" s="6"/>
      <c r="CD2736" s="6"/>
      <c r="CE2736" s="6"/>
      <c r="CF2736" s="6"/>
      <c r="CG2736" s="6"/>
      <c r="CH2736" s="6"/>
      <c r="CI2736" s="6"/>
      <c r="CJ2736" s="6"/>
      <c r="CK2736" s="6"/>
      <c r="CL2736" s="6"/>
      <c r="CM2736" s="6"/>
      <c r="CN2736" s="6"/>
      <c r="CO2736" s="6"/>
      <c r="CP2736" s="6"/>
      <c r="CQ2736" s="6"/>
      <c r="CR2736" s="6"/>
      <c r="CS2736" s="6"/>
      <c r="CT2736" s="6"/>
      <c r="CU2736" s="6"/>
      <c r="CV2736" s="6"/>
      <c r="CW2736" s="6"/>
      <c r="CX2736" s="6"/>
      <c r="CY2736" s="6"/>
      <c r="CZ2736" s="6"/>
    </row>
    <row r="2737" spans="27:104" s="5" customFormat="1" x14ac:dyDescent="0.25">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16"/>
      <c r="BC2737" s="6"/>
      <c r="BD2737" s="6"/>
      <c r="BE2737" s="6"/>
      <c r="BF2737" s="6"/>
      <c r="BG2737" s="6"/>
      <c r="BH2737" s="6"/>
      <c r="BI2737" s="6"/>
      <c r="BJ2737" s="6"/>
      <c r="BK2737" s="6"/>
      <c r="BL2737" s="6"/>
      <c r="BM2737" s="6"/>
      <c r="BN2737" s="6"/>
      <c r="BO2737" s="6"/>
      <c r="BP2737" s="6"/>
      <c r="BQ2737" s="6"/>
      <c r="BR2737" s="6"/>
      <c r="BS2737" s="6"/>
      <c r="BT2737" s="6"/>
      <c r="BU2737" s="6"/>
      <c r="BV2737" s="6"/>
      <c r="BW2737" s="6"/>
      <c r="BX2737" s="6"/>
      <c r="BY2737" s="6"/>
      <c r="BZ2737" s="6"/>
      <c r="CA2737" s="6"/>
      <c r="CB2737" s="6"/>
      <c r="CC2737" s="6"/>
      <c r="CD2737" s="6"/>
      <c r="CE2737" s="6"/>
      <c r="CF2737" s="6"/>
      <c r="CG2737" s="6"/>
      <c r="CH2737" s="6"/>
      <c r="CI2737" s="6"/>
      <c r="CJ2737" s="6"/>
      <c r="CK2737" s="6"/>
      <c r="CL2737" s="6"/>
      <c r="CM2737" s="6"/>
      <c r="CN2737" s="6"/>
      <c r="CO2737" s="6"/>
      <c r="CP2737" s="6"/>
      <c r="CQ2737" s="6"/>
      <c r="CR2737" s="6"/>
      <c r="CS2737" s="6"/>
      <c r="CT2737" s="6"/>
      <c r="CU2737" s="6"/>
      <c r="CV2737" s="6"/>
      <c r="CW2737" s="6"/>
      <c r="CX2737" s="6"/>
      <c r="CY2737" s="6"/>
      <c r="CZ2737" s="6"/>
    </row>
    <row r="2738" spans="27:104" s="5" customFormat="1" x14ac:dyDescent="0.25">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16"/>
      <c r="BC2738" s="6"/>
      <c r="BD2738" s="6"/>
      <c r="BE2738" s="6"/>
      <c r="BF2738" s="6"/>
      <c r="BG2738" s="6"/>
      <c r="BH2738" s="6"/>
      <c r="BI2738" s="6"/>
      <c r="BJ2738" s="6"/>
      <c r="BK2738" s="6"/>
      <c r="BL2738" s="6"/>
      <c r="BM2738" s="6"/>
      <c r="BN2738" s="6"/>
      <c r="BO2738" s="6"/>
      <c r="BP2738" s="6"/>
      <c r="BQ2738" s="6"/>
      <c r="BR2738" s="6"/>
      <c r="BS2738" s="6"/>
      <c r="BT2738" s="6"/>
      <c r="BU2738" s="6"/>
      <c r="BV2738" s="6"/>
      <c r="BW2738" s="6"/>
      <c r="BX2738" s="6"/>
      <c r="BY2738" s="6"/>
      <c r="BZ2738" s="6"/>
      <c r="CA2738" s="6"/>
      <c r="CB2738" s="6"/>
      <c r="CC2738" s="6"/>
      <c r="CD2738" s="6"/>
      <c r="CE2738" s="6"/>
      <c r="CF2738" s="6"/>
      <c r="CG2738" s="6"/>
      <c r="CH2738" s="6"/>
      <c r="CI2738" s="6"/>
      <c r="CJ2738" s="6"/>
      <c r="CK2738" s="6"/>
      <c r="CL2738" s="6"/>
      <c r="CM2738" s="6"/>
      <c r="CN2738" s="6"/>
      <c r="CO2738" s="6"/>
      <c r="CP2738" s="6"/>
      <c r="CQ2738" s="6"/>
      <c r="CR2738" s="6"/>
      <c r="CS2738" s="6"/>
      <c r="CT2738" s="6"/>
      <c r="CU2738" s="6"/>
      <c r="CV2738" s="6"/>
      <c r="CW2738" s="6"/>
      <c r="CX2738" s="6"/>
      <c r="CY2738" s="6"/>
      <c r="CZ2738" s="6"/>
    </row>
    <row r="2739" spans="27:104" s="5" customFormat="1" x14ac:dyDescent="0.25">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16"/>
      <c r="BC2739" s="6"/>
      <c r="BD2739" s="6"/>
      <c r="BE2739" s="6"/>
      <c r="BF2739" s="6"/>
      <c r="BG2739" s="6"/>
      <c r="BH2739" s="6"/>
      <c r="BI2739" s="6"/>
      <c r="BJ2739" s="6"/>
      <c r="BK2739" s="6"/>
      <c r="BL2739" s="6"/>
      <c r="BM2739" s="6"/>
      <c r="BN2739" s="6"/>
      <c r="BO2739" s="6"/>
      <c r="BP2739" s="6"/>
      <c r="BQ2739" s="6"/>
      <c r="BR2739" s="6"/>
      <c r="BS2739" s="6"/>
      <c r="BT2739" s="6"/>
      <c r="BU2739" s="6"/>
      <c r="BV2739" s="6"/>
      <c r="BW2739" s="6"/>
      <c r="BX2739" s="6"/>
      <c r="BY2739" s="6"/>
      <c r="BZ2739" s="6"/>
      <c r="CA2739" s="6"/>
      <c r="CB2739" s="6"/>
      <c r="CC2739" s="6"/>
      <c r="CD2739" s="6"/>
      <c r="CE2739" s="6"/>
      <c r="CF2739" s="6"/>
      <c r="CG2739" s="6"/>
      <c r="CH2739" s="6"/>
      <c r="CI2739" s="6"/>
      <c r="CJ2739" s="6"/>
      <c r="CK2739" s="6"/>
      <c r="CL2739" s="6"/>
      <c r="CM2739" s="6"/>
      <c r="CN2739" s="6"/>
      <c r="CO2739" s="6"/>
      <c r="CP2739" s="6"/>
      <c r="CQ2739" s="6"/>
      <c r="CR2739" s="6"/>
      <c r="CS2739" s="6"/>
      <c r="CT2739" s="6"/>
      <c r="CU2739" s="6"/>
      <c r="CV2739" s="6"/>
      <c r="CW2739" s="6"/>
      <c r="CX2739" s="6"/>
      <c r="CY2739" s="6"/>
      <c r="CZ2739" s="6"/>
    </row>
    <row r="2740" spans="27:104" s="5" customFormat="1" x14ac:dyDescent="0.25">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16"/>
      <c r="BC2740" s="6"/>
      <c r="BD2740" s="6"/>
      <c r="BE2740" s="6"/>
      <c r="BF2740" s="6"/>
      <c r="BG2740" s="6"/>
      <c r="BH2740" s="6"/>
      <c r="BI2740" s="6"/>
      <c r="BJ2740" s="6"/>
      <c r="BK2740" s="6"/>
      <c r="BL2740" s="6"/>
      <c r="BM2740" s="6"/>
      <c r="BN2740" s="6"/>
      <c r="BO2740" s="6"/>
      <c r="BP2740" s="6"/>
      <c r="BQ2740" s="6"/>
      <c r="BR2740" s="6"/>
      <c r="BS2740" s="6"/>
      <c r="BT2740" s="6"/>
      <c r="BU2740" s="6"/>
      <c r="BV2740" s="6"/>
      <c r="BW2740" s="6"/>
      <c r="BX2740" s="6"/>
      <c r="BY2740" s="6"/>
      <c r="BZ2740" s="6"/>
      <c r="CA2740" s="6"/>
      <c r="CB2740" s="6"/>
      <c r="CC2740" s="6"/>
      <c r="CD2740" s="6"/>
      <c r="CE2740" s="6"/>
      <c r="CF2740" s="6"/>
      <c r="CG2740" s="6"/>
      <c r="CH2740" s="6"/>
      <c r="CI2740" s="6"/>
      <c r="CJ2740" s="6"/>
      <c r="CK2740" s="6"/>
      <c r="CL2740" s="6"/>
      <c r="CM2740" s="6"/>
      <c r="CN2740" s="6"/>
      <c r="CO2740" s="6"/>
      <c r="CP2740" s="6"/>
      <c r="CQ2740" s="6"/>
      <c r="CR2740" s="6"/>
      <c r="CS2740" s="6"/>
      <c r="CT2740" s="6"/>
      <c r="CU2740" s="6"/>
      <c r="CV2740" s="6"/>
      <c r="CW2740" s="6"/>
      <c r="CX2740" s="6"/>
      <c r="CY2740" s="6"/>
      <c r="CZ2740" s="6"/>
    </row>
    <row r="2741" spans="27:104" s="5" customFormat="1" x14ac:dyDescent="0.25">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16"/>
      <c r="BC2741" s="6"/>
      <c r="BD2741" s="6"/>
      <c r="BE2741" s="6"/>
      <c r="BF2741" s="6"/>
      <c r="BG2741" s="6"/>
      <c r="BH2741" s="6"/>
      <c r="BI2741" s="6"/>
      <c r="BJ2741" s="6"/>
      <c r="BK2741" s="6"/>
      <c r="BL2741" s="6"/>
      <c r="BM2741" s="6"/>
      <c r="BN2741" s="6"/>
      <c r="BO2741" s="6"/>
      <c r="BP2741" s="6"/>
      <c r="BQ2741" s="6"/>
      <c r="BR2741" s="6"/>
      <c r="BS2741" s="6"/>
      <c r="BT2741" s="6"/>
      <c r="BU2741" s="6"/>
      <c r="BV2741" s="6"/>
      <c r="BW2741" s="6"/>
      <c r="BX2741" s="6"/>
      <c r="BY2741" s="6"/>
      <c r="BZ2741" s="6"/>
      <c r="CA2741" s="6"/>
      <c r="CB2741" s="6"/>
      <c r="CC2741" s="6"/>
      <c r="CD2741" s="6"/>
      <c r="CE2741" s="6"/>
      <c r="CF2741" s="6"/>
      <c r="CG2741" s="6"/>
      <c r="CH2741" s="6"/>
      <c r="CI2741" s="6"/>
      <c r="CJ2741" s="6"/>
      <c r="CK2741" s="6"/>
      <c r="CL2741" s="6"/>
      <c r="CM2741" s="6"/>
      <c r="CN2741" s="6"/>
      <c r="CO2741" s="6"/>
      <c r="CP2741" s="6"/>
      <c r="CQ2741" s="6"/>
      <c r="CR2741" s="6"/>
      <c r="CS2741" s="6"/>
      <c r="CT2741" s="6"/>
      <c r="CU2741" s="6"/>
      <c r="CV2741" s="6"/>
      <c r="CW2741" s="6"/>
      <c r="CX2741" s="6"/>
      <c r="CY2741" s="6"/>
      <c r="CZ2741" s="6"/>
    </row>
    <row r="2742" spans="27:104" s="5" customFormat="1" x14ac:dyDescent="0.25">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16"/>
      <c r="BC2742" s="6"/>
      <c r="BD2742" s="6"/>
      <c r="BE2742" s="6"/>
      <c r="BF2742" s="6"/>
      <c r="BG2742" s="6"/>
      <c r="BH2742" s="6"/>
      <c r="BI2742" s="6"/>
      <c r="BJ2742" s="6"/>
      <c r="BK2742" s="6"/>
      <c r="BL2742" s="6"/>
      <c r="BM2742" s="6"/>
      <c r="BN2742" s="6"/>
      <c r="BO2742" s="6"/>
      <c r="BP2742" s="6"/>
      <c r="BQ2742" s="6"/>
      <c r="BR2742" s="6"/>
      <c r="BS2742" s="6"/>
      <c r="BT2742" s="6"/>
      <c r="BU2742" s="6"/>
      <c r="BV2742" s="6"/>
      <c r="BW2742" s="6"/>
      <c r="BX2742" s="6"/>
      <c r="BY2742" s="6"/>
      <c r="BZ2742" s="6"/>
      <c r="CA2742" s="6"/>
      <c r="CB2742" s="6"/>
      <c r="CC2742" s="6"/>
      <c r="CD2742" s="6"/>
      <c r="CE2742" s="6"/>
      <c r="CF2742" s="6"/>
      <c r="CG2742" s="6"/>
      <c r="CH2742" s="6"/>
      <c r="CI2742" s="6"/>
      <c r="CJ2742" s="6"/>
      <c r="CK2742" s="6"/>
      <c r="CL2742" s="6"/>
      <c r="CM2742" s="6"/>
      <c r="CN2742" s="6"/>
      <c r="CO2742" s="6"/>
      <c r="CP2742" s="6"/>
      <c r="CQ2742" s="6"/>
      <c r="CR2742" s="6"/>
      <c r="CS2742" s="6"/>
      <c r="CT2742" s="6"/>
      <c r="CU2742" s="6"/>
      <c r="CV2742" s="6"/>
      <c r="CW2742" s="6"/>
      <c r="CX2742" s="6"/>
      <c r="CY2742" s="6"/>
      <c r="CZ2742" s="6"/>
    </row>
    <row r="2743" spans="27:104" s="5" customFormat="1" x14ac:dyDescent="0.25">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16"/>
      <c r="BC2743" s="6"/>
      <c r="BD2743" s="6"/>
      <c r="BE2743" s="6"/>
      <c r="BF2743" s="6"/>
      <c r="BG2743" s="6"/>
      <c r="BH2743" s="6"/>
      <c r="BI2743" s="6"/>
      <c r="BJ2743" s="6"/>
      <c r="BK2743" s="6"/>
      <c r="BL2743" s="6"/>
      <c r="BM2743" s="6"/>
      <c r="BN2743" s="6"/>
      <c r="BO2743" s="6"/>
      <c r="BP2743" s="6"/>
      <c r="BQ2743" s="6"/>
      <c r="BR2743" s="6"/>
      <c r="BS2743" s="6"/>
      <c r="BT2743" s="6"/>
      <c r="BU2743" s="6"/>
      <c r="BV2743" s="6"/>
      <c r="BW2743" s="6"/>
      <c r="BX2743" s="6"/>
      <c r="BY2743" s="6"/>
      <c r="BZ2743" s="6"/>
      <c r="CA2743" s="6"/>
      <c r="CB2743" s="6"/>
      <c r="CC2743" s="6"/>
      <c r="CD2743" s="6"/>
      <c r="CE2743" s="6"/>
      <c r="CF2743" s="6"/>
      <c r="CG2743" s="6"/>
      <c r="CH2743" s="6"/>
      <c r="CI2743" s="6"/>
      <c r="CJ2743" s="6"/>
      <c r="CK2743" s="6"/>
      <c r="CL2743" s="6"/>
      <c r="CM2743" s="6"/>
      <c r="CN2743" s="6"/>
      <c r="CO2743" s="6"/>
      <c r="CP2743" s="6"/>
      <c r="CQ2743" s="6"/>
      <c r="CR2743" s="6"/>
      <c r="CS2743" s="6"/>
      <c r="CT2743" s="6"/>
      <c r="CU2743" s="6"/>
      <c r="CV2743" s="6"/>
      <c r="CW2743" s="6"/>
      <c r="CX2743" s="6"/>
      <c r="CY2743" s="6"/>
      <c r="CZ2743" s="6"/>
    </row>
    <row r="2744" spans="27:104" s="5" customFormat="1" x14ac:dyDescent="0.25">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16"/>
      <c r="BC2744" s="6"/>
      <c r="BD2744" s="6"/>
      <c r="BE2744" s="6"/>
      <c r="BF2744" s="6"/>
      <c r="BG2744" s="6"/>
      <c r="BH2744" s="6"/>
      <c r="BI2744" s="6"/>
      <c r="BJ2744" s="6"/>
      <c r="BK2744" s="6"/>
      <c r="BL2744" s="6"/>
      <c r="BM2744" s="6"/>
      <c r="BN2744" s="6"/>
      <c r="BO2744" s="6"/>
      <c r="BP2744" s="6"/>
      <c r="BQ2744" s="6"/>
      <c r="BR2744" s="6"/>
      <c r="BS2744" s="6"/>
      <c r="BT2744" s="6"/>
      <c r="BU2744" s="6"/>
      <c r="BV2744" s="6"/>
      <c r="BW2744" s="6"/>
      <c r="BX2744" s="6"/>
      <c r="BY2744" s="6"/>
      <c r="BZ2744" s="6"/>
      <c r="CA2744" s="6"/>
      <c r="CB2744" s="6"/>
      <c r="CC2744" s="6"/>
      <c r="CD2744" s="6"/>
      <c r="CE2744" s="6"/>
      <c r="CF2744" s="6"/>
      <c r="CG2744" s="6"/>
      <c r="CH2744" s="6"/>
      <c r="CI2744" s="6"/>
      <c r="CJ2744" s="6"/>
      <c r="CK2744" s="6"/>
      <c r="CL2744" s="6"/>
      <c r="CM2744" s="6"/>
      <c r="CN2744" s="6"/>
      <c r="CO2744" s="6"/>
      <c r="CP2744" s="6"/>
      <c r="CQ2744" s="6"/>
      <c r="CR2744" s="6"/>
      <c r="CS2744" s="6"/>
      <c r="CT2744" s="6"/>
      <c r="CU2744" s="6"/>
      <c r="CV2744" s="6"/>
      <c r="CW2744" s="6"/>
      <c r="CX2744" s="6"/>
      <c r="CY2744" s="6"/>
      <c r="CZ2744" s="6"/>
    </row>
    <row r="2745" spans="27:104" s="5" customFormat="1" x14ac:dyDescent="0.25">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16"/>
      <c r="BC2745" s="6"/>
      <c r="BD2745" s="6"/>
      <c r="BE2745" s="6"/>
      <c r="BF2745" s="6"/>
      <c r="BG2745" s="6"/>
      <c r="BH2745" s="6"/>
      <c r="BI2745" s="6"/>
      <c r="BJ2745" s="6"/>
      <c r="BK2745" s="6"/>
      <c r="BL2745" s="6"/>
      <c r="BM2745" s="6"/>
      <c r="BN2745" s="6"/>
      <c r="BO2745" s="6"/>
      <c r="BP2745" s="6"/>
      <c r="BQ2745" s="6"/>
      <c r="BR2745" s="6"/>
      <c r="BS2745" s="6"/>
      <c r="BT2745" s="6"/>
      <c r="BU2745" s="6"/>
      <c r="BV2745" s="6"/>
      <c r="BW2745" s="6"/>
      <c r="BX2745" s="6"/>
      <c r="BY2745" s="6"/>
      <c r="BZ2745" s="6"/>
      <c r="CA2745" s="6"/>
      <c r="CB2745" s="6"/>
      <c r="CC2745" s="6"/>
      <c r="CD2745" s="6"/>
      <c r="CE2745" s="6"/>
      <c r="CF2745" s="6"/>
      <c r="CG2745" s="6"/>
      <c r="CH2745" s="6"/>
      <c r="CI2745" s="6"/>
      <c r="CJ2745" s="6"/>
      <c r="CK2745" s="6"/>
      <c r="CL2745" s="6"/>
      <c r="CM2745" s="6"/>
      <c r="CN2745" s="6"/>
      <c r="CO2745" s="6"/>
      <c r="CP2745" s="6"/>
      <c r="CQ2745" s="6"/>
      <c r="CR2745" s="6"/>
      <c r="CS2745" s="6"/>
      <c r="CT2745" s="6"/>
      <c r="CU2745" s="6"/>
      <c r="CV2745" s="6"/>
      <c r="CW2745" s="6"/>
      <c r="CX2745" s="6"/>
      <c r="CY2745" s="6"/>
      <c r="CZ2745" s="6"/>
    </row>
    <row r="2746" spans="27:104" s="5" customFormat="1" x14ac:dyDescent="0.25">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16"/>
      <c r="BC2746" s="6"/>
      <c r="BD2746" s="6"/>
      <c r="BE2746" s="6"/>
      <c r="BF2746" s="6"/>
      <c r="BG2746" s="6"/>
      <c r="BH2746" s="6"/>
      <c r="BI2746" s="6"/>
      <c r="BJ2746" s="6"/>
      <c r="BK2746" s="6"/>
      <c r="BL2746" s="6"/>
      <c r="BM2746" s="6"/>
      <c r="BN2746" s="6"/>
      <c r="BO2746" s="6"/>
      <c r="BP2746" s="6"/>
      <c r="BQ2746" s="6"/>
      <c r="BR2746" s="6"/>
      <c r="BS2746" s="6"/>
      <c r="BT2746" s="6"/>
      <c r="BU2746" s="6"/>
      <c r="BV2746" s="6"/>
      <c r="BW2746" s="6"/>
      <c r="BX2746" s="6"/>
      <c r="BY2746" s="6"/>
      <c r="BZ2746" s="6"/>
      <c r="CA2746" s="6"/>
      <c r="CB2746" s="6"/>
      <c r="CC2746" s="6"/>
      <c r="CD2746" s="6"/>
      <c r="CE2746" s="6"/>
      <c r="CF2746" s="6"/>
      <c r="CG2746" s="6"/>
      <c r="CH2746" s="6"/>
      <c r="CI2746" s="6"/>
      <c r="CJ2746" s="6"/>
      <c r="CK2746" s="6"/>
      <c r="CL2746" s="6"/>
      <c r="CM2746" s="6"/>
      <c r="CN2746" s="6"/>
      <c r="CO2746" s="6"/>
      <c r="CP2746" s="6"/>
      <c r="CQ2746" s="6"/>
      <c r="CR2746" s="6"/>
      <c r="CS2746" s="6"/>
      <c r="CT2746" s="6"/>
      <c r="CU2746" s="6"/>
      <c r="CV2746" s="6"/>
      <c r="CW2746" s="6"/>
      <c r="CX2746" s="6"/>
      <c r="CY2746" s="6"/>
      <c r="CZ2746" s="6"/>
    </row>
    <row r="2747" spans="27:104" s="5" customFormat="1" x14ac:dyDescent="0.25">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16"/>
      <c r="BC2747" s="6"/>
      <c r="BD2747" s="6"/>
      <c r="BE2747" s="6"/>
      <c r="BF2747" s="6"/>
      <c r="BG2747" s="6"/>
      <c r="BH2747" s="6"/>
      <c r="BI2747" s="6"/>
      <c r="BJ2747" s="6"/>
      <c r="BK2747" s="6"/>
      <c r="BL2747" s="6"/>
      <c r="BM2747" s="6"/>
      <c r="BN2747" s="6"/>
      <c r="BO2747" s="6"/>
      <c r="BP2747" s="6"/>
      <c r="BQ2747" s="6"/>
      <c r="BR2747" s="6"/>
      <c r="BS2747" s="6"/>
      <c r="BT2747" s="6"/>
      <c r="BU2747" s="6"/>
      <c r="BV2747" s="6"/>
      <c r="BW2747" s="6"/>
      <c r="BX2747" s="6"/>
      <c r="BY2747" s="6"/>
      <c r="BZ2747" s="6"/>
      <c r="CA2747" s="6"/>
      <c r="CB2747" s="6"/>
      <c r="CC2747" s="6"/>
      <c r="CD2747" s="6"/>
      <c r="CE2747" s="6"/>
      <c r="CF2747" s="6"/>
      <c r="CG2747" s="6"/>
      <c r="CH2747" s="6"/>
      <c r="CI2747" s="6"/>
      <c r="CJ2747" s="6"/>
      <c r="CK2747" s="6"/>
      <c r="CL2747" s="6"/>
      <c r="CM2747" s="6"/>
      <c r="CN2747" s="6"/>
      <c r="CO2747" s="6"/>
      <c r="CP2747" s="6"/>
      <c r="CQ2747" s="6"/>
      <c r="CR2747" s="6"/>
      <c r="CS2747" s="6"/>
      <c r="CT2747" s="6"/>
      <c r="CU2747" s="6"/>
      <c r="CV2747" s="6"/>
      <c r="CW2747" s="6"/>
      <c r="CX2747" s="6"/>
      <c r="CY2747" s="6"/>
      <c r="CZ2747" s="6"/>
    </row>
    <row r="2748" spans="27:104" s="5" customFormat="1" x14ac:dyDescent="0.25">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16"/>
      <c r="BC2748" s="6"/>
      <c r="BD2748" s="6"/>
      <c r="BE2748" s="6"/>
      <c r="BF2748" s="6"/>
      <c r="BG2748" s="6"/>
      <c r="BH2748" s="6"/>
      <c r="BI2748" s="6"/>
      <c r="BJ2748" s="6"/>
      <c r="BK2748" s="6"/>
      <c r="BL2748" s="6"/>
      <c r="BM2748" s="6"/>
      <c r="BN2748" s="6"/>
      <c r="BO2748" s="6"/>
      <c r="BP2748" s="6"/>
      <c r="BQ2748" s="6"/>
      <c r="BR2748" s="6"/>
      <c r="BS2748" s="6"/>
      <c r="BT2748" s="6"/>
      <c r="BU2748" s="6"/>
      <c r="BV2748" s="6"/>
      <c r="BW2748" s="6"/>
      <c r="BX2748" s="6"/>
      <c r="BY2748" s="6"/>
      <c r="BZ2748" s="6"/>
      <c r="CA2748" s="6"/>
      <c r="CB2748" s="6"/>
      <c r="CC2748" s="6"/>
      <c r="CD2748" s="6"/>
      <c r="CE2748" s="6"/>
      <c r="CF2748" s="6"/>
      <c r="CG2748" s="6"/>
      <c r="CH2748" s="6"/>
      <c r="CI2748" s="6"/>
      <c r="CJ2748" s="6"/>
      <c r="CK2748" s="6"/>
      <c r="CL2748" s="6"/>
      <c r="CM2748" s="6"/>
      <c r="CN2748" s="6"/>
      <c r="CO2748" s="6"/>
      <c r="CP2748" s="6"/>
      <c r="CQ2748" s="6"/>
      <c r="CR2748" s="6"/>
      <c r="CS2748" s="6"/>
      <c r="CT2748" s="6"/>
      <c r="CU2748" s="6"/>
      <c r="CV2748" s="6"/>
      <c r="CW2748" s="6"/>
      <c r="CX2748" s="6"/>
      <c r="CY2748" s="6"/>
      <c r="CZ2748" s="6"/>
    </row>
    <row r="2749" spans="27:104" s="5" customFormat="1" x14ac:dyDescent="0.25">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16"/>
      <c r="BC2749" s="6"/>
      <c r="BD2749" s="6"/>
      <c r="BE2749" s="6"/>
      <c r="BF2749" s="6"/>
      <c r="BG2749" s="6"/>
      <c r="BH2749" s="6"/>
      <c r="BI2749" s="6"/>
      <c r="BJ2749" s="6"/>
      <c r="BK2749" s="6"/>
      <c r="BL2749" s="6"/>
      <c r="BM2749" s="6"/>
      <c r="BN2749" s="6"/>
      <c r="BO2749" s="6"/>
      <c r="BP2749" s="6"/>
      <c r="BQ2749" s="6"/>
      <c r="BR2749" s="6"/>
      <c r="BS2749" s="6"/>
      <c r="BT2749" s="6"/>
      <c r="BU2749" s="6"/>
      <c r="BV2749" s="6"/>
      <c r="BW2749" s="6"/>
      <c r="BX2749" s="6"/>
      <c r="BY2749" s="6"/>
      <c r="BZ2749" s="6"/>
      <c r="CA2749" s="6"/>
      <c r="CB2749" s="6"/>
      <c r="CC2749" s="6"/>
      <c r="CD2749" s="6"/>
      <c r="CE2749" s="6"/>
      <c r="CF2749" s="6"/>
      <c r="CG2749" s="6"/>
      <c r="CH2749" s="6"/>
      <c r="CI2749" s="6"/>
      <c r="CJ2749" s="6"/>
      <c r="CK2749" s="6"/>
      <c r="CL2749" s="6"/>
      <c r="CM2749" s="6"/>
      <c r="CN2749" s="6"/>
      <c r="CO2749" s="6"/>
      <c r="CP2749" s="6"/>
      <c r="CQ2749" s="6"/>
      <c r="CR2749" s="6"/>
      <c r="CS2749" s="6"/>
      <c r="CT2749" s="6"/>
      <c r="CU2749" s="6"/>
      <c r="CV2749" s="6"/>
      <c r="CW2749" s="6"/>
      <c r="CX2749" s="6"/>
      <c r="CY2749" s="6"/>
      <c r="CZ2749" s="6"/>
    </row>
    <row r="2750" spans="27:104" s="5" customFormat="1" x14ac:dyDescent="0.25">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16"/>
      <c r="BC2750" s="6"/>
      <c r="BD2750" s="6"/>
      <c r="BE2750" s="6"/>
      <c r="BF2750" s="6"/>
      <c r="BG2750" s="6"/>
      <c r="BH2750" s="6"/>
      <c r="BI2750" s="6"/>
      <c r="BJ2750" s="6"/>
      <c r="BK2750" s="6"/>
      <c r="BL2750" s="6"/>
      <c r="BM2750" s="6"/>
      <c r="BN2750" s="6"/>
      <c r="BO2750" s="6"/>
      <c r="BP2750" s="6"/>
      <c r="BQ2750" s="6"/>
      <c r="BR2750" s="6"/>
      <c r="BS2750" s="6"/>
      <c r="BT2750" s="6"/>
      <c r="BU2750" s="6"/>
      <c r="BV2750" s="6"/>
      <c r="BW2750" s="6"/>
      <c r="BX2750" s="6"/>
      <c r="BY2750" s="6"/>
      <c r="BZ2750" s="6"/>
      <c r="CA2750" s="6"/>
      <c r="CB2750" s="6"/>
      <c r="CC2750" s="6"/>
      <c r="CD2750" s="6"/>
      <c r="CE2750" s="6"/>
      <c r="CF2750" s="6"/>
      <c r="CG2750" s="6"/>
      <c r="CH2750" s="6"/>
      <c r="CI2750" s="6"/>
      <c r="CJ2750" s="6"/>
      <c r="CK2750" s="6"/>
      <c r="CL2750" s="6"/>
      <c r="CM2750" s="6"/>
      <c r="CN2750" s="6"/>
      <c r="CO2750" s="6"/>
      <c r="CP2750" s="6"/>
      <c r="CQ2750" s="6"/>
      <c r="CR2750" s="6"/>
      <c r="CS2750" s="6"/>
      <c r="CT2750" s="6"/>
      <c r="CU2750" s="6"/>
      <c r="CV2750" s="6"/>
      <c r="CW2750" s="6"/>
      <c r="CX2750" s="6"/>
      <c r="CY2750" s="6"/>
      <c r="CZ2750" s="6"/>
    </row>
    <row r="2751" spans="27:104" s="5" customFormat="1" x14ac:dyDescent="0.25">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16"/>
      <c r="BC2751" s="6"/>
      <c r="BD2751" s="6"/>
      <c r="BE2751" s="6"/>
      <c r="BF2751" s="6"/>
      <c r="BG2751" s="6"/>
      <c r="BH2751" s="6"/>
      <c r="BI2751" s="6"/>
      <c r="BJ2751" s="6"/>
      <c r="BK2751" s="6"/>
      <c r="BL2751" s="6"/>
      <c r="BM2751" s="6"/>
      <c r="BN2751" s="6"/>
      <c r="BO2751" s="6"/>
      <c r="BP2751" s="6"/>
      <c r="BQ2751" s="6"/>
      <c r="BR2751" s="6"/>
      <c r="BS2751" s="6"/>
      <c r="BT2751" s="6"/>
      <c r="BU2751" s="6"/>
      <c r="BV2751" s="6"/>
      <c r="BW2751" s="6"/>
      <c r="BX2751" s="6"/>
      <c r="BY2751" s="6"/>
      <c r="BZ2751" s="6"/>
      <c r="CA2751" s="6"/>
      <c r="CB2751" s="6"/>
      <c r="CC2751" s="6"/>
      <c r="CD2751" s="6"/>
      <c r="CE2751" s="6"/>
      <c r="CF2751" s="6"/>
      <c r="CG2751" s="6"/>
      <c r="CH2751" s="6"/>
      <c r="CI2751" s="6"/>
      <c r="CJ2751" s="6"/>
      <c r="CK2751" s="6"/>
      <c r="CL2751" s="6"/>
      <c r="CM2751" s="6"/>
      <c r="CN2751" s="6"/>
      <c r="CO2751" s="6"/>
      <c r="CP2751" s="6"/>
      <c r="CQ2751" s="6"/>
      <c r="CR2751" s="6"/>
      <c r="CS2751" s="6"/>
      <c r="CT2751" s="6"/>
      <c r="CU2751" s="6"/>
      <c r="CV2751" s="6"/>
      <c r="CW2751" s="6"/>
      <c r="CX2751" s="6"/>
      <c r="CY2751" s="6"/>
      <c r="CZ2751" s="6"/>
    </row>
    <row r="2752" spans="27:104" s="5" customFormat="1" x14ac:dyDescent="0.25">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16"/>
      <c r="BC2752" s="6"/>
      <c r="BD2752" s="6"/>
      <c r="BE2752" s="6"/>
      <c r="BF2752" s="6"/>
      <c r="BG2752" s="6"/>
      <c r="BH2752" s="6"/>
      <c r="BI2752" s="6"/>
      <c r="BJ2752" s="6"/>
      <c r="BK2752" s="6"/>
      <c r="BL2752" s="6"/>
      <c r="BM2752" s="6"/>
      <c r="BN2752" s="6"/>
      <c r="BO2752" s="6"/>
      <c r="BP2752" s="6"/>
      <c r="BQ2752" s="6"/>
      <c r="BR2752" s="6"/>
      <c r="BS2752" s="6"/>
      <c r="BT2752" s="6"/>
      <c r="BU2752" s="6"/>
      <c r="BV2752" s="6"/>
      <c r="BW2752" s="6"/>
      <c r="BX2752" s="6"/>
      <c r="BY2752" s="6"/>
      <c r="BZ2752" s="6"/>
      <c r="CA2752" s="6"/>
      <c r="CB2752" s="6"/>
      <c r="CC2752" s="6"/>
      <c r="CD2752" s="6"/>
      <c r="CE2752" s="6"/>
      <c r="CF2752" s="6"/>
      <c r="CG2752" s="6"/>
      <c r="CH2752" s="6"/>
      <c r="CI2752" s="6"/>
      <c r="CJ2752" s="6"/>
      <c r="CK2752" s="6"/>
      <c r="CL2752" s="6"/>
      <c r="CM2752" s="6"/>
      <c r="CN2752" s="6"/>
      <c r="CO2752" s="6"/>
      <c r="CP2752" s="6"/>
      <c r="CQ2752" s="6"/>
      <c r="CR2752" s="6"/>
      <c r="CS2752" s="6"/>
      <c r="CT2752" s="6"/>
      <c r="CU2752" s="6"/>
      <c r="CV2752" s="6"/>
      <c r="CW2752" s="6"/>
      <c r="CX2752" s="6"/>
      <c r="CY2752" s="6"/>
      <c r="CZ2752" s="6"/>
    </row>
    <row r="2753" spans="27:104" s="5" customFormat="1" x14ac:dyDescent="0.25">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16"/>
      <c r="BC2753" s="6"/>
      <c r="BD2753" s="6"/>
      <c r="BE2753" s="6"/>
      <c r="BF2753" s="6"/>
      <c r="BG2753" s="6"/>
      <c r="BH2753" s="6"/>
      <c r="BI2753" s="6"/>
      <c r="BJ2753" s="6"/>
      <c r="BK2753" s="6"/>
      <c r="BL2753" s="6"/>
      <c r="BM2753" s="6"/>
      <c r="BN2753" s="6"/>
      <c r="BO2753" s="6"/>
      <c r="BP2753" s="6"/>
      <c r="BQ2753" s="6"/>
      <c r="BR2753" s="6"/>
      <c r="BS2753" s="6"/>
      <c r="BT2753" s="6"/>
      <c r="BU2753" s="6"/>
      <c r="BV2753" s="6"/>
      <c r="BW2753" s="6"/>
      <c r="BX2753" s="6"/>
      <c r="BY2753" s="6"/>
      <c r="BZ2753" s="6"/>
      <c r="CA2753" s="6"/>
      <c r="CB2753" s="6"/>
      <c r="CC2753" s="6"/>
      <c r="CD2753" s="6"/>
      <c r="CE2753" s="6"/>
      <c r="CF2753" s="6"/>
      <c r="CG2753" s="6"/>
      <c r="CH2753" s="6"/>
      <c r="CI2753" s="6"/>
      <c r="CJ2753" s="6"/>
      <c r="CK2753" s="6"/>
      <c r="CL2753" s="6"/>
      <c r="CM2753" s="6"/>
      <c r="CN2753" s="6"/>
      <c r="CO2753" s="6"/>
      <c r="CP2753" s="6"/>
      <c r="CQ2753" s="6"/>
      <c r="CR2753" s="6"/>
      <c r="CS2753" s="6"/>
      <c r="CT2753" s="6"/>
      <c r="CU2753" s="6"/>
      <c r="CV2753" s="6"/>
      <c r="CW2753" s="6"/>
      <c r="CX2753" s="6"/>
      <c r="CY2753" s="6"/>
      <c r="CZ2753" s="6"/>
    </row>
    <row r="2754" spans="27:104" s="5" customFormat="1" x14ac:dyDescent="0.25">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16"/>
      <c r="BC2754" s="6"/>
      <c r="BD2754" s="6"/>
      <c r="BE2754" s="6"/>
      <c r="BF2754" s="6"/>
      <c r="BG2754" s="6"/>
      <c r="BH2754" s="6"/>
      <c r="BI2754" s="6"/>
      <c r="BJ2754" s="6"/>
      <c r="BK2754" s="6"/>
      <c r="BL2754" s="6"/>
      <c r="BM2754" s="6"/>
      <c r="BN2754" s="6"/>
      <c r="BO2754" s="6"/>
      <c r="BP2754" s="6"/>
      <c r="BQ2754" s="6"/>
      <c r="BR2754" s="6"/>
      <c r="BS2754" s="6"/>
      <c r="BT2754" s="6"/>
      <c r="BU2754" s="6"/>
      <c r="BV2754" s="6"/>
      <c r="BW2754" s="6"/>
      <c r="BX2754" s="6"/>
      <c r="BY2754" s="6"/>
      <c r="BZ2754" s="6"/>
      <c r="CA2754" s="6"/>
      <c r="CB2754" s="6"/>
      <c r="CC2754" s="6"/>
      <c r="CD2754" s="6"/>
      <c r="CE2754" s="6"/>
      <c r="CF2754" s="6"/>
      <c r="CG2754" s="6"/>
      <c r="CH2754" s="6"/>
      <c r="CI2754" s="6"/>
      <c r="CJ2754" s="6"/>
      <c r="CK2754" s="6"/>
      <c r="CL2754" s="6"/>
      <c r="CM2754" s="6"/>
      <c r="CN2754" s="6"/>
      <c r="CO2754" s="6"/>
      <c r="CP2754" s="6"/>
      <c r="CQ2754" s="6"/>
      <c r="CR2754" s="6"/>
      <c r="CS2754" s="6"/>
      <c r="CT2754" s="6"/>
      <c r="CU2754" s="6"/>
      <c r="CV2754" s="6"/>
      <c r="CW2754" s="6"/>
      <c r="CX2754" s="6"/>
      <c r="CY2754" s="6"/>
      <c r="CZ2754" s="6"/>
    </row>
    <row r="2755" spans="27:104" s="5" customFormat="1" x14ac:dyDescent="0.25">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16"/>
      <c r="BC2755" s="6"/>
      <c r="BD2755" s="6"/>
      <c r="BE2755" s="6"/>
      <c r="BF2755" s="6"/>
      <c r="BG2755" s="6"/>
      <c r="BH2755" s="6"/>
      <c r="BI2755" s="6"/>
      <c r="BJ2755" s="6"/>
      <c r="BK2755" s="6"/>
      <c r="BL2755" s="6"/>
      <c r="BM2755" s="6"/>
      <c r="BN2755" s="6"/>
      <c r="BO2755" s="6"/>
      <c r="BP2755" s="6"/>
      <c r="BQ2755" s="6"/>
      <c r="BR2755" s="6"/>
      <c r="BS2755" s="6"/>
      <c r="BT2755" s="6"/>
      <c r="BU2755" s="6"/>
      <c r="BV2755" s="6"/>
      <c r="BW2755" s="6"/>
      <c r="BX2755" s="6"/>
      <c r="BY2755" s="6"/>
      <c r="BZ2755" s="6"/>
      <c r="CA2755" s="6"/>
      <c r="CB2755" s="6"/>
      <c r="CC2755" s="6"/>
      <c r="CD2755" s="6"/>
      <c r="CE2755" s="6"/>
      <c r="CF2755" s="6"/>
      <c r="CG2755" s="6"/>
      <c r="CH2755" s="6"/>
      <c r="CI2755" s="6"/>
      <c r="CJ2755" s="6"/>
      <c r="CK2755" s="6"/>
      <c r="CL2755" s="6"/>
      <c r="CM2755" s="6"/>
      <c r="CN2755" s="6"/>
      <c r="CO2755" s="6"/>
      <c r="CP2755" s="6"/>
      <c r="CQ2755" s="6"/>
      <c r="CR2755" s="6"/>
      <c r="CS2755" s="6"/>
      <c r="CT2755" s="6"/>
      <c r="CU2755" s="6"/>
      <c r="CV2755" s="6"/>
      <c r="CW2755" s="6"/>
      <c r="CX2755" s="6"/>
      <c r="CY2755" s="6"/>
      <c r="CZ2755" s="6"/>
    </row>
    <row r="2756" spans="27:104" s="5" customFormat="1" x14ac:dyDescent="0.25">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16"/>
      <c r="BC2756" s="6"/>
      <c r="BD2756" s="6"/>
      <c r="BE2756" s="6"/>
      <c r="BF2756" s="6"/>
      <c r="BG2756" s="6"/>
      <c r="BH2756" s="6"/>
      <c r="BI2756" s="6"/>
      <c r="BJ2756" s="6"/>
      <c r="BK2756" s="6"/>
      <c r="BL2756" s="6"/>
      <c r="BM2756" s="6"/>
      <c r="BN2756" s="6"/>
      <c r="BO2756" s="6"/>
      <c r="BP2756" s="6"/>
      <c r="BQ2756" s="6"/>
      <c r="BR2756" s="6"/>
      <c r="BS2756" s="6"/>
      <c r="BT2756" s="6"/>
      <c r="BU2756" s="6"/>
      <c r="BV2756" s="6"/>
      <c r="BW2756" s="6"/>
      <c r="BX2756" s="6"/>
      <c r="BY2756" s="6"/>
      <c r="BZ2756" s="6"/>
      <c r="CA2756" s="6"/>
      <c r="CB2756" s="6"/>
      <c r="CC2756" s="6"/>
      <c r="CD2756" s="6"/>
      <c r="CE2756" s="6"/>
      <c r="CF2756" s="6"/>
      <c r="CG2756" s="6"/>
      <c r="CH2756" s="6"/>
      <c r="CI2756" s="6"/>
      <c r="CJ2756" s="6"/>
      <c r="CK2756" s="6"/>
      <c r="CL2756" s="6"/>
      <c r="CM2756" s="6"/>
      <c r="CN2756" s="6"/>
      <c r="CO2756" s="6"/>
      <c r="CP2756" s="6"/>
      <c r="CQ2756" s="6"/>
      <c r="CR2756" s="6"/>
      <c r="CS2756" s="6"/>
      <c r="CT2756" s="6"/>
      <c r="CU2756" s="6"/>
      <c r="CV2756" s="6"/>
      <c r="CW2756" s="6"/>
      <c r="CX2756" s="6"/>
      <c r="CY2756" s="6"/>
      <c r="CZ2756" s="6"/>
    </row>
    <row r="2757" spans="27:104" s="5" customFormat="1" x14ac:dyDescent="0.25">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16"/>
      <c r="BC2757" s="6"/>
      <c r="BD2757" s="6"/>
      <c r="BE2757" s="6"/>
      <c r="BF2757" s="6"/>
      <c r="BG2757" s="6"/>
      <c r="BH2757" s="6"/>
      <c r="BI2757" s="6"/>
      <c r="BJ2757" s="6"/>
      <c r="BK2757" s="6"/>
      <c r="BL2757" s="6"/>
      <c r="BM2757" s="6"/>
      <c r="BN2757" s="6"/>
      <c r="BO2757" s="6"/>
      <c r="BP2757" s="6"/>
      <c r="BQ2757" s="6"/>
      <c r="BR2757" s="6"/>
      <c r="BS2757" s="6"/>
      <c r="BT2757" s="6"/>
      <c r="BU2757" s="6"/>
      <c r="BV2757" s="6"/>
      <c r="BW2757" s="6"/>
      <c r="BX2757" s="6"/>
      <c r="BY2757" s="6"/>
      <c r="BZ2757" s="6"/>
      <c r="CA2757" s="6"/>
      <c r="CB2757" s="6"/>
      <c r="CC2757" s="6"/>
      <c r="CD2757" s="6"/>
      <c r="CE2757" s="6"/>
      <c r="CF2757" s="6"/>
      <c r="CG2757" s="6"/>
      <c r="CH2757" s="6"/>
      <c r="CI2757" s="6"/>
      <c r="CJ2757" s="6"/>
      <c r="CK2757" s="6"/>
      <c r="CL2757" s="6"/>
      <c r="CM2757" s="6"/>
      <c r="CN2757" s="6"/>
      <c r="CO2757" s="6"/>
      <c r="CP2757" s="6"/>
      <c r="CQ2757" s="6"/>
      <c r="CR2757" s="6"/>
      <c r="CS2757" s="6"/>
      <c r="CT2757" s="6"/>
      <c r="CU2757" s="6"/>
      <c r="CV2757" s="6"/>
      <c r="CW2757" s="6"/>
      <c r="CX2757" s="6"/>
      <c r="CY2757" s="6"/>
      <c r="CZ2757" s="6"/>
    </row>
    <row r="2758" spans="27:104" s="5" customFormat="1" x14ac:dyDescent="0.25">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16"/>
      <c r="BC2758" s="6"/>
      <c r="BD2758" s="6"/>
      <c r="BE2758" s="6"/>
      <c r="BF2758" s="6"/>
      <c r="BG2758" s="6"/>
      <c r="BH2758" s="6"/>
      <c r="BI2758" s="6"/>
      <c r="BJ2758" s="6"/>
      <c r="BK2758" s="6"/>
      <c r="BL2758" s="6"/>
      <c r="BM2758" s="6"/>
      <c r="BN2758" s="6"/>
      <c r="BO2758" s="6"/>
      <c r="BP2758" s="6"/>
      <c r="BQ2758" s="6"/>
      <c r="BR2758" s="6"/>
      <c r="BS2758" s="6"/>
      <c r="BT2758" s="6"/>
      <c r="BU2758" s="6"/>
      <c r="BV2758" s="6"/>
      <c r="BW2758" s="6"/>
      <c r="BX2758" s="6"/>
      <c r="BY2758" s="6"/>
      <c r="BZ2758" s="6"/>
      <c r="CA2758" s="6"/>
      <c r="CB2758" s="6"/>
      <c r="CC2758" s="6"/>
      <c r="CD2758" s="6"/>
      <c r="CE2758" s="6"/>
      <c r="CF2758" s="6"/>
      <c r="CG2758" s="6"/>
      <c r="CH2758" s="6"/>
      <c r="CI2758" s="6"/>
      <c r="CJ2758" s="6"/>
      <c r="CK2758" s="6"/>
      <c r="CL2758" s="6"/>
      <c r="CM2758" s="6"/>
      <c r="CN2758" s="6"/>
      <c r="CO2758" s="6"/>
      <c r="CP2758" s="6"/>
      <c r="CQ2758" s="6"/>
      <c r="CR2758" s="6"/>
      <c r="CS2758" s="6"/>
      <c r="CT2758" s="6"/>
      <c r="CU2758" s="6"/>
      <c r="CV2758" s="6"/>
      <c r="CW2758" s="6"/>
      <c r="CX2758" s="6"/>
      <c r="CY2758" s="6"/>
      <c r="CZ2758" s="6"/>
    </row>
    <row r="2759" spans="27:104" s="5" customFormat="1" x14ac:dyDescent="0.25">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16"/>
      <c r="BC2759" s="6"/>
      <c r="BD2759" s="6"/>
      <c r="BE2759" s="6"/>
      <c r="BF2759" s="6"/>
      <c r="BG2759" s="6"/>
      <c r="BH2759" s="6"/>
      <c r="BI2759" s="6"/>
      <c r="BJ2759" s="6"/>
      <c r="BK2759" s="6"/>
      <c r="BL2759" s="6"/>
      <c r="BM2759" s="6"/>
      <c r="BN2759" s="6"/>
      <c r="BO2759" s="6"/>
      <c r="BP2759" s="6"/>
      <c r="BQ2759" s="6"/>
      <c r="BR2759" s="6"/>
      <c r="BS2759" s="6"/>
      <c r="BT2759" s="6"/>
      <c r="BU2759" s="6"/>
      <c r="BV2759" s="6"/>
      <c r="BW2759" s="6"/>
      <c r="BX2759" s="6"/>
      <c r="BY2759" s="6"/>
      <c r="BZ2759" s="6"/>
      <c r="CA2759" s="6"/>
      <c r="CB2759" s="6"/>
      <c r="CC2759" s="6"/>
      <c r="CD2759" s="6"/>
      <c r="CE2759" s="6"/>
      <c r="CF2759" s="6"/>
      <c r="CG2759" s="6"/>
      <c r="CH2759" s="6"/>
      <c r="CI2759" s="6"/>
      <c r="CJ2759" s="6"/>
      <c r="CK2759" s="6"/>
      <c r="CL2759" s="6"/>
      <c r="CM2759" s="6"/>
      <c r="CN2759" s="6"/>
      <c r="CO2759" s="6"/>
      <c r="CP2759" s="6"/>
      <c r="CQ2759" s="6"/>
      <c r="CR2759" s="6"/>
      <c r="CS2759" s="6"/>
      <c r="CT2759" s="6"/>
      <c r="CU2759" s="6"/>
      <c r="CV2759" s="6"/>
      <c r="CW2759" s="6"/>
      <c r="CX2759" s="6"/>
      <c r="CY2759" s="6"/>
      <c r="CZ2759" s="6"/>
    </row>
    <row r="2760" spans="27:104" s="5" customFormat="1" x14ac:dyDescent="0.25">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16"/>
      <c r="BC2760" s="6"/>
      <c r="BD2760" s="6"/>
      <c r="BE2760" s="6"/>
      <c r="BF2760" s="6"/>
      <c r="BG2760" s="6"/>
      <c r="BH2760" s="6"/>
      <c r="BI2760" s="6"/>
      <c r="BJ2760" s="6"/>
      <c r="BK2760" s="6"/>
      <c r="BL2760" s="6"/>
      <c r="BM2760" s="6"/>
      <c r="BN2760" s="6"/>
      <c r="BO2760" s="6"/>
      <c r="BP2760" s="6"/>
      <c r="BQ2760" s="6"/>
      <c r="BR2760" s="6"/>
      <c r="BS2760" s="6"/>
      <c r="BT2760" s="6"/>
      <c r="BU2760" s="6"/>
      <c r="BV2760" s="6"/>
      <c r="BW2760" s="6"/>
      <c r="BX2760" s="6"/>
      <c r="BY2760" s="6"/>
      <c r="BZ2760" s="6"/>
      <c r="CA2760" s="6"/>
      <c r="CB2760" s="6"/>
      <c r="CC2760" s="6"/>
      <c r="CD2760" s="6"/>
      <c r="CE2760" s="6"/>
      <c r="CF2760" s="6"/>
      <c r="CG2760" s="6"/>
      <c r="CH2760" s="6"/>
      <c r="CI2760" s="6"/>
      <c r="CJ2760" s="6"/>
      <c r="CK2760" s="6"/>
      <c r="CL2760" s="6"/>
      <c r="CM2760" s="6"/>
      <c r="CN2760" s="6"/>
      <c r="CO2760" s="6"/>
      <c r="CP2760" s="6"/>
      <c r="CQ2760" s="6"/>
      <c r="CR2760" s="6"/>
      <c r="CS2760" s="6"/>
      <c r="CT2760" s="6"/>
      <c r="CU2760" s="6"/>
      <c r="CV2760" s="6"/>
      <c r="CW2760" s="6"/>
      <c r="CX2760" s="6"/>
      <c r="CY2760" s="6"/>
      <c r="CZ2760" s="6"/>
    </row>
    <row r="2761" spans="27:104" s="5" customFormat="1" x14ac:dyDescent="0.25">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16"/>
      <c r="BC2761" s="6"/>
      <c r="BD2761" s="6"/>
      <c r="BE2761" s="6"/>
      <c r="BF2761" s="6"/>
      <c r="BG2761" s="6"/>
      <c r="BH2761" s="6"/>
      <c r="BI2761" s="6"/>
      <c r="BJ2761" s="6"/>
      <c r="BK2761" s="6"/>
      <c r="BL2761" s="6"/>
      <c r="BM2761" s="6"/>
      <c r="BN2761" s="6"/>
      <c r="BO2761" s="6"/>
      <c r="BP2761" s="6"/>
      <c r="BQ2761" s="6"/>
      <c r="BR2761" s="6"/>
      <c r="BS2761" s="6"/>
      <c r="BT2761" s="6"/>
      <c r="BU2761" s="6"/>
      <c r="BV2761" s="6"/>
      <c r="BW2761" s="6"/>
      <c r="BX2761" s="6"/>
      <c r="BY2761" s="6"/>
      <c r="BZ2761" s="6"/>
      <c r="CA2761" s="6"/>
      <c r="CB2761" s="6"/>
      <c r="CC2761" s="6"/>
      <c r="CD2761" s="6"/>
      <c r="CE2761" s="6"/>
      <c r="CF2761" s="6"/>
      <c r="CG2761" s="6"/>
      <c r="CH2761" s="6"/>
      <c r="CI2761" s="6"/>
      <c r="CJ2761" s="6"/>
      <c r="CK2761" s="6"/>
      <c r="CL2761" s="6"/>
      <c r="CM2761" s="6"/>
      <c r="CN2761" s="6"/>
      <c r="CO2761" s="6"/>
      <c r="CP2761" s="6"/>
      <c r="CQ2761" s="6"/>
      <c r="CR2761" s="6"/>
      <c r="CS2761" s="6"/>
      <c r="CT2761" s="6"/>
      <c r="CU2761" s="6"/>
      <c r="CV2761" s="6"/>
      <c r="CW2761" s="6"/>
      <c r="CX2761" s="6"/>
      <c r="CY2761" s="6"/>
      <c r="CZ2761" s="6"/>
    </row>
    <row r="2762" spans="27:104" s="5" customFormat="1" x14ac:dyDescent="0.25">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16"/>
      <c r="BC2762" s="6"/>
      <c r="BD2762" s="6"/>
      <c r="BE2762" s="6"/>
      <c r="BF2762" s="6"/>
      <c r="BG2762" s="6"/>
      <c r="BH2762" s="6"/>
      <c r="BI2762" s="6"/>
      <c r="BJ2762" s="6"/>
      <c r="BK2762" s="6"/>
      <c r="BL2762" s="6"/>
      <c r="BM2762" s="6"/>
      <c r="BN2762" s="6"/>
      <c r="BO2762" s="6"/>
      <c r="BP2762" s="6"/>
      <c r="BQ2762" s="6"/>
      <c r="BR2762" s="6"/>
      <c r="BS2762" s="6"/>
      <c r="BT2762" s="6"/>
      <c r="BU2762" s="6"/>
      <c r="BV2762" s="6"/>
      <c r="BW2762" s="6"/>
      <c r="BX2762" s="6"/>
      <c r="BY2762" s="6"/>
      <c r="BZ2762" s="6"/>
      <c r="CA2762" s="6"/>
      <c r="CB2762" s="6"/>
      <c r="CC2762" s="6"/>
      <c r="CD2762" s="6"/>
      <c r="CE2762" s="6"/>
      <c r="CF2762" s="6"/>
      <c r="CG2762" s="6"/>
      <c r="CH2762" s="6"/>
      <c r="CI2762" s="6"/>
      <c r="CJ2762" s="6"/>
      <c r="CK2762" s="6"/>
      <c r="CL2762" s="6"/>
      <c r="CM2762" s="6"/>
      <c r="CN2762" s="6"/>
      <c r="CO2762" s="6"/>
      <c r="CP2762" s="6"/>
      <c r="CQ2762" s="6"/>
      <c r="CR2762" s="6"/>
      <c r="CS2762" s="6"/>
      <c r="CT2762" s="6"/>
      <c r="CU2762" s="6"/>
      <c r="CV2762" s="6"/>
      <c r="CW2762" s="6"/>
      <c r="CX2762" s="6"/>
      <c r="CY2762" s="6"/>
      <c r="CZ2762" s="6"/>
    </row>
    <row r="2763" spans="27:104" s="5" customFormat="1" x14ac:dyDescent="0.25">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16"/>
      <c r="BC2763" s="6"/>
      <c r="BD2763" s="6"/>
      <c r="BE2763" s="6"/>
      <c r="BF2763" s="6"/>
      <c r="BG2763" s="6"/>
      <c r="BH2763" s="6"/>
      <c r="BI2763" s="6"/>
      <c r="BJ2763" s="6"/>
      <c r="BK2763" s="6"/>
      <c r="BL2763" s="6"/>
      <c r="BM2763" s="6"/>
      <c r="BN2763" s="6"/>
      <c r="BO2763" s="6"/>
      <c r="BP2763" s="6"/>
      <c r="BQ2763" s="6"/>
      <c r="BR2763" s="6"/>
      <c r="BS2763" s="6"/>
      <c r="BT2763" s="6"/>
      <c r="BU2763" s="6"/>
      <c r="BV2763" s="6"/>
      <c r="BW2763" s="6"/>
      <c r="BX2763" s="6"/>
      <c r="BY2763" s="6"/>
      <c r="BZ2763" s="6"/>
      <c r="CA2763" s="6"/>
      <c r="CB2763" s="6"/>
      <c r="CC2763" s="6"/>
      <c r="CD2763" s="6"/>
      <c r="CE2763" s="6"/>
      <c r="CF2763" s="6"/>
      <c r="CG2763" s="6"/>
      <c r="CH2763" s="6"/>
      <c r="CI2763" s="6"/>
      <c r="CJ2763" s="6"/>
      <c r="CK2763" s="6"/>
      <c r="CL2763" s="6"/>
      <c r="CM2763" s="6"/>
      <c r="CN2763" s="6"/>
      <c r="CO2763" s="6"/>
      <c r="CP2763" s="6"/>
      <c r="CQ2763" s="6"/>
      <c r="CR2763" s="6"/>
      <c r="CS2763" s="6"/>
      <c r="CT2763" s="6"/>
      <c r="CU2763" s="6"/>
      <c r="CV2763" s="6"/>
      <c r="CW2763" s="6"/>
      <c r="CX2763" s="6"/>
      <c r="CY2763" s="6"/>
      <c r="CZ2763" s="6"/>
    </row>
    <row r="2764" spans="27:104" s="5" customFormat="1" x14ac:dyDescent="0.25">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16"/>
      <c r="BC2764" s="6"/>
      <c r="BD2764" s="6"/>
      <c r="BE2764" s="6"/>
      <c r="BF2764" s="6"/>
      <c r="BG2764" s="6"/>
      <c r="BH2764" s="6"/>
      <c r="BI2764" s="6"/>
      <c r="BJ2764" s="6"/>
      <c r="BK2764" s="6"/>
      <c r="BL2764" s="6"/>
      <c r="BM2764" s="6"/>
      <c r="BN2764" s="6"/>
      <c r="BO2764" s="6"/>
      <c r="BP2764" s="6"/>
      <c r="BQ2764" s="6"/>
      <c r="BR2764" s="6"/>
      <c r="BS2764" s="6"/>
      <c r="BT2764" s="6"/>
      <c r="BU2764" s="6"/>
      <c r="BV2764" s="6"/>
      <c r="BW2764" s="6"/>
      <c r="BX2764" s="6"/>
      <c r="BY2764" s="6"/>
      <c r="BZ2764" s="6"/>
      <c r="CA2764" s="6"/>
      <c r="CB2764" s="6"/>
      <c r="CC2764" s="6"/>
      <c r="CD2764" s="6"/>
      <c r="CE2764" s="6"/>
      <c r="CF2764" s="6"/>
      <c r="CG2764" s="6"/>
      <c r="CH2764" s="6"/>
      <c r="CI2764" s="6"/>
      <c r="CJ2764" s="6"/>
      <c r="CK2764" s="6"/>
      <c r="CL2764" s="6"/>
      <c r="CM2764" s="6"/>
      <c r="CN2764" s="6"/>
      <c r="CO2764" s="6"/>
      <c r="CP2764" s="6"/>
      <c r="CQ2764" s="6"/>
      <c r="CR2764" s="6"/>
      <c r="CS2764" s="6"/>
      <c r="CT2764" s="6"/>
      <c r="CU2764" s="6"/>
      <c r="CV2764" s="6"/>
      <c r="CW2764" s="6"/>
      <c r="CX2764" s="6"/>
      <c r="CY2764" s="6"/>
      <c r="CZ2764" s="6"/>
    </row>
    <row r="2765" spans="27:104" s="5" customFormat="1" x14ac:dyDescent="0.25">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16"/>
      <c r="BC2765" s="6"/>
      <c r="BD2765" s="6"/>
      <c r="BE2765" s="6"/>
      <c r="BF2765" s="6"/>
      <c r="BG2765" s="6"/>
      <c r="BH2765" s="6"/>
      <c r="BI2765" s="6"/>
      <c r="BJ2765" s="6"/>
      <c r="BK2765" s="6"/>
      <c r="BL2765" s="6"/>
      <c r="BM2765" s="6"/>
      <c r="BN2765" s="6"/>
      <c r="BO2765" s="6"/>
      <c r="BP2765" s="6"/>
      <c r="BQ2765" s="6"/>
      <c r="BR2765" s="6"/>
      <c r="BS2765" s="6"/>
      <c r="BT2765" s="6"/>
      <c r="BU2765" s="6"/>
      <c r="BV2765" s="6"/>
      <c r="BW2765" s="6"/>
      <c r="BX2765" s="6"/>
      <c r="BY2765" s="6"/>
      <c r="BZ2765" s="6"/>
      <c r="CA2765" s="6"/>
      <c r="CB2765" s="6"/>
      <c r="CC2765" s="6"/>
      <c r="CD2765" s="6"/>
      <c r="CE2765" s="6"/>
      <c r="CF2765" s="6"/>
      <c r="CG2765" s="6"/>
      <c r="CH2765" s="6"/>
      <c r="CI2765" s="6"/>
      <c r="CJ2765" s="6"/>
      <c r="CK2765" s="6"/>
      <c r="CL2765" s="6"/>
      <c r="CM2765" s="6"/>
      <c r="CN2765" s="6"/>
      <c r="CO2765" s="6"/>
      <c r="CP2765" s="6"/>
      <c r="CQ2765" s="6"/>
      <c r="CR2765" s="6"/>
      <c r="CS2765" s="6"/>
      <c r="CT2765" s="6"/>
      <c r="CU2765" s="6"/>
      <c r="CV2765" s="6"/>
      <c r="CW2765" s="6"/>
      <c r="CX2765" s="6"/>
      <c r="CY2765" s="6"/>
      <c r="CZ2765" s="6"/>
    </row>
    <row r="2766" spans="27:104" s="5" customFormat="1" x14ac:dyDescent="0.25">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16"/>
      <c r="BC2766" s="6"/>
      <c r="BD2766" s="6"/>
      <c r="BE2766" s="6"/>
      <c r="BF2766" s="6"/>
      <c r="BG2766" s="6"/>
      <c r="BH2766" s="6"/>
      <c r="BI2766" s="6"/>
      <c r="BJ2766" s="6"/>
      <c r="BK2766" s="6"/>
      <c r="BL2766" s="6"/>
      <c r="BM2766" s="6"/>
      <c r="BN2766" s="6"/>
      <c r="BO2766" s="6"/>
      <c r="BP2766" s="6"/>
      <c r="BQ2766" s="6"/>
      <c r="BR2766" s="6"/>
      <c r="BS2766" s="6"/>
      <c r="BT2766" s="6"/>
      <c r="BU2766" s="6"/>
      <c r="BV2766" s="6"/>
      <c r="BW2766" s="6"/>
      <c r="BX2766" s="6"/>
      <c r="BY2766" s="6"/>
      <c r="BZ2766" s="6"/>
      <c r="CA2766" s="6"/>
      <c r="CB2766" s="6"/>
      <c r="CC2766" s="6"/>
      <c r="CD2766" s="6"/>
      <c r="CE2766" s="6"/>
      <c r="CF2766" s="6"/>
      <c r="CG2766" s="6"/>
      <c r="CH2766" s="6"/>
      <c r="CI2766" s="6"/>
      <c r="CJ2766" s="6"/>
      <c r="CK2766" s="6"/>
      <c r="CL2766" s="6"/>
      <c r="CM2766" s="6"/>
      <c r="CN2766" s="6"/>
      <c r="CO2766" s="6"/>
      <c r="CP2766" s="6"/>
      <c r="CQ2766" s="6"/>
      <c r="CR2766" s="6"/>
      <c r="CS2766" s="6"/>
      <c r="CT2766" s="6"/>
      <c r="CU2766" s="6"/>
      <c r="CV2766" s="6"/>
      <c r="CW2766" s="6"/>
      <c r="CX2766" s="6"/>
      <c r="CY2766" s="6"/>
      <c r="CZ2766" s="6"/>
    </row>
    <row r="2767" spans="27:104" s="5" customFormat="1" x14ac:dyDescent="0.25">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16"/>
      <c r="BC2767" s="6"/>
      <c r="BD2767" s="6"/>
      <c r="BE2767" s="6"/>
      <c r="BF2767" s="6"/>
      <c r="BG2767" s="6"/>
      <c r="BH2767" s="6"/>
      <c r="BI2767" s="6"/>
      <c r="BJ2767" s="6"/>
      <c r="BK2767" s="6"/>
      <c r="BL2767" s="6"/>
      <c r="BM2767" s="6"/>
      <c r="BN2767" s="6"/>
      <c r="BO2767" s="6"/>
      <c r="BP2767" s="6"/>
      <c r="BQ2767" s="6"/>
      <c r="BR2767" s="6"/>
      <c r="BS2767" s="6"/>
      <c r="BT2767" s="6"/>
      <c r="BU2767" s="6"/>
      <c r="BV2767" s="6"/>
      <c r="BW2767" s="6"/>
      <c r="BX2767" s="6"/>
      <c r="BY2767" s="6"/>
      <c r="BZ2767" s="6"/>
      <c r="CA2767" s="6"/>
      <c r="CB2767" s="6"/>
      <c r="CC2767" s="6"/>
      <c r="CD2767" s="6"/>
      <c r="CE2767" s="6"/>
      <c r="CF2767" s="6"/>
      <c r="CG2767" s="6"/>
      <c r="CH2767" s="6"/>
      <c r="CI2767" s="6"/>
      <c r="CJ2767" s="6"/>
      <c r="CK2767" s="6"/>
      <c r="CL2767" s="6"/>
      <c r="CM2767" s="6"/>
      <c r="CN2767" s="6"/>
      <c r="CO2767" s="6"/>
      <c r="CP2767" s="6"/>
      <c r="CQ2767" s="6"/>
      <c r="CR2767" s="6"/>
      <c r="CS2767" s="6"/>
      <c r="CT2767" s="6"/>
      <c r="CU2767" s="6"/>
      <c r="CV2767" s="6"/>
      <c r="CW2767" s="6"/>
      <c r="CX2767" s="6"/>
      <c r="CY2767" s="6"/>
      <c r="CZ2767" s="6"/>
    </row>
    <row r="2768" spans="27:104" s="5" customFormat="1" x14ac:dyDescent="0.25">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16"/>
      <c r="BC2768" s="6"/>
      <c r="BD2768" s="6"/>
      <c r="BE2768" s="6"/>
      <c r="BF2768" s="6"/>
      <c r="BG2768" s="6"/>
      <c r="BH2768" s="6"/>
      <c r="BI2768" s="6"/>
      <c r="BJ2768" s="6"/>
      <c r="BK2768" s="6"/>
      <c r="BL2768" s="6"/>
      <c r="BM2768" s="6"/>
      <c r="BN2768" s="6"/>
      <c r="BO2768" s="6"/>
      <c r="BP2768" s="6"/>
      <c r="BQ2768" s="6"/>
      <c r="BR2768" s="6"/>
      <c r="BS2768" s="6"/>
      <c r="BT2768" s="6"/>
      <c r="BU2768" s="6"/>
      <c r="BV2768" s="6"/>
      <c r="BW2768" s="6"/>
      <c r="BX2768" s="6"/>
      <c r="BY2768" s="6"/>
      <c r="BZ2768" s="6"/>
      <c r="CA2768" s="6"/>
      <c r="CB2768" s="6"/>
      <c r="CC2768" s="6"/>
      <c r="CD2768" s="6"/>
      <c r="CE2768" s="6"/>
      <c r="CF2768" s="6"/>
      <c r="CG2768" s="6"/>
      <c r="CH2768" s="6"/>
      <c r="CI2768" s="6"/>
      <c r="CJ2768" s="6"/>
      <c r="CK2768" s="6"/>
      <c r="CL2768" s="6"/>
      <c r="CM2768" s="6"/>
      <c r="CN2768" s="6"/>
      <c r="CO2768" s="6"/>
      <c r="CP2768" s="6"/>
      <c r="CQ2768" s="6"/>
      <c r="CR2768" s="6"/>
      <c r="CS2768" s="6"/>
      <c r="CT2768" s="6"/>
      <c r="CU2768" s="6"/>
      <c r="CV2768" s="6"/>
      <c r="CW2768" s="6"/>
      <c r="CX2768" s="6"/>
      <c r="CY2768" s="6"/>
      <c r="CZ2768" s="6"/>
    </row>
    <row r="2769" spans="27:104" s="5" customFormat="1" x14ac:dyDescent="0.25">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16"/>
      <c r="BC2769" s="6"/>
      <c r="BD2769" s="6"/>
      <c r="BE2769" s="6"/>
      <c r="BF2769" s="6"/>
      <c r="BG2769" s="6"/>
      <c r="BH2769" s="6"/>
      <c r="BI2769" s="6"/>
      <c r="BJ2769" s="6"/>
      <c r="BK2769" s="6"/>
      <c r="BL2769" s="6"/>
      <c r="BM2769" s="6"/>
      <c r="BN2769" s="6"/>
      <c r="BO2769" s="6"/>
      <c r="BP2769" s="6"/>
      <c r="BQ2769" s="6"/>
      <c r="BR2769" s="6"/>
      <c r="BS2769" s="6"/>
      <c r="BT2769" s="6"/>
      <c r="BU2769" s="6"/>
      <c r="BV2769" s="6"/>
      <c r="BW2769" s="6"/>
      <c r="BX2769" s="6"/>
      <c r="BY2769" s="6"/>
      <c r="BZ2769" s="6"/>
      <c r="CA2769" s="6"/>
      <c r="CB2769" s="6"/>
      <c r="CC2769" s="6"/>
      <c r="CD2769" s="6"/>
      <c r="CE2769" s="6"/>
      <c r="CF2769" s="6"/>
      <c r="CG2769" s="6"/>
      <c r="CH2769" s="6"/>
      <c r="CI2769" s="6"/>
      <c r="CJ2769" s="6"/>
      <c r="CK2769" s="6"/>
      <c r="CL2769" s="6"/>
      <c r="CM2769" s="6"/>
      <c r="CN2769" s="6"/>
      <c r="CO2769" s="6"/>
      <c r="CP2769" s="6"/>
      <c r="CQ2769" s="6"/>
      <c r="CR2769" s="6"/>
      <c r="CS2769" s="6"/>
      <c r="CT2769" s="6"/>
      <c r="CU2769" s="6"/>
      <c r="CV2769" s="6"/>
      <c r="CW2769" s="6"/>
      <c r="CX2769" s="6"/>
      <c r="CY2769" s="6"/>
      <c r="CZ2769" s="6"/>
    </row>
    <row r="2770" spans="27:104" s="5" customFormat="1" x14ac:dyDescent="0.25">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16"/>
      <c r="BC2770" s="6"/>
      <c r="BD2770" s="6"/>
      <c r="BE2770" s="6"/>
      <c r="BF2770" s="6"/>
      <c r="BG2770" s="6"/>
      <c r="BH2770" s="6"/>
      <c r="BI2770" s="6"/>
      <c r="BJ2770" s="6"/>
      <c r="BK2770" s="6"/>
      <c r="BL2770" s="6"/>
      <c r="BM2770" s="6"/>
      <c r="BN2770" s="6"/>
      <c r="BO2770" s="6"/>
      <c r="BP2770" s="6"/>
      <c r="BQ2770" s="6"/>
      <c r="BR2770" s="6"/>
      <c r="BS2770" s="6"/>
      <c r="BT2770" s="6"/>
      <c r="BU2770" s="6"/>
      <c r="BV2770" s="6"/>
      <c r="BW2770" s="6"/>
      <c r="BX2770" s="6"/>
      <c r="BY2770" s="6"/>
      <c r="BZ2770" s="6"/>
      <c r="CA2770" s="6"/>
      <c r="CB2770" s="6"/>
      <c r="CC2770" s="6"/>
      <c r="CD2770" s="6"/>
      <c r="CE2770" s="6"/>
      <c r="CF2770" s="6"/>
      <c r="CG2770" s="6"/>
      <c r="CH2770" s="6"/>
      <c r="CI2770" s="6"/>
      <c r="CJ2770" s="6"/>
      <c r="CK2770" s="6"/>
      <c r="CL2770" s="6"/>
      <c r="CM2770" s="6"/>
      <c r="CN2770" s="6"/>
      <c r="CO2770" s="6"/>
      <c r="CP2770" s="6"/>
      <c r="CQ2770" s="6"/>
      <c r="CR2770" s="6"/>
      <c r="CS2770" s="6"/>
      <c r="CT2770" s="6"/>
      <c r="CU2770" s="6"/>
      <c r="CV2770" s="6"/>
      <c r="CW2770" s="6"/>
      <c r="CX2770" s="6"/>
      <c r="CY2770" s="6"/>
      <c r="CZ2770" s="6"/>
    </row>
    <row r="2771" spans="27:104" s="5" customFormat="1" x14ac:dyDescent="0.25">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16"/>
      <c r="BC2771" s="6"/>
      <c r="BD2771" s="6"/>
      <c r="BE2771" s="6"/>
      <c r="BF2771" s="6"/>
      <c r="BG2771" s="6"/>
      <c r="BH2771" s="6"/>
      <c r="BI2771" s="6"/>
      <c r="BJ2771" s="6"/>
      <c r="BK2771" s="6"/>
      <c r="BL2771" s="6"/>
      <c r="BM2771" s="6"/>
      <c r="BN2771" s="6"/>
      <c r="BO2771" s="6"/>
      <c r="BP2771" s="6"/>
      <c r="BQ2771" s="6"/>
      <c r="BR2771" s="6"/>
      <c r="BS2771" s="6"/>
      <c r="BT2771" s="6"/>
      <c r="BU2771" s="6"/>
      <c r="BV2771" s="6"/>
      <c r="BW2771" s="6"/>
      <c r="BX2771" s="6"/>
      <c r="BY2771" s="6"/>
      <c r="BZ2771" s="6"/>
      <c r="CA2771" s="6"/>
      <c r="CB2771" s="6"/>
      <c r="CC2771" s="6"/>
      <c r="CD2771" s="6"/>
      <c r="CE2771" s="6"/>
      <c r="CF2771" s="6"/>
      <c r="CG2771" s="6"/>
      <c r="CH2771" s="6"/>
      <c r="CI2771" s="6"/>
      <c r="CJ2771" s="6"/>
      <c r="CK2771" s="6"/>
      <c r="CL2771" s="6"/>
      <c r="CM2771" s="6"/>
      <c r="CN2771" s="6"/>
      <c r="CO2771" s="6"/>
      <c r="CP2771" s="6"/>
      <c r="CQ2771" s="6"/>
      <c r="CR2771" s="6"/>
      <c r="CS2771" s="6"/>
      <c r="CT2771" s="6"/>
      <c r="CU2771" s="6"/>
      <c r="CV2771" s="6"/>
      <c r="CW2771" s="6"/>
      <c r="CX2771" s="6"/>
      <c r="CY2771" s="6"/>
      <c r="CZ2771" s="6"/>
    </row>
    <row r="2772" spans="27:104" s="5" customFormat="1" x14ac:dyDescent="0.25">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16"/>
      <c r="BC2772" s="6"/>
      <c r="BD2772" s="6"/>
      <c r="BE2772" s="6"/>
      <c r="BF2772" s="6"/>
      <c r="BG2772" s="6"/>
      <c r="BH2772" s="6"/>
      <c r="BI2772" s="6"/>
      <c r="BJ2772" s="6"/>
      <c r="BK2772" s="6"/>
      <c r="BL2772" s="6"/>
      <c r="BM2772" s="6"/>
      <c r="BN2772" s="6"/>
      <c r="BO2772" s="6"/>
      <c r="BP2772" s="6"/>
      <c r="BQ2772" s="6"/>
      <c r="BR2772" s="6"/>
      <c r="BS2772" s="6"/>
      <c r="BT2772" s="6"/>
      <c r="BU2772" s="6"/>
      <c r="BV2772" s="6"/>
      <c r="BW2772" s="6"/>
      <c r="BX2772" s="6"/>
      <c r="BY2772" s="6"/>
      <c r="BZ2772" s="6"/>
      <c r="CA2772" s="6"/>
      <c r="CB2772" s="6"/>
      <c r="CC2772" s="6"/>
      <c r="CD2772" s="6"/>
      <c r="CE2772" s="6"/>
      <c r="CF2772" s="6"/>
      <c r="CG2772" s="6"/>
      <c r="CH2772" s="6"/>
      <c r="CI2772" s="6"/>
      <c r="CJ2772" s="6"/>
      <c r="CK2772" s="6"/>
      <c r="CL2772" s="6"/>
      <c r="CM2772" s="6"/>
      <c r="CN2772" s="6"/>
      <c r="CO2772" s="6"/>
      <c r="CP2772" s="6"/>
      <c r="CQ2772" s="6"/>
      <c r="CR2772" s="6"/>
      <c r="CS2772" s="6"/>
      <c r="CT2772" s="6"/>
      <c r="CU2772" s="6"/>
      <c r="CV2772" s="6"/>
      <c r="CW2772" s="6"/>
      <c r="CX2772" s="6"/>
      <c r="CY2772" s="6"/>
      <c r="CZ2772" s="6"/>
    </row>
    <row r="2773" spans="27:104" s="5" customFormat="1" x14ac:dyDescent="0.25">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16"/>
      <c r="BC2773" s="6"/>
      <c r="BD2773" s="6"/>
      <c r="BE2773" s="6"/>
      <c r="BF2773" s="6"/>
      <c r="BG2773" s="6"/>
      <c r="BH2773" s="6"/>
      <c r="BI2773" s="6"/>
      <c r="BJ2773" s="6"/>
      <c r="BK2773" s="6"/>
      <c r="BL2773" s="6"/>
      <c r="BM2773" s="6"/>
      <c r="BN2773" s="6"/>
      <c r="BO2773" s="6"/>
      <c r="BP2773" s="6"/>
      <c r="BQ2773" s="6"/>
      <c r="BR2773" s="6"/>
      <c r="BS2773" s="6"/>
      <c r="BT2773" s="6"/>
      <c r="BU2773" s="6"/>
      <c r="BV2773" s="6"/>
      <c r="BW2773" s="6"/>
      <c r="BX2773" s="6"/>
      <c r="BY2773" s="6"/>
      <c r="BZ2773" s="6"/>
      <c r="CA2773" s="6"/>
      <c r="CB2773" s="6"/>
      <c r="CC2773" s="6"/>
      <c r="CD2773" s="6"/>
      <c r="CE2773" s="6"/>
      <c r="CF2773" s="6"/>
      <c r="CG2773" s="6"/>
      <c r="CH2773" s="6"/>
      <c r="CI2773" s="6"/>
      <c r="CJ2773" s="6"/>
      <c r="CK2773" s="6"/>
      <c r="CL2773" s="6"/>
      <c r="CM2773" s="6"/>
      <c r="CN2773" s="6"/>
      <c r="CO2773" s="6"/>
      <c r="CP2773" s="6"/>
      <c r="CQ2773" s="6"/>
      <c r="CR2773" s="6"/>
      <c r="CS2773" s="6"/>
      <c r="CT2773" s="6"/>
      <c r="CU2773" s="6"/>
      <c r="CV2773" s="6"/>
      <c r="CW2773" s="6"/>
      <c r="CX2773" s="6"/>
      <c r="CY2773" s="6"/>
      <c r="CZ2773" s="6"/>
    </row>
    <row r="2774" spans="27:104" s="5" customFormat="1" x14ac:dyDescent="0.25">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16"/>
      <c r="BC2774" s="6"/>
      <c r="BD2774" s="6"/>
      <c r="BE2774" s="6"/>
      <c r="BF2774" s="6"/>
      <c r="BG2774" s="6"/>
      <c r="BH2774" s="6"/>
      <c r="BI2774" s="6"/>
      <c r="BJ2774" s="6"/>
      <c r="BK2774" s="6"/>
      <c r="BL2774" s="6"/>
      <c r="BM2774" s="6"/>
      <c r="BN2774" s="6"/>
      <c r="BO2774" s="6"/>
      <c r="BP2774" s="6"/>
      <c r="BQ2774" s="6"/>
      <c r="BR2774" s="6"/>
      <c r="BS2774" s="6"/>
      <c r="BT2774" s="6"/>
      <c r="BU2774" s="6"/>
      <c r="BV2774" s="6"/>
      <c r="BW2774" s="6"/>
      <c r="BX2774" s="6"/>
      <c r="BY2774" s="6"/>
      <c r="BZ2774" s="6"/>
      <c r="CA2774" s="6"/>
      <c r="CB2774" s="6"/>
      <c r="CC2774" s="6"/>
      <c r="CD2774" s="6"/>
      <c r="CE2774" s="6"/>
      <c r="CF2774" s="6"/>
      <c r="CG2774" s="6"/>
      <c r="CH2774" s="6"/>
      <c r="CI2774" s="6"/>
      <c r="CJ2774" s="6"/>
      <c r="CK2774" s="6"/>
      <c r="CL2774" s="6"/>
      <c r="CM2774" s="6"/>
      <c r="CN2774" s="6"/>
      <c r="CO2774" s="6"/>
      <c r="CP2774" s="6"/>
      <c r="CQ2774" s="6"/>
      <c r="CR2774" s="6"/>
      <c r="CS2774" s="6"/>
      <c r="CT2774" s="6"/>
      <c r="CU2774" s="6"/>
      <c r="CV2774" s="6"/>
      <c r="CW2774" s="6"/>
      <c r="CX2774" s="6"/>
      <c r="CY2774" s="6"/>
      <c r="CZ2774" s="6"/>
    </row>
    <row r="2775" spans="27:104" s="5" customFormat="1" x14ac:dyDescent="0.25">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16"/>
      <c r="BC2775" s="6"/>
      <c r="BD2775" s="6"/>
      <c r="BE2775" s="6"/>
      <c r="BF2775" s="6"/>
      <c r="BG2775" s="6"/>
      <c r="BH2775" s="6"/>
      <c r="BI2775" s="6"/>
      <c r="BJ2775" s="6"/>
      <c r="BK2775" s="6"/>
      <c r="BL2775" s="6"/>
      <c r="BM2775" s="6"/>
      <c r="BN2775" s="6"/>
      <c r="BO2775" s="6"/>
      <c r="BP2775" s="6"/>
      <c r="BQ2775" s="6"/>
      <c r="BR2775" s="6"/>
      <c r="BS2775" s="6"/>
      <c r="BT2775" s="6"/>
      <c r="BU2775" s="6"/>
      <c r="BV2775" s="6"/>
      <c r="BW2775" s="6"/>
      <c r="BX2775" s="6"/>
      <c r="BY2775" s="6"/>
      <c r="BZ2775" s="6"/>
      <c r="CA2775" s="6"/>
      <c r="CB2775" s="6"/>
      <c r="CC2775" s="6"/>
      <c r="CD2775" s="6"/>
      <c r="CE2775" s="6"/>
      <c r="CF2775" s="6"/>
      <c r="CG2775" s="6"/>
      <c r="CH2775" s="6"/>
      <c r="CI2775" s="6"/>
      <c r="CJ2775" s="6"/>
      <c r="CK2775" s="6"/>
      <c r="CL2775" s="6"/>
      <c r="CM2775" s="6"/>
      <c r="CN2775" s="6"/>
      <c r="CO2775" s="6"/>
      <c r="CP2775" s="6"/>
      <c r="CQ2775" s="6"/>
      <c r="CR2775" s="6"/>
      <c r="CS2775" s="6"/>
      <c r="CT2775" s="6"/>
      <c r="CU2775" s="6"/>
      <c r="CV2775" s="6"/>
      <c r="CW2775" s="6"/>
      <c r="CX2775" s="6"/>
      <c r="CY2775" s="6"/>
      <c r="CZ2775" s="6"/>
    </row>
    <row r="2776" spans="27:104" s="5" customFormat="1" x14ac:dyDescent="0.25">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16"/>
      <c r="BC2776" s="6"/>
      <c r="BD2776" s="6"/>
      <c r="BE2776" s="6"/>
      <c r="BF2776" s="6"/>
      <c r="BG2776" s="6"/>
      <c r="BH2776" s="6"/>
      <c r="BI2776" s="6"/>
      <c r="BJ2776" s="6"/>
      <c r="BK2776" s="6"/>
      <c r="BL2776" s="6"/>
      <c r="BM2776" s="6"/>
      <c r="BN2776" s="6"/>
      <c r="BO2776" s="6"/>
      <c r="BP2776" s="6"/>
      <c r="BQ2776" s="6"/>
      <c r="BR2776" s="6"/>
      <c r="BS2776" s="6"/>
      <c r="BT2776" s="6"/>
      <c r="BU2776" s="6"/>
      <c r="BV2776" s="6"/>
      <c r="BW2776" s="6"/>
      <c r="BX2776" s="6"/>
      <c r="BY2776" s="6"/>
      <c r="BZ2776" s="6"/>
      <c r="CA2776" s="6"/>
      <c r="CB2776" s="6"/>
      <c r="CC2776" s="6"/>
      <c r="CD2776" s="6"/>
      <c r="CE2776" s="6"/>
      <c r="CF2776" s="6"/>
      <c r="CG2776" s="6"/>
      <c r="CH2776" s="6"/>
      <c r="CI2776" s="6"/>
      <c r="CJ2776" s="6"/>
      <c r="CK2776" s="6"/>
      <c r="CL2776" s="6"/>
      <c r="CM2776" s="6"/>
      <c r="CN2776" s="6"/>
      <c r="CO2776" s="6"/>
      <c r="CP2776" s="6"/>
      <c r="CQ2776" s="6"/>
      <c r="CR2776" s="6"/>
      <c r="CS2776" s="6"/>
      <c r="CT2776" s="6"/>
      <c r="CU2776" s="6"/>
      <c r="CV2776" s="6"/>
      <c r="CW2776" s="6"/>
      <c r="CX2776" s="6"/>
      <c r="CY2776" s="6"/>
      <c r="CZ2776" s="6"/>
    </row>
    <row r="2777" spans="27:104" s="5" customFormat="1" x14ac:dyDescent="0.25">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16"/>
      <c r="BC2777" s="6"/>
      <c r="BD2777" s="6"/>
      <c r="BE2777" s="6"/>
      <c r="BF2777" s="6"/>
      <c r="BG2777" s="6"/>
      <c r="BH2777" s="6"/>
      <c r="BI2777" s="6"/>
      <c r="BJ2777" s="6"/>
      <c r="BK2777" s="6"/>
      <c r="BL2777" s="6"/>
      <c r="BM2777" s="6"/>
      <c r="BN2777" s="6"/>
      <c r="BO2777" s="6"/>
      <c r="BP2777" s="6"/>
      <c r="BQ2777" s="6"/>
      <c r="BR2777" s="6"/>
      <c r="BS2777" s="6"/>
      <c r="BT2777" s="6"/>
      <c r="BU2777" s="6"/>
      <c r="BV2777" s="6"/>
      <c r="BW2777" s="6"/>
      <c r="BX2777" s="6"/>
      <c r="BY2777" s="6"/>
      <c r="BZ2777" s="6"/>
      <c r="CA2777" s="6"/>
      <c r="CB2777" s="6"/>
      <c r="CC2777" s="6"/>
      <c r="CD2777" s="6"/>
      <c r="CE2777" s="6"/>
      <c r="CF2777" s="6"/>
      <c r="CG2777" s="6"/>
      <c r="CH2777" s="6"/>
      <c r="CI2777" s="6"/>
      <c r="CJ2777" s="6"/>
      <c r="CK2777" s="6"/>
      <c r="CL2777" s="6"/>
      <c r="CM2777" s="6"/>
      <c r="CN2777" s="6"/>
      <c r="CO2777" s="6"/>
      <c r="CP2777" s="6"/>
      <c r="CQ2777" s="6"/>
      <c r="CR2777" s="6"/>
      <c r="CS2777" s="6"/>
      <c r="CT2777" s="6"/>
      <c r="CU2777" s="6"/>
      <c r="CV2777" s="6"/>
      <c r="CW2777" s="6"/>
      <c r="CX2777" s="6"/>
      <c r="CY2777" s="6"/>
      <c r="CZ2777" s="6"/>
    </row>
    <row r="2778" spans="27:104" s="5" customFormat="1" x14ac:dyDescent="0.25">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16"/>
      <c r="BC2778" s="6"/>
      <c r="BD2778" s="6"/>
      <c r="BE2778" s="6"/>
      <c r="BF2778" s="6"/>
      <c r="BG2778" s="6"/>
      <c r="BH2778" s="6"/>
      <c r="BI2778" s="6"/>
      <c r="BJ2778" s="6"/>
      <c r="BK2778" s="6"/>
      <c r="BL2778" s="6"/>
      <c r="BM2778" s="6"/>
      <c r="BN2778" s="6"/>
      <c r="BO2778" s="6"/>
      <c r="BP2778" s="6"/>
      <c r="BQ2778" s="6"/>
      <c r="BR2778" s="6"/>
      <c r="BS2778" s="6"/>
      <c r="BT2778" s="6"/>
      <c r="BU2778" s="6"/>
      <c r="BV2778" s="6"/>
      <c r="BW2778" s="6"/>
      <c r="BX2778" s="6"/>
      <c r="BY2778" s="6"/>
      <c r="BZ2778" s="6"/>
      <c r="CA2778" s="6"/>
      <c r="CB2778" s="6"/>
      <c r="CC2778" s="6"/>
      <c r="CD2778" s="6"/>
      <c r="CE2778" s="6"/>
      <c r="CF2778" s="6"/>
      <c r="CG2778" s="6"/>
      <c r="CH2778" s="6"/>
      <c r="CI2778" s="6"/>
      <c r="CJ2778" s="6"/>
      <c r="CK2778" s="6"/>
      <c r="CL2778" s="6"/>
      <c r="CM2778" s="6"/>
      <c r="CN2778" s="6"/>
      <c r="CO2778" s="6"/>
      <c r="CP2778" s="6"/>
      <c r="CQ2778" s="6"/>
      <c r="CR2778" s="6"/>
      <c r="CS2778" s="6"/>
      <c r="CT2778" s="6"/>
      <c r="CU2778" s="6"/>
      <c r="CV2778" s="6"/>
      <c r="CW2778" s="6"/>
      <c r="CX2778" s="6"/>
      <c r="CY2778" s="6"/>
      <c r="CZ2778" s="6"/>
    </row>
    <row r="2779" spans="27:104" s="5" customFormat="1" x14ac:dyDescent="0.25">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16"/>
      <c r="BC2779" s="6"/>
      <c r="BD2779" s="6"/>
      <c r="BE2779" s="6"/>
      <c r="BF2779" s="6"/>
      <c r="BG2779" s="6"/>
      <c r="BH2779" s="6"/>
      <c r="BI2779" s="6"/>
      <c r="BJ2779" s="6"/>
      <c r="BK2779" s="6"/>
      <c r="BL2779" s="6"/>
      <c r="BM2779" s="6"/>
      <c r="BN2779" s="6"/>
      <c r="BO2779" s="6"/>
      <c r="BP2779" s="6"/>
      <c r="BQ2779" s="6"/>
      <c r="BR2779" s="6"/>
      <c r="BS2779" s="6"/>
      <c r="BT2779" s="6"/>
      <c r="BU2779" s="6"/>
      <c r="BV2779" s="6"/>
      <c r="BW2779" s="6"/>
      <c r="BX2779" s="6"/>
      <c r="BY2779" s="6"/>
      <c r="BZ2779" s="6"/>
      <c r="CA2779" s="6"/>
      <c r="CB2779" s="6"/>
      <c r="CC2779" s="6"/>
      <c r="CD2779" s="6"/>
      <c r="CE2779" s="6"/>
      <c r="CF2779" s="6"/>
      <c r="CG2779" s="6"/>
      <c r="CH2779" s="6"/>
      <c r="CI2779" s="6"/>
      <c r="CJ2779" s="6"/>
      <c r="CK2779" s="6"/>
      <c r="CL2779" s="6"/>
      <c r="CM2779" s="6"/>
      <c r="CN2779" s="6"/>
      <c r="CO2779" s="6"/>
      <c r="CP2779" s="6"/>
      <c r="CQ2779" s="6"/>
      <c r="CR2779" s="6"/>
      <c r="CS2779" s="6"/>
      <c r="CT2779" s="6"/>
      <c r="CU2779" s="6"/>
      <c r="CV2779" s="6"/>
      <c r="CW2779" s="6"/>
      <c r="CX2779" s="6"/>
      <c r="CY2779" s="6"/>
      <c r="CZ2779" s="6"/>
    </row>
    <row r="2780" spans="27:104" s="5" customFormat="1" x14ac:dyDescent="0.25">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16"/>
      <c r="BC2780" s="6"/>
      <c r="BD2780" s="6"/>
      <c r="BE2780" s="6"/>
      <c r="BF2780" s="6"/>
      <c r="BG2780" s="6"/>
      <c r="BH2780" s="6"/>
      <c r="BI2780" s="6"/>
      <c r="BJ2780" s="6"/>
      <c r="BK2780" s="6"/>
      <c r="BL2780" s="6"/>
      <c r="BM2780" s="6"/>
      <c r="BN2780" s="6"/>
      <c r="BO2780" s="6"/>
      <c r="BP2780" s="6"/>
      <c r="BQ2780" s="6"/>
      <c r="BR2780" s="6"/>
      <c r="BS2780" s="6"/>
      <c r="BT2780" s="6"/>
      <c r="BU2780" s="6"/>
      <c r="BV2780" s="6"/>
      <c r="BW2780" s="6"/>
      <c r="BX2780" s="6"/>
      <c r="BY2780" s="6"/>
      <c r="BZ2780" s="6"/>
      <c r="CA2780" s="6"/>
      <c r="CB2780" s="6"/>
      <c r="CC2780" s="6"/>
      <c r="CD2780" s="6"/>
      <c r="CE2780" s="6"/>
      <c r="CF2780" s="6"/>
      <c r="CG2780" s="6"/>
      <c r="CH2780" s="6"/>
      <c r="CI2780" s="6"/>
      <c r="CJ2780" s="6"/>
      <c r="CK2780" s="6"/>
      <c r="CL2780" s="6"/>
      <c r="CM2780" s="6"/>
      <c r="CN2780" s="6"/>
      <c r="CO2780" s="6"/>
      <c r="CP2780" s="6"/>
      <c r="CQ2780" s="6"/>
      <c r="CR2780" s="6"/>
      <c r="CS2780" s="6"/>
      <c r="CT2780" s="6"/>
      <c r="CU2780" s="6"/>
      <c r="CV2780" s="6"/>
      <c r="CW2780" s="6"/>
      <c r="CX2780" s="6"/>
      <c r="CY2780" s="6"/>
      <c r="CZ2780" s="6"/>
    </row>
    <row r="2781" spans="27:104" s="5" customFormat="1" x14ac:dyDescent="0.25">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16"/>
      <c r="BC2781" s="6"/>
      <c r="BD2781" s="6"/>
      <c r="BE2781" s="6"/>
      <c r="BF2781" s="6"/>
      <c r="BG2781" s="6"/>
      <c r="BH2781" s="6"/>
      <c r="BI2781" s="6"/>
      <c r="BJ2781" s="6"/>
      <c r="BK2781" s="6"/>
      <c r="BL2781" s="6"/>
      <c r="BM2781" s="6"/>
      <c r="BN2781" s="6"/>
      <c r="BO2781" s="6"/>
      <c r="BP2781" s="6"/>
      <c r="BQ2781" s="6"/>
      <c r="BR2781" s="6"/>
      <c r="BS2781" s="6"/>
      <c r="BT2781" s="6"/>
      <c r="BU2781" s="6"/>
      <c r="BV2781" s="6"/>
      <c r="BW2781" s="6"/>
      <c r="BX2781" s="6"/>
      <c r="BY2781" s="6"/>
      <c r="BZ2781" s="6"/>
      <c r="CA2781" s="6"/>
      <c r="CB2781" s="6"/>
      <c r="CC2781" s="6"/>
      <c r="CD2781" s="6"/>
      <c r="CE2781" s="6"/>
      <c r="CF2781" s="6"/>
      <c r="CG2781" s="6"/>
      <c r="CH2781" s="6"/>
      <c r="CI2781" s="6"/>
      <c r="CJ2781" s="6"/>
      <c r="CK2781" s="6"/>
      <c r="CL2781" s="6"/>
      <c r="CM2781" s="6"/>
      <c r="CN2781" s="6"/>
      <c r="CO2781" s="6"/>
      <c r="CP2781" s="6"/>
      <c r="CQ2781" s="6"/>
      <c r="CR2781" s="6"/>
      <c r="CS2781" s="6"/>
      <c r="CT2781" s="6"/>
      <c r="CU2781" s="6"/>
      <c r="CV2781" s="6"/>
      <c r="CW2781" s="6"/>
      <c r="CX2781" s="6"/>
      <c r="CY2781" s="6"/>
      <c r="CZ2781" s="6"/>
    </row>
    <row r="2782" spans="27:104" s="5" customFormat="1" x14ac:dyDescent="0.25">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16"/>
      <c r="BC2782" s="6"/>
      <c r="BD2782" s="6"/>
      <c r="BE2782" s="6"/>
      <c r="BF2782" s="6"/>
      <c r="BG2782" s="6"/>
      <c r="BH2782" s="6"/>
      <c r="BI2782" s="6"/>
      <c r="BJ2782" s="6"/>
      <c r="BK2782" s="6"/>
      <c r="BL2782" s="6"/>
      <c r="BM2782" s="6"/>
      <c r="BN2782" s="6"/>
      <c r="BO2782" s="6"/>
      <c r="BP2782" s="6"/>
      <c r="BQ2782" s="6"/>
      <c r="BR2782" s="6"/>
      <c r="BS2782" s="6"/>
      <c r="BT2782" s="6"/>
      <c r="BU2782" s="6"/>
      <c r="BV2782" s="6"/>
      <c r="BW2782" s="6"/>
      <c r="BX2782" s="6"/>
      <c r="BY2782" s="6"/>
      <c r="BZ2782" s="6"/>
      <c r="CA2782" s="6"/>
      <c r="CB2782" s="6"/>
      <c r="CC2782" s="6"/>
      <c r="CD2782" s="6"/>
      <c r="CE2782" s="6"/>
      <c r="CF2782" s="6"/>
      <c r="CG2782" s="6"/>
      <c r="CH2782" s="6"/>
      <c r="CI2782" s="6"/>
      <c r="CJ2782" s="6"/>
      <c r="CK2782" s="6"/>
      <c r="CL2782" s="6"/>
      <c r="CM2782" s="6"/>
      <c r="CN2782" s="6"/>
      <c r="CO2782" s="6"/>
      <c r="CP2782" s="6"/>
      <c r="CQ2782" s="6"/>
      <c r="CR2782" s="6"/>
      <c r="CS2782" s="6"/>
      <c r="CT2782" s="6"/>
      <c r="CU2782" s="6"/>
      <c r="CV2782" s="6"/>
      <c r="CW2782" s="6"/>
      <c r="CX2782" s="6"/>
      <c r="CY2782" s="6"/>
      <c r="CZ2782" s="6"/>
    </row>
    <row r="2783" spans="27:104" s="5" customFormat="1" x14ac:dyDescent="0.25">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16"/>
      <c r="BC2783" s="6"/>
      <c r="BD2783" s="6"/>
      <c r="BE2783" s="6"/>
      <c r="BF2783" s="6"/>
      <c r="BG2783" s="6"/>
      <c r="BH2783" s="6"/>
      <c r="BI2783" s="6"/>
      <c r="BJ2783" s="6"/>
      <c r="BK2783" s="6"/>
      <c r="BL2783" s="6"/>
      <c r="BM2783" s="6"/>
      <c r="BN2783" s="6"/>
      <c r="BO2783" s="6"/>
      <c r="BP2783" s="6"/>
      <c r="BQ2783" s="6"/>
      <c r="BR2783" s="6"/>
      <c r="BS2783" s="6"/>
      <c r="BT2783" s="6"/>
      <c r="BU2783" s="6"/>
      <c r="BV2783" s="6"/>
      <c r="BW2783" s="6"/>
      <c r="BX2783" s="6"/>
      <c r="BY2783" s="6"/>
      <c r="BZ2783" s="6"/>
      <c r="CA2783" s="6"/>
      <c r="CB2783" s="6"/>
      <c r="CC2783" s="6"/>
      <c r="CD2783" s="6"/>
      <c r="CE2783" s="6"/>
      <c r="CF2783" s="6"/>
      <c r="CG2783" s="6"/>
      <c r="CH2783" s="6"/>
      <c r="CI2783" s="6"/>
      <c r="CJ2783" s="6"/>
      <c r="CK2783" s="6"/>
      <c r="CL2783" s="6"/>
      <c r="CM2783" s="6"/>
      <c r="CN2783" s="6"/>
      <c r="CO2783" s="6"/>
      <c r="CP2783" s="6"/>
      <c r="CQ2783" s="6"/>
      <c r="CR2783" s="6"/>
      <c r="CS2783" s="6"/>
      <c r="CT2783" s="6"/>
      <c r="CU2783" s="6"/>
      <c r="CV2783" s="6"/>
      <c r="CW2783" s="6"/>
      <c r="CX2783" s="6"/>
      <c r="CY2783" s="6"/>
      <c r="CZ2783" s="6"/>
    </row>
    <row r="2784" spans="27:104" s="5" customFormat="1" x14ac:dyDescent="0.25">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16"/>
      <c r="BC2784" s="6"/>
      <c r="BD2784" s="6"/>
      <c r="BE2784" s="6"/>
      <c r="BF2784" s="6"/>
      <c r="BG2784" s="6"/>
      <c r="BH2784" s="6"/>
      <c r="BI2784" s="6"/>
      <c r="BJ2784" s="6"/>
      <c r="BK2784" s="6"/>
      <c r="BL2784" s="6"/>
      <c r="BM2784" s="6"/>
      <c r="BN2784" s="6"/>
      <c r="BO2784" s="6"/>
      <c r="BP2784" s="6"/>
      <c r="BQ2784" s="6"/>
      <c r="BR2784" s="6"/>
      <c r="BS2784" s="6"/>
      <c r="BT2784" s="6"/>
      <c r="BU2784" s="6"/>
      <c r="BV2784" s="6"/>
      <c r="BW2784" s="6"/>
      <c r="BX2784" s="6"/>
      <c r="BY2784" s="6"/>
      <c r="BZ2784" s="6"/>
      <c r="CA2784" s="6"/>
      <c r="CB2784" s="6"/>
      <c r="CC2784" s="6"/>
      <c r="CD2784" s="6"/>
      <c r="CE2784" s="6"/>
      <c r="CF2784" s="6"/>
      <c r="CG2784" s="6"/>
      <c r="CH2784" s="6"/>
      <c r="CI2784" s="6"/>
      <c r="CJ2784" s="6"/>
      <c r="CK2784" s="6"/>
      <c r="CL2784" s="6"/>
      <c r="CM2784" s="6"/>
      <c r="CN2784" s="6"/>
      <c r="CO2784" s="6"/>
      <c r="CP2784" s="6"/>
      <c r="CQ2784" s="6"/>
      <c r="CR2784" s="6"/>
      <c r="CS2784" s="6"/>
      <c r="CT2784" s="6"/>
      <c r="CU2784" s="6"/>
      <c r="CV2784" s="6"/>
      <c r="CW2784" s="6"/>
      <c r="CX2784" s="6"/>
      <c r="CY2784" s="6"/>
      <c r="CZ2784" s="6"/>
    </row>
    <row r="2785" spans="27:104" s="5" customFormat="1" x14ac:dyDescent="0.25">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16"/>
      <c r="BC2785" s="6"/>
      <c r="BD2785" s="6"/>
      <c r="BE2785" s="6"/>
      <c r="BF2785" s="6"/>
      <c r="BG2785" s="6"/>
      <c r="BH2785" s="6"/>
      <c r="BI2785" s="6"/>
      <c r="BJ2785" s="6"/>
      <c r="BK2785" s="6"/>
      <c r="BL2785" s="6"/>
      <c r="BM2785" s="6"/>
      <c r="BN2785" s="6"/>
      <c r="BO2785" s="6"/>
      <c r="BP2785" s="6"/>
      <c r="BQ2785" s="6"/>
      <c r="BR2785" s="6"/>
      <c r="BS2785" s="6"/>
      <c r="BT2785" s="6"/>
      <c r="BU2785" s="6"/>
      <c r="BV2785" s="6"/>
      <c r="BW2785" s="6"/>
      <c r="BX2785" s="6"/>
      <c r="BY2785" s="6"/>
      <c r="BZ2785" s="6"/>
      <c r="CA2785" s="6"/>
      <c r="CB2785" s="6"/>
      <c r="CC2785" s="6"/>
      <c r="CD2785" s="6"/>
      <c r="CE2785" s="6"/>
      <c r="CF2785" s="6"/>
      <c r="CG2785" s="6"/>
      <c r="CH2785" s="6"/>
      <c r="CI2785" s="6"/>
      <c r="CJ2785" s="6"/>
      <c r="CK2785" s="6"/>
      <c r="CL2785" s="6"/>
      <c r="CM2785" s="6"/>
      <c r="CN2785" s="6"/>
      <c r="CO2785" s="6"/>
      <c r="CP2785" s="6"/>
      <c r="CQ2785" s="6"/>
      <c r="CR2785" s="6"/>
      <c r="CS2785" s="6"/>
      <c r="CT2785" s="6"/>
      <c r="CU2785" s="6"/>
      <c r="CV2785" s="6"/>
      <c r="CW2785" s="6"/>
      <c r="CX2785" s="6"/>
      <c r="CY2785" s="6"/>
      <c r="CZ2785" s="6"/>
    </row>
    <row r="2786" spans="27:104" s="5" customFormat="1" x14ac:dyDescent="0.25">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16"/>
      <c r="BC2786" s="6"/>
      <c r="BD2786" s="6"/>
      <c r="BE2786" s="6"/>
      <c r="BF2786" s="6"/>
      <c r="BG2786" s="6"/>
      <c r="BH2786" s="6"/>
      <c r="BI2786" s="6"/>
      <c r="BJ2786" s="6"/>
      <c r="BK2786" s="6"/>
      <c r="BL2786" s="6"/>
      <c r="BM2786" s="6"/>
      <c r="BN2786" s="6"/>
      <c r="BO2786" s="6"/>
      <c r="BP2786" s="6"/>
      <c r="BQ2786" s="6"/>
      <c r="BR2786" s="6"/>
      <c r="BS2786" s="6"/>
      <c r="BT2786" s="6"/>
      <c r="BU2786" s="6"/>
      <c r="BV2786" s="6"/>
      <c r="BW2786" s="6"/>
      <c r="BX2786" s="6"/>
      <c r="BY2786" s="6"/>
      <c r="BZ2786" s="6"/>
      <c r="CA2786" s="6"/>
      <c r="CB2786" s="6"/>
      <c r="CC2786" s="6"/>
      <c r="CD2786" s="6"/>
      <c r="CE2786" s="6"/>
      <c r="CF2786" s="6"/>
      <c r="CG2786" s="6"/>
      <c r="CH2786" s="6"/>
      <c r="CI2786" s="6"/>
      <c r="CJ2786" s="6"/>
      <c r="CK2786" s="6"/>
      <c r="CL2786" s="6"/>
      <c r="CM2786" s="6"/>
      <c r="CN2786" s="6"/>
      <c r="CO2786" s="6"/>
      <c r="CP2786" s="6"/>
      <c r="CQ2786" s="6"/>
      <c r="CR2786" s="6"/>
      <c r="CS2786" s="6"/>
      <c r="CT2786" s="6"/>
      <c r="CU2786" s="6"/>
      <c r="CV2786" s="6"/>
      <c r="CW2786" s="6"/>
      <c r="CX2786" s="6"/>
      <c r="CY2786" s="6"/>
      <c r="CZ2786" s="6"/>
    </row>
    <row r="2787" spans="27:104" s="5" customFormat="1" x14ac:dyDescent="0.25">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16"/>
      <c r="BC2787" s="6"/>
      <c r="BD2787" s="6"/>
      <c r="BE2787" s="6"/>
      <c r="BF2787" s="6"/>
      <c r="BG2787" s="6"/>
      <c r="BH2787" s="6"/>
      <c r="BI2787" s="6"/>
      <c r="BJ2787" s="6"/>
      <c r="BK2787" s="6"/>
      <c r="BL2787" s="6"/>
      <c r="BM2787" s="6"/>
      <c r="BN2787" s="6"/>
      <c r="BO2787" s="6"/>
      <c r="BP2787" s="6"/>
      <c r="BQ2787" s="6"/>
      <c r="BR2787" s="6"/>
      <c r="BS2787" s="6"/>
      <c r="BT2787" s="6"/>
      <c r="BU2787" s="6"/>
      <c r="BV2787" s="6"/>
      <c r="BW2787" s="6"/>
      <c r="BX2787" s="6"/>
      <c r="BY2787" s="6"/>
      <c r="BZ2787" s="6"/>
      <c r="CA2787" s="6"/>
      <c r="CB2787" s="6"/>
      <c r="CC2787" s="6"/>
      <c r="CD2787" s="6"/>
      <c r="CE2787" s="6"/>
      <c r="CF2787" s="6"/>
      <c r="CG2787" s="6"/>
      <c r="CH2787" s="6"/>
      <c r="CI2787" s="6"/>
      <c r="CJ2787" s="6"/>
      <c r="CK2787" s="6"/>
      <c r="CL2787" s="6"/>
      <c r="CM2787" s="6"/>
      <c r="CN2787" s="6"/>
      <c r="CO2787" s="6"/>
      <c r="CP2787" s="6"/>
      <c r="CQ2787" s="6"/>
      <c r="CR2787" s="6"/>
      <c r="CS2787" s="6"/>
      <c r="CT2787" s="6"/>
      <c r="CU2787" s="6"/>
      <c r="CV2787" s="6"/>
      <c r="CW2787" s="6"/>
      <c r="CX2787" s="6"/>
      <c r="CY2787" s="6"/>
      <c r="CZ2787" s="6"/>
    </row>
    <row r="2788" spans="27:104" s="5" customFormat="1" x14ac:dyDescent="0.25">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16"/>
      <c r="BC2788" s="6"/>
      <c r="BD2788" s="6"/>
      <c r="BE2788" s="6"/>
      <c r="BF2788" s="6"/>
      <c r="BG2788" s="6"/>
      <c r="BH2788" s="6"/>
      <c r="BI2788" s="6"/>
      <c r="BJ2788" s="6"/>
      <c r="BK2788" s="6"/>
      <c r="BL2788" s="6"/>
      <c r="BM2788" s="6"/>
      <c r="BN2788" s="6"/>
      <c r="BO2788" s="6"/>
      <c r="BP2788" s="6"/>
      <c r="BQ2788" s="6"/>
      <c r="BR2788" s="6"/>
      <c r="BS2788" s="6"/>
      <c r="BT2788" s="6"/>
      <c r="BU2788" s="6"/>
      <c r="BV2788" s="6"/>
      <c r="BW2788" s="6"/>
      <c r="BX2788" s="6"/>
      <c r="BY2788" s="6"/>
      <c r="BZ2788" s="6"/>
      <c r="CA2788" s="6"/>
      <c r="CB2788" s="6"/>
      <c r="CC2788" s="6"/>
      <c r="CD2788" s="6"/>
      <c r="CE2788" s="6"/>
      <c r="CF2788" s="6"/>
      <c r="CG2788" s="6"/>
      <c r="CH2788" s="6"/>
      <c r="CI2788" s="6"/>
      <c r="CJ2788" s="6"/>
      <c r="CK2788" s="6"/>
      <c r="CL2788" s="6"/>
      <c r="CM2788" s="6"/>
      <c r="CN2788" s="6"/>
      <c r="CO2788" s="6"/>
      <c r="CP2788" s="6"/>
      <c r="CQ2788" s="6"/>
      <c r="CR2788" s="6"/>
      <c r="CS2788" s="6"/>
      <c r="CT2788" s="6"/>
      <c r="CU2788" s="6"/>
      <c r="CV2788" s="6"/>
      <c r="CW2788" s="6"/>
      <c r="CX2788" s="6"/>
      <c r="CY2788" s="6"/>
      <c r="CZ2788" s="6"/>
    </row>
    <row r="2789" spans="27:104" s="5" customFormat="1" x14ac:dyDescent="0.25">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16"/>
      <c r="BC2789" s="6"/>
      <c r="BD2789" s="6"/>
      <c r="BE2789" s="6"/>
      <c r="BF2789" s="6"/>
      <c r="BG2789" s="6"/>
      <c r="BH2789" s="6"/>
      <c r="BI2789" s="6"/>
      <c r="BJ2789" s="6"/>
      <c r="BK2789" s="6"/>
      <c r="BL2789" s="6"/>
      <c r="BM2789" s="6"/>
      <c r="BN2789" s="6"/>
      <c r="BO2789" s="6"/>
      <c r="BP2789" s="6"/>
      <c r="BQ2789" s="6"/>
      <c r="BR2789" s="6"/>
      <c r="BS2789" s="6"/>
      <c r="BT2789" s="6"/>
      <c r="BU2789" s="6"/>
      <c r="BV2789" s="6"/>
      <c r="BW2789" s="6"/>
      <c r="BX2789" s="6"/>
      <c r="BY2789" s="6"/>
      <c r="BZ2789" s="6"/>
      <c r="CA2789" s="6"/>
      <c r="CB2789" s="6"/>
      <c r="CC2789" s="6"/>
      <c r="CD2789" s="6"/>
      <c r="CE2789" s="6"/>
      <c r="CF2789" s="6"/>
      <c r="CG2789" s="6"/>
      <c r="CH2789" s="6"/>
      <c r="CI2789" s="6"/>
      <c r="CJ2789" s="6"/>
      <c r="CK2789" s="6"/>
      <c r="CL2789" s="6"/>
      <c r="CM2789" s="6"/>
      <c r="CN2789" s="6"/>
      <c r="CO2789" s="6"/>
      <c r="CP2789" s="6"/>
      <c r="CQ2789" s="6"/>
      <c r="CR2789" s="6"/>
      <c r="CS2789" s="6"/>
      <c r="CT2789" s="6"/>
      <c r="CU2789" s="6"/>
      <c r="CV2789" s="6"/>
      <c r="CW2789" s="6"/>
      <c r="CX2789" s="6"/>
      <c r="CY2789" s="6"/>
      <c r="CZ2789" s="6"/>
    </row>
    <row r="2790" spans="27:104" s="5" customFormat="1" x14ac:dyDescent="0.25">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16"/>
      <c r="BC2790" s="6"/>
      <c r="BD2790" s="6"/>
      <c r="BE2790" s="6"/>
      <c r="BF2790" s="6"/>
      <c r="BG2790" s="6"/>
      <c r="BH2790" s="6"/>
      <c r="BI2790" s="6"/>
      <c r="BJ2790" s="6"/>
      <c r="BK2790" s="6"/>
      <c r="BL2790" s="6"/>
      <c r="BM2790" s="6"/>
      <c r="BN2790" s="6"/>
      <c r="BO2790" s="6"/>
      <c r="BP2790" s="6"/>
      <c r="BQ2790" s="6"/>
      <c r="BR2790" s="6"/>
      <c r="BS2790" s="6"/>
      <c r="BT2790" s="6"/>
      <c r="BU2790" s="6"/>
      <c r="BV2790" s="6"/>
      <c r="BW2790" s="6"/>
      <c r="BX2790" s="6"/>
      <c r="BY2790" s="6"/>
      <c r="BZ2790" s="6"/>
      <c r="CA2790" s="6"/>
      <c r="CB2790" s="6"/>
      <c r="CC2790" s="6"/>
      <c r="CD2790" s="6"/>
      <c r="CE2790" s="6"/>
      <c r="CF2790" s="6"/>
      <c r="CG2790" s="6"/>
      <c r="CH2790" s="6"/>
      <c r="CI2790" s="6"/>
      <c r="CJ2790" s="6"/>
      <c r="CK2790" s="6"/>
      <c r="CL2790" s="6"/>
      <c r="CM2790" s="6"/>
      <c r="CN2790" s="6"/>
      <c r="CO2790" s="6"/>
      <c r="CP2790" s="6"/>
      <c r="CQ2790" s="6"/>
      <c r="CR2790" s="6"/>
      <c r="CS2790" s="6"/>
      <c r="CT2790" s="6"/>
      <c r="CU2790" s="6"/>
      <c r="CV2790" s="6"/>
      <c r="CW2790" s="6"/>
      <c r="CX2790" s="6"/>
      <c r="CY2790" s="6"/>
      <c r="CZ2790" s="6"/>
    </row>
    <row r="2791" spans="27:104" s="5" customFormat="1" x14ac:dyDescent="0.25">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16"/>
      <c r="BC2791" s="6"/>
      <c r="BD2791" s="6"/>
      <c r="BE2791" s="6"/>
      <c r="BF2791" s="6"/>
      <c r="BG2791" s="6"/>
      <c r="BH2791" s="6"/>
      <c r="BI2791" s="6"/>
      <c r="BJ2791" s="6"/>
      <c r="BK2791" s="6"/>
      <c r="BL2791" s="6"/>
      <c r="BM2791" s="6"/>
      <c r="BN2791" s="6"/>
      <c r="BO2791" s="6"/>
      <c r="BP2791" s="6"/>
      <c r="BQ2791" s="6"/>
      <c r="BR2791" s="6"/>
      <c r="BS2791" s="6"/>
      <c r="BT2791" s="6"/>
      <c r="BU2791" s="6"/>
      <c r="BV2791" s="6"/>
      <c r="BW2791" s="6"/>
      <c r="BX2791" s="6"/>
      <c r="BY2791" s="6"/>
      <c r="BZ2791" s="6"/>
      <c r="CA2791" s="6"/>
      <c r="CB2791" s="6"/>
      <c r="CC2791" s="6"/>
      <c r="CD2791" s="6"/>
      <c r="CE2791" s="6"/>
      <c r="CF2791" s="6"/>
      <c r="CG2791" s="6"/>
      <c r="CH2791" s="6"/>
      <c r="CI2791" s="6"/>
      <c r="CJ2791" s="6"/>
      <c r="CK2791" s="6"/>
      <c r="CL2791" s="6"/>
      <c r="CM2791" s="6"/>
      <c r="CN2791" s="6"/>
      <c r="CO2791" s="6"/>
      <c r="CP2791" s="6"/>
      <c r="CQ2791" s="6"/>
      <c r="CR2791" s="6"/>
      <c r="CS2791" s="6"/>
      <c r="CT2791" s="6"/>
      <c r="CU2791" s="6"/>
      <c r="CV2791" s="6"/>
      <c r="CW2791" s="6"/>
      <c r="CX2791" s="6"/>
      <c r="CY2791" s="6"/>
      <c r="CZ2791" s="6"/>
    </row>
    <row r="2792" spans="27:104" s="5" customFormat="1" x14ac:dyDescent="0.25">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16"/>
      <c r="BC2792" s="6"/>
      <c r="BD2792" s="6"/>
      <c r="BE2792" s="6"/>
      <c r="BF2792" s="6"/>
      <c r="BG2792" s="6"/>
      <c r="BH2792" s="6"/>
      <c r="BI2792" s="6"/>
      <c r="BJ2792" s="6"/>
      <c r="BK2792" s="6"/>
      <c r="BL2792" s="6"/>
      <c r="BM2792" s="6"/>
      <c r="BN2792" s="6"/>
      <c r="BO2792" s="6"/>
      <c r="BP2792" s="6"/>
      <c r="BQ2792" s="6"/>
      <c r="BR2792" s="6"/>
      <c r="BS2792" s="6"/>
      <c r="BT2792" s="6"/>
      <c r="BU2792" s="6"/>
      <c r="BV2792" s="6"/>
      <c r="BW2792" s="6"/>
      <c r="BX2792" s="6"/>
      <c r="BY2792" s="6"/>
      <c r="BZ2792" s="6"/>
      <c r="CA2792" s="6"/>
      <c r="CB2792" s="6"/>
      <c r="CC2792" s="6"/>
      <c r="CD2792" s="6"/>
      <c r="CE2792" s="6"/>
      <c r="CF2792" s="6"/>
      <c r="CG2792" s="6"/>
      <c r="CH2792" s="6"/>
      <c r="CI2792" s="6"/>
      <c r="CJ2792" s="6"/>
      <c r="CK2792" s="6"/>
      <c r="CL2792" s="6"/>
      <c r="CM2792" s="6"/>
      <c r="CN2792" s="6"/>
      <c r="CO2792" s="6"/>
      <c r="CP2792" s="6"/>
      <c r="CQ2792" s="6"/>
      <c r="CR2792" s="6"/>
      <c r="CS2792" s="6"/>
      <c r="CT2792" s="6"/>
      <c r="CU2792" s="6"/>
      <c r="CV2792" s="6"/>
      <c r="CW2792" s="6"/>
      <c r="CX2792" s="6"/>
      <c r="CY2792" s="6"/>
      <c r="CZ2792" s="6"/>
    </row>
    <row r="2793" spans="27:104" s="5" customFormat="1" x14ac:dyDescent="0.25">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16"/>
      <c r="BC2793" s="6"/>
      <c r="BD2793" s="6"/>
      <c r="BE2793" s="6"/>
      <c r="BF2793" s="6"/>
      <c r="BG2793" s="6"/>
      <c r="BH2793" s="6"/>
      <c r="BI2793" s="6"/>
      <c r="BJ2793" s="6"/>
      <c r="BK2793" s="6"/>
      <c r="BL2793" s="6"/>
      <c r="BM2793" s="6"/>
      <c r="BN2793" s="6"/>
      <c r="BO2793" s="6"/>
      <c r="BP2793" s="6"/>
      <c r="BQ2793" s="6"/>
      <c r="BR2793" s="6"/>
      <c r="BS2793" s="6"/>
      <c r="BT2793" s="6"/>
      <c r="BU2793" s="6"/>
      <c r="BV2793" s="6"/>
      <c r="BW2793" s="6"/>
      <c r="BX2793" s="6"/>
      <c r="BY2793" s="6"/>
      <c r="BZ2793" s="6"/>
      <c r="CA2793" s="6"/>
      <c r="CB2793" s="6"/>
      <c r="CC2793" s="6"/>
      <c r="CD2793" s="6"/>
      <c r="CE2793" s="6"/>
      <c r="CF2793" s="6"/>
      <c r="CG2793" s="6"/>
      <c r="CH2793" s="6"/>
      <c r="CI2793" s="6"/>
      <c r="CJ2793" s="6"/>
      <c r="CK2793" s="6"/>
      <c r="CL2793" s="6"/>
      <c r="CM2793" s="6"/>
      <c r="CN2793" s="6"/>
      <c r="CO2793" s="6"/>
      <c r="CP2793" s="6"/>
      <c r="CQ2793" s="6"/>
      <c r="CR2793" s="6"/>
      <c r="CS2793" s="6"/>
      <c r="CT2793" s="6"/>
      <c r="CU2793" s="6"/>
      <c r="CV2793" s="6"/>
      <c r="CW2793" s="6"/>
      <c r="CX2793" s="6"/>
      <c r="CY2793" s="6"/>
      <c r="CZ2793" s="6"/>
    </row>
    <row r="2794" spans="27:104" s="5" customFormat="1" x14ac:dyDescent="0.25">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16"/>
      <c r="BC2794" s="6"/>
      <c r="BD2794" s="6"/>
      <c r="BE2794" s="6"/>
      <c r="BF2794" s="6"/>
      <c r="BG2794" s="6"/>
      <c r="BH2794" s="6"/>
      <c r="BI2794" s="6"/>
      <c r="BJ2794" s="6"/>
      <c r="BK2794" s="6"/>
      <c r="BL2794" s="6"/>
      <c r="BM2794" s="6"/>
      <c r="BN2794" s="6"/>
      <c r="BO2794" s="6"/>
      <c r="BP2794" s="6"/>
      <c r="BQ2794" s="6"/>
      <c r="BR2794" s="6"/>
      <c r="BS2794" s="6"/>
      <c r="BT2794" s="6"/>
      <c r="BU2794" s="6"/>
      <c r="BV2794" s="6"/>
      <c r="BW2794" s="6"/>
      <c r="BX2794" s="6"/>
      <c r="BY2794" s="6"/>
      <c r="BZ2794" s="6"/>
      <c r="CA2794" s="6"/>
      <c r="CB2794" s="6"/>
      <c r="CC2794" s="6"/>
      <c r="CD2794" s="6"/>
      <c r="CE2794" s="6"/>
      <c r="CF2794" s="6"/>
      <c r="CG2794" s="6"/>
      <c r="CH2794" s="6"/>
      <c r="CI2794" s="6"/>
      <c r="CJ2794" s="6"/>
      <c r="CK2794" s="6"/>
      <c r="CL2794" s="6"/>
      <c r="CM2794" s="6"/>
      <c r="CN2794" s="6"/>
      <c r="CO2794" s="6"/>
      <c r="CP2794" s="6"/>
      <c r="CQ2794" s="6"/>
      <c r="CR2794" s="6"/>
      <c r="CS2794" s="6"/>
      <c r="CT2794" s="6"/>
      <c r="CU2794" s="6"/>
      <c r="CV2794" s="6"/>
      <c r="CW2794" s="6"/>
      <c r="CX2794" s="6"/>
      <c r="CY2794" s="6"/>
      <c r="CZ2794" s="6"/>
    </row>
    <row r="2795" spans="27:104" s="5" customFormat="1" x14ac:dyDescent="0.25">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16"/>
      <c r="BC2795" s="6"/>
      <c r="BD2795" s="6"/>
      <c r="BE2795" s="6"/>
      <c r="BF2795" s="6"/>
      <c r="BG2795" s="6"/>
      <c r="BH2795" s="6"/>
      <c r="BI2795" s="6"/>
      <c r="BJ2795" s="6"/>
      <c r="BK2795" s="6"/>
      <c r="BL2795" s="6"/>
      <c r="BM2795" s="6"/>
      <c r="BN2795" s="6"/>
      <c r="BO2795" s="6"/>
      <c r="BP2795" s="6"/>
      <c r="BQ2795" s="6"/>
      <c r="BR2795" s="6"/>
      <c r="BS2795" s="6"/>
      <c r="BT2795" s="6"/>
      <c r="BU2795" s="6"/>
      <c r="BV2795" s="6"/>
      <c r="BW2795" s="6"/>
      <c r="BX2795" s="6"/>
      <c r="BY2795" s="6"/>
      <c r="BZ2795" s="6"/>
      <c r="CA2795" s="6"/>
      <c r="CB2795" s="6"/>
      <c r="CC2795" s="6"/>
      <c r="CD2795" s="6"/>
      <c r="CE2795" s="6"/>
      <c r="CF2795" s="6"/>
      <c r="CG2795" s="6"/>
      <c r="CH2795" s="6"/>
      <c r="CI2795" s="6"/>
      <c r="CJ2795" s="6"/>
      <c r="CK2795" s="6"/>
      <c r="CL2795" s="6"/>
      <c r="CM2795" s="6"/>
      <c r="CN2795" s="6"/>
      <c r="CO2795" s="6"/>
      <c r="CP2795" s="6"/>
      <c r="CQ2795" s="6"/>
      <c r="CR2795" s="6"/>
      <c r="CS2795" s="6"/>
      <c r="CT2795" s="6"/>
      <c r="CU2795" s="6"/>
      <c r="CV2795" s="6"/>
      <c r="CW2795" s="6"/>
      <c r="CX2795" s="6"/>
      <c r="CY2795" s="6"/>
      <c r="CZ2795" s="6"/>
    </row>
    <row r="2796" spans="27:104" s="5" customFormat="1" x14ac:dyDescent="0.25">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16"/>
      <c r="BC2796" s="6"/>
      <c r="BD2796" s="6"/>
      <c r="BE2796" s="6"/>
      <c r="BF2796" s="6"/>
      <c r="BG2796" s="6"/>
      <c r="BH2796" s="6"/>
      <c r="BI2796" s="6"/>
      <c r="BJ2796" s="6"/>
      <c r="BK2796" s="6"/>
      <c r="BL2796" s="6"/>
      <c r="BM2796" s="6"/>
      <c r="BN2796" s="6"/>
      <c r="BO2796" s="6"/>
      <c r="BP2796" s="6"/>
      <c r="BQ2796" s="6"/>
      <c r="BR2796" s="6"/>
      <c r="BS2796" s="6"/>
      <c r="BT2796" s="6"/>
      <c r="BU2796" s="6"/>
      <c r="BV2796" s="6"/>
      <c r="BW2796" s="6"/>
      <c r="BX2796" s="6"/>
      <c r="BY2796" s="6"/>
      <c r="BZ2796" s="6"/>
      <c r="CA2796" s="6"/>
      <c r="CB2796" s="6"/>
      <c r="CC2796" s="6"/>
      <c r="CD2796" s="6"/>
      <c r="CE2796" s="6"/>
      <c r="CF2796" s="6"/>
      <c r="CG2796" s="6"/>
      <c r="CH2796" s="6"/>
      <c r="CI2796" s="6"/>
      <c r="CJ2796" s="6"/>
      <c r="CK2796" s="6"/>
      <c r="CL2796" s="6"/>
      <c r="CM2796" s="6"/>
      <c r="CN2796" s="6"/>
      <c r="CO2796" s="6"/>
      <c r="CP2796" s="6"/>
      <c r="CQ2796" s="6"/>
      <c r="CR2796" s="6"/>
      <c r="CS2796" s="6"/>
      <c r="CT2796" s="6"/>
      <c r="CU2796" s="6"/>
      <c r="CV2796" s="6"/>
      <c r="CW2796" s="6"/>
      <c r="CX2796" s="6"/>
      <c r="CY2796" s="6"/>
      <c r="CZ2796" s="6"/>
    </row>
    <row r="2797" spans="27:104" s="5" customFormat="1" x14ac:dyDescent="0.25">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16"/>
      <c r="BC2797" s="6"/>
      <c r="BD2797" s="6"/>
      <c r="BE2797" s="6"/>
      <c r="BF2797" s="6"/>
      <c r="BG2797" s="6"/>
      <c r="BH2797" s="6"/>
      <c r="BI2797" s="6"/>
      <c r="BJ2797" s="6"/>
      <c r="BK2797" s="6"/>
      <c r="BL2797" s="6"/>
      <c r="BM2797" s="6"/>
      <c r="BN2797" s="6"/>
      <c r="BO2797" s="6"/>
      <c r="BP2797" s="6"/>
      <c r="BQ2797" s="6"/>
      <c r="BR2797" s="6"/>
      <c r="BS2797" s="6"/>
      <c r="BT2797" s="6"/>
      <c r="BU2797" s="6"/>
      <c r="BV2797" s="6"/>
      <c r="BW2797" s="6"/>
      <c r="BX2797" s="6"/>
      <c r="BY2797" s="6"/>
      <c r="BZ2797" s="6"/>
      <c r="CA2797" s="6"/>
      <c r="CB2797" s="6"/>
      <c r="CC2797" s="6"/>
      <c r="CD2797" s="6"/>
      <c r="CE2797" s="6"/>
      <c r="CF2797" s="6"/>
      <c r="CG2797" s="6"/>
      <c r="CH2797" s="6"/>
      <c r="CI2797" s="6"/>
      <c r="CJ2797" s="6"/>
      <c r="CK2797" s="6"/>
      <c r="CL2797" s="6"/>
      <c r="CM2797" s="6"/>
      <c r="CN2797" s="6"/>
      <c r="CO2797" s="6"/>
      <c r="CP2797" s="6"/>
      <c r="CQ2797" s="6"/>
      <c r="CR2797" s="6"/>
      <c r="CS2797" s="6"/>
      <c r="CT2797" s="6"/>
      <c r="CU2797" s="6"/>
      <c r="CV2797" s="6"/>
      <c r="CW2797" s="6"/>
      <c r="CX2797" s="6"/>
      <c r="CY2797" s="6"/>
      <c r="CZ2797" s="6"/>
    </row>
    <row r="2798" spans="27:104" s="5" customFormat="1" x14ac:dyDescent="0.25">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16"/>
      <c r="BC2798" s="6"/>
      <c r="BD2798" s="6"/>
      <c r="BE2798" s="6"/>
      <c r="BF2798" s="6"/>
      <c r="BG2798" s="6"/>
      <c r="BH2798" s="6"/>
      <c r="BI2798" s="6"/>
      <c r="BJ2798" s="6"/>
      <c r="BK2798" s="6"/>
      <c r="BL2798" s="6"/>
      <c r="BM2798" s="6"/>
      <c r="BN2798" s="6"/>
      <c r="BO2798" s="6"/>
      <c r="BP2798" s="6"/>
      <c r="BQ2798" s="6"/>
      <c r="BR2798" s="6"/>
      <c r="BS2798" s="6"/>
      <c r="BT2798" s="6"/>
      <c r="BU2798" s="6"/>
      <c r="BV2798" s="6"/>
      <c r="BW2798" s="6"/>
      <c r="BX2798" s="6"/>
      <c r="BY2798" s="6"/>
      <c r="BZ2798" s="6"/>
      <c r="CA2798" s="6"/>
      <c r="CB2798" s="6"/>
      <c r="CC2798" s="6"/>
      <c r="CD2798" s="6"/>
      <c r="CE2798" s="6"/>
      <c r="CF2798" s="6"/>
      <c r="CG2798" s="6"/>
      <c r="CH2798" s="6"/>
      <c r="CI2798" s="6"/>
      <c r="CJ2798" s="6"/>
      <c r="CK2798" s="6"/>
      <c r="CL2798" s="6"/>
      <c r="CM2798" s="6"/>
      <c r="CN2798" s="6"/>
      <c r="CO2798" s="6"/>
      <c r="CP2798" s="6"/>
      <c r="CQ2798" s="6"/>
      <c r="CR2798" s="6"/>
      <c r="CS2798" s="6"/>
      <c r="CT2798" s="6"/>
      <c r="CU2798" s="6"/>
      <c r="CV2798" s="6"/>
      <c r="CW2798" s="6"/>
      <c r="CX2798" s="6"/>
      <c r="CY2798" s="6"/>
      <c r="CZ2798" s="6"/>
    </row>
    <row r="2799" spans="27:104" s="5" customFormat="1" x14ac:dyDescent="0.25">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16"/>
      <c r="BC2799" s="6"/>
      <c r="BD2799" s="6"/>
      <c r="BE2799" s="6"/>
      <c r="BF2799" s="6"/>
      <c r="BG2799" s="6"/>
      <c r="BH2799" s="6"/>
      <c r="BI2799" s="6"/>
      <c r="BJ2799" s="6"/>
      <c r="BK2799" s="6"/>
      <c r="BL2799" s="6"/>
      <c r="BM2799" s="6"/>
      <c r="BN2799" s="6"/>
      <c r="BO2799" s="6"/>
      <c r="BP2799" s="6"/>
      <c r="BQ2799" s="6"/>
      <c r="BR2799" s="6"/>
      <c r="BS2799" s="6"/>
      <c r="BT2799" s="6"/>
      <c r="BU2799" s="6"/>
      <c r="BV2799" s="6"/>
      <c r="BW2799" s="6"/>
      <c r="BX2799" s="6"/>
      <c r="BY2799" s="6"/>
      <c r="BZ2799" s="6"/>
      <c r="CA2799" s="6"/>
      <c r="CB2799" s="6"/>
      <c r="CC2799" s="6"/>
      <c r="CD2799" s="6"/>
      <c r="CE2799" s="6"/>
      <c r="CF2799" s="6"/>
      <c r="CG2799" s="6"/>
      <c r="CH2799" s="6"/>
      <c r="CI2799" s="6"/>
      <c r="CJ2799" s="6"/>
      <c r="CK2799" s="6"/>
      <c r="CL2799" s="6"/>
      <c r="CM2799" s="6"/>
      <c r="CN2799" s="6"/>
      <c r="CO2799" s="6"/>
      <c r="CP2799" s="6"/>
      <c r="CQ2799" s="6"/>
      <c r="CR2799" s="6"/>
      <c r="CS2799" s="6"/>
      <c r="CT2799" s="6"/>
      <c r="CU2799" s="6"/>
      <c r="CV2799" s="6"/>
      <c r="CW2799" s="6"/>
      <c r="CX2799" s="6"/>
      <c r="CY2799" s="6"/>
      <c r="CZ2799" s="6"/>
    </row>
    <row r="2800" spans="27:104" s="5" customFormat="1" x14ac:dyDescent="0.25">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16"/>
      <c r="BC2800" s="6"/>
      <c r="BD2800" s="6"/>
      <c r="BE2800" s="6"/>
      <c r="BF2800" s="6"/>
      <c r="BG2800" s="6"/>
      <c r="BH2800" s="6"/>
      <c r="BI2800" s="6"/>
      <c r="BJ2800" s="6"/>
      <c r="BK2800" s="6"/>
      <c r="BL2800" s="6"/>
      <c r="BM2800" s="6"/>
      <c r="BN2800" s="6"/>
      <c r="BO2800" s="6"/>
      <c r="BP2800" s="6"/>
      <c r="BQ2800" s="6"/>
      <c r="BR2800" s="6"/>
      <c r="BS2800" s="6"/>
      <c r="BT2800" s="6"/>
      <c r="BU2800" s="6"/>
      <c r="BV2800" s="6"/>
      <c r="BW2800" s="6"/>
      <c r="BX2800" s="6"/>
      <c r="BY2800" s="6"/>
      <c r="BZ2800" s="6"/>
      <c r="CA2800" s="6"/>
      <c r="CB2800" s="6"/>
      <c r="CC2800" s="6"/>
      <c r="CD2800" s="6"/>
      <c r="CE2800" s="6"/>
      <c r="CF2800" s="6"/>
      <c r="CG2800" s="6"/>
      <c r="CH2800" s="6"/>
      <c r="CI2800" s="6"/>
      <c r="CJ2800" s="6"/>
      <c r="CK2800" s="6"/>
      <c r="CL2800" s="6"/>
      <c r="CM2800" s="6"/>
      <c r="CN2800" s="6"/>
      <c r="CO2800" s="6"/>
      <c r="CP2800" s="6"/>
      <c r="CQ2800" s="6"/>
      <c r="CR2800" s="6"/>
      <c r="CS2800" s="6"/>
      <c r="CT2800" s="6"/>
      <c r="CU2800" s="6"/>
      <c r="CV2800" s="6"/>
      <c r="CW2800" s="6"/>
      <c r="CX2800" s="6"/>
      <c r="CY2800" s="6"/>
      <c r="CZ2800" s="6"/>
    </row>
    <row r="2801" spans="27:104" s="5" customFormat="1" x14ac:dyDescent="0.25">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16"/>
      <c r="BC2801" s="6"/>
      <c r="BD2801" s="6"/>
      <c r="BE2801" s="6"/>
      <c r="BF2801" s="6"/>
      <c r="BG2801" s="6"/>
      <c r="BH2801" s="6"/>
      <c r="BI2801" s="6"/>
      <c r="BJ2801" s="6"/>
      <c r="BK2801" s="6"/>
      <c r="BL2801" s="6"/>
      <c r="BM2801" s="6"/>
      <c r="BN2801" s="6"/>
      <c r="BO2801" s="6"/>
      <c r="BP2801" s="6"/>
      <c r="BQ2801" s="6"/>
      <c r="BR2801" s="6"/>
      <c r="BS2801" s="6"/>
      <c r="BT2801" s="6"/>
      <c r="BU2801" s="6"/>
      <c r="BV2801" s="6"/>
      <c r="BW2801" s="6"/>
      <c r="BX2801" s="6"/>
      <c r="BY2801" s="6"/>
      <c r="BZ2801" s="6"/>
      <c r="CA2801" s="6"/>
      <c r="CB2801" s="6"/>
      <c r="CC2801" s="6"/>
      <c r="CD2801" s="6"/>
      <c r="CE2801" s="6"/>
      <c r="CF2801" s="6"/>
      <c r="CG2801" s="6"/>
      <c r="CH2801" s="6"/>
      <c r="CI2801" s="6"/>
      <c r="CJ2801" s="6"/>
      <c r="CK2801" s="6"/>
      <c r="CL2801" s="6"/>
      <c r="CM2801" s="6"/>
      <c r="CN2801" s="6"/>
      <c r="CO2801" s="6"/>
      <c r="CP2801" s="6"/>
      <c r="CQ2801" s="6"/>
      <c r="CR2801" s="6"/>
      <c r="CS2801" s="6"/>
      <c r="CT2801" s="6"/>
      <c r="CU2801" s="6"/>
      <c r="CV2801" s="6"/>
      <c r="CW2801" s="6"/>
      <c r="CX2801" s="6"/>
      <c r="CY2801" s="6"/>
      <c r="CZ2801" s="6"/>
    </row>
    <row r="2802" spans="27:104" s="5" customFormat="1" x14ac:dyDescent="0.25">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16"/>
      <c r="BC2802" s="6"/>
      <c r="BD2802" s="6"/>
      <c r="BE2802" s="6"/>
      <c r="BF2802" s="6"/>
      <c r="BG2802" s="6"/>
      <c r="BH2802" s="6"/>
      <c r="BI2802" s="6"/>
      <c r="BJ2802" s="6"/>
      <c r="BK2802" s="6"/>
      <c r="BL2802" s="6"/>
      <c r="BM2802" s="6"/>
      <c r="BN2802" s="6"/>
      <c r="BO2802" s="6"/>
      <c r="BP2802" s="6"/>
      <c r="BQ2802" s="6"/>
      <c r="BR2802" s="6"/>
      <c r="BS2802" s="6"/>
      <c r="BT2802" s="6"/>
      <c r="BU2802" s="6"/>
      <c r="BV2802" s="6"/>
      <c r="BW2802" s="6"/>
      <c r="BX2802" s="6"/>
      <c r="BY2802" s="6"/>
      <c r="BZ2802" s="6"/>
      <c r="CA2802" s="6"/>
      <c r="CB2802" s="6"/>
      <c r="CC2802" s="6"/>
      <c r="CD2802" s="6"/>
      <c r="CE2802" s="6"/>
      <c r="CF2802" s="6"/>
      <c r="CG2802" s="6"/>
      <c r="CH2802" s="6"/>
      <c r="CI2802" s="6"/>
      <c r="CJ2802" s="6"/>
      <c r="CK2802" s="6"/>
      <c r="CL2802" s="6"/>
      <c r="CM2802" s="6"/>
      <c r="CN2802" s="6"/>
      <c r="CO2802" s="6"/>
      <c r="CP2802" s="6"/>
      <c r="CQ2802" s="6"/>
      <c r="CR2802" s="6"/>
      <c r="CS2802" s="6"/>
      <c r="CT2802" s="6"/>
      <c r="CU2802" s="6"/>
      <c r="CV2802" s="6"/>
      <c r="CW2802" s="6"/>
      <c r="CX2802" s="6"/>
      <c r="CY2802" s="6"/>
      <c r="CZ2802" s="6"/>
    </row>
    <row r="2803" spans="27:104" s="5" customFormat="1" x14ac:dyDescent="0.25">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16"/>
      <c r="BC2803" s="6"/>
      <c r="BD2803" s="6"/>
      <c r="BE2803" s="6"/>
      <c r="BF2803" s="6"/>
      <c r="BG2803" s="6"/>
      <c r="BH2803" s="6"/>
      <c r="BI2803" s="6"/>
      <c r="BJ2803" s="6"/>
      <c r="BK2803" s="6"/>
      <c r="BL2803" s="6"/>
      <c r="BM2803" s="6"/>
      <c r="BN2803" s="6"/>
      <c r="BO2803" s="6"/>
      <c r="BP2803" s="6"/>
      <c r="BQ2803" s="6"/>
      <c r="BR2803" s="6"/>
      <c r="BS2803" s="6"/>
      <c r="BT2803" s="6"/>
      <c r="BU2803" s="6"/>
      <c r="BV2803" s="6"/>
      <c r="BW2803" s="6"/>
      <c r="BX2803" s="6"/>
      <c r="BY2803" s="6"/>
      <c r="BZ2803" s="6"/>
      <c r="CA2803" s="6"/>
      <c r="CB2803" s="6"/>
      <c r="CC2803" s="6"/>
      <c r="CD2803" s="6"/>
      <c r="CE2803" s="6"/>
      <c r="CF2803" s="6"/>
      <c r="CG2803" s="6"/>
      <c r="CH2803" s="6"/>
      <c r="CI2803" s="6"/>
      <c r="CJ2803" s="6"/>
      <c r="CK2803" s="6"/>
      <c r="CL2803" s="6"/>
      <c r="CM2803" s="6"/>
      <c r="CN2803" s="6"/>
      <c r="CO2803" s="6"/>
      <c r="CP2803" s="6"/>
      <c r="CQ2803" s="6"/>
      <c r="CR2803" s="6"/>
      <c r="CS2803" s="6"/>
      <c r="CT2803" s="6"/>
      <c r="CU2803" s="6"/>
      <c r="CV2803" s="6"/>
      <c r="CW2803" s="6"/>
      <c r="CX2803" s="6"/>
      <c r="CY2803" s="6"/>
      <c r="CZ2803" s="6"/>
    </row>
    <row r="2804" spans="27:104" s="5" customFormat="1" x14ac:dyDescent="0.25">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16"/>
      <c r="BC2804" s="6"/>
      <c r="BD2804" s="6"/>
      <c r="BE2804" s="6"/>
      <c r="BF2804" s="6"/>
      <c r="BG2804" s="6"/>
      <c r="BH2804" s="6"/>
      <c r="BI2804" s="6"/>
      <c r="BJ2804" s="6"/>
      <c r="BK2804" s="6"/>
      <c r="BL2804" s="6"/>
      <c r="BM2804" s="6"/>
      <c r="BN2804" s="6"/>
      <c r="BO2804" s="6"/>
      <c r="BP2804" s="6"/>
      <c r="BQ2804" s="6"/>
      <c r="BR2804" s="6"/>
      <c r="BS2804" s="6"/>
      <c r="BT2804" s="6"/>
      <c r="BU2804" s="6"/>
      <c r="BV2804" s="6"/>
      <c r="BW2804" s="6"/>
      <c r="BX2804" s="6"/>
      <c r="BY2804" s="6"/>
      <c r="BZ2804" s="6"/>
      <c r="CA2804" s="6"/>
      <c r="CB2804" s="6"/>
      <c r="CC2804" s="6"/>
      <c r="CD2804" s="6"/>
      <c r="CE2804" s="6"/>
      <c r="CF2804" s="6"/>
      <c r="CG2804" s="6"/>
      <c r="CH2804" s="6"/>
      <c r="CI2804" s="6"/>
      <c r="CJ2804" s="6"/>
      <c r="CK2804" s="6"/>
      <c r="CL2804" s="6"/>
      <c r="CM2804" s="6"/>
      <c r="CN2804" s="6"/>
      <c r="CO2804" s="6"/>
      <c r="CP2804" s="6"/>
      <c r="CQ2804" s="6"/>
      <c r="CR2804" s="6"/>
      <c r="CS2804" s="6"/>
      <c r="CT2804" s="6"/>
      <c r="CU2804" s="6"/>
      <c r="CV2804" s="6"/>
      <c r="CW2804" s="6"/>
      <c r="CX2804" s="6"/>
      <c r="CY2804" s="6"/>
      <c r="CZ2804" s="6"/>
    </row>
    <row r="2805" spans="27:104" s="5" customFormat="1" x14ac:dyDescent="0.25">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16"/>
      <c r="BC2805" s="6"/>
      <c r="BD2805" s="6"/>
      <c r="BE2805" s="6"/>
      <c r="BF2805" s="6"/>
      <c r="BG2805" s="6"/>
      <c r="BH2805" s="6"/>
      <c r="BI2805" s="6"/>
      <c r="BJ2805" s="6"/>
      <c r="BK2805" s="6"/>
      <c r="BL2805" s="6"/>
      <c r="BM2805" s="6"/>
      <c r="BN2805" s="6"/>
      <c r="BO2805" s="6"/>
      <c r="BP2805" s="6"/>
      <c r="BQ2805" s="6"/>
      <c r="BR2805" s="6"/>
      <c r="BS2805" s="6"/>
      <c r="BT2805" s="6"/>
      <c r="BU2805" s="6"/>
      <c r="BV2805" s="6"/>
      <c r="BW2805" s="6"/>
      <c r="BX2805" s="6"/>
      <c r="BY2805" s="6"/>
      <c r="BZ2805" s="6"/>
      <c r="CA2805" s="6"/>
      <c r="CB2805" s="6"/>
      <c r="CC2805" s="6"/>
      <c r="CD2805" s="6"/>
      <c r="CE2805" s="6"/>
      <c r="CF2805" s="6"/>
      <c r="CG2805" s="6"/>
      <c r="CH2805" s="6"/>
      <c r="CI2805" s="6"/>
      <c r="CJ2805" s="6"/>
      <c r="CK2805" s="6"/>
      <c r="CL2805" s="6"/>
      <c r="CM2805" s="6"/>
      <c r="CN2805" s="6"/>
      <c r="CO2805" s="6"/>
      <c r="CP2805" s="6"/>
      <c r="CQ2805" s="6"/>
      <c r="CR2805" s="6"/>
      <c r="CS2805" s="6"/>
      <c r="CT2805" s="6"/>
      <c r="CU2805" s="6"/>
      <c r="CV2805" s="6"/>
      <c r="CW2805" s="6"/>
      <c r="CX2805" s="6"/>
      <c r="CY2805" s="6"/>
      <c r="CZ2805" s="6"/>
    </row>
    <row r="2806" spans="27:104" s="5" customFormat="1" x14ac:dyDescent="0.25">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16"/>
      <c r="BC2806" s="6"/>
      <c r="BD2806" s="6"/>
      <c r="BE2806" s="6"/>
      <c r="BF2806" s="6"/>
      <c r="BG2806" s="6"/>
      <c r="BH2806" s="6"/>
      <c r="BI2806" s="6"/>
      <c r="BJ2806" s="6"/>
      <c r="BK2806" s="6"/>
      <c r="BL2806" s="6"/>
      <c r="BM2806" s="6"/>
      <c r="BN2806" s="6"/>
      <c r="BO2806" s="6"/>
      <c r="BP2806" s="6"/>
      <c r="BQ2806" s="6"/>
      <c r="BR2806" s="6"/>
      <c r="BS2806" s="6"/>
      <c r="BT2806" s="6"/>
      <c r="BU2806" s="6"/>
      <c r="BV2806" s="6"/>
      <c r="BW2806" s="6"/>
      <c r="BX2806" s="6"/>
      <c r="BY2806" s="6"/>
      <c r="BZ2806" s="6"/>
      <c r="CA2806" s="6"/>
      <c r="CB2806" s="6"/>
      <c r="CC2806" s="6"/>
      <c r="CD2806" s="6"/>
      <c r="CE2806" s="6"/>
      <c r="CF2806" s="6"/>
      <c r="CG2806" s="6"/>
      <c r="CH2806" s="6"/>
      <c r="CI2806" s="6"/>
      <c r="CJ2806" s="6"/>
      <c r="CK2806" s="6"/>
      <c r="CL2806" s="6"/>
      <c r="CM2806" s="6"/>
      <c r="CN2806" s="6"/>
      <c r="CO2806" s="6"/>
      <c r="CP2806" s="6"/>
      <c r="CQ2806" s="6"/>
      <c r="CR2806" s="6"/>
      <c r="CS2806" s="6"/>
      <c r="CT2806" s="6"/>
      <c r="CU2806" s="6"/>
      <c r="CV2806" s="6"/>
      <c r="CW2806" s="6"/>
      <c r="CX2806" s="6"/>
      <c r="CY2806" s="6"/>
      <c r="CZ2806" s="6"/>
    </row>
    <row r="2807" spans="27:104" s="5" customFormat="1" x14ac:dyDescent="0.25">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16"/>
      <c r="BC2807" s="6"/>
      <c r="BD2807" s="6"/>
      <c r="BE2807" s="6"/>
      <c r="BF2807" s="6"/>
      <c r="BG2807" s="6"/>
      <c r="BH2807" s="6"/>
      <c r="BI2807" s="6"/>
      <c r="BJ2807" s="6"/>
      <c r="BK2807" s="6"/>
      <c r="BL2807" s="6"/>
      <c r="BM2807" s="6"/>
      <c r="BN2807" s="6"/>
      <c r="BO2807" s="6"/>
      <c r="BP2807" s="6"/>
      <c r="BQ2807" s="6"/>
      <c r="BR2807" s="6"/>
      <c r="BS2807" s="6"/>
      <c r="BT2807" s="6"/>
      <c r="BU2807" s="6"/>
      <c r="BV2807" s="6"/>
      <c r="BW2807" s="6"/>
      <c r="BX2807" s="6"/>
      <c r="BY2807" s="6"/>
      <c r="BZ2807" s="6"/>
      <c r="CA2807" s="6"/>
      <c r="CB2807" s="6"/>
      <c r="CC2807" s="6"/>
      <c r="CD2807" s="6"/>
      <c r="CE2807" s="6"/>
      <c r="CF2807" s="6"/>
      <c r="CG2807" s="6"/>
      <c r="CH2807" s="6"/>
      <c r="CI2807" s="6"/>
      <c r="CJ2807" s="6"/>
      <c r="CK2807" s="6"/>
      <c r="CL2807" s="6"/>
      <c r="CM2807" s="6"/>
      <c r="CN2807" s="6"/>
      <c r="CO2807" s="6"/>
      <c r="CP2807" s="6"/>
      <c r="CQ2807" s="6"/>
      <c r="CR2807" s="6"/>
      <c r="CS2807" s="6"/>
      <c r="CT2807" s="6"/>
      <c r="CU2807" s="6"/>
      <c r="CV2807" s="6"/>
      <c r="CW2807" s="6"/>
      <c r="CX2807" s="6"/>
      <c r="CY2807" s="6"/>
      <c r="CZ2807" s="6"/>
    </row>
    <row r="2808" spans="27:104" s="5" customFormat="1" x14ac:dyDescent="0.25">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16"/>
      <c r="BC2808" s="6"/>
      <c r="BD2808" s="6"/>
      <c r="BE2808" s="6"/>
      <c r="BF2808" s="6"/>
      <c r="BG2808" s="6"/>
      <c r="BH2808" s="6"/>
      <c r="BI2808" s="6"/>
      <c r="BJ2808" s="6"/>
      <c r="BK2808" s="6"/>
      <c r="BL2808" s="6"/>
      <c r="BM2808" s="6"/>
      <c r="BN2808" s="6"/>
      <c r="BO2808" s="6"/>
      <c r="BP2808" s="6"/>
      <c r="BQ2808" s="6"/>
      <c r="BR2808" s="6"/>
      <c r="BS2808" s="6"/>
      <c r="BT2808" s="6"/>
      <c r="BU2808" s="6"/>
      <c r="BV2808" s="6"/>
      <c r="BW2808" s="6"/>
      <c r="BX2808" s="6"/>
      <c r="BY2808" s="6"/>
      <c r="BZ2808" s="6"/>
      <c r="CA2808" s="6"/>
      <c r="CB2808" s="6"/>
      <c r="CC2808" s="6"/>
      <c r="CD2808" s="6"/>
      <c r="CE2808" s="6"/>
      <c r="CF2808" s="6"/>
      <c r="CG2808" s="6"/>
      <c r="CH2808" s="6"/>
      <c r="CI2808" s="6"/>
      <c r="CJ2808" s="6"/>
      <c r="CK2808" s="6"/>
      <c r="CL2808" s="6"/>
      <c r="CM2808" s="6"/>
      <c r="CN2808" s="6"/>
      <c r="CO2808" s="6"/>
      <c r="CP2808" s="6"/>
      <c r="CQ2808" s="6"/>
      <c r="CR2808" s="6"/>
      <c r="CS2808" s="6"/>
      <c r="CT2808" s="6"/>
      <c r="CU2808" s="6"/>
      <c r="CV2808" s="6"/>
      <c r="CW2808" s="6"/>
      <c r="CX2808" s="6"/>
      <c r="CY2808" s="6"/>
      <c r="CZ2808" s="6"/>
    </row>
    <row r="2809" spans="27:104" s="5" customFormat="1" x14ac:dyDescent="0.25">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16"/>
      <c r="BC2809" s="6"/>
      <c r="BD2809" s="6"/>
      <c r="BE2809" s="6"/>
      <c r="BF2809" s="6"/>
      <c r="BG2809" s="6"/>
      <c r="BH2809" s="6"/>
      <c r="BI2809" s="6"/>
      <c r="BJ2809" s="6"/>
      <c r="BK2809" s="6"/>
      <c r="BL2809" s="6"/>
      <c r="BM2809" s="6"/>
      <c r="BN2809" s="6"/>
      <c r="BO2809" s="6"/>
      <c r="BP2809" s="6"/>
      <c r="BQ2809" s="6"/>
      <c r="BR2809" s="6"/>
      <c r="BS2809" s="6"/>
      <c r="BT2809" s="6"/>
      <c r="BU2809" s="6"/>
      <c r="BV2809" s="6"/>
      <c r="BW2809" s="6"/>
      <c r="BX2809" s="6"/>
      <c r="BY2809" s="6"/>
      <c r="BZ2809" s="6"/>
      <c r="CA2809" s="6"/>
      <c r="CB2809" s="6"/>
      <c r="CC2809" s="6"/>
      <c r="CD2809" s="6"/>
      <c r="CE2809" s="6"/>
      <c r="CF2809" s="6"/>
      <c r="CG2809" s="6"/>
      <c r="CH2809" s="6"/>
      <c r="CI2809" s="6"/>
      <c r="CJ2809" s="6"/>
      <c r="CK2809" s="6"/>
      <c r="CL2809" s="6"/>
      <c r="CM2809" s="6"/>
      <c r="CN2809" s="6"/>
      <c r="CO2809" s="6"/>
      <c r="CP2809" s="6"/>
      <c r="CQ2809" s="6"/>
      <c r="CR2809" s="6"/>
      <c r="CS2809" s="6"/>
      <c r="CT2809" s="6"/>
      <c r="CU2809" s="6"/>
      <c r="CV2809" s="6"/>
      <c r="CW2809" s="6"/>
      <c r="CX2809" s="6"/>
      <c r="CY2809" s="6"/>
      <c r="CZ2809" s="6"/>
    </row>
    <row r="2810" spans="27:104" s="5" customFormat="1" x14ac:dyDescent="0.25">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16"/>
      <c r="BC2810" s="6"/>
      <c r="BD2810" s="6"/>
      <c r="BE2810" s="6"/>
      <c r="BF2810" s="6"/>
      <c r="BG2810" s="6"/>
      <c r="BH2810" s="6"/>
      <c r="BI2810" s="6"/>
      <c r="BJ2810" s="6"/>
      <c r="BK2810" s="6"/>
      <c r="BL2810" s="6"/>
      <c r="BM2810" s="6"/>
      <c r="BN2810" s="6"/>
      <c r="BO2810" s="6"/>
      <c r="BP2810" s="6"/>
      <c r="BQ2810" s="6"/>
      <c r="BR2810" s="6"/>
      <c r="BS2810" s="6"/>
      <c r="BT2810" s="6"/>
      <c r="BU2810" s="6"/>
      <c r="BV2810" s="6"/>
      <c r="BW2810" s="6"/>
      <c r="BX2810" s="6"/>
      <c r="BY2810" s="6"/>
      <c r="BZ2810" s="6"/>
      <c r="CA2810" s="6"/>
      <c r="CB2810" s="6"/>
      <c r="CC2810" s="6"/>
      <c r="CD2810" s="6"/>
      <c r="CE2810" s="6"/>
      <c r="CF2810" s="6"/>
      <c r="CG2810" s="6"/>
      <c r="CH2810" s="6"/>
      <c r="CI2810" s="6"/>
      <c r="CJ2810" s="6"/>
      <c r="CK2810" s="6"/>
      <c r="CL2810" s="6"/>
      <c r="CM2810" s="6"/>
      <c r="CN2810" s="6"/>
      <c r="CO2810" s="6"/>
      <c r="CP2810" s="6"/>
      <c r="CQ2810" s="6"/>
      <c r="CR2810" s="6"/>
      <c r="CS2810" s="6"/>
      <c r="CT2810" s="6"/>
      <c r="CU2810" s="6"/>
      <c r="CV2810" s="6"/>
      <c r="CW2810" s="6"/>
      <c r="CX2810" s="6"/>
      <c r="CY2810" s="6"/>
      <c r="CZ2810" s="6"/>
    </row>
    <row r="2811" spans="27:104" s="5" customFormat="1" x14ac:dyDescent="0.25">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16"/>
      <c r="BC2811" s="6"/>
      <c r="BD2811" s="6"/>
      <c r="BE2811" s="6"/>
      <c r="BF2811" s="6"/>
      <c r="BG2811" s="6"/>
      <c r="BH2811" s="6"/>
      <c r="BI2811" s="6"/>
      <c r="BJ2811" s="6"/>
      <c r="BK2811" s="6"/>
      <c r="BL2811" s="6"/>
      <c r="BM2811" s="6"/>
      <c r="BN2811" s="6"/>
      <c r="BO2811" s="6"/>
      <c r="BP2811" s="6"/>
      <c r="BQ2811" s="6"/>
      <c r="BR2811" s="6"/>
      <c r="BS2811" s="6"/>
      <c r="BT2811" s="6"/>
      <c r="BU2811" s="6"/>
      <c r="BV2811" s="6"/>
      <c r="BW2811" s="6"/>
      <c r="BX2811" s="6"/>
      <c r="BY2811" s="6"/>
      <c r="BZ2811" s="6"/>
      <c r="CA2811" s="6"/>
      <c r="CB2811" s="6"/>
      <c r="CC2811" s="6"/>
      <c r="CD2811" s="6"/>
      <c r="CE2811" s="6"/>
      <c r="CF2811" s="6"/>
      <c r="CG2811" s="6"/>
      <c r="CH2811" s="6"/>
      <c r="CI2811" s="6"/>
      <c r="CJ2811" s="6"/>
      <c r="CK2811" s="6"/>
      <c r="CL2811" s="6"/>
      <c r="CM2811" s="6"/>
      <c r="CN2811" s="6"/>
      <c r="CO2811" s="6"/>
      <c r="CP2811" s="6"/>
      <c r="CQ2811" s="6"/>
      <c r="CR2811" s="6"/>
      <c r="CS2811" s="6"/>
      <c r="CT2811" s="6"/>
      <c r="CU2811" s="6"/>
      <c r="CV2811" s="6"/>
      <c r="CW2811" s="6"/>
      <c r="CX2811" s="6"/>
      <c r="CY2811" s="6"/>
      <c r="CZ2811" s="6"/>
    </row>
    <row r="2812" spans="27:104" s="5" customFormat="1" x14ac:dyDescent="0.25">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16"/>
      <c r="BC2812" s="6"/>
      <c r="BD2812" s="6"/>
      <c r="BE2812" s="6"/>
      <c r="BF2812" s="6"/>
      <c r="BG2812" s="6"/>
      <c r="BH2812" s="6"/>
      <c r="BI2812" s="6"/>
      <c r="BJ2812" s="6"/>
      <c r="BK2812" s="6"/>
      <c r="BL2812" s="6"/>
      <c r="BM2812" s="6"/>
      <c r="BN2812" s="6"/>
      <c r="BO2812" s="6"/>
      <c r="BP2812" s="6"/>
      <c r="BQ2812" s="6"/>
      <c r="BR2812" s="6"/>
      <c r="BS2812" s="6"/>
      <c r="BT2812" s="6"/>
      <c r="BU2812" s="6"/>
      <c r="BV2812" s="6"/>
      <c r="BW2812" s="6"/>
      <c r="BX2812" s="6"/>
      <c r="BY2812" s="6"/>
      <c r="BZ2812" s="6"/>
      <c r="CA2812" s="6"/>
      <c r="CB2812" s="6"/>
      <c r="CC2812" s="6"/>
      <c r="CD2812" s="6"/>
      <c r="CE2812" s="6"/>
      <c r="CF2812" s="6"/>
      <c r="CG2812" s="6"/>
      <c r="CH2812" s="6"/>
      <c r="CI2812" s="6"/>
      <c r="CJ2812" s="6"/>
      <c r="CK2812" s="6"/>
      <c r="CL2812" s="6"/>
      <c r="CM2812" s="6"/>
      <c r="CN2812" s="6"/>
      <c r="CO2812" s="6"/>
      <c r="CP2812" s="6"/>
      <c r="CQ2812" s="6"/>
      <c r="CR2812" s="6"/>
      <c r="CS2812" s="6"/>
      <c r="CT2812" s="6"/>
      <c r="CU2812" s="6"/>
      <c r="CV2812" s="6"/>
      <c r="CW2812" s="6"/>
      <c r="CX2812" s="6"/>
      <c r="CY2812" s="6"/>
      <c r="CZ2812" s="6"/>
    </row>
    <row r="2813" spans="27:104" s="5" customFormat="1" x14ac:dyDescent="0.25">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16"/>
      <c r="BC2813" s="6"/>
      <c r="BD2813" s="6"/>
      <c r="BE2813" s="6"/>
      <c r="BF2813" s="6"/>
      <c r="BG2813" s="6"/>
      <c r="BH2813" s="6"/>
      <c r="BI2813" s="6"/>
      <c r="BJ2813" s="6"/>
      <c r="BK2813" s="6"/>
      <c r="BL2813" s="6"/>
      <c r="BM2813" s="6"/>
      <c r="BN2813" s="6"/>
      <c r="BO2813" s="6"/>
      <c r="BP2813" s="6"/>
      <c r="BQ2813" s="6"/>
      <c r="BR2813" s="6"/>
      <c r="BS2813" s="6"/>
      <c r="BT2813" s="6"/>
      <c r="BU2813" s="6"/>
      <c r="BV2813" s="6"/>
      <c r="BW2813" s="6"/>
      <c r="BX2813" s="6"/>
      <c r="BY2813" s="6"/>
      <c r="BZ2813" s="6"/>
      <c r="CA2813" s="6"/>
      <c r="CB2813" s="6"/>
      <c r="CC2813" s="6"/>
      <c r="CD2813" s="6"/>
      <c r="CE2813" s="6"/>
      <c r="CF2813" s="6"/>
      <c r="CG2813" s="6"/>
      <c r="CH2813" s="6"/>
      <c r="CI2813" s="6"/>
      <c r="CJ2813" s="6"/>
      <c r="CK2813" s="6"/>
      <c r="CL2813" s="6"/>
      <c r="CM2813" s="6"/>
      <c r="CN2813" s="6"/>
      <c r="CO2813" s="6"/>
      <c r="CP2813" s="6"/>
      <c r="CQ2813" s="6"/>
      <c r="CR2813" s="6"/>
      <c r="CS2813" s="6"/>
      <c r="CT2813" s="6"/>
      <c r="CU2813" s="6"/>
      <c r="CV2813" s="6"/>
      <c r="CW2813" s="6"/>
      <c r="CX2813" s="6"/>
      <c r="CY2813" s="6"/>
      <c r="CZ2813" s="6"/>
    </row>
    <row r="2814" spans="27:104" s="5" customFormat="1" x14ac:dyDescent="0.25">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16"/>
      <c r="BC2814" s="6"/>
      <c r="BD2814" s="6"/>
      <c r="BE2814" s="6"/>
      <c r="BF2814" s="6"/>
      <c r="BG2814" s="6"/>
      <c r="BH2814" s="6"/>
      <c r="BI2814" s="6"/>
      <c r="BJ2814" s="6"/>
      <c r="BK2814" s="6"/>
      <c r="BL2814" s="6"/>
      <c r="BM2814" s="6"/>
      <c r="BN2814" s="6"/>
      <c r="BO2814" s="6"/>
      <c r="BP2814" s="6"/>
      <c r="BQ2814" s="6"/>
      <c r="BR2814" s="6"/>
      <c r="BS2814" s="6"/>
      <c r="BT2814" s="6"/>
      <c r="BU2814" s="6"/>
      <c r="BV2814" s="6"/>
      <c r="BW2814" s="6"/>
      <c r="BX2814" s="6"/>
      <c r="BY2814" s="6"/>
      <c r="BZ2814" s="6"/>
      <c r="CA2814" s="6"/>
      <c r="CB2814" s="6"/>
      <c r="CC2814" s="6"/>
      <c r="CD2814" s="6"/>
      <c r="CE2814" s="6"/>
      <c r="CF2814" s="6"/>
      <c r="CG2814" s="6"/>
      <c r="CH2814" s="6"/>
      <c r="CI2814" s="6"/>
      <c r="CJ2814" s="6"/>
      <c r="CK2814" s="6"/>
      <c r="CL2814" s="6"/>
      <c r="CM2814" s="6"/>
      <c r="CN2814" s="6"/>
      <c r="CO2814" s="6"/>
      <c r="CP2814" s="6"/>
      <c r="CQ2814" s="6"/>
      <c r="CR2814" s="6"/>
      <c r="CS2814" s="6"/>
      <c r="CT2814" s="6"/>
      <c r="CU2814" s="6"/>
      <c r="CV2814" s="6"/>
      <c r="CW2814" s="6"/>
      <c r="CX2814" s="6"/>
      <c r="CY2814" s="6"/>
      <c r="CZ2814" s="6"/>
    </row>
    <row r="2815" spans="27:104" s="5" customFormat="1" x14ac:dyDescent="0.25">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16"/>
      <c r="BC2815" s="6"/>
      <c r="BD2815" s="6"/>
      <c r="BE2815" s="6"/>
      <c r="BF2815" s="6"/>
      <c r="BG2815" s="6"/>
      <c r="BH2815" s="6"/>
      <c r="BI2815" s="6"/>
      <c r="BJ2815" s="6"/>
      <c r="BK2815" s="6"/>
      <c r="BL2815" s="6"/>
      <c r="BM2815" s="6"/>
      <c r="BN2815" s="6"/>
      <c r="BO2815" s="6"/>
      <c r="BP2815" s="6"/>
      <c r="BQ2815" s="6"/>
      <c r="BR2815" s="6"/>
      <c r="BS2815" s="6"/>
      <c r="BT2815" s="6"/>
      <c r="BU2815" s="6"/>
      <c r="BV2815" s="6"/>
      <c r="BW2815" s="6"/>
      <c r="BX2815" s="6"/>
      <c r="BY2815" s="6"/>
      <c r="BZ2815" s="6"/>
      <c r="CA2815" s="6"/>
      <c r="CB2815" s="6"/>
      <c r="CC2815" s="6"/>
      <c r="CD2815" s="6"/>
      <c r="CE2815" s="6"/>
      <c r="CF2815" s="6"/>
      <c r="CG2815" s="6"/>
      <c r="CH2815" s="6"/>
      <c r="CI2815" s="6"/>
      <c r="CJ2815" s="6"/>
      <c r="CK2815" s="6"/>
      <c r="CL2815" s="6"/>
      <c r="CM2815" s="6"/>
      <c r="CN2815" s="6"/>
      <c r="CO2815" s="6"/>
      <c r="CP2815" s="6"/>
      <c r="CQ2815" s="6"/>
      <c r="CR2815" s="6"/>
      <c r="CS2815" s="6"/>
      <c r="CT2815" s="6"/>
      <c r="CU2815" s="6"/>
      <c r="CV2815" s="6"/>
      <c r="CW2815" s="6"/>
      <c r="CX2815" s="6"/>
      <c r="CY2815" s="6"/>
      <c r="CZ2815" s="6"/>
    </row>
    <row r="2816" spans="27:104" s="5" customFormat="1" x14ac:dyDescent="0.25">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16"/>
      <c r="BC2816" s="6"/>
      <c r="BD2816" s="6"/>
      <c r="BE2816" s="6"/>
      <c r="BF2816" s="6"/>
      <c r="BG2816" s="6"/>
      <c r="BH2816" s="6"/>
      <c r="BI2816" s="6"/>
      <c r="BJ2816" s="6"/>
      <c r="BK2816" s="6"/>
      <c r="BL2816" s="6"/>
      <c r="BM2816" s="6"/>
      <c r="BN2816" s="6"/>
      <c r="BO2816" s="6"/>
      <c r="BP2816" s="6"/>
      <c r="BQ2816" s="6"/>
      <c r="BR2816" s="6"/>
      <c r="BS2816" s="6"/>
      <c r="BT2816" s="6"/>
      <c r="BU2816" s="6"/>
      <c r="BV2816" s="6"/>
      <c r="BW2816" s="6"/>
      <c r="BX2816" s="6"/>
      <c r="BY2816" s="6"/>
      <c r="BZ2816" s="6"/>
      <c r="CA2816" s="6"/>
      <c r="CB2816" s="6"/>
      <c r="CC2816" s="6"/>
      <c r="CD2816" s="6"/>
      <c r="CE2816" s="6"/>
      <c r="CF2816" s="6"/>
      <c r="CG2816" s="6"/>
      <c r="CH2816" s="6"/>
      <c r="CI2816" s="6"/>
      <c r="CJ2816" s="6"/>
      <c r="CK2816" s="6"/>
      <c r="CL2816" s="6"/>
      <c r="CM2816" s="6"/>
      <c r="CN2816" s="6"/>
      <c r="CO2816" s="6"/>
      <c r="CP2816" s="6"/>
      <c r="CQ2816" s="6"/>
      <c r="CR2816" s="6"/>
      <c r="CS2816" s="6"/>
      <c r="CT2816" s="6"/>
      <c r="CU2816" s="6"/>
      <c r="CV2816" s="6"/>
      <c r="CW2816" s="6"/>
      <c r="CX2816" s="6"/>
      <c r="CY2816" s="6"/>
      <c r="CZ2816" s="6"/>
    </row>
    <row r="2817" spans="27:104" s="5" customFormat="1" x14ac:dyDescent="0.25">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16"/>
      <c r="BC2817" s="6"/>
      <c r="BD2817" s="6"/>
      <c r="BE2817" s="6"/>
      <c r="BF2817" s="6"/>
      <c r="BG2817" s="6"/>
      <c r="BH2817" s="6"/>
      <c r="BI2817" s="6"/>
      <c r="BJ2817" s="6"/>
      <c r="BK2817" s="6"/>
      <c r="BL2817" s="6"/>
      <c r="BM2817" s="6"/>
      <c r="BN2817" s="6"/>
      <c r="BO2817" s="6"/>
      <c r="BP2817" s="6"/>
      <c r="BQ2817" s="6"/>
      <c r="BR2817" s="6"/>
      <c r="BS2817" s="6"/>
      <c r="BT2817" s="6"/>
      <c r="BU2817" s="6"/>
      <c r="BV2817" s="6"/>
      <c r="BW2817" s="6"/>
      <c r="BX2817" s="6"/>
      <c r="BY2817" s="6"/>
      <c r="BZ2817" s="6"/>
      <c r="CA2817" s="6"/>
      <c r="CB2817" s="6"/>
      <c r="CC2817" s="6"/>
      <c r="CD2817" s="6"/>
      <c r="CE2817" s="6"/>
      <c r="CF2817" s="6"/>
      <c r="CG2817" s="6"/>
      <c r="CH2817" s="6"/>
      <c r="CI2817" s="6"/>
      <c r="CJ2817" s="6"/>
      <c r="CK2817" s="6"/>
      <c r="CL2817" s="6"/>
      <c r="CM2817" s="6"/>
      <c r="CN2817" s="6"/>
      <c r="CO2817" s="6"/>
      <c r="CP2817" s="6"/>
      <c r="CQ2817" s="6"/>
      <c r="CR2817" s="6"/>
      <c r="CS2817" s="6"/>
      <c r="CT2817" s="6"/>
      <c r="CU2817" s="6"/>
      <c r="CV2817" s="6"/>
      <c r="CW2817" s="6"/>
      <c r="CX2817" s="6"/>
      <c r="CY2817" s="6"/>
      <c r="CZ2817" s="6"/>
    </row>
    <row r="2818" spans="27:104" s="5" customFormat="1" x14ac:dyDescent="0.25">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16"/>
      <c r="BC2818" s="6"/>
      <c r="BD2818" s="6"/>
      <c r="BE2818" s="6"/>
      <c r="BF2818" s="6"/>
      <c r="BG2818" s="6"/>
      <c r="BH2818" s="6"/>
      <c r="BI2818" s="6"/>
      <c r="BJ2818" s="6"/>
      <c r="BK2818" s="6"/>
      <c r="BL2818" s="6"/>
      <c r="BM2818" s="6"/>
      <c r="BN2818" s="6"/>
      <c r="BO2818" s="6"/>
      <c r="BP2818" s="6"/>
      <c r="BQ2818" s="6"/>
      <c r="BR2818" s="6"/>
      <c r="BS2818" s="6"/>
      <c r="BT2818" s="6"/>
      <c r="BU2818" s="6"/>
      <c r="BV2818" s="6"/>
      <c r="BW2818" s="6"/>
      <c r="BX2818" s="6"/>
      <c r="BY2818" s="6"/>
      <c r="BZ2818" s="6"/>
      <c r="CA2818" s="6"/>
      <c r="CB2818" s="6"/>
      <c r="CC2818" s="6"/>
      <c r="CD2818" s="6"/>
      <c r="CE2818" s="6"/>
      <c r="CF2818" s="6"/>
      <c r="CG2818" s="6"/>
      <c r="CH2818" s="6"/>
      <c r="CI2818" s="6"/>
      <c r="CJ2818" s="6"/>
      <c r="CK2818" s="6"/>
      <c r="CL2818" s="6"/>
      <c r="CM2818" s="6"/>
      <c r="CN2818" s="6"/>
      <c r="CO2818" s="6"/>
      <c r="CP2818" s="6"/>
      <c r="CQ2818" s="6"/>
      <c r="CR2818" s="6"/>
      <c r="CS2818" s="6"/>
      <c r="CT2818" s="6"/>
      <c r="CU2818" s="6"/>
      <c r="CV2818" s="6"/>
      <c r="CW2818" s="6"/>
      <c r="CX2818" s="6"/>
      <c r="CY2818" s="6"/>
      <c r="CZ2818" s="6"/>
    </row>
    <row r="2819" spans="27:104" s="5" customFormat="1" x14ac:dyDescent="0.25">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16"/>
      <c r="BC2819" s="6"/>
      <c r="BD2819" s="6"/>
      <c r="BE2819" s="6"/>
      <c r="BF2819" s="6"/>
      <c r="BG2819" s="6"/>
      <c r="BH2819" s="6"/>
      <c r="BI2819" s="6"/>
      <c r="BJ2819" s="6"/>
      <c r="BK2819" s="6"/>
      <c r="BL2819" s="6"/>
      <c r="BM2819" s="6"/>
      <c r="BN2819" s="6"/>
      <c r="BO2819" s="6"/>
      <c r="BP2819" s="6"/>
      <c r="BQ2819" s="6"/>
      <c r="BR2819" s="6"/>
      <c r="BS2819" s="6"/>
      <c r="BT2819" s="6"/>
      <c r="BU2819" s="6"/>
      <c r="BV2819" s="6"/>
      <c r="BW2819" s="6"/>
      <c r="BX2819" s="6"/>
      <c r="BY2819" s="6"/>
      <c r="BZ2819" s="6"/>
      <c r="CA2819" s="6"/>
      <c r="CB2819" s="6"/>
      <c r="CC2819" s="6"/>
      <c r="CD2819" s="6"/>
      <c r="CE2819" s="6"/>
      <c r="CF2819" s="6"/>
      <c r="CG2819" s="6"/>
      <c r="CH2819" s="6"/>
      <c r="CI2819" s="6"/>
      <c r="CJ2819" s="6"/>
      <c r="CK2819" s="6"/>
      <c r="CL2819" s="6"/>
      <c r="CM2819" s="6"/>
      <c r="CN2819" s="6"/>
      <c r="CO2819" s="6"/>
      <c r="CP2819" s="6"/>
      <c r="CQ2819" s="6"/>
      <c r="CR2819" s="6"/>
      <c r="CS2819" s="6"/>
      <c r="CT2819" s="6"/>
      <c r="CU2819" s="6"/>
      <c r="CV2819" s="6"/>
      <c r="CW2819" s="6"/>
      <c r="CX2819" s="6"/>
      <c r="CY2819" s="6"/>
      <c r="CZ2819" s="6"/>
    </row>
    <row r="2820" spans="27:104" s="5" customFormat="1" x14ac:dyDescent="0.25">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16"/>
      <c r="BC2820" s="6"/>
      <c r="BD2820" s="6"/>
      <c r="BE2820" s="6"/>
      <c r="BF2820" s="6"/>
      <c r="BG2820" s="6"/>
      <c r="BH2820" s="6"/>
      <c r="BI2820" s="6"/>
      <c r="BJ2820" s="6"/>
      <c r="BK2820" s="6"/>
      <c r="BL2820" s="6"/>
      <c r="BM2820" s="6"/>
      <c r="BN2820" s="6"/>
      <c r="BO2820" s="6"/>
      <c r="BP2820" s="6"/>
      <c r="BQ2820" s="6"/>
      <c r="BR2820" s="6"/>
      <c r="BS2820" s="6"/>
      <c r="BT2820" s="6"/>
      <c r="BU2820" s="6"/>
      <c r="BV2820" s="6"/>
      <c r="BW2820" s="6"/>
      <c r="BX2820" s="6"/>
      <c r="BY2820" s="6"/>
      <c r="BZ2820" s="6"/>
      <c r="CA2820" s="6"/>
      <c r="CB2820" s="6"/>
      <c r="CC2820" s="6"/>
      <c r="CD2820" s="6"/>
      <c r="CE2820" s="6"/>
      <c r="CF2820" s="6"/>
      <c r="CG2820" s="6"/>
      <c r="CH2820" s="6"/>
      <c r="CI2820" s="6"/>
      <c r="CJ2820" s="6"/>
      <c r="CK2820" s="6"/>
      <c r="CL2820" s="6"/>
      <c r="CM2820" s="6"/>
      <c r="CN2820" s="6"/>
      <c r="CO2820" s="6"/>
      <c r="CP2820" s="6"/>
      <c r="CQ2820" s="6"/>
      <c r="CR2820" s="6"/>
      <c r="CS2820" s="6"/>
      <c r="CT2820" s="6"/>
      <c r="CU2820" s="6"/>
      <c r="CV2820" s="6"/>
      <c r="CW2820" s="6"/>
      <c r="CX2820" s="6"/>
      <c r="CY2820" s="6"/>
      <c r="CZ2820" s="6"/>
    </row>
    <row r="2821" spans="27:104" s="5" customFormat="1" x14ac:dyDescent="0.25">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16"/>
      <c r="BC2821" s="6"/>
      <c r="BD2821" s="6"/>
      <c r="BE2821" s="6"/>
      <c r="BF2821" s="6"/>
      <c r="BG2821" s="6"/>
      <c r="BH2821" s="6"/>
      <c r="BI2821" s="6"/>
      <c r="BJ2821" s="6"/>
      <c r="BK2821" s="6"/>
      <c r="BL2821" s="6"/>
      <c r="BM2821" s="6"/>
      <c r="BN2821" s="6"/>
      <c r="BO2821" s="6"/>
      <c r="BP2821" s="6"/>
      <c r="BQ2821" s="6"/>
      <c r="BR2821" s="6"/>
      <c r="BS2821" s="6"/>
      <c r="BT2821" s="6"/>
      <c r="BU2821" s="6"/>
      <c r="BV2821" s="6"/>
      <c r="BW2821" s="6"/>
      <c r="BX2821" s="6"/>
      <c r="BY2821" s="6"/>
      <c r="BZ2821" s="6"/>
      <c r="CA2821" s="6"/>
      <c r="CB2821" s="6"/>
      <c r="CC2821" s="6"/>
      <c r="CD2821" s="6"/>
      <c r="CE2821" s="6"/>
      <c r="CF2821" s="6"/>
      <c r="CG2821" s="6"/>
      <c r="CH2821" s="6"/>
      <c r="CI2821" s="6"/>
      <c r="CJ2821" s="6"/>
      <c r="CK2821" s="6"/>
      <c r="CL2821" s="6"/>
      <c r="CM2821" s="6"/>
      <c r="CN2821" s="6"/>
      <c r="CO2821" s="6"/>
      <c r="CP2821" s="6"/>
      <c r="CQ2821" s="6"/>
      <c r="CR2821" s="6"/>
      <c r="CS2821" s="6"/>
      <c r="CT2821" s="6"/>
      <c r="CU2821" s="6"/>
      <c r="CV2821" s="6"/>
      <c r="CW2821" s="6"/>
      <c r="CX2821" s="6"/>
      <c r="CY2821" s="6"/>
      <c r="CZ2821" s="6"/>
    </row>
    <row r="2822" spans="27:104" s="5" customFormat="1" x14ac:dyDescent="0.25">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16"/>
      <c r="BC2822" s="6"/>
      <c r="BD2822" s="6"/>
      <c r="BE2822" s="6"/>
      <c r="BF2822" s="6"/>
      <c r="BG2822" s="6"/>
      <c r="BH2822" s="6"/>
      <c r="BI2822" s="6"/>
      <c r="BJ2822" s="6"/>
      <c r="BK2822" s="6"/>
      <c r="BL2822" s="6"/>
      <c r="BM2822" s="6"/>
      <c r="BN2822" s="6"/>
      <c r="BO2822" s="6"/>
      <c r="BP2822" s="6"/>
      <c r="BQ2822" s="6"/>
      <c r="BR2822" s="6"/>
      <c r="BS2822" s="6"/>
      <c r="BT2822" s="6"/>
      <c r="BU2822" s="6"/>
      <c r="BV2822" s="6"/>
      <c r="BW2822" s="6"/>
      <c r="BX2822" s="6"/>
      <c r="BY2822" s="6"/>
      <c r="BZ2822" s="6"/>
      <c r="CA2822" s="6"/>
      <c r="CB2822" s="6"/>
      <c r="CC2822" s="6"/>
      <c r="CD2822" s="6"/>
      <c r="CE2822" s="6"/>
      <c r="CF2822" s="6"/>
      <c r="CG2822" s="6"/>
      <c r="CH2822" s="6"/>
      <c r="CI2822" s="6"/>
      <c r="CJ2822" s="6"/>
      <c r="CK2822" s="6"/>
      <c r="CL2822" s="6"/>
      <c r="CM2822" s="6"/>
      <c r="CN2822" s="6"/>
      <c r="CO2822" s="6"/>
      <c r="CP2822" s="6"/>
      <c r="CQ2822" s="6"/>
      <c r="CR2822" s="6"/>
      <c r="CS2822" s="6"/>
      <c r="CT2822" s="6"/>
      <c r="CU2822" s="6"/>
      <c r="CV2822" s="6"/>
      <c r="CW2822" s="6"/>
      <c r="CX2822" s="6"/>
      <c r="CY2822" s="6"/>
      <c r="CZ2822" s="6"/>
    </row>
    <row r="2823" spans="27:104" s="5" customFormat="1" x14ac:dyDescent="0.25">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16"/>
      <c r="BC2823" s="6"/>
      <c r="BD2823" s="6"/>
      <c r="BE2823" s="6"/>
      <c r="BF2823" s="6"/>
      <c r="BG2823" s="6"/>
      <c r="BH2823" s="6"/>
      <c r="BI2823" s="6"/>
      <c r="BJ2823" s="6"/>
      <c r="BK2823" s="6"/>
      <c r="BL2823" s="6"/>
      <c r="BM2823" s="6"/>
      <c r="BN2823" s="6"/>
      <c r="BO2823" s="6"/>
      <c r="BP2823" s="6"/>
      <c r="BQ2823" s="6"/>
      <c r="BR2823" s="6"/>
      <c r="BS2823" s="6"/>
      <c r="BT2823" s="6"/>
      <c r="BU2823" s="6"/>
      <c r="BV2823" s="6"/>
      <c r="BW2823" s="6"/>
      <c r="BX2823" s="6"/>
      <c r="BY2823" s="6"/>
      <c r="BZ2823" s="6"/>
      <c r="CA2823" s="6"/>
      <c r="CB2823" s="6"/>
      <c r="CC2823" s="6"/>
      <c r="CD2823" s="6"/>
      <c r="CE2823" s="6"/>
      <c r="CF2823" s="6"/>
      <c r="CG2823" s="6"/>
      <c r="CH2823" s="6"/>
      <c r="CI2823" s="6"/>
      <c r="CJ2823" s="6"/>
      <c r="CK2823" s="6"/>
      <c r="CL2823" s="6"/>
      <c r="CM2823" s="6"/>
      <c r="CN2823" s="6"/>
      <c r="CO2823" s="6"/>
      <c r="CP2823" s="6"/>
      <c r="CQ2823" s="6"/>
      <c r="CR2823" s="6"/>
      <c r="CS2823" s="6"/>
      <c r="CT2823" s="6"/>
      <c r="CU2823" s="6"/>
      <c r="CV2823" s="6"/>
      <c r="CW2823" s="6"/>
      <c r="CX2823" s="6"/>
      <c r="CY2823" s="6"/>
      <c r="CZ2823" s="6"/>
    </row>
    <row r="2824" spans="27:104" s="5" customFormat="1" x14ac:dyDescent="0.25">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16"/>
      <c r="BC2824" s="6"/>
      <c r="BD2824" s="6"/>
      <c r="BE2824" s="6"/>
      <c r="BF2824" s="6"/>
      <c r="BG2824" s="6"/>
      <c r="BH2824" s="6"/>
      <c r="BI2824" s="6"/>
      <c r="BJ2824" s="6"/>
      <c r="BK2824" s="6"/>
      <c r="BL2824" s="6"/>
      <c r="BM2824" s="6"/>
      <c r="BN2824" s="6"/>
      <c r="BO2824" s="6"/>
      <c r="BP2824" s="6"/>
      <c r="BQ2824" s="6"/>
      <c r="BR2824" s="6"/>
      <c r="BS2824" s="6"/>
      <c r="BT2824" s="6"/>
      <c r="BU2824" s="6"/>
      <c r="BV2824" s="6"/>
      <c r="BW2824" s="6"/>
      <c r="BX2824" s="6"/>
      <c r="BY2824" s="6"/>
      <c r="BZ2824" s="6"/>
      <c r="CA2824" s="6"/>
      <c r="CB2824" s="6"/>
      <c r="CC2824" s="6"/>
      <c r="CD2824" s="6"/>
      <c r="CE2824" s="6"/>
      <c r="CF2824" s="6"/>
      <c r="CG2824" s="6"/>
      <c r="CH2824" s="6"/>
      <c r="CI2824" s="6"/>
      <c r="CJ2824" s="6"/>
      <c r="CK2824" s="6"/>
      <c r="CL2824" s="6"/>
      <c r="CM2824" s="6"/>
      <c r="CN2824" s="6"/>
      <c r="CO2824" s="6"/>
      <c r="CP2824" s="6"/>
      <c r="CQ2824" s="6"/>
      <c r="CR2824" s="6"/>
      <c r="CS2824" s="6"/>
      <c r="CT2824" s="6"/>
      <c r="CU2824" s="6"/>
      <c r="CV2824" s="6"/>
      <c r="CW2824" s="6"/>
      <c r="CX2824" s="6"/>
      <c r="CY2824" s="6"/>
      <c r="CZ2824" s="6"/>
    </row>
    <row r="2825" spans="27:104" s="5" customFormat="1" x14ac:dyDescent="0.25">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16"/>
      <c r="BC2825" s="6"/>
      <c r="BD2825" s="6"/>
      <c r="BE2825" s="6"/>
      <c r="BF2825" s="6"/>
      <c r="BG2825" s="6"/>
      <c r="BH2825" s="6"/>
      <c r="BI2825" s="6"/>
      <c r="BJ2825" s="6"/>
      <c r="BK2825" s="6"/>
      <c r="BL2825" s="6"/>
      <c r="BM2825" s="6"/>
      <c r="BN2825" s="6"/>
      <c r="BO2825" s="6"/>
      <c r="BP2825" s="6"/>
      <c r="BQ2825" s="6"/>
      <c r="BR2825" s="6"/>
      <c r="BS2825" s="6"/>
      <c r="BT2825" s="6"/>
      <c r="BU2825" s="6"/>
      <c r="BV2825" s="6"/>
      <c r="BW2825" s="6"/>
      <c r="BX2825" s="6"/>
      <c r="BY2825" s="6"/>
      <c r="BZ2825" s="6"/>
      <c r="CA2825" s="6"/>
      <c r="CB2825" s="6"/>
      <c r="CC2825" s="6"/>
      <c r="CD2825" s="6"/>
      <c r="CE2825" s="6"/>
      <c r="CF2825" s="6"/>
      <c r="CG2825" s="6"/>
      <c r="CH2825" s="6"/>
      <c r="CI2825" s="6"/>
      <c r="CJ2825" s="6"/>
      <c r="CK2825" s="6"/>
      <c r="CL2825" s="6"/>
      <c r="CM2825" s="6"/>
      <c r="CN2825" s="6"/>
      <c r="CO2825" s="6"/>
      <c r="CP2825" s="6"/>
      <c r="CQ2825" s="6"/>
      <c r="CR2825" s="6"/>
      <c r="CS2825" s="6"/>
      <c r="CT2825" s="6"/>
      <c r="CU2825" s="6"/>
      <c r="CV2825" s="6"/>
      <c r="CW2825" s="6"/>
      <c r="CX2825" s="6"/>
      <c r="CY2825" s="6"/>
      <c r="CZ2825" s="6"/>
    </row>
    <row r="2826" spans="27:104" s="5" customFormat="1" x14ac:dyDescent="0.25">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16"/>
      <c r="BC2826" s="6"/>
      <c r="BD2826" s="6"/>
      <c r="BE2826" s="6"/>
      <c r="BF2826" s="6"/>
      <c r="BG2826" s="6"/>
      <c r="BH2826" s="6"/>
      <c r="BI2826" s="6"/>
      <c r="BJ2826" s="6"/>
      <c r="BK2826" s="6"/>
      <c r="BL2826" s="6"/>
      <c r="BM2826" s="6"/>
      <c r="BN2826" s="6"/>
      <c r="BO2826" s="6"/>
      <c r="BP2826" s="6"/>
      <c r="BQ2826" s="6"/>
      <c r="BR2826" s="6"/>
      <c r="BS2826" s="6"/>
      <c r="BT2826" s="6"/>
      <c r="BU2826" s="6"/>
      <c r="BV2826" s="6"/>
      <c r="BW2826" s="6"/>
      <c r="BX2826" s="6"/>
      <c r="BY2826" s="6"/>
      <c r="BZ2826" s="6"/>
      <c r="CA2826" s="6"/>
      <c r="CB2826" s="6"/>
      <c r="CC2826" s="6"/>
      <c r="CD2826" s="6"/>
      <c r="CE2826" s="6"/>
      <c r="CF2826" s="6"/>
      <c r="CG2826" s="6"/>
      <c r="CH2826" s="6"/>
      <c r="CI2826" s="6"/>
      <c r="CJ2826" s="6"/>
      <c r="CK2826" s="6"/>
      <c r="CL2826" s="6"/>
      <c r="CM2826" s="6"/>
      <c r="CN2826" s="6"/>
      <c r="CO2826" s="6"/>
      <c r="CP2826" s="6"/>
      <c r="CQ2826" s="6"/>
      <c r="CR2826" s="6"/>
      <c r="CS2826" s="6"/>
      <c r="CT2826" s="6"/>
      <c r="CU2826" s="6"/>
      <c r="CV2826" s="6"/>
      <c r="CW2826" s="6"/>
      <c r="CX2826" s="6"/>
      <c r="CY2826" s="6"/>
      <c r="CZ2826" s="6"/>
    </row>
    <row r="2827" spans="27:104" s="5" customFormat="1" x14ac:dyDescent="0.25">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16"/>
      <c r="BC2827" s="6"/>
      <c r="BD2827" s="6"/>
      <c r="BE2827" s="6"/>
      <c r="BF2827" s="6"/>
      <c r="BG2827" s="6"/>
      <c r="BH2827" s="6"/>
      <c r="BI2827" s="6"/>
      <c r="BJ2827" s="6"/>
      <c r="BK2827" s="6"/>
      <c r="BL2827" s="6"/>
      <c r="BM2827" s="6"/>
      <c r="BN2827" s="6"/>
      <c r="BO2827" s="6"/>
      <c r="BP2827" s="6"/>
      <c r="BQ2827" s="6"/>
      <c r="BR2827" s="6"/>
      <c r="BS2827" s="6"/>
      <c r="BT2827" s="6"/>
      <c r="BU2827" s="6"/>
      <c r="BV2827" s="6"/>
      <c r="BW2827" s="6"/>
      <c r="BX2827" s="6"/>
      <c r="BY2827" s="6"/>
      <c r="BZ2827" s="6"/>
      <c r="CA2827" s="6"/>
      <c r="CB2827" s="6"/>
      <c r="CC2827" s="6"/>
      <c r="CD2827" s="6"/>
      <c r="CE2827" s="6"/>
      <c r="CF2827" s="6"/>
      <c r="CG2827" s="6"/>
      <c r="CH2827" s="6"/>
      <c r="CI2827" s="6"/>
      <c r="CJ2827" s="6"/>
      <c r="CK2827" s="6"/>
      <c r="CL2827" s="6"/>
      <c r="CM2827" s="6"/>
      <c r="CN2827" s="6"/>
      <c r="CO2827" s="6"/>
      <c r="CP2827" s="6"/>
      <c r="CQ2827" s="6"/>
      <c r="CR2827" s="6"/>
      <c r="CS2827" s="6"/>
      <c r="CT2827" s="6"/>
      <c r="CU2827" s="6"/>
      <c r="CV2827" s="6"/>
      <c r="CW2827" s="6"/>
      <c r="CX2827" s="6"/>
      <c r="CY2827" s="6"/>
      <c r="CZ2827" s="6"/>
    </row>
    <row r="2828" spans="27:104" s="5" customFormat="1" x14ac:dyDescent="0.25">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16"/>
      <c r="BC2828" s="6"/>
      <c r="BD2828" s="6"/>
      <c r="BE2828" s="6"/>
      <c r="BF2828" s="6"/>
      <c r="BG2828" s="6"/>
      <c r="BH2828" s="6"/>
      <c r="BI2828" s="6"/>
      <c r="BJ2828" s="6"/>
      <c r="BK2828" s="6"/>
      <c r="BL2828" s="6"/>
      <c r="BM2828" s="6"/>
      <c r="BN2828" s="6"/>
      <c r="BO2828" s="6"/>
      <c r="BP2828" s="6"/>
      <c r="BQ2828" s="6"/>
      <c r="BR2828" s="6"/>
      <c r="BS2828" s="6"/>
      <c r="BT2828" s="6"/>
      <c r="BU2828" s="6"/>
      <c r="BV2828" s="6"/>
      <c r="BW2828" s="6"/>
      <c r="BX2828" s="6"/>
      <c r="BY2828" s="6"/>
      <c r="BZ2828" s="6"/>
      <c r="CA2828" s="6"/>
      <c r="CB2828" s="6"/>
      <c r="CC2828" s="6"/>
      <c r="CD2828" s="6"/>
      <c r="CE2828" s="6"/>
      <c r="CF2828" s="6"/>
      <c r="CG2828" s="6"/>
      <c r="CH2828" s="6"/>
      <c r="CI2828" s="6"/>
      <c r="CJ2828" s="6"/>
      <c r="CK2828" s="6"/>
      <c r="CL2828" s="6"/>
      <c r="CM2828" s="6"/>
      <c r="CN2828" s="6"/>
      <c r="CO2828" s="6"/>
      <c r="CP2828" s="6"/>
      <c r="CQ2828" s="6"/>
      <c r="CR2828" s="6"/>
      <c r="CS2828" s="6"/>
      <c r="CT2828" s="6"/>
      <c r="CU2828" s="6"/>
      <c r="CV2828" s="6"/>
      <c r="CW2828" s="6"/>
      <c r="CX2828" s="6"/>
      <c r="CY2828" s="6"/>
      <c r="CZ2828" s="6"/>
    </row>
    <row r="2829" spans="27:104" s="5" customFormat="1" x14ac:dyDescent="0.25">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16"/>
      <c r="BC2829" s="6"/>
      <c r="BD2829" s="6"/>
      <c r="BE2829" s="6"/>
      <c r="BF2829" s="6"/>
      <c r="BG2829" s="6"/>
      <c r="BH2829" s="6"/>
      <c r="BI2829" s="6"/>
      <c r="BJ2829" s="6"/>
      <c r="BK2829" s="6"/>
      <c r="BL2829" s="6"/>
      <c r="BM2829" s="6"/>
      <c r="BN2829" s="6"/>
      <c r="BO2829" s="6"/>
      <c r="BP2829" s="6"/>
      <c r="BQ2829" s="6"/>
      <c r="BR2829" s="6"/>
      <c r="BS2829" s="6"/>
      <c r="BT2829" s="6"/>
      <c r="BU2829" s="6"/>
      <c r="BV2829" s="6"/>
      <c r="BW2829" s="6"/>
      <c r="BX2829" s="6"/>
      <c r="BY2829" s="6"/>
      <c r="BZ2829" s="6"/>
      <c r="CA2829" s="6"/>
      <c r="CB2829" s="6"/>
      <c r="CC2829" s="6"/>
      <c r="CD2829" s="6"/>
      <c r="CE2829" s="6"/>
      <c r="CF2829" s="6"/>
      <c r="CG2829" s="6"/>
      <c r="CH2829" s="6"/>
      <c r="CI2829" s="6"/>
      <c r="CJ2829" s="6"/>
      <c r="CK2829" s="6"/>
      <c r="CL2829" s="6"/>
      <c r="CM2829" s="6"/>
      <c r="CN2829" s="6"/>
      <c r="CO2829" s="6"/>
      <c r="CP2829" s="6"/>
      <c r="CQ2829" s="6"/>
      <c r="CR2829" s="6"/>
      <c r="CS2829" s="6"/>
      <c r="CT2829" s="6"/>
      <c r="CU2829" s="6"/>
      <c r="CV2829" s="6"/>
      <c r="CW2829" s="6"/>
      <c r="CX2829" s="6"/>
      <c r="CY2829" s="6"/>
      <c r="CZ2829" s="6"/>
    </row>
    <row r="2830" spans="27:104" s="5" customFormat="1" x14ac:dyDescent="0.25">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16"/>
      <c r="BC2830" s="6"/>
      <c r="BD2830" s="6"/>
      <c r="BE2830" s="6"/>
      <c r="BF2830" s="6"/>
      <c r="BG2830" s="6"/>
      <c r="BH2830" s="6"/>
      <c r="BI2830" s="6"/>
      <c r="BJ2830" s="6"/>
      <c r="BK2830" s="6"/>
      <c r="BL2830" s="6"/>
      <c r="BM2830" s="6"/>
      <c r="BN2830" s="6"/>
      <c r="BO2830" s="6"/>
      <c r="BP2830" s="6"/>
      <c r="BQ2830" s="6"/>
      <c r="BR2830" s="6"/>
      <c r="BS2830" s="6"/>
      <c r="BT2830" s="6"/>
      <c r="BU2830" s="6"/>
      <c r="BV2830" s="6"/>
      <c r="BW2830" s="6"/>
      <c r="BX2830" s="6"/>
      <c r="BY2830" s="6"/>
      <c r="BZ2830" s="6"/>
      <c r="CA2830" s="6"/>
      <c r="CB2830" s="6"/>
      <c r="CC2830" s="6"/>
      <c r="CD2830" s="6"/>
      <c r="CE2830" s="6"/>
      <c r="CF2830" s="6"/>
      <c r="CG2830" s="6"/>
      <c r="CH2830" s="6"/>
      <c r="CI2830" s="6"/>
      <c r="CJ2830" s="6"/>
      <c r="CK2830" s="6"/>
      <c r="CL2830" s="6"/>
      <c r="CM2830" s="6"/>
      <c r="CN2830" s="6"/>
      <c r="CO2830" s="6"/>
      <c r="CP2830" s="6"/>
      <c r="CQ2830" s="6"/>
      <c r="CR2830" s="6"/>
      <c r="CS2830" s="6"/>
      <c r="CT2830" s="6"/>
      <c r="CU2830" s="6"/>
      <c r="CV2830" s="6"/>
      <c r="CW2830" s="6"/>
      <c r="CX2830" s="6"/>
      <c r="CY2830" s="6"/>
      <c r="CZ2830" s="6"/>
    </row>
    <row r="2831" spans="27:104" s="5" customFormat="1" x14ac:dyDescent="0.25">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16"/>
      <c r="BC2831" s="6"/>
      <c r="BD2831" s="6"/>
      <c r="BE2831" s="6"/>
      <c r="BF2831" s="6"/>
      <c r="BG2831" s="6"/>
      <c r="BH2831" s="6"/>
      <c r="BI2831" s="6"/>
      <c r="BJ2831" s="6"/>
      <c r="BK2831" s="6"/>
      <c r="BL2831" s="6"/>
      <c r="BM2831" s="6"/>
      <c r="BN2831" s="6"/>
      <c r="BO2831" s="6"/>
      <c r="BP2831" s="6"/>
      <c r="BQ2831" s="6"/>
      <c r="BR2831" s="6"/>
      <c r="BS2831" s="6"/>
      <c r="BT2831" s="6"/>
      <c r="BU2831" s="6"/>
      <c r="BV2831" s="6"/>
      <c r="BW2831" s="6"/>
      <c r="BX2831" s="6"/>
      <c r="BY2831" s="6"/>
      <c r="BZ2831" s="6"/>
      <c r="CA2831" s="6"/>
      <c r="CB2831" s="6"/>
      <c r="CC2831" s="6"/>
      <c r="CD2831" s="6"/>
      <c r="CE2831" s="6"/>
      <c r="CF2831" s="6"/>
      <c r="CG2831" s="6"/>
      <c r="CH2831" s="6"/>
      <c r="CI2831" s="6"/>
      <c r="CJ2831" s="6"/>
      <c r="CK2831" s="6"/>
      <c r="CL2831" s="6"/>
      <c r="CM2831" s="6"/>
      <c r="CN2831" s="6"/>
      <c r="CO2831" s="6"/>
      <c r="CP2831" s="6"/>
      <c r="CQ2831" s="6"/>
      <c r="CR2831" s="6"/>
      <c r="CS2831" s="6"/>
      <c r="CT2831" s="6"/>
      <c r="CU2831" s="6"/>
      <c r="CV2831" s="6"/>
      <c r="CW2831" s="6"/>
      <c r="CX2831" s="6"/>
      <c r="CY2831" s="6"/>
      <c r="CZ2831" s="6"/>
    </row>
    <row r="2832" spans="27:104" s="5" customFormat="1" x14ac:dyDescent="0.25">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16"/>
      <c r="BC2832" s="6"/>
      <c r="BD2832" s="6"/>
      <c r="BE2832" s="6"/>
      <c r="BF2832" s="6"/>
      <c r="BG2832" s="6"/>
      <c r="BH2832" s="6"/>
      <c r="BI2832" s="6"/>
      <c r="BJ2832" s="6"/>
      <c r="BK2832" s="6"/>
      <c r="BL2832" s="6"/>
      <c r="BM2832" s="6"/>
      <c r="BN2832" s="6"/>
      <c r="BO2832" s="6"/>
      <c r="BP2832" s="6"/>
      <c r="BQ2832" s="6"/>
      <c r="BR2832" s="6"/>
      <c r="BS2832" s="6"/>
      <c r="BT2832" s="6"/>
      <c r="BU2832" s="6"/>
      <c r="BV2832" s="6"/>
      <c r="BW2832" s="6"/>
      <c r="BX2832" s="6"/>
      <c r="BY2832" s="6"/>
      <c r="BZ2832" s="6"/>
      <c r="CA2832" s="6"/>
      <c r="CB2832" s="6"/>
      <c r="CC2832" s="6"/>
      <c r="CD2832" s="6"/>
      <c r="CE2832" s="6"/>
      <c r="CF2832" s="6"/>
      <c r="CG2832" s="6"/>
      <c r="CH2832" s="6"/>
      <c r="CI2832" s="6"/>
      <c r="CJ2832" s="6"/>
      <c r="CK2832" s="6"/>
      <c r="CL2832" s="6"/>
      <c r="CM2832" s="6"/>
      <c r="CN2832" s="6"/>
      <c r="CO2832" s="6"/>
      <c r="CP2832" s="6"/>
      <c r="CQ2832" s="6"/>
      <c r="CR2832" s="6"/>
      <c r="CS2832" s="6"/>
      <c r="CT2832" s="6"/>
      <c r="CU2832" s="6"/>
      <c r="CV2832" s="6"/>
      <c r="CW2832" s="6"/>
      <c r="CX2832" s="6"/>
      <c r="CY2832" s="6"/>
      <c r="CZ2832" s="6"/>
    </row>
    <row r="2833" spans="27:104" s="5" customFormat="1" x14ac:dyDescent="0.25">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16"/>
      <c r="BC2833" s="6"/>
      <c r="BD2833" s="6"/>
      <c r="BE2833" s="6"/>
      <c r="BF2833" s="6"/>
      <c r="BG2833" s="6"/>
      <c r="BH2833" s="6"/>
      <c r="BI2833" s="6"/>
      <c r="BJ2833" s="6"/>
      <c r="BK2833" s="6"/>
      <c r="BL2833" s="6"/>
      <c r="BM2833" s="6"/>
      <c r="BN2833" s="6"/>
      <c r="BO2833" s="6"/>
      <c r="BP2833" s="6"/>
      <c r="BQ2833" s="6"/>
      <c r="BR2833" s="6"/>
      <c r="BS2833" s="6"/>
      <c r="BT2833" s="6"/>
      <c r="BU2833" s="6"/>
      <c r="BV2833" s="6"/>
      <c r="BW2833" s="6"/>
      <c r="BX2833" s="6"/>
      <c r="BY2833" s="6"/>
      <c r="BZ2833" s="6"/>
      <c r="CA2833" s="6"/>
      <c r="CB2833" s="6"/>
      <c r="CC2833" s="6"/>
      <c r="CD2833" s="6"/>
      <c r="CE2833" s="6"/>
      <c r="CF2833" s="6"/>
      <c r="CG2833" s="6"/>
      <c r="CH2833" s="6"/>
      <c r="CI2833" s="6"/>
      <c r="CJ2833" s="6"/>
      <c r="CK2833" s="6"/>
      <c r="CL2833" s="6"/>
      <c r="CM2833" s="6"/>
      <c r="CN2833" s="6"/>
      <c r="CO2833" s="6"/>
      <c r="CP2833" s="6"/>
      <c r="CQ2833" s="6"/>
      <c r="CR2833" s="6"/>
      <c r="CS2833" s="6"/>
      <c r="CT2833" s="6"/>
      <c r="CU2833" s="6"/>
      <c r="CV2833" s="6"/>
      <c r="CW2833" s="6"/>
      <c r="CX2833" s="6"/>
      <c r="CY2833" s="6"/>
      <c r="CZ2833" s="6"/>
    </row>
    <row r="2834" spans="27:104" s="5" customFormat="1" x14ac:dyDescent="0.25">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16"/>
      <c r="BC2834" s="6"/>
      <c r="BD2834" s="6"/>
      <c r="BE2834" s="6"/>
      <c r="BF2834" s="6"/>
      <c r="BG2834" s="6"/>
      <c r="BH2834" s="6"/>
      <c r="BI2834" s="6"/>
      <c r="BJ2834" s="6"/>
      <c r="BK2834" s="6"/>
      <c r="BL2834" s="6"/>
      <c r="BM2834" s="6"/>
      <c r="BN2834" s="6"/>
      <c r="BO2834" s="6"/>
      <c r="BP2834" s="6"/>
      <c r="BQ2834" s="6"/>
      <c r="BR2834" s="6"/>
      <c r="BS2834" s="6"/>
      <c r="BT2834" s="6"/>
      <c r="BU2834" s="6"/>
      <c r="BV2834" s="6"/>
      <c r="BW2834" s="6"/>
      <c r="BX2834" s="6"/>
      <c r="BY2834" s="6"/>
      <c r="BZ2834" s="6"/>
      <c r="CA2834" s="6"/>
      <c r="CB2834" s="6"/>
      <c r="CC2834" s="6"/>
      <c r="CD2834" s="6"/>
      <c r="CE2834" s="6"/>
      <c r="CF2834" s="6"/>
      <c r="CG2834" s="6"/>
      <c r="CH2834" s="6"/>
      <c r="CI2834" s="6"/>
      <c r="CJ2834" s="6"/>
      <c r="CK2834" s="6"/>
      <c r="CL2834" s="6"/>
      <c r="CM2834" s="6"/>
      <c r="CN2834" s="6"/>
      <c r="CO2834" s="6"/>
      <c r="CP2834" s="6"/>
      <c r="CQ2834" s="6"/>
      <c r="CR2834" s="6"/>
      <c r="CS2834" s="6"/>
      <c r="CT2834" s="6"/>
      <c r="CU2834" s="6"/>
      <c r="CV2834" s="6"/>
      <c r="CW2834" s="6"/>
      <c r="CX2834" s="6"/>
      <c r="CY2834" s="6"/>
      <c r="CZ2834" s="6"/>
    </row>
    <row r="2835" spans="27:104" s="5" customFormat="1" x14ac:dyDescent="0.25">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16"/>
      <c r="BC2835" s="6"/>
      <c r="BD2835" s="6"/>
      <c r="BE2835" s="6"/>
      <c r="BF2835" s="6"/>
      <c r="BG2835" s="6"/>
      <c r="BH2835" s="6"/>
      <c r="BI2835" s="6"/>
      <c r="BJ2835" s="6"/>
      <c r="BK2835" s="6"/>
      <c r="BL2835" s="6"/>
      <c r="BM2835" s="6"/>
      <c r="BN2835" s="6"/>
      <c r="BO2835" s="6"/>
      <c r="BP2835" s="6"/>
      <c r="BQ2835" s="6"/>
      <c r="BR2835" s="6"/>
      <c r="BS2835" s="6"/>
      <c r="BT2835" s="6"/>
      <c r="BU2835" s="6"/>
      <c r="BV2835" s="6"/>
      <c r="BW2835" s="6"/>
      <c r="BX2835" s="6"/>
      <c r="BY2835" s="6"/>
      <c r="BZ2835" s="6"/>
      <c r="CA2835" s="6"/>
      <c r="CB2835" s="6"/>
      <c r="CC2835" s="6"/>
      <c r="CD2835" s="6"/>
      <c r="CE2835" s="6"/>
      <c r="CF2835" s="6"/>
      <c r="CG2835" s="6"/>
      <c r="CH2835" s="6"/>
      <c r="CI2835" s="6"/>
      <c r="CJ2835" s="6"/>
      <c r="CK2835" s="6"/>
      <c r="CL2835" s="6"/>
      <c r="CM2835" s="6"/>
      <c r="CN2835" s="6"/>
      <c r="CO2835" s="6"/>
      <c r="CP2835" s="6"/>
      <c r="CQ2835" s="6"/>
      <c r="CR2835" s="6"/>
      <c r="CS2835" s="6"/>
      <c r="CT2835" s="6"/>
      <c r="CU2835" s="6"/>
      <c r="CV2835" s="6"/>
      <c r="CW2835" s="6"/>
      <c r="CX2835" s="6"/>
      <c r="CY2835" s="6"/>
      <c r="CZ2835" s="6"/>
    </row>
    <row r="2836" spans="27:104" s="5" customFormat="1" x14ac:dyDescent="0.25">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16"/>
      <c r="BC2836" s="6"/>
      <c r="BD2836" s="6"/>
      <c r="BE2836" s="6"/>
      <c r="BF2836" s="6"/>
      <c r="BG2836" s="6"/>
      <c r="BH2836" s="6"/>
      <c r="BI2836" s="6"/>
      <c r="BJ2836" s="6"/>
      <c r="BK2836" s="6"/>
      <c r="BL2836" s="6"/>
      <c r="BM2836" s="6"/>
      <c r="BN2836" s="6"/>
      <c r="BO2836" s="6"/>
      <c r="BP2836" s="6"/>
      <c r="BQ2836" s="6"/>
      <c r="BR2836" s="6"/>
      <c r="BS2836" s="6"/>
      <c r="BT2836" s="6"/>
      <c r="BU2836" s="6"/>
      <c r="BV2836" s="6"/>
      <c r="BW2836" s="6"/>
      <c r="BX2836" s="6"/>
      <c r="BY2836" s="6"/>
      <c r="BZ2836" s="6"/>
      <c r="CA2836" s="6"/>
      <c r="CB2836" s="6"/>
      <c r="CC2836" s="6"/>
      <c r="CD2836" s="6"/>
      <c r="CE2836" s="6"/>
      <c r="CF2836" s="6"/>
      <c r="CG2836" s="6"/>
      <c r="CH2836" s="6"/>
      <c r="CI2836" s="6"/>
      <c r="CJ2836" s="6"/>
      <c r="CK2836" s="6"/>
      <c r="CL2836" s="6"/>
      <c r="CM2836" s="6"/>
      <c r="CN2836" s="6"/>
      <c r="CO2836" s="6"/>
      <c r="CP2836" s="6"/>
      <c r="CQ2836" s="6"/>
      <c r="CR2836" s="6"/>
      <c r="CS2836" s="6"/>
      <c r="CT2836" s="6"/>
      <c r="CU2836" s="6"/>
      <c r="CV2836" s="6"/>
      <c r="CW2836" s="6"/>
      <c r="CX2836" s="6"/>
      <c r="CY2836" s="6"/>
      <c r="CZ2836" s="6"/>
    </row>
    <row r="2837" spans="27:104" s="5" customFormat="1" x14ac:dyDescent="0.25">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16"/>
      <c r="BC2837" s="6"/>
      <c r="BD2837" s="6"/>
      <c r="BE2837" s="6"/>
      <c r="BF2837" s="6"/>
      <c r="BG2837" s="6"/>
      <c r="BH2837" s="6"/>
      <c r="BI2837" s="6"/>
      <c r="BJ2837" s="6"/>
      <c r="BK2837" s="6"/>
      <c r="BL2837" s="6"/>
      <c r="BM2837" s="6"/>
      <c r="BN2837" s="6"/>
      <c r="BO2837" s="6"/>
      <c r="BP2837" s="6"/>
      <c r="BQ2837" s="6"/>
      <c r="BR2837" s="6"/>
      <c r="BS2837" s="6"/>
      <c r="BT2837" s="6"/>
      <c r="BU2837" s="6"/>
      <c r="BV2837" s="6"/>
      <c r="BW2837" s="6"/>
      <c r="BX2837" s="6"/>
      <c r="BY2837" s="6"/>
      <c r="BZ2837" s="6"/>
      <c r="CA2837" s="6"/>
      <c r="CB2837" s="6"/>
      <c r="CC2837" s="6"/>
      <c r="CD2837" s="6"/>
      <c r="CE2837" s="6"/>
      <c r="CF2837" s="6"/>
      <c r="CG2837" s="6"/>
      <c r="CH2837" s="6"/>
      <c r="CI2837" s="6"/>
      <c r="CJ2837" s="6"/>
      <c r="CK2837" s="6"/>
      <c r="CL2837" s="6"/>
      <c r="CM2837" s="6"/>
      <c r="CN2837" s="6"/>
      <c r="CO2837" s="6"/>
      <c r="CP2837" s="6"/>
      <c r="CQ2837" s="6"/>
      <c r="CR2837" s="6"/>
      <c r="CS2837" s="6"/>
      <c r="CT2837" s="6"/>
      <c r="CU2837" s="6"/>
      <c r="CV2837" s="6"/>
      <c r="CW2837" s="6"/>
      <c r="CX2837" s="6"/>
      <c r="CY2837" s="6"/>
      <c r="CZ2837" s="6"/>
    </row>
    <row r="2838" spans="27:104" s="5" customFormat="1" x14ac:dyDescent="0.25">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16"/>
      <c r="BC2838" s="6"/>
      <c r="BD2838" s="6"/>
      <c r="BE2838" s="6"/>
      <c r="BF2838" s="6"/>
      <c r="BG2838" s="6"/>
      <c r="BH2838" s="6"/>
      <c r="BI2838" s="6"/>
      <c r="BJ2838" s="6"/>
      <c r="BK2838" s="6"/>
      <c r="BL2838" s="6"/>
      <c r="BM2838" s="6"/>
      <c r="BN2838" s="6"/>
      <c r="BO2838" s="6"/>
      <c r="BP2838" s="6"/>
      <c r="BQ2838" s="6"/>
      <c r="BR2838" s="6"/>
      <c r="BS2838" s="6"/>
      <c r="BT2838" s="6"/>
      <c r="BU2838" s="6"/>
      <c r="BV2838" s="6"/>
      <c r="BW2838" s="6"/>
      <c r="BX2838" s="6"/>
      <c r="BY2838" s="6"/>
      <c r="BZ2838" s="6"/>
      <c r="CA2838" s="6"/>
      <c r="CB2838" s="6"/>
      <c r="CC2838" s="6"/>
      <c r="CD2838" s="6"/>
      <c r="CE2838" s="6"/>
      <c r="CF2838" s="6"/>
      <c r="CG2838" s="6"/>
      <c r="CH2838" s="6"/>
      <c r="CI2838" s="6"/>
      <c r="CJ2838" s="6"/>
      <c r="CK2838" s="6"/>
      <c r="CL2838" s="6"/>
      <c r="CM2838" s="6"/>
      <c r="CN2838" s="6"/>
      <c r="CO2838" s="6"/>
      <c r="CP2838" s="6"/>
      <c r="CQ2838" s="6"/>
      <c r="CR2838" s="6"/>
      <c r="CS2838" s="6"/>
      <c r="CT2838" s="6"/>
      <c r="CU2838" s="6"/>
      <c r="CV2838" s="6"/>
      <c r="CW2838" s="6"/>
      <c r="CX2838" s="6"/>
      <c r="CY2838" s="6"/>
      <c r="CZ2838" s="6"/>
    </row>
    <row r="2839" spans="27:104" s="5" customFormat="1" x14ac:dyDescent="0.25">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16"/>
      <c r="BC2839" s="6"/>
      <c r="BD2839" s="6"/>
      <c r="BE2839" s="6"/>
      <c r="BF2839" s="6"/>
      <c r="BG2839" s="6"/>
      <c r="BH2839" s="6"/>
      <c r="BI2839" s="6"/>
      <c r="BJ2839" s="6"/>
      <c r="BK2839" s="6"/>
      <c r="BL2839" s="6"/>
      <c r="BM2839" s="6"/>
      <c r="BN2839" s="6"/>
      <c r="BO2839" s="6"/>
      <c r="BP2839" s="6"/>
      <c r="BQ2839" s="6"/>
      <c r="BR2839" s="6"/>
      <c r="BS2839" s="6"/>
      <c r="BT2839" s="6"/>
      <c r="BU2839" s="6"/>
      <c r="BV2839" s="6"/>
      <c r="BW2839" s="6"/>
      <c r="BX2839" s="6"/>
      <c r="BY2839" s="6"/>
      <c r="BZ2839" s="6"/>
      <c r="CA2839" s="6"/>
      <c r="CB2839" s="6"/>
      <c r="CC2839" s="6"/>
      <c r="CD2839" s="6"/>
      <c r="CE2839" s="6"/>
      <c r="CF2839" s="6"/>
      <c r="CG2839" s="6"/>
      <c r="CH2839" s="6"/>
      <c r="CI2839" s="6"/>
      <c r="CJ2839" s="6"/>
      <c r="CK2839" s="6"/>
      <c r="CL2839" s="6"/>
      <c r="CM2839" s="6"/>
      <c r="CN2839" s="6"/>
      <c r="CO2839" s="6"/>
      <c r="CP2839" s="6"/>
      <c r="CQ2839" s="6"/>
      <c r="CR2839" s="6"/>
      <c r="CS2839" s="6"/>
      <c r="CT2839" s="6"/>
      <c r="CU2839" s="6"/>
      <c r="CV2839" s="6"/>
      <c r="CW2839" s="6"/>
      <c r="CX2839" s="6"/>
      <c r="CY2839" s="6"/>
      <c r="CZ2839" s="6"/>
    </row>
    <row r="2840" spans="27:104" s="5" customFormat="1" x14ac:dyDescent="0.25">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16"/>
      <c r="BC2840" s="6"/>
      <c r="BD2840" s="6"/>
      <c r="BE2840" s="6"/>
      <c r="BF2840" s="6"/>
      <c r="BG2840" s="6"/>
      <c r="BH2840" s="6"/>
      <c r="BI2840" s="6"/>
      <c r="BJ2840" s="6"/>
      <c r="BK2840" s="6"/>
      <c r="BL2840" s="6"/>
      <c r="BM2840" s="6"/>
      <c r="BN2840" s="6"/>
      <c r="BO2840" s="6"/>
      <c r="BP2840" s="6"/>
      <c r="BQ2840" s="6"/>
      <c r="BR2840" s="6"/>
      <c r="BS2840" s="6"/>
      <c r="BT2840" s="6"/>
      <c r="BU2840" s="6"/>
      <c r="BV2840" s="6"/>
      <c r="BW2840" s="6"/>
      <c r="BX2840" s="6"/>
      <c r="BY2840" s="6"/>
      <c r="BZ2840" s="6"/>
      <c r="CA2840" s="6"/>
      <c r="CB2840" s="6"/>
      <c r="CC2840" s="6"/>
      <c r="CD2840" s="6"/>
      <c r="CE2840" s="6"/>
      <c r="CF2840" s="6"/>
      <c r="CG2840" s="6"/>
      <c r="CH2840" s="6"/>
      <c r="CI2840" s="6"/>
      <c r="CJ2840" s="6"/>
      <c r="CK2840" s="6"/>
      <c r="CL2840" s="6"/>
      <c r="CM2840" s="6"/>
      <c r="CN2840" s="6"/>
      <c r="CO2840" s="6"/>
      <c r="CP2840" s="6"/>
      <c r="CQ2840" s="6"/>
      <c r="CR2840" s="6"/>
      <c r="CS2840" s="6"/>
      <c r="CT2840" s="6"/>
      <c r="CU2840" s="6"/>
      <c r="CV2840" s="6"/>
      <c r="CW2840" s="6"/>
      <c r="CX2840" s="6"/>
      <c r="CY2840" s="6"/>
      <c r="CZ2840" s="6"/>
    </row>
    <row r="2841" spans="27:104" s="5" customFormat="1" x14ac:dyDescent="0.25">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16"/>
      <c r="BC2841" s="6"/>
      <c r="BD2841" s="6"/>
      <c r="BE2841" s="6"/>
      <c r="BF2841" s="6"/>
      <c r="BG2841" s="6"/>
      <c r="BH2841" s="6"/>
      <c r="BI2841" s="6"/>
      <c r="BJ2841" s="6"/>
      <c r="BK2841" s="6"/>
      <c r="BL2841" s="6"/>
      <c r="BM2841" s="6"/>
      <c r="BN2841" s="6"/>
      <c r="BO2841" s="6"/>
      <c r="BP2841" s="6"/>
      <c r="BQ2841" s="6"/>
      <c r="BR2841" s="6"/>
      <c r="BS2841" s="6"/>
      <c r="BT2841" s="6"/>
      <c r="BU2841" s="6"/>
      <c r="BV2841" s="6"/>
      <c r="BW2841" s="6"/>
      <c r="BX2841" s="6"/>
      <c r="BY2841" s="6"/>
      <c r="BZ2841" s="6"/>
      <c r="CA2841" s="6"/>
      <c r="CB2841" s="6"/>
      <c r="CC2841" s="6"/>
      <c r="CD2841" s="6"/>
      <c r="CE2841" s="6"/>
      <c r="CF2841" s="6"/>
      <c r="CG2841" s="6"/>
      <c r="CH2841" s="6"/>
      <c r="CI2841" s="6"/>
      <c r="CJ2841" s="6"/>
      <c r="CK2841" s="6"/>
      <c r="CL2841" s="6"/>
      <c r="CM2841" s="6"/>
      <c r="CN2841" s="6"/>
      <c r="CO2841" s="6"/>
      <c r="CP2841" s="6"/>
      <c r="CQ2841" s="6"/>
      <c r="CR2841" s="6"/>
      <c r="CS2841" s="6"/>
      <c r="CT2841" s="6"/>
      <c r="CU2841" s="6"/>
      <c r="CV2841" s="6"/>
      <c r="CW2841" s="6"/>
      <c r="CX2841" s="6"/>
      <c r="CY2841" s="6"/>
      <c r="CZ2841" s="6"/>
    </row>
    <row r="2842" spans="27:104" s="5" customFormat="1" x14ac:dyDescent="0.25">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16"/>
      <c r="BC2842" s="6"/>
      <c r="BD2842" s="6"/>
      <c r="BE2842" s="6"/>
      <c r="BF2842" s="6"/>
      <c r="BG2842" s="6"/>
      <c r="BH2842" s="6"/>
      <c r="BI2842" s="6"/>
      <c r="BJ2842" s="6"/>
      <c r="BK2842" s="6"/>
      <c r="BL2842" s="6"/>
      <c r="BM2842" s="6"/>
      <c r="BN2842" s="6"/>
      <c r="BO2842" s="6"/>
      <c r="BP2842" s="6"/>
      <c r="BQ2842" s="6"/>
      <c r="BR2842" s="6"/>
      <c r="BS2842" s="6"/>
      <c r="BT2842" s="6"/>
      <c r="BU2842" s="6"/>
      <c r="BV2842" s="6"/>
      <c r="BW2842" s="6"/>
      <c r="BX2842" s="6"/>
      <c r="BY2842" s="6"/>
      <c r="BZ2842" s="6"/>
      <c r="CA2842" s="6"/>
      <c r="CB2842" s="6"/>
      <c r="CC2842" s="6"/>
      <c r="CD2842" s="6"/>
      <c r="CE2842" s="6"/>
      <c r="CF2842" s="6"/>
      <c r="CG2842" s="6"/>
      <c r="CH2842" s="6"/>
      <c r="CI2842" s="6"/>
      <c r="CJ2842" s="6"/>
      <c r="CK2842" s="6"/>
      <c r="CL2842" s="6"/>
      <c r="CM2842" s="6"/>
      <c r="CN2842" s="6"/>
      <c r="CO2842" s="6"/>
      <c r="CP2842" s="6"/>
      <c r="CQ2842" s="6"/>
      <c r="CR2842" s="6"/>
      <c r="CS2842" s="6"/>
      <c r="CT2842" s="6"/>
      <c r="CU2842" s="6"/>
      <c r="CV2842" s="6"/>
      <c r="CW2842" s="6"/>
      <c r="CX2842" s="6"/>
      <c r="CY2842" s="6"/>
      <c r="CZ2842" s="6"/>
    </row>
    <row r="2843" spans="27:104" s="5" customFormat="1" x14ac:dyDescent="0.25">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16"/>
      <c r="BC2843" s="6"/>
      <c r="BD2843" s="6"/>
      <c r="BE2843" s="6"/>
      <c r="BF2843" s="6"/>
      <c r="BG2843" s="6"/>
      <c r="BH2843" s="6"/>
      <c r="BI2843" s="6"/>
      <c r="BJ2843" s="6"/>
      <c r="BK2843" s="6"/>
      <c r="BL2843" s="6"/>
      <c r="BM2843" s="6"/>
      <c r="BN2843" s="6"/>
      <c r="BO2843" s="6"/>
      <c r="BP2843" s="6"/>
      <c r="BQ2843" s="6"/>
      <c r="BR2843" s="6"/>
      <c r="BS2843" s="6"/>
      <c r="BT2843" s="6"/>
      <c r="BU2843" s="6"/>
      <c r="BV2843" s="6"/>
      <c r="BW2843" s="6"/>
      <c r="BX2843" s="6"/>
      <c r="BY2843" s="6"/>
      <c r="BZ2843" s="6"/>
      <c r="CA2843" s="6"/>
      <c r="CB2843" s="6"/>
      <c r="CC2843" s="6"/>
      <c r="CD2843" s="6"/>
      <c r="CE2843" s="6"/>
      <c r="CF2843" s="6"/>
      <c r="CG2843" s="6"/>
      <c r="CH2843" s="6"/>
      <c r="CI2843" s="6"/>
      <c r="CJ2843" s="6"/>
      <c r="CK2843" s="6"/>
      <c r="CL2843" s="6"/>
      <c r="CM2843" s="6"/>
      <c r="CN2843" s="6"/>
      <c r="CO2843" s="6"/>
      <c r="CP2843" s="6"/>
      <c r="CQ2843" s="6"/>
      <c r="CR2843" s="6"/>
      <c r="CS2843" s="6"/>
      <c r="CT2843" s="6"/>
      <c r="CU2843" s="6"/>
      <c r="CV2843" s="6"/>
      <c r="CW2843" s="6"/>
      <c r="CX2843" s="6"/>
      <c r="CY2843" s="6"/>
      <c r="CZ2843" s="6"/>
    </row>
    <row r="2844" spans="27:104" s="5" customFormat="1" x14ac:dyDescent="0.25">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16"/>
      <c r="BC2844" s="6"/>
      <c r="BD2844" s="6"/>
      <c r="BE2844" s="6"/>
      <c r="BF2844" s="6"/>
      <c r="BG2844" s="6"/>
      <c r="BH2844" s="6"/>
      <c r="BI2844" s="6"/>
      <c r="BJ2844" s="6"/>
      <c r="BK2844" s="6"/>
      <c r="BL2844" s="6"/>
      <c r="BM2844" s="6"/>
      <c r="BN2844" s="6"/>
      <c r="BO2844" s="6"/>
      <c r="BP2844" s="6"/>
      <c r="BQ2844" s="6"/>
      <c r="BR2844" s="6"/>
      <c r="BS2844" s="6"/>
      <c r="BT2844" s="6"/>
      <c r="BU2844" s="6"/>
      <c r="BV2844" s="6"/>
      <c r="BW2844" s="6"/>
      <c r="BX2844" s="6"/>
      <c r="BY2844" s="6"/>
      <c r="BZ2844" s="6"/>
      <c r="CA2844" s="6"/>
      <c r="CB2844" s="6"/>
      <c r="CC2844" s="6"/>
      <c r="CD2844" s="6"/>
      <c r="CE2844" s="6"/>
      <c r="CF2844" s="6"/>
      <c r="CG2844" s="6"/>
      <c r="CH2844" s="6"/>
      <c r="CI2844" s="6"/>
      <c r="CJ2844" s="6"/>
      <c r="CK2844" s="6"/>
      <c r="CL2844" s="6"/>
      <c r="CM2844" s="6"/>
      <c r="CN2844" s="6"/>
      <c r="CO2844" s="6"/>
      <c r="CP2844" s="6"/>
      <c r="CQ2844" s="6"/>
      <c r="CR2844" s="6"/>
      <c r="CS2844" s="6"/>
      <c r="CT2844" s="6"/>
      <c r="CU2844" s="6"/>
      <c r="CV2844" s="6"/>
      <c r="CW2844" s="6"/>
      <c r="CX2844" s="6"/>
      <c r="CY2844" s="6"/>
      <c r="CZ2844" s="6"/>
    </row>
    <row r="2845" spans="27:104" s="5" customFormat="1" x14ac:dyDescent="0.25">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16"/>
      <c r="BC2845" s="6"/>
      <c r="BD2845" s="6"/>
      <c r="BE2845" s="6"/>
      <c r="BF2845" s="6"/>
      <c r="BG2845" s="6"/>
      <c r="BH2845" s="6"/>
      <c r="BI2845" s="6"/>
      <c r="BJ2845" s="6"/>
      <c r="BK2845" s="6"/>
      <c r="BL2845" s="6"/>
      <c r="BM2845" s="6"/>
      <c r="BN2845" s="6"/>
      <c r="BO2845" s="6"/>
      <c r="BP2845" s="6"/>
      <c r="BQ2845" s="6"/>
      <c r="BR2845" s="6"/>
      <c r="BS2845" s="6"/>
      <c r="BT2845" s="6"/>
      <c r="BU2845" s="6"/>
      <c r="BV2845" s="6"/>
      <c r="BW2845" s="6"/>
      <c r="BX2845" s="6"/>
      <c r="BY2845" s="6"/>
      <c r="BZ2845" s="6"/>
      <c r="CA2845" s="6"/>
      <c r="CB2845" s="6"/>
      <c r="CC2845" s="6"/>
      <c r="CD2845" s="6"/>
      <c r="CE2845" s="6"/>
      <c r="CF2845" s="6"/>
      <c r="CG2845" s="6"/>
      <c r="CH2845" s="6"/>
      <c r="CI2845" s="6"/>
      <c r="CJ2845" s="6"/>
      <c r="CK2845" s="6"/>
      <c r="CL2845" s="6"/>
      <c r="CM2845" s="6"/>
      <c r="CN2845" s="6"/>
      <c r="CO2845" s="6"/>
      <c r="CP2845" s="6"/>
      <c r="CQ2845" s="6"/>
      <c r="CR2845" s="6"/>
      <c r="CS2845" s="6"/>
      <c r="CT2845" s="6"/>
      <c r="CU2845" s="6"/>
      <c r="CV2845" s="6"/>
      <c r="CW2845" s="6"/>
      <c r="CX2845" s="6"/>
      <c r="CY2845" s="6"/>
      <c r="CZ2845" s="6"/>
    </row>
    <row r="2846" spans="27:104" s="5" customFormat="1" x14ac:dyDescent="0.25">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16"/>
      <c r="BC2846" s="6"/>
      <c r="BD2846" s="6"/>
      <c r="BE2846" s="6"/>
      <c r="BF2846" s="6"/>
      <c r="BG2846" s="6"/>
      <c r="BH2846" s="6"/>
      <c r="BI2846" s="6"/>
      <c r="BJ2846" s="6"/>
      <c r="BK2846" s="6"/>
      <c r="BL2846" s="6"/>
      <c r="BM2846" s="6"/>
      <c r="BN2846" s="6"/>
      <c r="BO2846" s="6"/>
      <c r="BP2846" s="6"/>
      <c r="BQ2846" s="6"/>
      <c r="BR2846" s="6"/>
      <c r="BS2846" s="6"/>
      <c r="BT2846" s="6"/>
      <c r="BU2846" s="6"/>
      <c r="BV2846" s="6"/>
      <c r="BW2846" s="6"/>
      <c r="BX2846" s="6"/>
      <c r="BY2846" s="6"/>
      <c r="BZ2846" s="6"/>
      <c r="CA2846" s="6"/>
      <c r="CB2846" s="6"/>
      <c r="CC2846" s="6"/>
      <c r="CD2846" s="6"/>
      <c r="CE2846" s="6"/>
      <c r="CF2846" s="6"/>
      <c r="CG2846" s="6"/>
      <c r="CH2846" s="6"/>
      <c r="CI2846" s="6"/>
      <c r="CJ2846" s="6"/>
      <c r="CK2846" s="6"/>
      <c r="CL2846" s="6"/>
      <c r="CM2846" s="6"/>
      <c r="CN2846" s="6"/>
      <c r="CO2846" s="6"/>
      <c r="CP2846" s="6"/>
      <c r="CQ2846" s="6"/>
      <c r="CR2846" s="6"/>
      <c r="CS2846" s="6"/>
      <c r="CT2846" s="6"/>
      <c r="CU2846" s="6"/>
      <c r="CV2846" s="6"/>
      <c r="CW2846" s="6"/>
      <c r="CX2846" s="6"/>
      <c r="CY2846" s="6"/>
      <c r="CZ2846" s="6"/>
    </row>
    <row r="2847" spans="27:104" s="5" customFormat="1" x14ac:dyDescent="0.25">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16"/>
      <c r="BC2847" s="6"/>
      <c r="BD2847" s="6"/>
      <c r="BE2847" s="6"/>
      <c r="BF2847" s="6"/>
      <c r="BG2847" s="6"/>
      <c r="BH2847" s="6"/>
      <c r="BI2847" s="6"/>
      <c r="BJ2847" s="6"/>
      <c r="BK2847" s="6"/>
      <c r="BL2847" s="6"/>
      <c r="BM2847" s="6"/>
      <c r="BN2847" s="6"/>
      <c r="BO2847" s="6"/>
      <c r="BP2847" s="6"/>
      <c r="BQ2847" s="6"/>
      <c r="BR2847" s="6"/>
      <c r="BS2847" s="6"/>
      <c r="BT2847" s="6"/>
      <c r="BU2847" s="6"/>
      <c r="BV2847" s="6"/>
      <c r="BW2847" s="6"/>
      <c r="BX2847" s="6"/>
      <c r="BY2847" s="6"/>
      <c r="BZ2847" s="6"/>
      <c r="CA2847" s="6"/>
      <c r="CB2847" s="6"/>
      <c r="CC2847" s="6"/>
      <c r="CD2847" s="6"/>
      <c r="CE2847" s="6"/>
      <c r="CF2847" s="6"/>
      <c r="CG2847" s="6"/>
      <c r="CH2847" s="6"/>
      <c r="CI2847" s="6"/>
      <c r="CJ2847" s="6"/>
      <c r="CK2847" s="6"/>
      <c r="CL2847" s="6"/>
      <c r="CM2847" s="6"/>
      <c r="CN2847" s="6"/>
      <c r="CO2847" s="6"/>
      <c r="CP2847" s="6"/>
      <c r="CQ2847" s="6"/>
      <c r="CR2847" s="6"/>
      <c r="CS2847" s="6"/>
      <c r="CT2847" s="6"/>
      <c r="CU2847" s="6"/>
      <c r="CV2847" s="6"/>
      <c r="CW2847" s="6"/>
      <c r="CX2847" s="6"/>
      <c r="CY2847" s="6"/>
      <c r="CZ2847" s="6"/>
    </row>
    <row r="2848" spans="27:104" s="5" customFormat="1" x14ac:dyDescent="0.25">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16"/>
      <c r="BC2848" s="6"/>
      <c r="BD2848" s="6"/>
      <c r="BE2848" s="6"/>
      <c r="BF2848" s="6"/>
      <c r="BG2848" s="6"/>
      <c r="BH2848" s="6"/>
      <c r="BI2848" s="6"/>
      <c r="BJ2848" s="6"/>
      <c r="BK2848" s="6"/>
      <c r="BL2848" s="6"/>
      <c r="BM2848" s="6"/>
      <c r="BN2848" s="6"/>
      <c r="BO2848" s="6"/>
      <c r="BP2848" s="6"/>
      <c r="BQ2848" s="6"/>
      <c r="BR2848" s="6"/>
      <c r="BS2848" s="6"/>
      <c r="BT2848" s="6"/>
      <c r="BU2848" s="6"/>
      <c r="BV2848" s="6"/>
      <c r="BW2848" s="6"/>
      <c r="BX2848" s="6"/>
      <c r="BY2848" s="6"/>
      <c r="BZ2848" s="6"/>
      <c r="CA2848" s="6"/>
      <c r="CB2848" s="6"/>
      <c r="CC2848" s="6"/>
      <c r="CD2848" s="6"/>
      <c r="CE2848" s="6"/>
      <c r="CF2848" s="6"/>
      <c r="CG2848" s="6"/>
      <c r="CH2848" s="6"/>
      <c r="CI2848" s="6"/>
      <c r="CJ2848" s="6"/>
      <c r="CK2848" s="6"/>
      <c r="CL2848" s="6"/>
      <c r="CM2848" s="6"/>
      <c r="CN2848" s="6"/>
      <c r="CO2848" s="6"/>
      <c r="CP2848" s="6"/>
      <c r="CQ2848" s="6"/>
      <c r="CR2848" s="6"/>
      <c r="CS2848" s="6"/>
      <c r="CT2848" s="6"/>
      <c r="CU2848" s="6"/>
      <c r="CV2848" s="6"/>
      <c r="CW2848" s="6"/>
      <c r="CX2848" s="6"/>
      <c r="CY2848" s="6"/>
      <c r="CZ2848" s="6"/>
    </row>
    <row r="2849" spans="27:104" s="5" customFormat="1" x14ac:dyDescent="0.25">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16"/>
      <c r="BC2849" s="6"/>
      <c r="BD2849" s="6"/>
      <c r="BE2849" s="6"/>
      <c r="BF2849" s="6"/>
      <c r="BG2849" s="6"/>
      <c r="BH2849" s="6"/>
      <c r="BI2849" s="6"/>
      <c r="BJ2849" s="6"/>
      <c r="BK2849" s="6"/>
      <c r="BL2849" s="6"/>
      <c r="BM2849" s="6"/>
      <c r="BN2849" s="6"/>
      <c r="BO2849" s="6"/>
      <c r="BP2849" s="6"/>
      <c r="BQ2849" s="6"/>
      <c r="BR2849" s="6"/>
      <c r="BS2849" s="6"/>
      <c r="BT2849" s="6"/>
      <c r="BU2849" s="6"/>
      <c r="BV2849" s="6"/>
      <c r="BW2849" s="6"/>
      <c r="BX2849" s="6"/>
      <c r="BY2849" s="6"/>
      <c r="BZ2849" s="6"/>
      <c r="CA2849" s="6"/>
      <c r="CB2849" s="6"/>
      <c r="CC2849" s="6"/>
      <c r="CD2849" s="6"/>
      <c r="CE2849" s="6"/>
      <c r="CF2849" s="6"/>
      <c r="CG2849" s="6"/>
      <c r="CH2849" s="6"/>
      <c r="CI2849" s="6"/>
      <c r="CJ2849" s="6"/>
      <c r="CK2849" s="6"/>
      <c r="CL2849" s="6"/>
      <c r="CM2849" s="6"/>
      <c r="CN2849" s="6"/>
      <c r="CO2849" s="6"/>
      <c r="CP2849" s="6"/>
      <c r="CQ2849" s="6"/>
      <c r="CR2849" s="6"/>
      <c r="CS2849" s="6"/>
      <c r="CT2849" s="6"/>
      <c r="CU2849" s="6"/>
      <c r="CV2849" s="6"/>
      <c r="CW2849" s="6"/>
      <c r="CX2849" s="6"/>
      <c r="CY2849" s="6"/>
      <c r="CZ2849" s="6"/>
    </row>
    <row r="2850" spans="27:104" s="5" customFormat="1" x14ac:dyDescent="0.25">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16"/>
      <c r="BC2850" s="6"/>
      <c r="BD2850" s="6"/>
      <c r="BE2850" s="6"/>
      <c r="BF2850" s="6"/>
      <c r="BG2850" s="6"/>
      <c r="BH2850" s="6"/>
      <c r="BI2850" s="6"/>
      <c r="BJ2850" s="6"/>
      <c r="BK2850" s="6"/>
      <c r="BL2850" s="6"/>
      <c r="BM2850" s="6"/>
      <c r="BN2850" s="6"/>
      <c r="BO2850" s="6"/>
      <c r="BP2850" s="6"/>
      <c r="BQ2850" s="6"/>
      <c r="BR2850" s="6"/>
      <c r="BS2850" s="6"/>
      <c r="BT2850" s="6"/>
      <c r="BU2850" s="6"/>
      <c r="BV2850" s="6"/>
      <c r="BW2850" s="6"/>
      <c r="BX2850" s="6"/>
      <c r="BY2850" s="6"/>
      <c r="BZ2850" s="6"/>
      <c r="CA2850" s="6"/>
      <c r="CB2850" s="6"/>
      <c r="CC2850" s="6"/>
      <c r="CD2850" s="6"/>
      <c r="CE2850" s="6"/>
      <c r="CF2850" s="6"/>
      <c r="CG2850" s="6"/>
      <c r="CH2850" s="6"/>
      <c r="CI2850" s="6"/>
      <c r="CJ2850" s="6"/>
      <c r="CK2850" s="6"/>
      <c r="CL2850" s="6"/>
      <c r="CM2850" s="6"/>
      <c r="CN2850" s="6"/>
      <c r="CO2850" s="6"/>
      <c r="CP2850" s="6"/>
      <c r="CQ2850" s="6"/>
      <c r="CR2850" s="6"/>
      <c r="CS2850" s="6"/>
      <c r="CT2850" s="6"/>
      <c r="CU2850" s="6"/>
      <c r="CV2850" s="6"/>
      <c r="CW2850" s="6"/>
      <c r="CX2850" s="6"/>
      <c r="CY2850" s="6"/>
      <c r="CZ2850" s="6"/>
    </row>
    <row r="2851" spans="27:104" s="5" customFormat="1" x14ac:dyDescent="0.25">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16"/>
      <c r="BC2851" s="6"/>
      <c r="BD2851" s="6"/>
      <c r="BE2851" s="6"/>
      <c r="BF2851" s="6"/>
      <c r="BG2851" s="6"/>
      <c r="BH2851" s="6"/>
      <c r="BI2851" s="6"/>
      <c r="BJ2851" s="6"/>
      <c r="BK2851" s="6"/>
      <c r="BL2851" s="6"/>
      <c r="BM2851" s="6"/>
      <c r="BN2851" s="6"/>
      <c r="BO2851" s="6"/>
      <c r="BP2851" s="6"/>
      <c r="BQ2851" s="6"/>
      <c r="BR2851" s="6"/>
      <c r="BS2851" s="6"/>
      <c r="BT2851" s="6"/>
      <c r="BU2851" s="6"/>
      <c r="BV2851" s="6"/>
      <c r="BW2851" s="6"/>
      <c r="BX2851" s="6"/>
      <c r="BY2851" s="6"/>
      <c r="BZ2851" s="6"/>
      <c r="CA2851" s="6"/>
      <c r="CB2851" s="6"/>
      <c r="CC2851" s="6"/>
      <c r="CD2851" s="6"/>
      <c r="CE2851" s="6"/>
      <c r="CF2851" s="6"/>
      <c r="CG2851" s="6"/>
      <c r="CH2851" s="6"/>
      <c r="CI2851" s="6"/>
      <c r="CJ2851" s="6"/>
      <c r="CK2851" s="6"/>
      <c r="CL2851" s="6"/>
      <c r="CM2851" s="6"/>
      <c r="CN2851" s="6"/>
      <c r="CO2851" s="6"/>
      <c r="CP2851" s="6"/>
      <c r="CQ2851" s="6"/>
      <c r="CR2851" s="6"/>
      <c r="CS2851" s="6"/>
      <c r="CT2851" s="6"/>
      <c r="CU2851" s="6"/>
      <c r="CV2851" s="6"/>
      <c r="CW2851" s="6"/>
      <c r="CX2851" s="6"/>
      <c r="CY2851" s="6"/>
      <c r="CZ2851" s="6"/>
    </row>
    <row r="2852" spans="27:104" s="5" customFormat="1" x14ac:dyDescent="0.25">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16"/>
      <c r="BC2852" s="6"/>
      <c r="BD2852" s="6"/>
      <c r="BE2852" s="6"/>
      <c r="BF2852" s="6"/>
      <c r="BG2852" s="6"/>
      <c r="BH2852" s="6"/>
      <c r="BI2852" s="6"/>
      <c r="BJ2852" s="6"/>
      <c r="BK2852" s="6"/>
      <c r="BL2852" s="6"/>
      <c r="BM2852" s="6"/>
      <c r="BN2852" s="6"/>
      <c r="BO2852" s="6"/>
      <c r="BP2852" s="6"/>
      <c r="BQ2852" s="6"/>
      <c r="BR2852" s="6"/>
      <c r="BS2852" s="6"/>
      <c r="BT2852" s="6"/>
      <c r="BU2852" s="6"/>
      <c r="BV2852" s="6"/>
      <c r="BW2852" s="6"/>
      <c r="BX2852" s="6"/>
      <c r="BY2852" s="6"/>
      <c r="BZ2852" s="6"/>
      <c r="CA2852" s="6"/>
      <c r="CB2852" s="6"/>
      <c r="CC2852" s="6"/>
      <c r="CD2852" s="6"/>
      <c r="CE2852" s="6"/>
      <c r="CF2852" s="6"/>
      <c r="CG2852" s="6"/>
      <c r="CH2852" s="6"/>
      <c r="CI2852" s="6"/>
      <c r="CJ2852" s="6"/>
      <c r="CK2852" s="6"/>
      <c r="CL2852" s="6"/>
      <c r="CM2852" s="6"/>
      <c r="CN2852" s="6"/>
      <c r="CO2852" s="6"/>
      <c r="CP2852" s="6"/>
      <c r="CQ2852" s="6"/>
      <c r="CR2852" s="6"/>
      <c r="CS2852" s="6"/>
      <c r="CT2852" s="6"/>
      <c r="CU2852" s="6"/>
      <c r="CV2852" s="6"/>
      <c r="CW2852" s="6"/>
      <c r="CX2852" s="6"/>
      <c r="CY2852" s="6"/>
      <c r="CZ2852" s="6"/>
    </row>
    <row r="2853" spans="27:104" s="5" customFormat="1" x14ac:dyDescent="0.25">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16"/>
      <c r="BC2853" s="6"/>
      <c r="BD2853" s="6"/>
      <c r="BE2853" s="6"/>
      <c r="BF2853" s="6"/>
      <c r="BG2853" s="6"/>
      <c r="BH2853" s="6"/>
      <c r="BI2853" s="6"/>
      <c r="BJ2853" s="6"/>
      <c r="BK2853" s="6"/>
      <c r="BL2853" s="6"/>
      <c r="BM2853" s="6"/>
      <c r="BN2853" s="6"/>
      <c r="BO2853" s="6"/>
      <c r="BP2853" s="6"/>
      <c r="BQ2853" s="6"/>
      <c r="BR2853" s="6"/>
      <c r="BS2853" s="6"/>
      <c r="BT2853" s="6"/>
      <c r="BU2853" s="6"/>
      <c r="BV2853" s="6"/>
      <c r="BW2853" s="6"/>
      <c r="BX2853" s="6"/>
      <c r="BY2853" s="6"/>
      <c r="BZ2853" s="6"/>
      <c r="CA2853" s="6"/>
      <c r="CB2853" s="6"/>
      <c r="CC2853" s="6"/>
      <c r="CD2853" s="6"/>
      <c r="CE2853" s="6"/>
      <c r="CF2853" s="6"/>
      <c r="CG2853" s="6"/>
      <c r="CH2853" s="6"/>
      <c r="CI2853" s="6"/>
      <c r="CJ2853" s="6"/>
      <c r="CK2853" s="6"/>
      <c r="CL2853" s="6"/>
      <c r="CM2853" s="6"/>
      <c r="CN2853" s="6"/>
      <c r="CO2853" s="6"/>
      <c r="CP2853" s="6"/>
      <c r="CQ2853" s="6"/>
      <c r="CR2853" s="6"/>
      <c r="CS2853" s="6"/>
      <c r="CT2853" s="6"/>
      <c r="CU2853" s="6"/>
      <c r="CV2853" s="6"/>
      <c r="CW2853" s="6"/>
      <c r="CX2853" s="6"/>
      <c r="CY2853" s="6"/>
      <c r="CZ2853" s="6"/>
    </row>
    <row r="2854" spans="27:104" s="5" customFormat="1" x14ac:dyDescent="0.25">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16"/>
      <c r="BC2854" s="6"/>
      <c r="BD2854" s="6"/>
      <c r="BE2854" s="6"/>
      <c r="BF2854" s="6"/>
      <c r="BG2854" s="6"/>
      <c r="BH2854" s="6"/>
      <c r="BI2854" s="6"/>
      <c r="BJ2854" s="6"/>
      <c r="BK2854" s="6"/>
      <c r="BL2854" s="6"/>
      <c r="BM2854" s="6"/>
      <c r="BN2854" s="6"/>
      <c r="BO2854" s="6"/>
      <c r="BP2854" s="6"/>
      <c r="BQ2854" s="6"/>
      <c r="BR2854" s="6"/>
      <c r="BS2854" s="6"/>
      <c r="BT2854" s="6"/>
      <c r="BU2854" s="6"/>
      <c r="BV2854" s="6"/>
      <c r="BW2854" s="6"/>
      <c r="BX2854" s="6"/>
      <c r="BY2854" s="6"/>
      <c r="BZ2854" s="6"/>
      <c r="CA2854" s="6"/>
      <c r="CB2854" s="6"/>
      <c r="CC2854" s="6"/>
      <c r="CD2854" s="6"/>
      <c r="CE2854" s="6"/>
      <c r="CF2854" s="6"/>
      <c r="CG2854" s="6"/>
      <c r="CH2854" s="6"/>
      <c r="CI2854" s="6"/>
      <c r="CJ2854" s="6"/>
      <c r="CK2854" s="6"/>
      <c r="CL2854" s="6"/>
      <c r="CM2854" s="6"/>
      <c r="CN2854" s="6"/>
      <c r="CO2854" s="6"/>
      <c r="CP2854" s="6"/>
      <c r="CQ2854" s="6"/>
      <c r="CR2854" s="6"/>
      <c r="CS2854" s="6"/>
      <c r="CT2854" s="6"/>
      <c r="CU2854" s="6"/>
      <c r="CV2854" s="6"/>
      <c r="CW2854" s="6"/>
      <c r="CX2854" s="6"/>
      <c r="CY2854" s="6"/>
      <c r="CZ2854" s="6"/>
    </row>
    <row r="2855" spans="27:104" s="5" customFormat="1" x14ac:dyDescent="0.25">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16"/>
      <c r="BC2855" s="6"/>
      <c r="BD2855" s="6"/>
      <c r="BE2855" s="6"/>
      <c r="BF2855" s="6"/>
      <c r="BG2855" s="6"/>
      <c r="BH2855" s="6"/>
      <c r="BI2855" s="6"/>
      <c r="BJ2855" s="6"/>
      <c r="BK2855" s="6"/>
      <c r="BL2855" s="6"/>
      <c r="BM2855" s="6"/>
      <c r="BN2855" s="6"/>
      <c r="BO2855" s="6"/>
      <c r="BP2855" s="6"/>
      <c r="BQ2855" s="6"/>
      <c r="BR2855" s="6"/>
      <c r="BS2855" s="6"/>
      <c r="BT2855" s="6"/>
      <c r="BU2855" s="6"/>
      <c r="BV2855" s="6"/>
      <c r="BW2855" s="6"/>
      <c r="BX2855" s="6"/>
      <c r="BY2855" s="6"/>
      <c r="BZ2855" s="6"/>
      <c r="CA2855" s="6"/>
      <c r="CB2855" s="6"/>
      <c r="CC2855" s="6"/>
      <c r="CD2855" s="6"/>
      <c r="CE2855" s="6"/>
      <c r="CF2855" s="6"/>
      <c r="CG2855" s="6"/>
      <c r="CH2855" s="6"/>
      <c r="CI2855" s="6"/>
      <c r="CJ2855" s="6"/>
      <c r="CK2855" s="6"/>
      <c r="CL2855" s="6"/>
      <c r="CM2855" s="6"/>
      <c r="CN2855" s="6"/>
      <c r="CO2855" s="6"/>
      <c r="CP2855" s="6"/>
      <c r="CQ2855" s="6"/>
      <c r="CR2855" s="6"/>
      <c r="CS2855" s="6"/>
      <c r="CT2855" s="6"/>
      <c r="CU2855" s="6"/>
      <c r="CV2855" s="6"/>
      <c r="CW2855" s="6"/>
      <c r="CX2855" s="6"/>
      <c r="CY2855" s="6"/>
      <c r="CZ2855" s="6"/>
    </row>
    <row r="2856" spans="27:104" s="5" customFormat="1" x14ac:dyDescent="0.25">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16"/>
      <c r="BC2856" s="6"/>
      <c r="BD2856" s="6"/>
      <c r="BE2856" s="6"/>
      <c r="BF2856" s="6"/>
      <c r="BG2856" s="6"/>
      <c r="BH2856" s="6"/>
      <c r="BI2856" s="6"/>
      <c r="BJ2856" s="6"/>
      <c r="BK2856" s="6"/>
      <c r="BL2856" s="6"/>
      <c r="BM2856" s="6"/>
      <c r="BN2856" s="6"/>
      <c r="BO2856" s="6"/>
      <c r="BP2856" s="6"/>
      <c r="BQ2856" s="6"/>
      <c r="BR2856" s="6"/>
      <c r="BS2856" s="6"/>
      <c r="BT2856" s="6"/>
      <c r="BU2856" s="6"/>
      <c r="BV2856" s="6"/>
      <c r="BW2856" s="6"/>
      <c r="BX2856" s="6"/>
      <c r="BY2856" s="6"/>
      <c r="BZ2856" s="6"/>
      <c r="CA2856" s="6"/>
      <c r="CB2856" s="6"/>
      <c r="CC2856" s="6"/>
      <c r="CD2856" s="6"/>
      <c r="CE2856" s="6"/>
      <c r="CF2856" s="6"/>
      <c r="CG2856" s="6"/>
      <c r="CH2856" s="6"/>
      <c r="CI2856" s="6"/>
      <c r="CJ2856" s="6"/>
      <c r="CK2856" s="6"/>
      <c r="CL2856" s="6"/>
      <c r="CM2856" s="6"/>
      <c r="CN2856" s="6"/>
      <c r="CO2856" s="6"/>
      <c r="CP2856" s="6"/>
      <c r="CQ2856" s="6"/>
      <c r="CR2856" s="6"/>
      <c r="CS2856" s="6"/>
      <c r="CT2856" s="6"/>
      <c r="CU2856" s="6"/>
      <c r="CV2856" s="6"/>
      <c r="CW2856" s="6"/>
      <c r="CX2856" s="6"/>
      <c r="CY2856" s="6"/>
      <c r="CZ2856" s="6"/>
    </row>
    <row r="2857" spans="27:104" s="5" customFormat="1" x14ac:dyDescent="0.25">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16"/>
      <c r="BC2857" s="6"/>
      <c r="BD2857" s="6"/>
      <c r="BE2857" s="6"/>
      <c r="BF2857" s="6"/>
      <c r="BG2857" s="6"/>
      <c r="BH2857" s="6"/>
      <c r="BI2857" s="6"/>
      <c r="BJ2857" s="6"/>
      <c r="BK2857" s="6"/>
      <c r="BL2857" s="6"/>
      <c r="BM2857" s="6"/>
      <c r="BN2857" s="6"/>
      <c r="BO2857" s="6"/>
      <c r="BP2857" s="6"/>
      <c r="BQ2857" s="6"/>
      <c r="BR2857" s="6"/>
      <c r="BS2857" s="6"/>
      <c r="BT2857" s="6"/>
      <c r="BU2857" s="6"/>
      <c r="BV2857" s="6"/>
      <c r="BW2857" s="6"/>
      <c r="BX2857" s="6"/>
      <c r="BY2857" s="6"/>
      <c r="BZ2857" s="6"/>
      <c r="CA2857" s="6"/>
      <c r="CB2857" s="6"/>
      <c r="CC2857" s="6"/>
      <c r="CD2857" s="6"/>
      <c r="CE2857" s="6"/>
      <c r="CF2857" s="6"/>
      <c r="CG2857" s="6"/>
      <c r="CH2857" s="6"/>
      <c r="CI2857" s="6"/>
      <c r="CJ2857" s="6"/>
      <c r="CK2857" s="6"/>
      <c r="CL2857" s="6"/>
      <c r="CM2857" s="6"/>
      <c r="CN2857" s="6"/>
      <c r="CO2857" s="6"/>
      <c r="CP2857" s="6"/>
      <c r="CQ2857" s="6"/>
      <c r="CR2857" s="6"/>
      <c r="CS2857" s="6"/>
      <c r="CT2857" s="6"/>
      <c r="CU2857" s="6"/>
      <c r="CV2857" s="6"/>
      <c r="CW2857" s="6"/>
      <c r="CX2857" s="6"/>
      <c r="CY2857" s="6"/>
      <c r="CZ2857" s="6"/>
    </row>
    <row r="2858" spans="27:104" s="5" customFormat="1" x14ac:dyDescent="0.25">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16"/>
      <c r="BC2858" s="6"/>
      <c r="BD2858" s="6"/>
      <c r="BE2858" s="6"/>
      <c r="BF2858" s="6"/>
      <c r="BG2858" s="6"/>
      <c r="BH2858" s="6"/>
      <c r="BI2858" s="6"/>
      <c r="BJ2858" s="6"/>
      <c r="BK2858" s="6"/>
      <c r="BL2858" s="6"/>
      <c r="BM2858" s="6"/>
      <c r="BN2858" s="6"/>
      <c r="BO2858" s="6"/>
      <c r="BP2858" s="6"/>
      <c r="BQ2858" s="6"/>
      <c r="BR2858" s="6"/>
      <c r="BS2858" s="6"/>
      <c r="BT2858" s="6"/>
      <c r="BU2858" s="6"/>
      <c r="BV2858" s="6"/>
      <c r="BW2858" s="6"/>
      <c r="BX2858" s="6"/>
      <c r="BY2858" s="6"/>
      <c r="BZ2858" s="6"/>
      <c r="CA2858" s="6"/>
      <c r="CB2858" s="6"/>
      <c r="CC2858" s="6"/>
      <c r="CD2858" s="6"/>
      <c r="CE2858" s="6"/>
      <c r="CF2858" s="6"/>
      <c r="CG2858" s="6"/>
      <c r="CH2858" s="6"/>
      <c r="CI2858" s="6"/>
      <c r="CJ2858" s="6"/>
      <c r="CK2858" s="6"/>
      <c r="CL2858" s="6"/>
      <c r="CM2858" s="6"/>
      <c r="CN2858" s="6"/>
      <c r="CO2858" s="6"/>
      <c r="CP2858" s="6"/>
      <c r="CQ2858" s="6"/>
      <c r="CR2858" s="6"/>
      <c r="CS2858" s="6"/>
      <c r="CT2858" s="6"/>
      <c r="CU2858" s="6"/>
      <c r="CV2858" s="6"/>
      <c r="CW2858" s="6"/>
      <c r="CX2858" s="6"/>
      <c r="CY2858" s="6"/>
      <c r="CZ2858" s="6"/>
    </row>
    <row r="2859" spans="27:104" s="5" customFormat="1" x14ac:dyDescent="0.25">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16"/>
      <c r="BC2859" s="6"/>
      <c r="BD2859" s="6"/>
      <c r="BE2859" s="6"/>
      <c r="BF2859" s="6"/>
      <c r="BG2859" s="6"/>
      <c r="BH2859" s="6"/>
      <c r="BI2859" s="6"/>
      <c r="BJ2859" s="6"/>
      <c r="BK2859" s="6"/>
      <c r="BL2859" s="6"/>
      <c r="BM2859" s="6"/>
      <c r="BN2859" s="6"/>
      <c r="BO2859" s="6"/>
      <c r="BP2859" s="6"/>
      <c r="BQ2859" s="6"/>
      <c r="BR2859" s="6"/>
      <c r="BS2859" s="6"/>
      <c r="BT2859" s="6"/>
      <c r="BU2859" s="6"/>
      <c r="BV2859" s="6"/>
      <c r="BW2859" s="6"/>
      <c r="BX2859" s="6"/>
      <c r="BY2859" s="6"/>
      <c r="BZ2859" s="6"/>
      <c r="CA2859" s="6"/>
      <c r="CB2859" s="6"/>
      <c r="CC2859" s="6"/>
      <c r="CD2859" s="6"/>
      <c r="CE2859" s="6"/>
      <c r="CF2859" s="6"/>
      <c r="CG2859" s="6"/>
      <c r="CH2859" s="6"/>
      <c r="CI2859" s="6"/>
      <c r="CJ2859" s="6"/>
      <c r="CK2859" s="6"/>
      <c r="CL2859" s="6"/>
      <c r="CM2859" s="6"/>
      <c r="CN2859" s="6"/>
      <c r="CO2859" s="6"/>
      <c r="CP2859" s="6"/>
      <c r="CQ2859" s="6"/>
      <c r="CR2859" s="6"/>
      <c r="CS2859" s="6"/>
      <c r="CT2859" s="6"/>
      <c r="CU2859" s="6"/>
      <c r="CV2859" s="6"/>
      <c r="CW2859" s="6"/>
      <c r="CX2859" s="6"/>
      <c r="CY2859" s="6"/>
      <c r="CZ2859" s="6"/>
    </row>
    <row r="2860" spans="27:104" s="5" customFormat="1" x14ac:dyDescent="0.25">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16"/>
      <c r="BC2860" s="6"/>
      <c r="BD2860" s="6"/>
      <c r="BE2860" s="6"/>
      <c r="BF2860" s="6"/>
      <c r="BG2860" s="6"/>
      <c r="BH2860" s="6"/>
      <c r="BI2860" s="6"/>
      <c r="BJ2860" s="6"/>
      <c r="BK2860" s="6"/>
      <c r="BL2860" s="6"/>
      <c r="BM2860" s="6"/>
      <c r="BN2860" s="6"/>
      <c r="BO2860" s="6"/>
      <c r="BP2860" s="6"/>
      <c r="BQ2860" s="6"/>
      <c r="BR2860" s="6"/>
      <c r="BS2860" s="6"/>
      <c r="BT2860" s="6"/>
      <c r="BU2860" s="6"/>
      <c r="BV2860" s="6"/>
      <c r="BW2860" s="6"/>
      <c r="BX2860" s="6"/>
      <c r="BY2860" s="6"/>
      <c r="BZ2860" s="6"/>
      <c r="CA2860" s="6"/>
      <c r="CB2860" s="6"/>
      <c r="CC2860" s="6"/>
      <c r="CD2860" s="6"/>
      <c r="CE2860" s="6"/>
      <c r="CF2860" s="6"/>
      <c r="CG2860" s="6"/>
      <c r="CH2860" s="6"/>
      <c r="CI2860" s="6"/>
      <c r="CJ2860" s="6"/>
      <c r="CK2860" s="6"/>
      <c r="CL2860" s="6"/>
      <c r="CM2860" s="6"/>
      <c r="CN2860" s="6"/>
      <c r="CO2860" s="6"/>
      <c r="CP2860" s="6"/>
      <c r="CQ2860" s="6"/>
      <c r="CR2860" s="6"/>
      <c r="CS2860" s="6"/>
      <c r="CT2860" s="6"/>
      <c r="CU2860" s="6"/>
      <c r="CV2860" s="6"/>
      <c r="CW2860" s="6"/>
      <c r="CX2860" s="6"/>
      <c r="CY2860" s="6"/>
      <c r="CZ2860" s="6"/>
    </row>
    <row r="2861" spans="27:104" s="5" customFormat="1" x14ac:dyDescent="0.25">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16"/>
      <c r="BC2861" s="6"/>
      <c r="BD2861" s="6"/>
      <c r="BE2861" s="6"/>
      <c r="BF2861" s="6"/>
      <c r="BG2861" s="6"/>
      <c r="BH2861" s="6"/>
      <c r="BI2861" s="6"/>
      <c r="BJ2861" s="6"/>
      <c r="BK2861" s="6"/>
      <c r="BL2861" s="6"/>
      <c r="BM2861" s="6"/>
      <c r="BN2861" s="6"/>
      <c r="BO2861" s="6"/>
      <c r="BP2861" s="6"/>
      <c r="BQ2861" s="6"/>
      <c r="BR2861" s="6"/>
      <c r="BS2861" s="6"/>
      <c r="BT2861" s="6"/>
      <c r="BU2861" s="6"/>
      <c r="BV2861" s="6"/>
      <c r="BW2861" s="6"/>
      <c r="BX2861" s="6"/>
      <c r="BY2861" s="6"/>
      <c r="BZ2861" s="6"/>
      <c r="CA2861" s="6"/>
      <c r="CB2861" s="6"/>
      <c r="CC2861" s="6"/>
      <c r="CD2861" s="6"/>
      <c r="CE2861" s="6"/>
      <c r="CF2861" s="6"/>
      <c r="CG2861" s="6"/>
      <c r="CH2861" s="6"/>
      <c r="CI2861" s="6"/>
      <c r="CJ2861" s="6"/>
      <c r="CK2861" s="6"/>
      <c r="CL2861" s="6"/>
      <c r="CM2861" s="6"/>
      <c r="CN2861" s="6"/>
      <c r="CO2861" s="6"/>
      <c r="CP2861" s="6"/>
      <c r="CQ2861" s="6"/>
      <c r="CR2861" s="6"/>
      <c r="CS2861" s="6"/>
      <c r="CT2861" s="6"/>
      <c r="CU2861" s="6"/>
      <c r="CV2861" s="6"/>
      <c r="CW2861" s="6"/>
      <c r="CX2861" s="6"/>
      <c r="CY2861" s="6"/>
      <c r="CZ2861" s="6"/>
    </row>
    <row r="2862" spans="27:104" s="5" customFormat="1" x14ac:dyDescent="0.25">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16"/>
      <c r="BC2862" s="6"/>
      <c r="BD2862" s="6"/>
      <c r="BE2862" s="6"/>
      <c r="BF2862" s="6"/>
      <c r="BG2862" s="6"/>
      <c r="BH2862" s="6"/>
      <c r="BI2862" s="6"/>
      <c r="BJ2862" s="6"/>
      <c r="BK2862" s="6"/>
      <c r="BL2862" s="6"/>
      <c r="BM2862" s="6"/>
      <c r="BN2862" s="6"/>
      <c r="BO2862" s="6"/>
      <c r="BP2862" s="6"/>
      <c r="BQ2862" s="6"/>
      <c r="BR2862" s="6"/>
      <c r="BS2862" s="6"/>
      <c r="BT2862" s="6"/>
      <c r="BU2862" s="6"/>
      <c r="BV2862" s="6"/>
      <c r="BW2862" s="6"/>
      <c r="BX2862" s="6"/>
      <c r="BY2862" s="6"/>
      <c r="BZ2862" s="6"/>
      <c r="CA2862" s="6"/>
      <c r="CB2862" s="6"/>
      <c r="CC2862" s="6"/>
      <c r="CD2862" s="6"/>
      <c r="CE2862" s="6"/>
      <c r="CF2862" s="6"/>
      <c r="CG2862" s="6"/>
      <c r="CH2862" s="6"/>
      <c r="CI2862" s="6"/>
      <c r="CJ2862" s="6"/>
      <c r="CK2862" s="6"/>
      <c r="CL2862" s="6"/>
      <c r="CM2862" s="6"/>
      <c r="CN2862" s="6"/>
      <c r="CO2862" s="6"/>
      <c r="CP2862" s="6"/>
      <c r="CQ2862" s="6"/>
      <c r="CR2862" s="6"/>
      <c r="CS2862" s="6"/>
      <c r="CT2862" s="6"/>
      <c r="CU2862" s="6"/>
      <c r="CV2862" s="6"/>
      <c r="CW2862" s="6"/>
      <c r="CX2862" s="6"/>
      <c r="CY2862" s="6"/>
      <c r="CZ2862" s="6"/>
    </row>
    <row r="2863" spans="27:104" s="5" customFormat="1" x14ac:dyDescent="0.25">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16"/>
      <c r="BC2863" s="6"/>
      <c r="BD2863" s="6"/>
      <c r="BE2863" s="6"/>
      <c r="BF2863" s="6"/>
      <c r="BG2863" s="6"/>
      <c r="BH2863" s="6"/>
      <c r="BI2863" s="6"/>
      <c r="BJ2863" s="6"/>
      <c r="BK2863" s="6"/>
      <c r="BL2863" s="6"/>
      <c r="BM2863" s="6"/>
      <c r="BN2863" s="6"/>
      <c r="BO2863" s="6"/>
      <c r="BP2863" s="6"/>
      <c r="BQ2863" s="6"/>
      <c r="BR2863" s="6"/>
      <c r="BS2863" s="6"/>
      <c r="BT2863" s="6"/>
      <c r="BU2863" s="6"/>
      <c r="BV2863" s="6"/>
      <c r="BW2863" s="6"/>
      <c r="BX2863" s="6"/>
      <c r="BY2863" s="6"/>
      <c r="BZ2863" s="6"/>
      <c r="CA2863" s="6"/>
      <c r="CB2863" s="6"/>
      <c r="CC2863" s="6"/>
      <c r="CD2863" s="6"/>
      <c r="CE2863" s="6"/>
      <c r="CF2863" s="6"/>
      <c r="CG2863" s="6"/>
      <c r="CH2863" s="6"/>
      <c r="CI2863" s="6"/>
      <c r="CJ2863" s="6"/>
      <c r="CK2863" s="6"/>
      <c r="CL2863" s="6"/>
      <c r="CM2863" s="6"/>
      <c r="CN2863" s="6"/>
      <c r="CO2863" s="6"/>
      <c r="CP2863" s="6"/>
      <c r="CQ2863" s="6"/>
      <c r="CR2863" s="6"/>
      <c r="CS2863" s="6"/>
      <c r="CT2863" s="6"/>
      <c r="CU2863" s="6"/>
      <c r="CV2863" s="6"/>
      <c r="CW2863" s="6"/>
      <c r="CX2863" s="6"/>
      <c r="CY2863" s="6"/>
      <c r="CZ2863" s="6"/>
    </row>
    <row r="2864" spans="27:104" s="5" customFormat="1" x14ac:dyDescent="0.25">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16"/>
      <c r="BC2864" s="6"/>
      <c r="BD2864" s="6"/>
      <c r="BE2864" s="6"/>
      <c r="BF2864" s="6"/>
      <c r="BG2864" s="6"/>
      <c r="BH2864" s="6"/>
      <c r="BI2864" s="6"/>
      <c r="BJ2864" s="6"/>
      <c r="BK2864" s="6"/>
      <c r="BL2864" s="6"/>
      <c r="BM2864" s="6"/>
      <c r="BN2864" s="6"/>
      <c r="BO2864" s="6"/>
      <c r="BP2864" s="6"/>
      <c r="BQ2864" s="6"/>
      <c r="BR2864" s="6"/>
      <c r="BS2864" s="6"/>
      <c r="BT2864" s="6"/>
      <c r="BU2864" s="6"/>
      <c r="BV2864" s="6"/>
      <c r="BW2864" s="6"/>
      <c r="BX2864" s="6"/>
      <c r="BY2864" s="6"/>
      <c r="BZ2864" s="6"/>
      <c r="CA2864" s="6"/>
      <c r="CB2864" s="6"/>
      <c r="CC2864" s="6"/>
      <c r="CD2864" s="6"/>
      <c r="CE2864" s="6"/>
      <c r="CF2864" s="6"/>
      <c r="CG2864" s="6"/>
      <c r="CH2864" s="6"/>
      <c r="CI2864" s="6"/>
      <c r="CJ2864" s="6"/>
      <c r="CK2864" s="6"/>
      <c r="CL2864" s="6"/>
      <c r="CM2864" s="6"/>
      <c r="CN2864" s="6"/>
      <c r="CO2864" s="6"/>
      <c r="CP2864" s="6"/>
      <c r="CQ2864" s="6"/>
      <c r="CR2864" s="6"/>
      <c r="CS2864" s="6"/>
      <c r="CT2864" s="6"/>
      <c r="CU2864" s="6"/>
      <c r="CV2864" s="6"/>
      <c r="CW2864" s="6"/>
      <c r="CX2864" s="6"/>
      <c r="CY2864" s="6"/>
      <c r="CZ2864" s="6"/>
    </row>
    <row r="2865" spans="27:104" s="5" customFormat="1" x14ac:dyDescent="0.25">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16"/>
      <c r="BC2865" s="6"/>
      <c r="BD2865" s="6"/>
      <c r="BE2865" s="6"/>
      <c r="BF2865" s="6"/>
      <c r="BG2865" s="6"/>
      <c r="BH2865" s="6"/>
      <c r="BI2865" s="6"/>
      <c r="BJ2865" s="6"/>
      <c r="BK2865" s="6"/>
      <c r="BL2865" s="6"/>
      <c r="BM2865" s="6"/>
      <c r="BN2865" s="6"/>
      <c r="BO2865" s="6"/>
      <c r="BP2865" s="6"/>
      <c r="BQ2865" s="6"/>
      <c r="BR2865" s="6"/>
      <c r="BS2865" s="6"/>
      <c r="BT2865" s="6"/>
      <c r="BU2865" s="6"/>
      <c r="BV2865" s="6"/>
      <c r="BW2865" s="6"/>
      <c r="BX2865" s="6"/>
      <c r="BY2865" s="6"/>
      <c r="BZ2865" s="6"/>
      <c r="CA2865" s="6"/>
      <c r="CB2865" s="6"/>
      <c r="CC2865" s="6"/>
      <c r="CD2865" s="6"/>
      <c r="CE2865" s="6"/>
      <c r="CF2865" s="6"/>
      <c r="CG2865" s="6"/>
      <c r="CH2865" s="6"/>
      <c r="CI2865" s="6"/>
      <c r="CJ2865" s="6"/>
      <c r="CK2865" s="6"/>
      <c r="CL2865" s="6"/>
      <c r="CM2865" s="6"/>
      <c r="CN2865" s="6"/>
      <c r="CO2865" s="6"/>
      <c r="CP2865" s="6"/>
      <c r="CQ2865" s="6"/>
      <c r="CR2865" s="6"/>
      <c r="CS2865" s="6"/>
      <c r="CT2865" s="6"/>
      <c r="CU2865" s="6"/>
      <c r="CV2865" s="6"/>
      <c r="CW2865" s="6"/>
      <c r="CX2865" s="6"/>
      <c r="CY2865" s="6"/>
      <c r="CZ2865" s="6"/>
    </row>
    <row r="2866" spans="27:104" s="5" customFormat="1" x14ac:dyDescent="0.25">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16"/>
      <c r="BC2866" s="6"/>
      <c r="BD2866" s="6"/>
      <c r="BE2866" s="6"/>
      <c r="BF2866" s="6"/>
      <c r="BG2866" s="6"/>
      <c r="BH2866" s="6"/>
      <c r="BI2866" s="6"/>
      <c r="BJ2866" s="6"/>
      <c r="BK2866" s="6"/>
      <c r="BL2866" s="6"/>
      <c r="BM2866" s="6"/>
      <c r="BN2866" s="6"/>
      <c r="BO2866" s="6"/>
      <c r="BP2866" s="6"/>
      <c r="BQ2866" s="6"/>
      <c r="BR2866" s="6"/>
      <c r="BS2866" s="6"/>
      <c r="BT2866" s="6"/>
      <c r="BU2866" s="6"/>
      <c r="BV2866" s="6"/>
      <c r="BW2866" s="6"/>
      <c r="BX2866" s="6"/>
      <c r="BY2866" s="6"/>
      <c r="BZ2866" s="6"/>
      <c r="CA2866" s="6"/>
      <c r="CB2866" s="6"/>
      <c r="CC2866" s="6"/>
      <c r="CD2866" s="6"/>
      <c r="CE2866" s="6"/>
      <c r="CF2866" s="6"/>
      <c r="CG2866" s="6"/>
      <c r="CH2866" s="6"/>
      <c r="CI2866" s="6"/>
      <c r="CJ2866" s="6"/>
      <c r="CK2866" s="6"/>
      <c r="CL2866" s="6"/>
      <c r="CM2866" s="6"/>
      <c r="CN2866" s="6"/>
      <c r="CO2866" s="6"/>
      <c r="CP2866" s="6"/>
      <c r="CQ2866" s="6"/>
      <c r="CR2866" s="6"/>
      <c r="CS2866" s="6"/>
      <c r="CT2866" s="6"/>
      <c r="CU2866" s="6"/>
      <c r="CV2866" s="6"/>
      <c r="CW2866" s="6"/>
      <c r="CX2866" s="6"/>
      <c r="CY2866" s="6"/>
      <c r="CZ2866" s="6"/>
    </row>
    <row r="2867" spans="27:104" s="5" customFormat="1" x14ac:dyDescent="0.25">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16"/>
      <c r="BC2867" s="6"/>
      <c r="BD2867" s="6"/>
      <c r="BE2867" s="6"/>
      <c r="BF2867" s="6"/>
      <c r="BG2867" s="6"/>
      <c r="BH2867" s="6"/>
      <c r="BI2867" s="6"/>
      <c r="BJ2867" s="6"/>
      <c r="BK2867" s="6"/>
      <c r="BL2867" s="6"/>
      <c r="BM2867" s="6"/>
      <c r="BN2867" s="6"/>
      <c r="BO2867" s="6"/>
      <c r="BP2867" s="6"/>
      <c r="BQ2867" s="6"/>
      <c r="BR2867" s="6"/>
      <c r="BS2867" s="6"/>
      <c r="BT2867" s="6"/>
      <c r="BU2867" s="6"/>
      <c r="BV2867" s="6"/>
      <c r="BW2867" s="6"/>
      <c r="BX2867" s="6"/>
      <c r="BY2867" s="6"/>
      <c r="BZ2867" s="6"/>
      <c r="CA2867" s="6"/>
      <c r="CB2867" s="6"/>
      <c r="CC2867" s="6"/>
      <c r="CD2867" s="6"/>
      <c r="CE2867" s="6"/>
      <c r="CF2867" s="6"/>
      <c r="CG2867" s="6"/>
      <c r="CH2867" s="6"/>
      <c r="CI2867" s="6"/>
      <c r="CJ2867" s="6"/>
      <c r="CK2867" s="6"/>
      <c r="CL2867" s="6"/>
      <c r="CM2867" s="6"/>
      <c r="CN2867" s="6"/>
      <c r="CO2867" s="6"/>
      <c r="CP2867" s="6"/>
      <c r="CQ2867" s="6"/>
      <c r="CR2867" s="6"/>
      <c r="CS2867" s="6"/>
      <c r="CT2867" s="6"/>
      <c r="CU2867" s="6"/>
      <c r="CV2867" s="6"/>
      <c r="CW2867" s="6"/>
      <c r="CX2867" s="6"/>
      <c r="CY2867" s="6"/>
      <c r="CZ2867" s="6"/>
    </row>
    <row r="2868" spans="27:104" s="5" customFormat="1" x14ac:dyDescent="0.25">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16"/>
      <c r="BC2868" s="6"/>
      <c r="BD2868" s="6"/>
      <c r="BE2868" s="6"/>
      <c r="BF2868" s="6"/>
      <c r="BG2868" s="6"/>
      <c r="BH2868" s="6"/>
      <c r="BI2868" s="6"/>
      <c r="BJ2868" s="6"/>
      <c r="BK2868" s="6"/>
      <c r="BL2868" s="6"/>
      <c r="BM2868" s="6"/>
      <c r="BN2868" s="6"/>
      <c r="BO2868" s="6"/>
      <c r="BP2868" s="6"/>
      <c r="BQ2868" s="6"/>
      <c r="BR2868" s="6"/>
      <c r="BS2868" s="6"/>
      <c r="BT2868" s="6"/>
      <c r="BU2868" s="6"/>
      <c r="BV2868" s="6"/>
      <c r="BW2868" s="6"/>
      <c r="BX2868" s="6"/>
      <c r="BY2868" s="6"/>
      <c r="BZ2868" s="6"/>
      <c r="CA2868" s="6"/>
      <c r="CB2868" s="6"/>
      <c r="CC2868" s="6"/>
      <c r="CD2868" s="6"/>
      <c r="CE2868" s="6"/>
      <c r="CF2868" s="6"/>
      <c r="CG2868" s="6"/>
      <c r="CH2868" s="6"/>
      <c r="CI2868" s="6"/>
      <c r="CJ2868" s="6"/>
      <c r="CK2868" s="6"/>
      <c r="CL2868" s="6"/>
      <c r="CM2868" s="6"/>
      <c r="CN2868" s="6"/>
      <c r="CO2868" s="6"/>
      <c r="CP2868" s="6"/>
      <c r="CQ2868" s="6"/>
      <c r="CR2868" s="6"/>
      <c r="CS2868" s="6"/>
      <c r="CT2868" s="6"/>
      <c r="CU2868" s="6"/>
      <c r="CV2868" s="6"/>
      <c r="CW2868" s="6"/>
      <c r="CX2868" s="6"/>
      <c r="CY2868" s="6"/>
      <c r="CZ2868" s="6"/>
    </row>
    <row r="2869" spans="27:104" s="5" customFormat="1" x14ac:dyDescent="0.25">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16"/>
      <c r="BC2869" s="6"/>
      <c r="BD2869" s="6"/>
      <c r="BE2869" s="6"/>
      <c r="BF2869" s="6"/>
      <c r="BG2869" s="6"/>
      <c r="BH2869" s="6"/>
      <c r="BI2869" s="6"/>
      <c r="BJ2869" s="6"/>
      <c r="BK2869" s="6"/>
      <c r="BL2869" s="6"/>
      <c r="BM2869" s="6"/>
      <c r="BN2869" s="6"/>
      <c r="BO2869" s="6"/>
      <c r="BP2869" s="6"/>
      <c r="BQ2869" s="6"/>
      <c r="BR2869" s="6"/>
      <c r="BS2869" s="6"/>
      <c r="BT2869" s="6"/>
      <c r="BU2869" s="6"/>
      <c r="BV2869" s="6"/>
      <c r="BW2869" s="6"/>
      <c r="BX2869" s="6"/>
      <c r="BY2869" s="6"/>
      <c r="BZ2869" s="6"/>
      <c r="CA2869" s="6"/>
      <c r="CB2869" s="6"/>
      <c r="CC2869" s="6"/>
      <c r="CD2869" s="6"/>
      <c r="CE2869" s="6"/>
      <c r="CF2869" s="6"/>
      <c r="CG2869" s="6"/>
      <c r="CH2869" s="6"/>
      <c r="CI2869" s="6"/>
      <c r="CJ2869" s="6"/>
      <c r="CK2869" s="6"/>
      <c r="CL2869" s="6"/>
      <c r="CM2869" s="6"/>
      <c r="CN2869" s="6"/>
      <c r="CO2869" s="6"/>
      <c r="CP2869" s="6"/>
      <c r="CQ2869" s="6"/>
      <c r="CR2869" s="6"/>
      <c r="CS2869" s="6"/>
      <c r="CT2869" s="6"/>
      <c r="CU2869" s="6"/>
      <c r="CV2869" s="6"/>
      <c r="CW2869" s="6"/>
      <c r="CX2869" s="6"/>
      <c r="CY2869" s="6"/>
      <c r="CZ2869" s="6"/>
    </row>
    <row r="2870" spans="27:104" s="5" customFormat="1" x14ac:dyDescent="0.25">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16"/>
      <c r="BC2870" s="6"/>
      <c r="BD2870" s="6"/>
      <c r="BE2870" s="6"/>
      <c r="BF2870" s="6"/>
      <c r="BG2870" s="6"/>
      <c r="BH2870" s="6"/>
      <c r="BI2870" s="6"/>
      <c r="BJ2870" s="6"/>
      <c r="BK2870" s="6"/>
      <c r="BL2870" s="6"/>
      <c r="BM2870" s="6"/>
      <c r="BN2870" s="6"/>
      <c r="BO2870" s="6"/>
      <c r="BP2870" s="6"/>
      <c r="BQ2870" s="6"/>
      <c r="BR2870" s="6"/>
      <c r="BS2870" s="6"/>
      <c r="BT2870" s="6"/>
      <c r="BU2870" s="6"/>
      <c r="BV2870" s="6"/>
      <c r="BW2870" s="6"/>
      <c r="BX2870" s="6"/>
      <c r="BY2870" s="6"/>
      <c r="BZ2870" s="6"/>
      <c r="CA2870" s="6"/>
      <c r="CB2870" s="6"/>
      <c r="CC2870" s="6"/>
      <c r="CD2870" s="6"/>
      <c r="CE2870" s="6"/>
      <c r="CF2870" s="6"/>
      <c r="CG2870" s="6"/>
      <c r="CH2870" s="6"/>
      <c r="CI2870" s="6"/>
      <c r="CJ2870" s="6"/>
      <c r="CK2870" s="6"/>
      <c r="CL2870" s="6"/>
      <c r="CM2870" s="6"/>
      <c r="CN2870" s="6"/>
      <c r="CO2870" s="6"/>
      <c r="CP2870" s="6"/>
      <c r="CQ2870" s="6"/>
      <c r="CR2870" s="6"/>
      <c r="CS2870" s="6"/>
      <c r="CT2870" s="6"/>
      <c r="CU2870" s="6"/>
      <c r="CV2870" s="6"/>
      <c r="CW2870" s="6"/>
      <c r="CX2870" s="6"/>
      <c r="CY2870" s="6"/>
      <c r="CZ2870" s="6"/>
    </row>
    <row r="2871" spans="27:104" s="5" customFormat="1" x14ac:dyDescent="0.25">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16"/>
      <c r="BC2871" s="6"/>
      <c r="BD2871" s="6"/>
      <c r="BE2871" s="6"/>
      <c r="BF2871" s="6"/>
      <c r="BG2871" s="6"/>
      <c r="BH2871" s="6"/>
      <c r="BI2871" s="6"/>
      <c r="BJ2871" s="6"/>
      <c r="BK2871" s="6"/>
      <c r="BL2871" s="6"/>
      <c r="BM2871" s="6"/>
      <c r="BN2871" s="6"/>
      <c r="BO2871" s="6"/>
      <c r="BP2871" s="6"/>
      <c r="BQ2871" s="6"/>
      <c r="BR2871" s="6"/>
      <c r="BS2871" s="6"/>
      <c r="BT2871" s="6"/>
      <c r="BU2871" s="6"/>
      <c r="BV2871" s="6"/>
      <c r="BW2871" s="6"/>
      <c r="BX2871" s="6"/>
      <c r="BY2871" s="6"/>
      <c r="BZ2871" s="6"/>
      <c r="CA2871" s="6"/>
      <c r="CB2871" s="6"/>
      <c r="CC2871" s="6"/>
      <c r="CD2871" s="6"/>
      <c r="CE2871" s="6"/>
      <c r="CF2871" s="6"/>
      <c r="CG2871" s="6"/>
      <c r="CH2871" s="6"/>
      <c r="CI2871" s="6"/>
      <c r="CJ2871" s="6"/>
      <c r="CK2871" s="6"/>
      <c r="CL2871" s="6"/>
      <c r="CM2871" s="6"/>
      <c r="CN2871" s="6"/>
      <c r="CO2871" s="6"/>
      <c r="CP2871" s="6"/>
      <c r="CQ2871" s="6"/>
      <c r="CR2871" s="6"/>
      <c r="CS2871" s="6"/>
      <c r="CT2871" s="6"/>
      <c r="CU2871" s="6"/>
      <c r="CV2871" s="6"/>
      <c r="CW2871" s="6"/>
      <c r="CX2871" s="6"/>
      <c r="CY2871" s="6"/>
      <c r="CZ2871" s="6"/>
    </row>
    <row r="2872" spans="27:104" s="5" customFormat="1" x14ac:dyDescent="0.25">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16"/>
      <c r="BC2872" s="6"/>
      <c r="BD2872" s="6"/>
      <c r="BE2872" s="6"/>
      <c r="BF2872" s="6"/>
      <c r="BG2872" s="6"/>
      <c r="BH2872" s="6"/>
      <c r="BI2872" s="6"/>
      <c r="BJ2872" s="6"/>
      <c r="BK2872" s="6"/>
      <c r="BL2872" s="6"/>
      <c r="BM2872" s="6"/>
      <c r="BN2872" s="6"/>
      <c r="BO2872" s="6"/>
      <c r="BP2872" s="6"/>
      <c r="BQ2872" s="6"/>
      <c r="BR2872" s="6"/>
      <c r="BS2872" s="6"/>
      <c r="BT2872" s="6"/>
      <c r="BU2872" s="6"/>
      <c r="BV2872" s="6"/>
      <c r="BW2872" s="6"/>
      <c r="BX2872" s="6"/>
      <c r="BY2872" s="6"/>
      <c r="BZ2872" s="6"/>
      <c r="CA2872" s="6"/>
      <c r="CB2872" s="6"/>
      <c r="CC2872" s="6"/>
      <c r="CD2872" s="6"/>
      <c r="CE2872" s="6"/>
      <c r="CF2872" s="6"/>
      <c r="CG2872" s="6"/>
      <c r="CH2872" s="6"/>
      <c r="CI2872" s="6"/>
      <c r="CJ2872" s="6"/>
      <c r="CK2872" s="6"/>
      <c r="CL2872" s="6"/>
      <c r="CM2872" s="6"/>
      <c r="CN2872" s="6"/>
      <c r="CO2872" s="6"/>
      <c r="CP2872" s="6"/>
      <c r="CQ2872" s="6"/>
      <c r="CR2872" s="6"/>
      <c r="CS2872" s="6"/>
      <c r="CT2872" s="6"/>
      <c r="CU2872" s="6"/>
      <c r="CV2872" s="6"/>
      <c r="CW2872" s="6"/>
      <c r="CX2872" s="6"/>
      <c r="CY2872" s="6"/>
      <c r="CZ2872" s="6"/>
    </row>
    <row r="2873" spans="27:104" s="5" customFormat="1" x14ac:dyDescent="0.25">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16"/>
      <c r="BC2873" s="6"/>
      <c r="BD2873" s="6"/>
      <c r="BE2873" s="6"/>
      <c r="BF2873" s="6"/>
      <c r="BG2873" s="6"/>
      <c r="BH2873" s="6"/>
      <c r="BI2873" s="6"/>
      <c r="BJ2873" s="6"/>
      <c r="BK2873" s="6"/>
      <c r="BL2873" s="6"/>
      <c r="BM2873" s="6"/>
      <c r="BN2873" s="6"/>
      <c r="BO2873" s="6"/>
      <c r="BP2873" s="6"/>
      <c r="BQ2873" s="6"/>
      <c r="BR2873" s="6"/>
      <c r="BS2873" s="6"/>
      <c r="BT2873" s="6"/>
      <c r="BU2873" s="6"/>
      <c r="BV2873" s="6"/>
      <c r="BW2873" s="6"/>
      <c r="BX2873" s="6"/>
      <c r="BY2873" s="6"/>
      <c r="BZ2873" s="6"/>
      <c r="CA2873" s="6"/>
      <c r="CB2873" s="6"/>
      <c r="CC2873" s="6"/>
      <c r="CD2873" s="6"/>
      <c r="CE2873" s="6"/>
      <c r="CF2873" s="6"/>
      <c r="CG2873" s="6"/>
      <c r="CH2873" s="6"/>
      <c r="CI2873" s="6"/>
      <c r="CJ2873" s="6"/>
      <c r="CK2873" s="6"/>
      <c r="CL2873" s="6"/>
      <c r="CM2873" s="6"/>
      <c r="CN2873" s="6"/>
      <c r="CO2873" s="6"/>
      <c r="CP2873" s="6"/>
      <c r="CQ2873" s="6"/>
      <c r="CR2873" s="6"/>
      <c r="CS2873" s="6"/>
      <c r="CT2873" s="6"/>
      <c r="CU2873" s="6"/>
      <c r="CV2873" s="6"/>
      <c r="CW2873" s="6"/>
      <c r="CX2873" s="6"/>
      <c r="CY2873" s="6"/>
      <c r="CZ2873" s="6"/>
    </row>
    <row r="2874" spans="27:104" s="5" customFormat="1" x14ac:dyDescent="0.25">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16"/>
      <c r="BC2874" s="6"/>
      <c r="BD2874" s="6"/>
      <c r="BE2874" s="6"/>
      <c r="BF2874" s="6"/>
      <c r="BG2874" s="6"/>
      <c r="BH2874" s="6"/>
      <c r="BI2874" s="6"/>
      <c r="BJ2874" s="6"/>
      <c r="BK2874" s="6"/>
      <c r="BL2874" s="6"/>
      <c r="BM2874" s="6"/>
      <c r="BN2874" s="6"/>
      <c r="BO2874" s="6"/>
      <c r="BP2874" s="6"/>
      <c r="BQ2874" s="6"/>
      <c r="BR2874" s="6"/>
      <c r="BS2874" s="6"/>
      <c r="BT2874" s="6"/>
      <c r="BU2874" s="6"/>
      <c r="BV2874" s="6"/>
      <c r="BW2874" s="6"/>
      <c r="BX2874" s="6"/>
      <c r="BY2874" s="6"/>
      <c r="BZ2874" s="6"/>
      <c r="CA2874" s="6"/>
      <c r="CB2874" s="6"/>
      <c r="CC2874" s="6"/>
      <c r="CD2874" s="6"/>
      <c r="CE2874" s="6"/>
      <c r="CF2874" s="6"/>
      <c r="CG2874" s="6"/>
      <c r="CH2874" s="6"/>
      <c r="CI2874" s="6"/>
      <c r="CJ2874" s="6"/>
      <c r="CK2874" s="6"/>
      <c r="CL2874" s="6"/>
      <c r="CM2874" s="6"/>
      <c r="CN2874" s="6"/>
      <c r="CO2874" s="6"/>
      <c r="CP2874" s="6"/>
      <c r="CQ2874" s="6"/>
      <c r="CR2874" s="6"/>
      <c r="CS2874" s="6"/>
      <c r="CT2874" s="6"/>
      <c r="CU2874" s="6"/>
      <c r="CV2874" s="6"/>
      <c r="CW2874" s="6"/>
      <c r="CX2874" s="6"/>
      <c r="CY2874" s="6"/>
      <c r="CZ2874" s="6"/>
    </row>
    <row r="2875" spans="27:104" s="5" customFormat="1" x14ac:dyDescent="0.25">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16"/>
      <c r="BC2875" s="6"/>
      <c r="BD2875" s="6"/>
      <c r="BE2875" s="6"/>
      <c r="BF2875" s="6"/>
      <c r="BG2875" s="6"/>
      <c r="BH2875" s="6"/>
      <c r="BI2875" s="6"/>
      <c r="BJ2875" s="6"/>
      <c r="BK2875" s="6"/>
      <c r="BL2875" s="6"/>
      <c r="BM2875" s="6"/>
      <c r="BN2875" s="6"/>
      <c r="BO2875" s="6"/>
      <c r="BP2875" s="6"/>
      <c r="BQ2875" s="6"/>
      <c r="BR2875" s="6"/>
      <c r="BS2875" s="6"/>
      <c r="BT2875" s="6"/>
      <c r="BU2875" s="6"/>
      <c r="BV2875" s="6"/>
      <c r="BW2875" s="6"/>
      <c r="BX2875" s="6"/>
      <c r="BY2875" s="6"/>
      <c r="BZ2875" s="6"/>
      <c r="CA2875" s="6"/>
      <c r="CB2875" s="6"/>
      <c r="CC2875" s="6"/>
      <c r="CD2875" s="6"/>
      <c r="CE2875" s="6"/>
      <c r="CF2875" s="6"/>
      <c r="CG2875" s="6"/>
      <c r="CH2875" s="6"/>
      <c r="CI2875" s="6"/>
      <c r="CJ2875" s="6"/>
      <c r="CK2875" s="6"/>
      <c r="CL2875" s="6"/>
      <c r="CM2875" s="6"/>
      <c r="CN2875" s="6"/>
      <c r="CO2875" s="6"/>
      <c r="CP2875" s="6"/>
      <c r="CQ2875" s="6"/>
      <c r="CR2875" s="6"/>
      <c r="CS2875" s="6"/>
      <c r="CT2875" s="6"/>
      <c r="CU2875" s="6"/>
      <c r="CV2875" s="6"/>
      <c r="CW2875" s="6"/>
      <c r="CX2875" s="6"/>
      <c r="CY2875" s="6"/>
      <c r="CZ2875" s="6"/>
    </row>
    <row r="2876" spans="27:104" s="5" customFormat="1" x14ac:dyDescent="0.25">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16"/>
      <c r="BC2876" s="6"/>
      <c r="BD2876" s="6"/>
      <c r="BE2876" s="6"/>
      <c r="BF2876" s="6"/>
      <c r="BG2876" s="6"/>
      <c r="BH2876" s="6"/>
      <c r="BI2876" s="6"/>
      <c r="BJ2876" s="6"/>
      <c r="BK2876" s="6"/>
      <c r="BL2876" s="6"/>
      <c r="BM2876" s="6"/>
      <c r="BN2876" s="6"/>
      <c r="BO2876" s="6"/>
      <c r="BP2876" s="6"/>
      <c r="BQ2876" s="6"/>
      <c r="BR2876" s="6"/>
      <c r="BS2876" s="6"/>
      <c r="BT2876" s="6"/>
      <c r="BU2876" s="6"/>
      <c r="BV2876" s="6"/>
      <c r="BW2876" s="6"/>
      <c r="BX2876" s="6"/>
      <c r="BY2876" s="6"/>
      <c r="BZ2876" s="6"/>
      <c r="CA2876" s="6"/>
      <c r="CB2876" s="6"/>
      <c r="CC2876" s="6"/>
      <c r="CD2876" s="6"/>
      <c r="CE2876" s="6"/>
      <c r="CF2876" s="6"/>
      <c r="CG2876" s="6"/>
      <c r="CH2876" s="6"/>
      <c r="CI2876" s="6"/>
      <c r="CJ2876" s="6"/>
      <c r="CK2876" s="6"/>
      <c r="CL2876" s="6"/>
      <c r="CM2876" s="6"/>
      <c r="CN2876" s="6"/>
      <c r="CO2876" s="6"/>
      <c r="CP2876" s="6"/>
      <c r="CQ2876" s="6"/>
      <c r="CR2876" s="6"/>
      <c r="CS2876" s="6"/>
      <c r="CT2876" s="6"/>
      <c r="CU2876" s="6"/>
      <c r="CV2876" s="6"/>
      <c r="CW2876" s="6"/>
      <c r="CX2876" s="6"/>
      <c r="CY2876" s="6"/>
      <c r="CZ2876" s="6"/>
    </row>
    <row r="2877" spans="27:104" s="5" customFormat="1" x14ac:dyDescent="0.25">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16"/>
      <c r="BC2877" s="6"/>
      <c r="BD2877" s="6"/>
      <c r="BE2877" s="6"/>
      <c r="BF2877" s="6"/>
      <c r="BG2877" s="6"/>
      <c r="BH2877" s="6"/>
      <c r="BI2877" s="6"/>
      <c r="BJ2877" s="6"/>
      <c r="BK2877" s="6"/>
      <c r="BL2877" s="6"/>
      <c r="BM2877" s="6"/>
      <c r="BN2877" s="6"/>
      <c r="BO2877" s="6"/>
      <c r="BP2877" s="6"/>
      <c r="BQ2877" s="6"/>
      <c r="BR2877" s="6"/>
      <c r="BS2877" s="6"/>
      <c r="BT2877" s="6"/>
      <c r="BU2877" s="6"/>
      <c r="BV2877" s="6"/>
      <c r="BW2877" s="6"/>
      <c r="BX2877" s="6"/>
      <c r="BY2877" s="6"/>
      <c r="BZ2877" s="6"/>
      <c r="CA2877" s="6"/>
      <c r="CB2877" s="6"/>
      <c r="CC2877" s="6"/>
      <c r="CD2877" s="6"/>
      <c r="CE2877" s="6"/>
      <c r="CF2877" s="6"/>
      <c r="CG2877" s="6"/>
      <c r="CH2877" s="6"/>
      <c r="CI2877" s="6"/>
      <c r="CJ2877" s="6"/>
      <c r="CK2877" s="6"/>
      <c r="CL2877" s="6"/>
      <c r="CM2877" s="6"/>
      <c r="CN2877" s="6"/>
      <c r="CO2877" s="6"/>
      <c r="CP2877" s="6"/>
      <c r="CQ2877" s="6"/>
      <c r="CR2877" s="6"/>
      <c r="CS2877" s="6"/>
      <c r="CT2877" s="6"/>
      <c r="CU2877" s="6"/>
      <c r="CV2877" s="6"/>
      <c r="CW2877" s="6"/>
      <c r="CX2877" s="6"/>
      <c r="CY2877" s="6"/>
      <c r="CZ2877" s="6"/>
    </row>
    <row r="2878" spans="27:104" s="5" customFormat="1" x14ac:dyDescent="0.25">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16"/>
      <c r="BC2878" s="6"/>
      <c r="BD2878" s="6"/>
      <c r="BE2878" s="6"/>
      <c r="BF2878" s="6"/>
      <c r="BG2878" s="6"/>
      <c r="BH2878" s="6"/>
      <c r="BI2878" s="6"/>
      <c r="BJ2878" s="6"/>
      <c r="BK2878" s="6"/>
      <c r="BL2878" s="6"/>
      <c r="BM2878" s="6"/>
      <c r="BN2878" s="6"/>
      <c r="BO2878" s="6"/>
      <c r="BP2878" s="6"/>
      <c r="BQ2878" s="6"/>
      <c r="BR2878" s="6"/>
      <c r="BS2878" s="6"/>
      <c r="BT2878" s="6"/>
      <c r="BU2878" s="6"/>
      <c r="BV2878" s="6"/>
      <c r="BW2878" s="6"/>
      <c r="BX2878" s="6"/>
      <c r="BY2878" s="6"/>
      <c r="BZ2878" s="6"/>
      <c r="CA2878" s="6"/>
      <c r="CB2878" s="6"/>
      <c r="CC2878" s="6"/>
      <c r="CD2878" s="6"/>
      <c r="CE2878" s="6"/>
      <c r="CF2878" s="6"/>
      <c r="CG2878" s="6"/>
      <c r="CH2878" s="6"/>
      <c r="CI2878" s="6"/>
      <c r="CJ2878" s="6"/>
      <c r="CK2878" s="6"/>
      <c r="CL2878" s="6"/>
      <c r="CM2878" s="6"/>
      <c r="CN2878" s="6"/>
      <c r="CO2878" s="6"/>
      <c r="CP2878" s="6"/>
      <c r="CQ2878" s="6"/>
      <c r="CR2878" s="6"/>
      <c r="CS2878" s="6"/>
      <c r="CT2878" s="6"/>
      <c r="CU2878" s="6"/>
      <c r="CV2878" s="6"/>
      <c r="CW2878" s="6"/>
      <c r="CX2878" s="6"/>
      <c r="CY2878" s="6"/>
      <c r="CZ2878" s="6"/>
    </row>
    <row r="2879" spans="27:104" s="5" customFormat="1" x14ac:dyDescent="0.25">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16"/>
      <c r="BC2879" s="6"/>
      <c r="BD2879" s="6"/>
      <c r="BE2879" s="6"/>
      <c r="BF2879" s="6"/>
      <c r="BG2879" s="6"/>
      <c r="BH2879" s="6"/>
      <c r="BI2879" s="6"/>
      <c r="BJ2879" s="6"/>
      <c r="BK2879" s="6"/>
      <c r="BL2879" s="6"/>
      <c r="BM2879" s="6"/>
      <c r="BN2879" s="6"/>
      <c r="BO2879" s="6"/>
      <c r="BP2879" s="6"/>
      <c r="BQ2879" s="6"/>
      <c r="BR2879" s="6"/>
      <c r="BS2879" s="6"/>
      <c r="BT2879" s="6"/>
      <c r="BU2879" s="6"/>
      <c r="BV2879" s="6"/>
      <c r="BW2879" s="6"/>
      <c r="BX2879" s="6"/>
      <c r="BY2879" s="6"/>
      <c r="BZ2879" s="6"/>
      <c r="CA2879" s="6"/>
      <c r="CB2879" s="6"/>
      <c r="CC2879" s="6"/>
      <c r="CD2879" s="6"/>
      <c r="CE2879" s="6"/>
      <c r="CF2879" s="6"/>
      <c r="CG2879" s="6"/>
      <c r="CH2879" s="6"/>
      <c r="CI2879" s="6"/>
      <c r="CJ2879" s="6"/>
      <c r="CK2879" s="6"/>
      <c r="CL2879" s="6"/>
      <c r="CM2879" s="6"/>
      <c r="CN2879" s="6"/>
      <c r="CO2879" s="6"/>
      <c r="CP2879" s="6"/>
      <c r="CQ2879" s="6"/>
      <c r="CR2879" s="6"/>
      <c r="CS2879" s="6"/>
      <c r="CT2879" s="6"/>
      <c r="CU2879" s="6"/>
      <c r="CV2879" s="6"/>
      <c r="CW2879" s="6"/>
      <c r="CX2879" s="6"/>
      <c r="CY2879" s="6"/>
      <c r="CZ2879" s="6"/>
    </row>
    <row r="2880" spans="27:104" s="5" customFormat="1" x14ac:dyDescent="0.25">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16"/>
      <c r="BC2880" s="6"/>
      <c r="BD2880" s="6"/>
      <c r="BE2880" s="6"/>
      <c r="BF2880" s="6"/>
      <c r="BG2880" s="6"/>
      <c r="BH2880" s="6"/>
      <c r="BI2880" s="6"/>
      <c r="BJ2880" s="6"/>
      <c r="BK2880" s="6"/>
      <c r="BL2880" s="6"/>
      <c r="BM2880" s="6"/>
      <c r="BN2880" s="6"/>
      <c r="BO2880" s="6"/>
      <c r="BP2880" s="6"/>
      <c r="BQ2880" s="6"/>
      <c r="BR2880" s="6"/>
      <c r="BS2880" s="6"/>
      <c r="BT2880" s="6"/>
      <c r="BU2880" s="6"/>
      <c r="BV2880" s="6"/>
      <c r="BW2880" s="6"/>
      <c r="BX2880" s="6"/>
      <c r="BY2880" s="6"/>
      <c r="BZ2880" s="6"/>
      <c r="CA2880" s="6"/>
      <c r="CB2880" s="6"/>
      <c r="CC2880" s="6"/>
      <c r="CD2880" s="6"/>
      <c r="CE2880" s="6"/>
      <c r="CF2880" s="6"/>
      <c r="CG2880" s="6"/>
      <c r="CH2880" s="6"/>
      <c r="CI2880" s="6"/>
      <c r="CJ2880" s="6"/>
      <c r="CK2880" s="6"/>
      <c r="CL2880" s="6"/>
      <c r="CM2880" s="6"/>
      <c r="CN2880" s="6"/>
      <c r="CO2880" s="6"/>
      <c r="CP2880" s="6"/>
      <c r="CQ2880" s="6"/>
      <c r="CR2880" s="6"/>
      <c r="CS2880" s="6"/>
      <c r="CT2880" s="6"/>
      <c r="CU2880" s="6"/>
      <c r="CV2880" s="6"/>
      <c r="CW2880" s="6"/>
      <c r="CX2880" s="6"/>
      <c r="CY2880" s="6"/>
      <c r="CZ2880" s="6"/>
    </row>
    <row r="2881" spans="27:104" s="5" customFormat="1" x14ac:dyDescent="0.25">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16"/>
      <c r="BC2881" s="6"/>
      <c r="BD2881" s="6"/>
      <c r="BE2881" s="6"/>
      <c r="BF2881" s="6"/>
      <c r="BG2881" s="6"/>
      <c r="BH2881" s="6"/>
      <c r="BI2881" s="6"/>
      <c r="BJ2881" s="6"/>
      <c r="BK2881" s="6"/>
      <c r="BL2881" s="6"/>
      <c r="BM2881" s="6"/>
      <c r="BN2881" s="6"/>
      <c r="BO2881" s="6"/>
      <c r="BP2881" s="6"/>
      <c r="BQ2881" s="6"/>
      <c r="BR2881" s="6"/>
      <c r="BS2881" s="6"/>
      <c r="BT2881" s="6"/>
      <c r="BU2881" s="6"/>
      <c r="BV2881" s="6"/>
      <c r="BW2881" s="6"/>
      <c r="BX2881" s="6"/>
      <c r="BY2881" s="6"/>
      <c r="BZ2881" s="6"/>
      <c r="CA2881" s="6"/>
      <c r="CB2881" s="6"/>
      <c r="CC2881" s="6"/>
      <c r="CD2881" s="6"/>
      <c r="CE2881" s="6"/>
      <c r="CF2881" s="6"/>
      <c r="CG2881" s="6"/>
      <c r="CH2881" s="6"/>
      <c r="CI2881" s="6"/>
      <c r="CJ2881" s="6"/>
      <c r="CK2881" s="6"/>
      <c r="CL2881" s="6"/>
      <c r="CM2881" s="6"/>
      <c r="CN2881" s="6"/>
      <c r="CO2881" s="6"/>
      <c r="CP2881" s="6"/>
      <c r="CQ2881" s="6"/>
      <c r="CR2881" s="6"/>
      <c r="CS2881" s="6"/>
      <c r="CT2881" s="6"/>
      <c r="CU2881" s="6"/>
      <c r="CV2881" s="6"/>
      <c r="CW2881" s="6"/>
      <c r="CX2881" s="6"/>
      <c r="CY2881" s="6"/>
      <c r="CZ2881" s="6"/>
    </row>
    <row r="2882" spans="27:104" s="5" customFormat="1" x14ac:dyDescent="0.25">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16"/>
      <c r="BC2882" s="6"/>
      <c r="BD2882" s="6"/>
      <c r="BE2882" s="6"/>
      <c r="BF2882" s="6"/>
      <c r="BG2882" s="6"/>
      <c r="BH2882" s="6"/>
      <c r="BI2882" s="6"/>
      <c r="BJ2882" s="6"/>
      <c r="BK2882" s="6"/>
      <c r="BL2882" s="6"/>
      <c r="BM2882" s="6"/>
      <c r="BN2882" s="6"/>
      <c r="BO2882" s="6"/>
      <c r="BP2882" s="6"/>
      <c r="BQ2882" s="6"/>
      <c r="BR2882" s="6"/>
      <c r="BS2882" s="6"/>
      <c r="BT2882" s="6"/>
      <c r="BU2882" s="6"/>
      <c r="BV2882" s="6"/>
      <c r="BW2882" s="6"/>
      <c r="BX2882" s="6"/>
      <c r="BY2882" s="6"/>
      <c r="BZ2882" s="6"/>
      <c r="CA2882" s="6"/>
      <c r="CB2882" s="6"/>
      <c r="CC2882" s="6"/>
      <c r="CD2882" s="6"/>
      <c r="CE2882" s="6"/>
      <c r="CF2882" s="6"/>
      <c r="CG2882" s="6"/>
      <c r="CH2882" s="6"/>
      <c r="CI2882" s="6"/>
      <c r="CJ2882" s="6"/>
      <c r="CK2882" s="6"/>
      <c r="CL2882" s="6"/>
      <c r="CM2882" s="6"/>
      <c r="CN2882" s="6"/>
      <c r="CO2882" s="6"/>
      <c r="CP2882" s="6"/>
      <c r="CQ2882" s="6"/>
      <c r="CR2882" s="6"/>
      <c r="CS2882" s="6"/>
      <c r="CT2882" s="6"/>
      <c r="CU2882" s="6"/>
      <c r="CV2882" s="6"/>
      <c r="CW2882" s="6"/>
      <c r="CX2882" s="6"/>
      <c r="CY2882" s="6"/>
      <c r="CZ2882" s="6"/>
    </row>
    <row r="2883" spans="27:104" s="5" customFormat="1" x14ac:dyDescent="0.25">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16"/>
      <c r="BC2883" s="6"/>
      <c r="BD2883" s="6"/>
      <c r="BE2883" s="6"/>
      <c r="BF2883" s="6"/>
      <c r="BG2883" s="6"/>
      <c r="BH2883" s="6"/>
      <c r="BI2883" s="6"/>
      <c r="BJ2883" s="6"/>
      <c r="BK2883" s="6"/>
      <c r="BL2883" s="6"/>
      <c r="BM2883" s="6"/>
      <c r="BN2883" s="6"/>
      <c r="BO2883" s="6"/>
      <c r="BP2883" s="6"/>
      <c r="BQ2883" s="6"/>
      <c r="BR2883" s="6"/>
      <c r="BS2883" s="6"/>
      <c r="BT2883" s="6"/>
      <c r="BU2883" s="6"/>
      <c r="BV2883" s="6"/>
      <c r="BW2883" s="6"/>
      <c r="BX2883" s="6"/>
      <c r="BY2883" s="6"/>
      <c r="BZ2883" s="6"/>
      <c r="CA2883" s="6"/>
      <c r="CB2883" s="6"/>
      <c r="CC2883" s="6"/>
      <c r="CD2883" s="6"/>
      <c r="CE2883" s="6"/>
      <c r="CF2883" s="6"/>
      <c r="CG2883" s="6"/>
      <c r="CH2883" s="6"/>
      <c r="CI2883" s="6"/>
      <c r="CJ2883" s="6"/>
      <c r="CK2883" s="6"/>
      <c r="CL2883" s="6"/>
      <c r="CM2883" s="6"/>
      <c r="CN2883" s="6"/>
      <c r="CO2883" s="6"/>
      <c r="CP2883" s="6"/>
      <c r="CQ2883" s="6"/>
      <c r="CR2883" s="6"/>
      <c r="CS2883" s="6"/>
      <c r="CT2883" s="6"/>
      <c r="CU2883" s="6"/>
      <c r="CV2883" s="6"/>
      <c r="CW2883" s="6"/>
      <c r="CX2883" s="6"/>
      <c r="CY2883" s="6"/>
      <c r="CZ2883" s="6"/>
    </row>
    <row r="2884" spans="27:104" s="5" customFormat="1" x14ac:dyDescent="0.25">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16"/>
      <c r="BC2884" s="6"/>
      <c r="BD2884" s="6"/>
      <c r="BE2884" s="6"/>
      <c r="BF2884" s="6"/>
      <c r="BG2884" s="6"/>
      <c r="BH2884" s="6"/>
      <c r="BI2884" s="6"/>
      <c r="BJ2884" s="6"/>
      <c r="BK2884" s="6"/>
      <c r="BL2884" s="6"/>
      <c r="BM2884" s="6"/>
      <c r="BN2884" s="6"/>
      <c r="BO2884" s="6"/>
      <c r="BP2884" s="6"/>
      <c r="BQ2884" s="6"/>
      <c r="BR2884" s="6"/>
      <c r="BS2884" s="6"/>
      <c r="BT2884" s="6"/>
      <c r="BU2884" s="6"/>
      <c r="BV2884" s="6"/>
      <c r="BW2884" s="6"/>
      <c r="BX2884" s="6"/>
      <c r="BY2884" s="6"/>
      <c r="BZ2884" s="6"/>
      <c r="CA2884" s="6"/>
      <c r="CB2884" s="6"/>
      <c r="CC2884" s="6"/>
      <c r="CD2884" s="6"/>
      <c r="CE2884" s="6"/>
      <c r="CF2884" s="6"/>
      <c r="CG2884" s="6"/>
      <c r="CH2884" s="6"/>
      <c r="CI2884" s="6"/>
      <c r="CJ2884" s="6"/>
      <c r="CK2884" s="6"/>
      <c r="CL2884" s="6"/>
      <c r="CM2884" s="6"/>
      <c r="CN2884" s="6"/>
      <c r="CO2884" s="6"/>
      <c r="CP2884" s="6"/>
      <c r="CQ2884" s="6"/>
      <c r="CR2884" s="6"/>
      <c r="CS2884" s="6"/>
      <c r="CT2884" s="6"/>
      <c r="CU2884" s="6"/>
      <c r="CV2884" s="6"/>
      <c r="CW2884" s="6"/>
      <c r="CX2884" s="6"/>
      <c r="CY2884" s="6"/>
      <c r="CZ2884" s="6"/>
    </row>
    <row r="2885" spans="27:104" s="5" customFormat="1" x14ac:dyDescent="0.25">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16"/>
      <c r="BC2885" s="6"/>
      <c r="BD2885" s="6"/>
      <c r="BE2885" s="6"/>
      <c r="BF2885" s="6"/>
      <c r="BG2885" s="6"/>
      <c r="BH2885" s="6"/>
      <c r="BI2885" s="6"/>
      <c r="BJ2885" s="6"/>
      <c r="BK2885" s="6"/>
      <c r="BL2885" s="6"/>
      <c r="BM2885" s="6"/>
      <c r="BN2885" s="6"/>
      <c r="BO2885" s="6"/>
      <c r="BP2885" s="6"/>
      <c r="BQ2885" s="6"/>
      <c r="BR2885" s="6"/>
      <c r="BS2885" s="6"/>
      <c r="BT2885" s="6"/>
      <c r="BU2885" s="6"/>
      <c r="BV2885" s="6"/>
      <c r="BW2885" s="6"/>
      <c r="BX2885" s="6"/>
      <c r="BY2885" s="6"/>
      <c r="BZ2885" s="6"/>
      <c r="CA2885" s="6"/>
      <c r="CB2885" s="6"/>
      <c r="CC2885" s="6"/>
      <c r="CD2885" s="6"/>
      <c r="CE2885" s="6"/>
      <c r="CF2885" s="6"/>
      <c r="CG2885" s="6"/>
      <c r="CH2885" s="6"/>
      <c r="CI2885" s="6"/>
      <c r="CJ2885" s="6"/>
      <c r="CK2885" s="6"/>
      <c r="CL2885" s="6"/>
      <c r="CM2885" s="6"/>
      <c r="CN2885" s="6"/>
      <c r="CO2885" s="6"/>
      <c r="CP2885" s="6"/>
      <c r="CQ2885" s="6"/>
      <c r="CR2885" s="6"/>
      <c r="CS2885" s="6"/>
      <c r="CT2885" s="6"/>
      <c r="CU2885" s="6"/>
      <c r="CV2885" s="6"/>
      <c r="CW2885" s="6"/>
      <c r="CX2885" s="6"/>
      <c r="CY2885" s="6"/>
      <c r="CZ2885" s="6"/>
    </row>
    <row r="2886" spans="27:104" s="5" customFormat="1" x14ac:dyDescent="0.25">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16"/>
      <c r="BC2886" s="6"/>
      <c r="BD2886" s="6"/>
      <c r="BE2886" s="6"/>
      <c r="BF2886" s="6"/>
      <c r="BG2886" s="6"/>
      <c r="BH2886" s="6"/>
      <c r="BI2886" s="6"/>
      <c r="BJ2886" s="6"/>
      <c r="BK2886" s="6"/>
      <c r="BL2886" s="6"/>
      <c r="BM2886" s="6"/>
      <c r="BN2886" s="6"/>
      <c r="BO2886" s="6"/>
      <c r="BP2886" s="6"/>
      <c r="BQ2886" s="6"/>
      <c r="BR2886" s="6"/>
      <c r="BS2886" s="6"/>
      <c r="BT2886" s="6"/>
      <c r="BU2886" s="6"/>
      <c r="BV2886" s="6"/>
      <c r="BW2886" s="6"/>
      <c r="BX2886" s="6"/>
      <c r="BY2886" s="6"/>
      <c r="BZ2886" s="6"/>
      <c r="CA2886" s="6"/>
      <c r="CB2886" s="6"/>
      <c r="CC2886" s="6"/>
      <c r="CD2886" s="6"/>
      <c r="CE2886" s="6"/>
      <c r="CF2886" s="6"/>
      <c r="CG2886" s="6"/>
      <c r="CH2886" s="6"/>
      <c r="CI2886" s="6"/>
      <c r="CJ2886" s="6"/>
      <c r="CK2886" s="6"/>
      <c r="CL2886" s="6"/>
      <c r="CM2886" s="6"/>
      <c r="CN2886" s="6"/>
      <c r="CO2886" s="6"/>
      <c r="CP2886" s="6"/>
      <c r="CQ2886" s="6"/>
      <c r="CR2886" s="6"/>
      <c r="CS2886" s="6"/>
      <c r="CT2886" s="6"/>
      <c r="CU2886" s="6"/>
      <c r="CV2886" s="6"/>
      <c r="CW2886" s="6"/>
      <c r="CX2886" s="6"/>
      <c r="CY2886" s="6"/>
      <c r="CZ2886" s="6"/>
    </row>
    <row r="2887" spans="27:104" s="5" customFormat="1" x14ac:dyDescent="0.25">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16"/>
      <c r="BC2887" s="6"/>
      <c r="BD2887" s="6"/>
      <c r="BE2887" s="6"/>
      <c r="BF2887" s="6"/>
      <c r="BG2887" s="6"/>
      <c r="BH2887" s="6"/>
      <c r="BI2887" s="6"/>
      <c r="BJ2887" s="6"/>
      <c r="BK2887" s="6"/>
      <c r="BL2887" s="6"/>
      <c r="BM2887" s="6"/>
      <c r="BN2887" s="6"/>
      <c r="BO2887" s="6"/>
      <c r="BP2887" s="6"/>
      <c r="BQ2887" s="6"/>
      <c r="BR2887" s="6"/>
      <c r="BS2887" s="6"/>
      <c r="BT2887" s="6"/>
      <c r="BU2887" s="6"/>
      <c r="BV2887" s="6"/>
      <c r="BW2887" s="6"/>
      <c r="BX2887" s="6"/>
      <c r="BY2887" s="6"/>
      <c r="BZ2887" s="6"/>
      <c r="CA2887" s="6"/>
      <c r="CB2887" s="6"/>
      <c r="CC2887" s="6"/>
      <c r="CD2887" s="6"/>
      <c r="CE2887" s="6"/>
      <c r="CF2887" s="6"/>
      <c r="CG2887" s="6"/>
      <c r="CH2887" s="6"/>
      <c r="CI2887" s="6"/>
      <c r="CJ2887" s="6"/>
      <c r="CK2887" s="6"/>
      <c r="CL2887" s="6"/>
      <c r="CM2887" s="6"/>
      <c r="CN2887" s="6"/>
      <c r="CO2887" s="6"/>
      <c r="CP2887" s="6"/>
      <c r="CQ2887" s="6"/>
      <c r="CR2887" s="6"/>
      <c r="CS2887" s="6"/>
      <c r="CT2887" s="6"/>
      <c r="CU2887" s="6"/>
      <c r="CV2887" s="6"/>
      <c r="CW2887" s="6"/>
      <c r="CX2887" s="6"/>
      <c r="CY2887" s="6"/>
      <c r="CZ2887" s="6"/>
    </row>
    <row r="2888" spans="27:104" s="5" customFormat="1" x14ac:dyDescent="0.25">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16"/>
      <c r="BC2888" s="6"/>
      <c r="BD2888" s="6"/>
      <c r="BE2888" s="6"/>
      <c r="BF2888" s="6"/>
      <c r="BG2888" s="6"/>
      <c r="BH2888" s="6"/>
      <c r="BI2888" s="6"/>
      <c r="BJ2888" s="6"/>
      <c r="BK2888" s="6"/>
      <c r="BL2888" s="6"/>
      <c r="BM2888" s="6"/>
      <c r="BN2888" s="6"/>
      <c r="BO2888" s="6"/>
      <c r="BP2888" s="6"/>
      <c r="BQ2888" s="6"/>
      <c r="BR2888" s="6"/>
      <c r="BS2888" s="6"/>
      <c r="BT2888" s="6"/>
      <c r="BU2888" s="6"/>
      <c r="BV2888" s="6"/>
      <c r="BW2888" s="6"/>
      <c r="BX2888" s="6"/>
      <c r="BY2888" s="6"/>
      <c r="BZ2888" s="6"/>
      <c r="CA2888" s="6"/>
      <c r="CB2888" s="6"/>
      <c r="CC2888" s="6"/>
      <c r="CD2888" s="6"/>
      <c r="CE2888" s="6"/>
      <c r="CF2888" s="6"/>
      <c r="CG2888" s="6"/>
      <c r="CH2888" s="6"/>
      <c r="CI2888" s="6"/>
      <c r="CJ2888" s="6"/>
      <c r="CK2888" s="6"/>
      <c r="CL2888" s="6"/>
      <c r="CM2888" s="6"/>
      <c r="CN2888" s="6"/>
      <c r="CO2888" s="6"/>
      <c r="CP2888" s="6"/>
      <c r="CQ2888" s="6"/>
      <c r="CR2888" s="6"/>
      <c r="CS2888" s="6"/>
      <c r="CT2888" s="6"/>
      <c r="CU2888" s="6"/>
      <c r="CV2888" s="6"/>
      <c r="CW2888" s="6"/>
      <c r="CX2888" s="6"/>
      <c r="CY2888" s="6"/>
      <c r="CZ2888" s="6"/>
    </row>
    <row r="2889" spans="27:104" s="5" customFormat="1" x14ac:dyDescent="0.25">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16"/>
      <c r="BC2889" s="6"/>
      <c r="BD2889" s="6"/>
      <c r="BE2889" s="6"/>
      <c r="BF2889" s="6"/>
      <c r="BG2889" s="6"/>
      <c r="BH2889" s="6"/>
      <c r="BI2889" s="6"/>
      <c r="BJ2889" s="6"/>
      <c r="BK2889" s="6"/>
      <c r="BL2889" s="6"/>
      <c r="BM2889" s="6"/>
      <c r="BN2889" s="6"/>
      <c r="BO2889" s="6"/>
      <c r="BP2889" s="6"/>
      <c r="BQ2889" s="6"/>
      <c r="BR2889" s="6"/>
      <c r="BS2889" s="6"/>
      <c r="BT2889" s="6"/>
      <c r="BU2889" s="6"/>
      <c r="BV2889" s="6"/>
      <c r="BW2889" s="6"/>
      <c r="BX2889" s="6"/>
      <c r="BY2889" s="6"/>
      <c r="BZ2889" s="6"/>
      <c r="CA2889" s="6"/>
      <c r="CB2889" s="6"/>
      <c r="CC2889" s="6"/>
      <c r="CD2889" s="6"/>
      <c r="CE2889" s="6"/>
      <c r="CF2889" s="6"/>
      <c r="CG2889" s="6"/>
      <c r="CH2889" s="6"/>
      <c r="CI2889" s="6"/>
      <c r="CJ2889" s="6"/>
      <c r="CK2889" s="6"/>
      <c r="CL2889" s="6"/>
      <c r="CM2889" s="6"/>
      <c r="CN2889" s="6"/>
      <c r="CO2889" s="6"/>
      <c r="CP2889" s="6"/>
      <c r="CQ2889" s="6"/>
      <c r="CR2889" s="6"/>
      <c r="CS2889" s="6"/>
      <c r="CT2889" s="6"/>
      <c r="CU2889" s="6"/>
      <c r="CV2889" s="6"/>
      <c r="CW2889" s="6"/>
      <c r="CX2889" s="6"/>
      <c r="CY2889" s="6"/>
      <c r="CZ2889" s="6"/>
    </row>
    <row r="2890" spans="27:104" s="5" customFormat="1" x14ac:dyDescent="0.25">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16"/>
      <c r="BC2890" s="6"/>
      <c r="BD2890" s="6"/>
      <c r="BE2890" s="6"/>
      <c r="BF2890" s="6"/>
      <c r="BG2890" s="6"/>
      <c r="BH2890" s="6"/>
      <c r="BI2890" s="6"/>
      <c r="BJ2890" s="6"/>
      <c r="BK2890" s="6"/>
      <c r="BL2890" s="6"/>
      <c r="BM2890" s="6"/>
      <c r="BN2890" s="6"/>
      <c r="BO2890" s="6"/>
      <c r="BP2890" s="6"/>
      <c r="BQ2890" s="6"/>
      <c r="BR2890" s="6"/>
      <c r="BS2890" s="6"/>
      <c r="BT2890" s="6"/>
      <c r="BU2890" s="6"/>
      <c r="BV2890" s="6"/>
      <c r="BW2890" s="6"/>
      <c r="BX2890" s="6"/>
      <c r="BY2890" s="6"/>
      <c r="BZ2890" s="6"/>
      <c r="CA2890" s="6"/>
      <c r="CB2890" s="6"/>
      <c r="CC2890" s="6"/>
      <c r="CD2890" s="6"/>
      <c r="CE2890" s="6"/>
      <c r="CF2890" s="6"/>
      <c r="CG2890" s="6"/>
      <c r="CH2890" s="6"/>
      <c r="CI2890" s="6"/>
      <c r="CJ2890" s="6"/>
      <c r="CK2890" s="6"/>
      <c r="CL2890" s="6"/>
      <c r="CM2890" s="6"/>
      <c r="CN2890" s="6"/>
      <c r="CO2890" s="6"/>
      <c r="CP2890" s="6"/>
      <c r="CQ2890" s="6"/>
      <c r="CR2890" s="6"/>
      <c r="CS2890" s="6"/>
      <c r="CT2890" s="6"/>
      <c r="CU2890" s="6"/>
      <c r="CV2890" s="6"/>
      <c r="CW2890" s="6"/>
      <c r="CX2890" s="6"/>
      <c r="CY2890" s="6"/>
      <c r="CZ2890" s="6"/>
    </row>
    <row r="2891" spans="27:104" s="5" customFormat="1" x14ac:dyDescent="0.25">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16"/>
      <c r="BC2891" s="6"/>
      <c r="BD2891" s="6"/>
      <c r="BE2891" s="6"/>
      <c r="BF2891" s="6"/>
      <c r="BG2891" s="6"/>
      <c r="BH2891" s="6"/>
      <c r="BI2891" s="6"/>
      <c r="BJ2891" s="6"/>
      <c r="BK2891" s="6"/>
      <c r="BL2891" s="6"/>
      <c r="BM2891" s="6"/>
      <c r="BN2891" s="6"/>
      <c r="BO2891" s="6"/>
      <c r="BP2891" s="6"/>
      <c r="BQ2891" s="6"/>
      <c r="BR2891" s="6"/>
      <c r="BS2891" s="6"/>
      <c r="BT2891" s="6"/>
      <c r="BU2891" s="6"/>
      <c r="BV2891" s="6"/>
      <c r="BW2891" s="6"/>
      <c r="BX2891" s="6"/>
      <c r="BY2891" s="6"/>
      <c r="BZ2891" s="6"/>
      <c r="CA2891" s="6"/>
      <c r="CB2891" s="6"/>
      <c r="CC2891" s="6"/>
      <c r="CD2891" s="6"/>
      <c r="CE2891" s="6"/>
      <c r="CF2891" s="6"/>
      <c r="CG2891" s="6"/>
      <c r="CH2891" s="6"/>
      <c r="CI2891" s="6"/>
      <c r="CJ2891" s="6"/>
      <c r="CK2891" s="6"/>
      <c r="CL2891" s="6"/>
      <c r="CM2891" s="6"/>
      <c r="CN2891" s="6"/>
      <c r="CO2891" s="6"/>
      <c r="CP2891" s="6"/>
      <c r="CQ2891" s="6"/>
      <c r="CR2891" s="6"/>
      <c r="CS2891" s="6"/>
      <c r="CT2891" s="6"/>
      <c r="CU2891" s="6"/>
      <c r="CV2891" s="6"/>
      <c r="CW2891" s="6"/>
      <c r="CX2891" s="6"/>
      <c r="CY2891" s="6"/>
      <c r="CZ2891" s="6"/>
    </row>
    <row r="2892" spans="27:104" s="5" customFormat="1" x14ac:dyDescent="0.25">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16"/>
      <c r="BC2892" s="6"/>
      <c r="BD2892" s="6"/>
      <c r="BE2892" s="6"/>
      <c r="BF2892" s="6"/>
      <c r="BG2892" s="6"/>
      <c r="BH2892" s="6"/>
      <c r="BI2892" s="6"/>
      <c r="BJ2892" s="6"/>
      <c r="BK2892" s="6"/>
      <c r="BL2892" s="6"/>
      <c r="BM2892" s="6"/>
      <c r="BN2892" s="6"/>
      <c r="BO2892" s="6"/>
      <c r="BP2892" s="6"/>
      <c r="BQ2892" s="6"/>
      <c r="BR2892" s="6"/>
      <c r="BS2892" s="6"/>
      <c r="BT2892" s="6"/>
      <c r="BU2892" s="6"/>
      <c r="BV2892" s="6"/>
      <c r="BW2892" s="6"/>
      <c r="BX2892" s="6"/>
      <c r="BY2892" s="6"/>
      <c r="BZ2892" s="6"/>
      <c r="CA2892" s="6"/>
      <c r="CB2892" s="6"/>
      <c r="CC2892" s="6"/>
      <c r="CD2892" s="6"/>
      <c r="CE2892" s="6"/>
      <c r="CF2892" s="6"/>
      <c r="CG2892" s="6"/>
      <c r="CH2892" s="6"/>
      <c r="CI2892" s="6"/>
      <c r="CJ2892" s="6"/>
      <c r="CK2892" s="6"/>
      <c r="CL2892" s="6"/>
      <c r="CM2892" s="6"/>
      <c r="CN2892" s="6"/>
      <c r="CO2892" s="6"/>
      <c r="CP2892" s="6"/>
      <c r="CQ2892" s="6"/>
      <c r="CR2892" s="6"/>
      <c r="CS2892" s="6"/>
      <c r="CT2892" s="6"/>
      <c r="CU2892" s="6"/>
      <c r="CV2892" s="6"/>
      <c r="CW2892" s="6"/>
      <c r="CX2892" s="6"/>
      <c r="CY2892" s="6"/>
      <c r="CZ2892" s="6"/>
    </row>
    <row r="2893" spans="27:104" s="5" customFormat="1" x14ac:dyDescent="0.25">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16"/>
      <c r="BC2893" s="6"/>
      <c r="BD2893" s="6"/>
      <c r="BE2893" s="6"/>
      <c r="BF2893" s="6"/>
      <c r="BG2893" s="6"/>
      <c r="BH2893" s="6"/>
      <c r="BI2893" s="6"/>
      <c r="BJ2893" s="6"/>
      <c r="BK2893" s="6"/>
      <c r="BL2893" s="6"/>
      <c r="BM2893" s="6"/>
      <c r="BN2893" s="6"/>
      <c r="BO2893" s="6"/>
      <c r="BP2893" s="6"/>
      <c r="BQ2893" s="6"/>
      <c r="BR2893" s="6"/>
      <c r="BS2893" s="6"/>
      <c r="BT2893" s="6"/>
      <c r="BU2893" s="6"/>
      <c r="BV2893" s="6"/>
      <c r="BW2893" s="6"/>
      <c r="BX2893" s="6"/>
      <c r="BY2893" s="6"/>
      <c r="BZ2893" s="6"/>
      <c r="CA2893" s="6"/>
      <c r="CB2893" s="6"/>
      <c r="CC2893" s="6"/>
      <c r="CD2893" s="6"/>
      <c r="CE2893" s="6"/>
      <c r="CF2893" s="6"/>
      <c r="CG2893" s="6"/>
      <c r="CH2893" s="6"/>
      <c r="CI2893" s="6"/>
      <c r="CJ2893" s="6"/>
      <c r="CK2893" s="6"/>
      <c r="CL2893" s="6"/>
      <c r="CM2893" s="6"/>
      <c r="CN2893" s="6"/>
      <c r="CO2893" s="6"/>
      <c r="CP2893" s="6"/>
      <c r="CQ2893" s="6"/>
      <c r="CR2893" s="6"/>
      <c r="CS2893" s="6"/>
      <c r="CT2893" s="6"/>
      <c r="CU2893" s="6"/>
      <c r="CV2893" s="6"/>
      <c r="CW2893" s="6"/>
      <c r="CX2893" s="6"/>
      <c r="CY2893" s="6"/>
      <c r="CZ2893" s="6"/>
    </row>
    <row r="2894" spans="27:104" s="5" customFormat="1" x14ac:dyDescent="0.25">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16"/>
      <c r="BC2894" s="6"/>
      <c r="BD2894" s="6"/>
      <c r="BE2894" s="6"/>
      <c r="BF2894" s="6"/>
      <c r="BG2894" s="6"/>
      <c r="BH2894" s="6"/>
      <c r="BI2894" s="6"/>
      <c r="BJ2894" s="6"/>
      <c r="BK2894" s="6"/>
      <c r="BL2894" s="6"/>
      <c r="BM2894" s="6"/>
      <c r="BN2894" s="6"/>
      <c r="BO2894" s="6"/>
      <c r="BP2894" s="6"/>
      <c r="BQ2894" s="6"/>
      <c r="BR2894" s="6"/>
      <c r="BS2894" s="6"/>
      <c r="BT2894" s="6"/>
      <c r="BU2894" s="6"/>
      <c r="BV2894" s="6"/>
      <c r="BW2894" s="6"/>
      <c r="BX2894" s="6"/>
      <c r="BY2894" s="6"/>
      <c r="BZ2894" s="6"/>
      <c r="CA2894" s="6"/>
      <c r="CB2894" s="6"/>
      <c r="CC2894" s="6"/>
      <c r="CD2894" s="6"/>
      <c r="CE2894" s="6"/>
      <c r="CF2894" s="6"/>
      <c r="CG2894" s="6"/>
      <c r="CH2894" s="6"/>
      <c r="CI2894" s="6"/>
      <c r="CJ2894" s="6"/>
      <c r="CK2894" s="6"/>
      <c r="CL2894" s="6"/>
      <c r="CM2894" s="6"/>
      <c r="CN2894" s="6"/>
      <c r="CO2894" s="6"/>
      <c r="CP2894" s="6"/>
      <c r="CQ2894" s="6"/>
      <c r="CR2894" s="6"/>
      <c r="CS2894" s="6"/>
      <c r="CT2894" s="6"/>
      <c r="CU2894" s="6"/>
      <c r="CV2894" s="6"/>
      <c r="CW2894" s="6"/>
      <c r="CX2894" s="6"/>
      <c r="CY2894" s="6"/>
      <c r="CZ2894" s="6"/>
    </row>
    <row r="2895" spans="27:104" s="5" customFormat="1" x14ac:dyDescent="0.25">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16"/>
      <c r="BC2895" s="6"/>
      <c r="BD2895" s="6"/>
      <c r="BE2895" s="6"/>
      <c r="BF2895" s="6"/>
      <c r="BG2895" s="6"/>
      <c r="BH2895" s="6"/>
      <c r="BI2895" s="6"/>
      <c r="BJ2895" s="6"/>
      <c r="BK2895" s="6"/>
      <c r="BL2895" s="6"/>
      <c r="BM2895" s="6"/>
      <c r="BN2895" s="6"/>
      <c r="BO2895" s="6"/>
      <c r="BP2895" s="6"/>
      <c r="BQ2895" s="6"/>
      <c r="BR2895" s="6"/>
      <c r="BS2895" s="6"/>
      <c r="BT2895" s="6"/>
      <c r="BU2895" s="6"/>
      <c r="BV2895" s="6"/>
      <c r="BW2895" s="6"/>
      <c r="BX2895" s="6"/>
      <c r="BY2895" s="6"/>
      <c r="BZ2895" s="6"/>
      <c r="CA2895" s="6"/>
      <c r="CB2895" s="6"/>
      <c r="CC2895" s="6"/>
      <c r="CD2895" s="6"/>
      <c r="CE2895" s="6"/>
      <c r="CF2895" s="6"/>
      <c r="CG2895" s="6"/>
      <c r="CH2895" s="6"/>
      <c r="CI2895" s="6"/>
      <c r="CJ2895" s="6"/>
      <c r="CK2895" s="6"/>
      <c r="CL2895" s="6"/>
      <c r="CM2895" s="6"/>
      <c r="CN2895" s="6"/>
      <c r="CO2895" s="6"/>
      <c r="CP2895" s="6"/>
      <c r="CQ2895" s="6"/>
      <c r="CR2895" s="6"/>
      <c r="CS2895" s="6"/>
      <c r="CT2895" s="6"/>
      <c r="CU2895" s="6"/>
      <c r="CV2895" s="6"/>
      <c r="CW2895" s="6"/>
      <c r="CX2895" s="6"/>
      <c r="CY2895" s="6"/>
      <c r="CZ2895" s="6"/>
    </row>
    <row r="2896" spans="27:104" s="5" customFormat="1" x14ac:dyDescent="0.25">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16"/>
      <c r="BC2896" s="6"/>
      <c r="BD2896" s="6"/>
      <c r="BE2896" s="6"/>
      <c r="BF2896" s="6"/>
      <c r="BG2896" s="6"/>
      <c r="BH2896" s="6"/>
      <c r="BI2896" s="6"/>
      <c r="BJ2896" s="6"/>
      <c r="BK2896" s="6"/>
      <c r="BL2896" s="6"/>
      <c r="BM2896" s="6"/>
      <c r="BN2896" s="6"/>
      <c r="BO2896" s="6"/>
      <c r="BP2896" s="6"/>
      <c r="BQ2896" s="6"/>
      <c r="BR2896" s="6"/>
      <c r="BS2896" s="6"/>
      <c r="BT2896" s="6"/>
      <c r="BU2896" s="6"/>
      <c r="BV2896" s="6"/>
      <c r="BW2896" s="6"/>
      <c r="BX2896" s="6"/>
      <c r="BY2896" s="6"/>
      <c r="BZ2896" s="6"/>
      <c r="CA2896" s="6"/>
      <c r="CB2896" s="6"/>
      <c r="CC2896" s="6"/>
      <c r="CD2896" s="6"/>
      <c r="CE2896" s="6"/>
      <c r="CF2896" s="6"/>
      <c r="CG2896" s="6"/>
      <c r="CH2896" s="6"/>
      <c r="CI2896" s="6"/>
      <c r="CJ2896" s="6"/>
      <c r="CK2896" s="6"/>
      <c r="CL2896" s="6"/>
      <c r="CM2896" s="6"/>
      <c r="CN2896" s="6"/>
      <c r="CO2896" s="6"/>
      <c r="CP2896" s="6"/>
      <c r="CQ2896" s="6"/>
      <c r="CR2896" s="6"/>
      <c r="CS2896" s="6"/>
      <c r="CT2896" s="6"/>
      <c r="CU2896" s="6"/>
      <c r="CV2896" s="6"/>
      <c r="CW2896" s="6"/>
      <c r="CX2896" s="6"/>
      <c r="CY2896" s="6"/>
      <c r="CZ2896" s="6"/>
    </row>
    <row r="2897" spans="27:104" s="5" customFormat="1" x14ac:dyDescent="0.25">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16"/>
      <c r="BC2897" s="6"/>
      <c r="BD2897" s="6"/>
      <c r="BE2897" s="6"/>
      <c r="BF2897" s="6"/>
      <c r="BG2897" s="6"/>
      <c r="BH2897" s="6"/>
      <c r="BI2897" s="6"/>
      <c r="BJ2897" s="6"/>
      <c r="BK2897" s="6"/>
      <c r="BL2897" s="6"/>
      <c r="BM2897" s="6"/>
      <c r="BN2897" s="6"/>
      <c r="BO2897" s="6"/>
      <c r="BP2897" s="6"/>
      <c r="BQ2897" s="6"/>
      <c r="BR2897" s="6"/>
      <c r="BS2897" s="6"/>
      <c r="BT2897" s="6"/>
      <c r="BU2897" s="6"/>
      <c r="BV2897" s="6"/>
      <c r="BW2897" s="6"/>
      <c r="BX2897" s="6"/>
      <c r="BY2897" s="6"/>
      <c r="BZ2897" s="6"/>
      <c r="CA2897" s="6"/>
      <c r="CB2897" s="6"/>
      <c r="CC2897" s="6"/>
      <c r="CD2897" s="6"/>
      <c r="CE2897" s="6"/>
      <c r="CF2897" s="6"/>
      <c r="CG2897" s="6"/>
      <c r="CH2897" s="6"/>
      <c r="CI2897" s="6"/>
      <c r="CJ2897" s="6"/>
      <c r="CK2897" s="6"/>
      <c r="CL2897" s="6"/>
      <c r="CM2897" s="6"/>
      <c r="CN2897" s="6"/>
      <c r="CO2897" s="6"/>
      <c r="CP2897" s="6"/>
      <c r="CQ2897" s="6"/>
      <c r="CR2897" s="6"/>
      <c r="CS2897" s="6"/>
      <c r="CT2897" s="6"/>
      <c r="CU2897" s="6"/>
      <c r="CV2897" s="6"/>
      <c r="CW2897" s="6"/>
      <c r="CX2897" s="6"/>
      <c r="CY2897" s="6"/>
      <c r="CZ2897" s="6"/>
    </row>
    <row r="2898" spans="27:104" s="5" customFormat="1" x14ac:dyDescent="0.25">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16"/>
      <c r="BC2898" s="6"/>
      <c r="BD2898" s="6"/>
      <c r="BE2898" s="6"/>
      <c r="BF2898" s="6"/>
      <c r="BG2898" s="6"/>
      <c r="BH2898" s="6"/>
      <c r="BI2898" s="6"/>
      <c r="BJ2898" s="6"/>
      <c r="BK2898" s="6"/>
      <c r="BL2898" s="6"/>
      <c r="BM2898" s="6"/>
      <c r="BN2898" s="6"/>
      <c r="BO2898" s="6"/>
      <c r="BP2898" s="6"/>
      <c r="BQ2898" s="6"/>
      <c r="BR2898" s="6"/>
      <c r="BS2898" s="6"/>
      <c r="BT2898" s="6"/>
      <c r="BU2898" s="6"/>
      <c r="BV2898" s="6"/>
      <c r="BW2898" s="6"/>
      <c r="BX2898" s="6"/>
      <c r="BY2898" s="6"/>
      <c r="BZ2898" s="6"/>
      <c r="CA2898" s="6"/>
      <c r="CB2898" s="6"/>
      <c r="CC2898" s="6"/>
      <c r="CD2898" s="6"/>
      <c r="CE2898" s="6"/>
      <c r="CF2898" s="6"/>
      <c r="CG2898" s="6"/>
      <c r="CH2898" s="6"/>
      <c r="CI2898" s="6"/>
      <c r="CJ2898" s="6"/>
      <c r="CK2898" s="6"/>
      <c r="CL2898" s="6"/>
      <c r="CM2898" s="6"/>
      <c r="CN2898" s="6"/>
      <c r="CO2898" s="6"/>
      <c r="CP2898" s="6"/>
      <c r="CQ2898" s="6"/>
      <c r="CR2898" s="6"/>
      <c r="CS2898" s="6"/>
      <c r="CT2898" s="6"/>
      <c r="CU2898" s="6"/>
      <c r="CV2898" s="6"/>
      <c r="CW2898" s="6"/>
      <c r="CX2898" s="6"/>
      <c r="CY2898" s="6"/>
      <c r="CZ2898" s="6"/>
    </row>
    <row r="2899" spans="27:104" s="5" customFormat="1" x14ac:dyDescent="0.25">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16"/>
      <c r="BC2899" s="6"/>
      <c r="BD2899" s="6"/>
      <c r="BE2899" s="6"/>
      <c r="BF2899" s="6"/>
      <c r="BG2899" s="6"/>
      <c r="BH2899" s="6"/>
      <c r="BI2899" s="6"/>
      <c r="BJ2899" s="6"/>
      <c r="BK2899" s="6"/>
      <c r="BL2899" s="6"/>
      <c r="BM2899" s="6"/>
      <c r="BN2899" s="6"/>
      <c r="BO2899" s="6"/>
      <c r="BP2899" s="6"/>
      <c r="BQ2899" s="6"/>
      <c r="BR2899" s="6"/>
      <c r="BS2899" s="6"/>
      <c r="BT2899" s="6"/>
      <c r="BU2899" s="6"/>
      <c r="BV2899" s="6"/>
      <c r="BW2899" s="6"/>
      <c r="BX2899" s="6"/>
      <c r="BY2899" s="6"/>
      <c r="BZ2899" s="6"/>
      <c r="CA2899" s="6"/>
      <c r="CB2899" s="6"/>
      <c r="CC2899" s="6"/>
      <c r="CD2899" s="6"/>
      <c r="CE2899" s="6"/>
      <c r="CF2899" s="6"/>
      <c r="CG2899" s="6"/>
      <c r="CH2899" s="6"/>
      <c r="CI2899" s="6"/>
      <c r="CJ2899" s="6"/>
      <c r="CK2899" s="6"/>
      <c r="CL2899" s="6"/>
      <c r="CM2899" s="6"/>
      <c r="CN2899" s="6"/>
      <c r="CO2899" s="6"/>
      <c r="CP2899" s="6"/>
      <c r="CQ2899" s="6"/>
      <c r="CR2899" s="6"/>
      <c r="CS2899" s="6"/>
      <c r="CT2899" s="6"/>
      <c r="CU2899" s="6"/>
      <c r="CV2899" s="6"/>
      <c r="CW2899" s="6"/>
      <c r="CX2899" s="6"/>
      <c r="CY2899" s="6"/>
      <c r="CZ2899" s="6"/>
    </row>
    <row r="2900" spans="27:104" s="5" customFormat="1" x14ac:dyDescent="0.25">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16"/>
      <c r="BC2900" s="6"/>
      <c r="BD2900" s="6"/>
      <c r="BE2900" s="6"/>
      <c r="BF2900" s="6"/>
      <c r="BG2900" s="6"/>
      <c r="BH2900" s="6"/>
      <c r="BI2900" s="6"/>
      <c r="BJ2900" s="6"/>
      <c r="BK2900" s="6"/>
      <c r="BL2900" s="6"/>
      <c r="BM2900" s="6"/>
      <c r="BN2900" s="6"/>
      <c r="BO2900" s="6"/>
      <c r="BP2900" s="6"/>
      <c r="BQ2900" s="6"/>
      <c r="BR2900" s="6"/>
      <c r="BS2900" s="6"/>
      <c r="BT2900" s="6"/>
      <c r="BU2900" s="6"/>
      <c r="BV2900" s="6"/>
      <c r="BW2900" s="6"/>
      <c r="BX2900" s="6"/>
      <c r="BY2900" s="6"/>
      <c r="BZ2900" s="6"/>
      <c r="CA2900" s="6"/>
      <c r="CB2900" s="6"/>
      <c r="CC2900" s="6"/>
      <c r="CD2900" s="6"/>
      <c r="CE2900" s="6"/>
      <c r="CF2900" s="6"/>
      <c r="CG2900" s="6"/>
      <c r="CH2900" s="6"/>
      <c r="CI2900" s="6"/>
      <c r="CJ2900" s="6"/>
      <c r="CK2900" s="6"/>
      <c r="CL2900" s="6"/>
      <c r="CM2900" s="6"/>
      <c r="CN2900" s="6"/>
      <c r="CO2900" s="6"/>
      <c r="CP2900" s="6"/>
      <c r="CQ2900" s="6"/>
      <c r="CR2900" s="6"/>
      <c r="CS2900" s="6"/>
      <c r="CT2900" s="6"/>
      <c r="CU2900" s="6"/>
      <c r="CV2900" s="6"/>
      <c r="CW2900" s="6"/>
      <c r="CX2900" s="6"/>
      <c r="CY2900" s="6"/>
      <c r="CZ2900" s="6"/>
    </row>
    <row r="2901" spans="27:104" s="5" customFormat="1" x14ac:dyDescent="0.25">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16"/>
      <c r="BC2901" s="6"/>
      <c r="BD2901" s="6"/>
      <c r="BE2901" s="6"/>
      <c r="BF2901" s="6"/>
      <c r="BG2901" s="6"/>
      <c r="BH2901" s="6"/>
      <c r="BI2901" s="6"/>
      <c r="BJ2901" s="6"/>
      <c r="BK2901" s="6"/>
      <c r="BL2901" s="6"/>
      <c r="BM2901" s="6"/>
      <c r="BN2901" s="6"/>
      <c r="BO2901" s="6"/>
      <c r="BP2901" s="6"/>
      <c r="BQ2901" s="6"/>
      <c r="BR2901" s="6"/>
      <c r="BS2901" s="6"/>
      <c r="BT2901" s="6"/>
      <c r="BU2901" s="6"/>
      <c r="BV2901" s="6"/>
      <c r="BW2901" s="6"/>
      <c r="BX2901" s="6"/>
      <c r="BY2901" s="6"/>
      <c r="BZ2901" s="6"/>
      <c r="CA2901" s="6"/>
      <c r="CB2901" s="6"/>
      <c r="CC2901" s="6"/>
      <c r="CD2901" s="6"/>
      <c r="CE2901" s="6"/>
      <c r="CF2901" s="6"/>
      <c r="CG2901" s="6"/>
      <c r="CH2901" s="6"/>
      <c r="CI2901" s="6"/>
      <c r="CJ2901" s="6"/>
      <c r="CK2901" s="6"/>
      <c r="CL2901" s="6"/>
      <c r="CM2901" s="6"/>
      <c r="CN2901" s="6"/>
      <c r="CO2901" s="6"/>
      <c r="CP2901" s="6"/>
      <c r="CQ2901" s="6"/>
      <c r="CR2901" s="6"/>
      <c r="CS2901" s="6"/>
      <c r="CT2901" s="6"/>
      <c r="CU2901" s="6"/>
      <c r="CV2901" s="6"/>
      <c r="CW2901" s="6"/>
      <c r="CX2901" s="6"/>
      <c r="CY2901" s="6"/>
      <c r="CZ2901" s="6"/>
    </row>
    <row r="2902" spans="27:104" s="5" customFormat="1" x14ac:dyDescent="0.25">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16"/>
      <c r="BC2902" s="6"/>
      <c r="BD2902" s="6"/>
      <c r="BE2902" s="6"/>
      <c r="BF2902" s="6"/>
      <c r="BG2902" s="6"/>
      <c r="BH2902" s="6"/>
      <c r="BI2902" s="6"/>
      <c r="BJ2902" s="6"/>
      <c r="BK2902" s="6"/>
      <c r="BL2902" s="6"/>
      <c r="BM2902" s="6"/>
      <c r="BN2902" s="6"/>
      <c r="BO2902" s="6"/>
      <c r="BP2902" s="6"/>
      <c r="BQ2902" s="6"/>
      <c r="BR2902" s="6"/>
      <c r="BS2902" s="6"/>
      <c r="BT2902" s="6"/>
      <c r="BU2902" s="6"/>
      <c r="BV2902" s="6"/>
      <c r="BW2902" s="6"/>
      <c r="BX2902" s="6"/>
      <c r="BY2902" s="6"/>
      <c r="BZ2902" s="6"/>
      <c r="CA2902" s="6"/>
      <c r="CB2902" s="6"/>
      <c r="CC2902" s="6"/>
      <c r="CD2902" s="6"/>
      <c r="CE2902" s="6"/>
      <c r="CF2902" s="6"/>
      <c r="CG2902" s="6"/>
      <c r="CH2902" s="6"/>
      <c r="CI2902" s="6"/>
      <c r="CJ2902" s="6"/>
      <c r="CK2902" s="6"/>
      <c r="CL2902" s="6"/>
      <c r="CM2902" s="6"/>
      <c r="CN2902" s="6"/>
      <c r="CO2902" s="6"/>
      <c r="CP2902" s="6"/>
      <c r="CQ2902" s="6"/>
      <c r="CR2902" s="6"/>
      <c r="CS2902" s="6"/>
      <c r="CT2902" s="6"/>
      <c r="CU2902" s="6"/>
      <c r="CV2902" s="6"/>
      <c r="CW2902" s="6"/>
      <c r="CX2902" s="6"/>
      <c r="CY2902" s="6"/>
      <c r="CZ2902" s="6"/>
    </row>
    <row r="2903" spans="27:104" s="5" customFormat="1" x14ac:dyDescent="0.25">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16"/>
      <c r="BC2903" s="6"/>
      <c r="BD2903" s="6"/>
      <c r="BE2903" s="6"/>
      <c r="BF2903" s="6"/>
      <c r="BG2903" s="6"/>
      <c r="BH2903" s="6"/>
      <c r="BI2903" s="6"/>
      <c r="BJ2903" s="6"/>
      <c r="BK2903" s="6"/>
      <c r="BL2903" s="6"/>
      <c r="BM2903" s="6"/>
      <c r="BN2903" s="6"/>
      <c r="BO2903" s="6"/>
      <c r="BP2903" s="6"/>
      <c r="BQ2903" s="6"/>
      <c r="BR2903" s="6"/>
      <c r="BS2903" s="6"/>
      <c r="BT2903" s="6"/>
      <c r="BU2903" s="6"/>
      <c r="BV2903" s="6"/>
      <c r="BW2903" s="6"/>
      <c r="BX2903" s="6"/>
      <c r="BY2903" s="6"/>
      <c r="BZ2903" s="6"/>
      <c r="CA2903" s="6"/>
      <c r="CB2903" s="6"/>
      <c r="CC2903" s="6"/>
      <c r="CD2903" s="6"/>
      <c r="CE2903" s="6"/>
      <c r="CF2903" s="6"/>
      <c r="CG2903" s="6"/>
      <c r="CH2903" s="6"/>
      <c r="CI2903" s="6"/>
      <c r="CJ2903" s="6"/>
      <c r="CK2903" s="6"/>
      <c r="CL2903" s="6"/>
      <c r="CM2903" s="6"/>
      <c r="CN2903" s="6"/>
      <c r="CO2903" s="6"/>
      <c r="CP2903" s="6"/>
      <c r="CQ2903" s="6"/>
      <c r="CR2903" s="6"/>
      <c r="CS2903" s="6"/>
      <c r="CT2903" s="6"/>
      <c r="CU2903" s="6"/>
      <c r="CV2903" s="6"/>
      <c r="CW2903" s="6"/>
      <c r="CX2903" s="6"/>
      <c r="CY2903" s="6"/>
      <c r="CZ2903" s="6"/>
    </row>
    <row r="2904" spans="27:104" s="5" customFormat="1" x14ac:dyDescent="0.25">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16"/>
      <c r="BC2904" s="6"/>
      <c r="BD2904" s="6"/>
      <c r="BE2904" s="6"/>
      <c r="BF2904" s="6"/>
      <c r="BG2904" s="6"/>
      <c r="BH2904" s="6"/>
      <c r="BI2904" s="6"/>
      <c r="BJ2904" s="6"/>
      <c r="BK2904" s="6"/>
      <c r="BL2904" s="6"/>
      <c r="BM2904" s="6"/>
      <c r="BN2904" s="6"/>
      <c r="BO2904" s="6"/>
      <c r="BP2904" s="6"/>
      <c r="BQ2904" s="6"/>
      <c r="BR2904" s="6"/>
      <c r="BS2904" s="6"/>
      <c r="BT2904" s="6"/>
      <c r="BU2904" s="6"/>
      <c r="BV2904" s="6"/>
      <c r="BW2904" s="6"/>
      <c r="BX2904" s="6"/>
      <c r="BY2904" s="6"/>
      <c r="BZ2904" s="6"/>
      <c r="CA2904" s="6"/>
      <c r="CB2904" s="6"/>
      <c r="CC2904" s="6"/>
      <c r="CD2904" s="6"/>
      <c r="CE2904" s="6"/>
      <c r="CF2904" s="6"/>
      <c r="CG2904" s="6"/>
      <c r="CH2904" s="6"/>
      <c r="CI2904" s="6"/>
      <c r="CJ2904" s="6"/>
      <c r="CK2904" s="6"/>
      <c r="CL2904" s="6"/>
      <c r="CM2904" s="6"/>
      <c r="CN2904" s="6"/>
      <c r="CO2904" s="6"/>
      <c r="CP2904" s="6"/>
      <c r="CQ2904" s="6"/>
      <c r="CR2904" s="6"/>
      <c r="CS2904" s="6"/>
      <c r="CT2904" s="6"/>
      <c r="CU2904" s="6"/>
      <c r="CV2904" s="6"/>
      <c r="CW2904" s="6"/>
      <c r="CX2904" s="6"/>
      <c r="CY2904" s="6"/>
      <c r="CZ2904" s="6"/>
    </row>
    <row r="2905" spans="27:104" s="5" customFormat="1" x14ac:dyDescent="0.25">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16"/>
      <c r="BC2905" s="6"/>
      <c r="BD2905" s="6"/>
      <c r="BE2905" s="6"/>
      <c r="BF2905" s="6"/>
      <c r="BG2905" s="6"/>
      <c r="BH2905" s="6"/>
      <c r="BI2905" s="6"/>
      <c r="BJ2905" s="6"/>
      <c r="BK2905" s="6"/>
      <c r="BL2905" s="6"/>
      <c r="BM2905" s="6"/>
      <c r="BN2905" s="6"/>
      <c r="BO2905" s="6"/>
      <c r="BP2905" s="6"/>
      <c r="BQ2905" s="6"/>
      <c r="BR2905" s="6"/>
      <c r="BS2905" s="6"/>
      <c r="BT2905" s="6"/>
      <c r="BU2905" s="6"/>
      <c r="BV2905" s="6"/>
      <c r="BW2905" s="6"/>
      <c r="BX2905" s="6"/>
      <c r="BY2905" s="6"/>
      <c r="BZ2905" s="6"/>
      <c r="CA2905" s="6"/>
      <c r="CB2905" s="6"/>
      <c r="CC2905" s="6"/>
      <c r="CD2905" s="6"/>
      <c r="CE2905" s="6"/>
      <c r="CF2905" s="6"/>
      <c r="CG2905" s="6"/>
      <c r="CH2905" s="6"/>
      <c r="CI2905" s="6"/>
      <c r="CJ2905" s="6"/>
      <c r="CK2905" s="6"/>
      <c r="CL2905" s="6"/>
      <c r="CM2905" s="6"/>
      <c r="CN2905" s="6"/>
      <c r="CO2905" s="6"/>
      <c r="CP2905" s="6"/>
      <c r="CQ2905" s="6"/>
      <c r="CR2905" s="6"/>
      <c r="CS2905" s="6"/>
      <c r="CT2905" s="6"/>
      <c r="CU2905" s="6"/>
      <c r="CV2905" s="6"/>
      <c r="CW2905" s="6"/>
      <c r="CX2905" s="6"/>
      <c r="CY2905" s="6"/>
      <c r="CZ2905" s="6"/>
    </row>
    <row r="2906" spans="27:104" s="5" customFormat="1" x14ac:dyDescent="0.25">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16"/>
      <c r="BC2906" s="6"/>
      <c r="BD2906" s="6"/>
      <c r="BE2906" s="6"/>
      <c r="BF2906" s="6"/>
      <c r="BG2906" s="6"/>
      <c r="BH2906" s="6"/>
      <c r="BI2906" s="6"/>
      <c r="BJ2906" s="6"/>
      <c r="BK2906" s="6"/>
      <c r="BL2906" s="6"/>
      <c r="BM2906" s="6"/>
      <c r="BN2906" s="6"/>
      <c r="BO2906" s="6"/>
      <c r="BP2906" s="6"/>
      <c r="BQ2906" s="6"/>
      <c r="BR2906" s="6"/>
      <c r="BS2906" s="6"/>
      <c r="BT2906" s="6"/>
      <c r="BU2906" s="6"/>
      <c r="BV2906" s="6"/>
      <c r="BW2906" s="6"/>
      <c r="BX2906" s="6"/>
      <c r="BY2906" s="6"/>
      <c r="BZ2906" s="6"/>
      <c r="CA2906" s="6"/>
      <c r="CB2906" s="6"/>
      <c r="CC2906" s="6"/>
      <c r="CD2906" s="6"/>
      <c r="CE2906" s="6"/>
      <c r="CF2906" s="6"/>
      <c r="CG2906" s="6"/>
      <c r="CH2906" s="6"/>
      <c r="CI2906" s="6"/>
      <c r="CJ2906" s="6"/>
      <c r="CK2906" s="6"/>
      <c r="CL2906" s="6"/>
      <c r="CM2906" s="6"/>
      <c r="CN2906" s="6"/>
      <c r="CO2906" s="6"/>
      <c r="CP2906" s="6"/>
      <c r="CQ2906" s="6"/>
      <c r="CR2906" s="6"/>
      <c r="CS2906" s="6"/>
      <c r="CT2906" s="6"/>
      <c r="CU2906" s="6"/>
      <c r="CV2906" s="6"/>
      <c r="CW2906" s="6"/>
      <c r="CX2906" s="6"/>
      <c r="CY2906" s="6"/>
      <c r="CZ2906" s="6"/>
    </row>
    <row r="2907" spans="27:104" s="5" customFormat="1" x14ac:dyDescent="0.25">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16"/>
      <c r="BC2907" s="6"/>
      <c r="BD2907" s="6"/>
      <c r="BE2907" s="6"/>
      <c r="BF2907" s="6"/>
      <c r="BG2907" s="6"/>
      <c r="BH2907" s="6"/>
      <c r="BI2907" s="6"/>
      <c r="BJ2907" s="6"/>
      <c r="BK2907" s="6"/>
      <c r="BL2907" s="6"/>
      <c r="BM2907" s="6"/>
      <c r="BN2907" s="6"/>
      <c r="BO2907" s="6"/>
      <c r="BP2907" s="6"/>
      <c r="BQ2907" s="6"/>
      <c r="BR2907" s="6"/>
      <c r="BS2907" s="6"/>
      <c r="BT2907" s="6"/>
      <c r="BU2907" s="6"/>
      <c r="BV2907" s="6"/>
      <c r="BW2907" s="6"/>
      <c r="BX2907" s="6"/>
      <c r="BY2907" s="6"/>
      <c r="BZ2907" s="6"/>
      <c r="CA2907" s="6"/>
      <c r="CB2907" s="6"/>
      <c r="CC2907" s="6"/>
      <c r="CD2907" s="6"/>
      <c r="CE2907" s="6"/>
      <c r="CF2907" s="6"/>
      <c r="CG2907" s="6"/>
      <c r="CH2907" s="6"/>
      <c r="CI2907" s="6"/>
      <c r="CJ2907" s="6"/>
      <c r="CK2907" s="6"/>
      <c r="CL2907" s="6"/>
      <c r="CM2907" s="6"/>
      <c r="CN2907" s="6"/>
      <c r="CO2907" s="6"/>
      <c r="CP2907" s="6"/>
      <c r="CQ2907" s="6"/>
      <c r="CR2907" s="6"/>
      <c r="CS2907" s="6"/>
      <c r="CT2907" s="6"/>
      <c r="CU2907" s="6"/>
      <c r="CV2907" s="6"/>
      <c r="CW2907" s="6"/>
      <c r="CX2907" s="6"/>
      <c r="CY2907" s="6"/>
      <c r="CZ2907" s="6"/>
    </row>
    <row r="2908" spans="27:104" s="5" customFormat="1" x14ac:dyDescent="0.25">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16"/>
      <c r="BC2908" s="6"/>
      <c r="BD2908" s="6"/>
      <c r="BE2908" s="6"/>
      <c r="BF2908" s="6"/>
      <c r="BG2908" s="6"/>
      <c r="BH2908" s="6"/>
      <c r="BI2908" s="6"/>
      <c r="BJ2908" s="6"/>
      <c r="BK2908" s="6"/>
      <c r="BL2908" s="6"/>
      <c r="BM2908" s="6"/>
      <c r="BN2908" s="6"/>
      <c r="BO2908" s="6"/>
      <c r="BP2908" s="6"/>
      <c r="BQ2908" s="6"/>
      <c r="BR2908" s="6"/>
      <c r="BS2908" s="6"/>
      <c r="BT2908" s="6"/>
      <c r="BU2908" s="6"/>
      <c r="BV2908" s="6"/>
      <c r="BW2908" s="6"/>
      <c r="BX2908" s="6"/>
      <c r="BY2908" s="6"/>
      <c r="BZ2908" s="6"/>
      <c r="CA2908" s="6"/>
      <c r="CB2908" s="6"/>
      <c r="CC2908" s="6"/>
      <c r="CD2908" s="6"/>
      <c r="CE2908" s="6"/>
      <c r="CF2908" s="6"/>
      <c r="CG2908" s="6"/>
      <c r="CH2908" s="6"/>
      <c r="CI2908" s="6"/>
      <c r="CJ2908" s="6"/>
      <c r="CK2908" s="6"/>
      <c r="CL2908" s="6"/>
      <c r="CM2908" s="6"/>
      <c r="CN2908" s="6"/>
      <c r="CO2908" s="6"/>
      <c r="CP2908" s="6"/>
      <c r="CQ2908" s="6"/>
      <c r="CR2908" s="6"/>
      <c r="CS2908" s="6"/>
      <c r="CT2908" s="6"/>
      <c r="CU2908" s="6"/>
      <c r="CV2908" s="6"/>
      <c r="CW2908" s="6"/>
      <c r="CX2908" s="6"/>
      <c r="CY2908" s="6"/>
      <c r="CZ2908" s="6"/>
    </row>
    <row r="2909" spans="27:104" s="5" customFormat="1" x14ac:dyDescent="0.25">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16"/>
      <c r="BC2909" s="6"/>
      <c r="BD2909" s="6"/>
      <c r="BE2909" s="6"/>
      <c r="BF2909" s="6"/>
      <c r="BG2909" s="6"/>
      <c r="BH2909" s="6"/>
      <c r="BI2909" s="6"/>
      <c r="BJ2909" s="6"/>
      <c r="BK2909" s="6"/>
      <c r="BL2909" s="6"/>
      <c r="BM2909" s="6"/>
      <c r="BN2909" s="6"/>
      <c r="BO2909" s="6"/>
      <c r="BP2909" s="6"/>
      <c r="BQ2909" s="6"/>
      <c r="BR2909" s="6"/>
      <c r="BS2909" s="6"/>
      <c r="BT2909" s="6"/>
      <c r="BU2909" s="6"/>
      <c r="BV2909" s="6"/>
      <c r="BW2909" s="6"/>
      <c r="BX2909" s="6"/>
      <c r="BY2909" s="6"/>
      <c r="BZ2909" s="6"/>
      <c r="CA2909" s="6"/>
      <c r="CB2909" s="6"/>
      <c r="CC2909" s="6"/>
      <c r="CD2909" s="6"/>
      <c r="CE2909" s="6"/>
      <c r="CF2909" s="6"/>
      <c r="CG2909" s="6"/>
      <c r="CH2909" s="6"/>
      <c r="CI2909" s="6"/>
      <c r="CJ2909" s="6"/>
      <c r="CK2909" s="6"/>
      <c r="CL2909" s="6"/>
      <c r="CM2909" s="6"/>
      <c r="CN2909" s="6"/>
      <c r="CO2909" s="6"/>
      <c r="CP2909" s="6"/>
      <c r="CQ2909" s="6"/>
      <c r="CR2909" s="6"/>
      <c r="CS2909" s="6"/>
      <c r="CT2909" s="6"/>
      <c r="CU2909" s="6"/>
      <c r="CV2909" s="6"/>
      <c r="CW2909" s="6"/>
      <c r="CX2909" s="6"/>
      <c r="CY2909" s="6"/>
      <c r="CZ2909" s="6"/>
    </row>
    <row r="2910" spans="27:104" s="5" customFormat="1" x14ac:dyDescent="0.25">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16"/>
      <c r="BC2910" s="6"/>
      <c r="BD2910" s="6"/>
      <c r="BE2910" s="6"/>
      <c r="BF2910" s="6"/>
      <c r="BG2910" s="6"/>
      <c r="BH2910" s="6"/>
      <c r="BI2910" s="6"/>
      <c r="BJ2910" s="6"/>
      <c r="BK2910" s="6"/>
      <c r="BL2910" s="6"/>
      <c r="BM2910" s="6"/>
      <c r="BN2910" s="6"/>
      <c r="BO2910" s="6"/>
      <c r="BP2910" s="6"/>
      <c r="BQ2910" s="6"/>
      <c r="BR2910" s="6"/>
      <c r="BS2910" s="6"/>
      <c r="BT2910" s="6"/>
      <c r="BU2910" s="6"/>
      <c r="BV2910" s="6"/>
      <c r="BW2910" s="6"/>
      <c r="BX2910" s="6"/>
      <c r="BY2910" s="6"/>
      <c r="BZ2910" s="6"/>
      <c r="CA2910" s="6"/>
      <c r="CB2910" s="6"/>
      <c r="CC2910" s="6"/>
      <c r="CD2910" s="6"/>
      <c r="CE2910" s="6"/>
      <c r="CF2910" s="6"/>
      <c r="CG2910" s="6"/>
      <c r="CH2910" s="6"/>
      <c r="CI2910" s="6"/>
      <c r="CJ2910" s="6"/>
      <c r="CK2910" s="6"/>
      <c r="CL2910" s="6"/>
      <c r="CM2910" s="6"/>
      <c r="CN2910" s="6"/>
      <c r="CO2910" s="6"/>
      <c r="CP2910" s="6"/>
      <c r="CQ2910" s="6"/>
      <c r="CR2910" s="6"/>
      <c r="CS2910" s="6"/>
      <c r="CT2910" s="6"/>
      <c r="CU2910" s="6"/>
      <c r="CV2910" s="6"/>
      <c r="CW2910" s="6"/>
      <c r="CX2910" s="6"/>
      <c r="CY2910" s="6"/>
      <c r="CZ2910" s="6"/>
    </row>
    <row r="2911" spans="27:104" s="5" customFormat="1" x14ac:dyDescent="0.25">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16"/>
      <c r="BC2911" s="6"/>
      <c r="BD2911" s="6"/>
      <c r="BE2911" s="6"/>
      <c r="BF2911" s="6"/>
      <c r="BG2911" s="6"/>
      <c r="BH2911" s="6"/>
      <c r="BI2911" s="6"/>
      <c r="BJ2911" s="6"/>
      <c r="BK2911" s="6"/>
      <c r="BL2911" s="6"/>
      <c r="BM2911" s="6"/>
      <c r="BN2911" s="6"/>
      <c r="BO2911" s="6"/>
      <c r="BP2911" s="6"/>
      <c r="BQ2911" s="6"/>
      <c r="BR2911" s="6"/>
      <c r="BS2911" s="6"/>
      <c r="BT2911" s="6"/>
      <c r="BU2911" s="6"/>
      <c r="BV2911" s="6"/>
      <c r="BW2911" s="6"/>
      <c r="BX2911" s="6"/>
      <c r="BY2911" s="6"/>
      <c r="BZ2911" s="6"/>
      <c r="CA2911" s="6"/>
      <c r="CB2911" s="6"/>
      <c r="CC2911" s="6"/>
      <c r="CD2911" s="6"/>
      <c r="CE2911" s="6"/>
      <c r="CF2911" s="6"/>
      <c r="CG2911" s="6"/>
      <c r="CH2911" s="6"/>
      <c r="CI2911" s="6"/>
      <c r="CJ2911" s="6"/>
      <c r="CK2911" s="6"/>
      <c r="CL2911" s="6"/>
      <c r="CM2911" s="6"/>
      <c r="CN2911" s="6"/>
      <c r="CO2911" s="6"/>
      <c r="CP2911" s="6"/>
      <c r="CQ2911" s="6"/>
      <c r="CR2911" s="6"/>
      <c r="CS2911" s="6"/>
      <c r="CT2911" s="6"/>
      <c r="CU2911" s="6"/>
      <c r="CV2911" s="6"/>
      <c r="CW2911" s="6"/>
      <c r="CX2911" s="6"/>
      <c r="CY2911" s="6"/>
      <c r="CZ2911" s="6"/>
    </row>
    <row r="2912" spans="27:104" s="5" customFormat="1" x14ac:dyDescent="0.25">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16"/>
      <c r="BC2912" s="6"/>
      <c r="BD2912" s="6"/>
      <c r="BE2912" s="6"/>
      <c r="BF2912" s="6"/>
      <c r="BG2912" s="6"/>
      <c r="BH2912" s="6"/>
      <c r="BI2912" s="6"/>
      <c r="BJ2912" s="6"/>
      <c r="BK2912" s="6"/>
      <c r="BL2912" s="6"/>
      <c r="BM2912" s="6"/>
      <c r="BN2912" s="6"/>
      <c r="BO2912" s="6"/>
      <c r="BP2912" s="6"/>
      <c r="BQ2912" s="6"/>
      <c r="BR2912" s="6"/>
      <c r="BS2912" s="6"/>
      <c r="BT2912" s="6"/>
      <c r="BU2912" s="6"/>
      <c r="BV2912" s="6"/>
      <c r="BW2912" s="6"/>
      <c r="BX2912" s="6"/>
      <c r="BY2912" s="6"/>
      <c r="BZ2912" s="6"/>
      <c r="CA2912" s="6"/>
      <c r="CB2912" s="6"/>
      <c r="CC2912" s="6"/>
      <c r="CD2912" s="6"/>
      <c r="CE2912" s="6"/>
      <c r="CF2912" s="6"/>
      <c r="CG2912" s="6"/>
      <c r="CH2912" s="6"/>
      <c r="CI2912" s="6"/>
      <c r="CJ2912" s="6"/>
      <c r="CK2912" s="6"/>
      <c r="CL2912" s="6"/>
      <c r="CM2912" s="6"/>
      <c r="CN2912" s="6"/>
      <c r="CO2912" s="6"/>
      <c r="CP2912" s="6"/>
      <c r="CQ2912" s="6"/>
      <c r="CR2912" s="6"/>
      <c r="CS2912" s="6"/>
      <c r="CT2912" s="6"/>
      <c r="CU2912" s="6"/>
      <c r="CV2912" s="6"/>
      <c r="CW2912" s="6"/>
      <c r="CX2912" s="6"/>
      <c r="CY2912" s="6"/>
      <c r="CZ2912" s="6"/>
    </row>
    <row r="2913" spans="27:104" s="5" customFormat="1" x14ac:dyDescent="0.25">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16"/>
      <c r="BC2913" s="6"/>
      <c r="BD2913" s="6"/>
      <c r="BE2913" s="6"/>
      <c r="BF2913" s="6"/>
      <c r="BG2913" s="6"/>
      <c r="BH2913" s="6"/>
      <c r="BI2913" s="6"/>
      <c r="BJ2913" s="6"/>
      <c r="BK2913" s="6"/>
      <c r="BL2913" s="6"/>
      <c r="BM2913" s="6"/>
      <c r="BN2913" s="6"/>
      <c r="BO2913" s="6"/>
      <c r="BP2913" s="6"/>
      <c r="BQ2913" s="6"/>
      <c r="BR2913" s="6"/>
      <c r="BS2913" s="6"/>
      <c r="BT2913" s="6"/>
      <c r="BU2913" s="6"/>
      <c r="BV2913" s="6"/>
      <c r="BW2913" s="6"/>
      <c r="BX2913" s="6"/>
      <c r="BY2913" s="6"/>
      <c r="BZ2913" s="6"/>
      <c r="CA2913" s="6"/>
      <c r="CB2913" s="6"/>
      <c r="CC2913" s="6"/>
      <c r="CD2913" s="6"/>
      <c r="CE2913" s="6"/>
      <c r="CF2913" s="6"/>
      <c r="CG2913" s="6"/>
      <c r="CH2913" s="6"/>
      <c r="CI2913" s="6"/>
      <c r="CJ2913" s="6"/>
      <c r="CK2913" s="6"/>
      <c r="CL2913" s="6"/>
      <c r="CM2913" s="6"/>
      <c r="CN2913" s="6"/>
      <c r="CO2913" s="6"/>
      <c r="CP2913" s="6"/>
      <c r="CQ2913" s="6"/>
      <c r="CR2913" s="6"/>
      <c r="CS2913" s="6"/>
      <c r="CT2913" s="6"/>
      <c r="CU2913" s="6"/>
      <c r="CV2913" s="6"/>
      <c r="CW2913" s="6"/>
      <c r="CX2913" s="6"/>
      <c r="CY2913" s="6"/>
      <c r="CZ2913" s="6"/>
    </row>
    <row r="2914" spans="27:104" s="5" customFormat="1" x14ac:dyDescent="0.25">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16"/>
      <c r="BC2914" s="6"/>
      <c r="BD2914" s="6"/>
      <c r="BE2914" s="6"/>
      <c r="BF2914" s="6"/>
      <c r="BG2914" s="6"/>
      <c r="BH2914" s="6"/>
      <c r="BI2914" s="6"/>
      <c r="BJ2914" s="6"/>
      <c r="BK2914" s="6"/>
      <c r="BL2914" s="6"/>
      <c r="BM2914" s="6"/>
      <c r="BN2914" s="6"/>
      <c r="BO2914" s="6"/>
      <c r="BP2914" s="6"/>
      <c r="BQ2914" s="6"/>
      <c r="BR2914" s="6"/>
      <c r="BS2914" s="6"/>
      <c r="BT2914" s="6"/>
      <c r="BU2914" s="6"/>
      <c r="BV2914" s="6"/>
      <c r="BW2914" s="6"/>
      <c r="BX2914" s="6"/>
      <c r="BY2914" s="6"/>
      <c r="BZ2914" s="6"/>
      <c r="CA2914" s="6"/>
      <c r="CB2914" s="6"/>
      <c r="CC2914" s="6"/>
      <c r="CD2914" s="6"/>
      <c r="CE2914" s="6"/>
      <c r="CF2914" s="6"/>
      <c r="CG2914" s="6"/>
      <c r="CH2914" s="6"/>
      <c r="CI2914" s="6"/>
      <c r="CJ2914" s="6"/>
      <c r="CK2914" s="6"/>
      <c r="CL2914" s="6"/>
      <c r="CM2914" s="6"/>
      <c r="CN2914" s="6"/>
      <c r="CO2914" s="6"/>
      <c r="CP2914" s="6"/>
      <c r="CQ2914" s="6"/>
      <c r="CR2914" s="6"/>
      <c r="CS2914" s="6"/>
      <c r="CT2914" s="6"/>
      <c r="CU2914" s="6"/>
      <c r="CV2914" s="6"/>
      <c r="CW2914" s="6"/>
      <c r="CX2914" s="6"/>
      <c r="CY2914" s="6"/>
      <c r="CZ2914" s="6"/>
    </row>
    <row r="2915" spans="27:104" s="5" customFormat="1" x14ac:dyDescent="0.25">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16"/>
      <c r="BC2915" s="6"/>
      <c r="BD2915" s="6"/>
      <c r="BE2915" s="6"/>
      <c r="BF2915" s="6"/>
      <c r="BG2915" s="6"/>
      <c r="BH2915" s="6"/>
      <c r="BI2915" s="6"/>
      <c r="BJ2915" s="6"/>
      <c r="BK2915" s="6"/>
      <c r="BL2915" s="6"/>
      <c r="BM2915" s="6"/>
      <c r="BN2915" s="6"/>
      <c r="BO2915" s="6"/>
      <c r="BP2915" s="6"/>
      <c r="BQ2915" s="6"/>
      <c r="BR2915" s="6"/>
      <c r="BS2915" s="6"/>
      <c r="BT2915" s="6"/>
      <c r="BU2915" s="6"/>
      <c r="BV2915" s="6"/>
      <c r="BW2915" s="6"/>
      <c r="BX2915" s="6"/>
      <c r="BY2915" s="6"/>
      <c r="BZ2915" s="6"/>
      <c r="CA2915" s="6"/>
      <c r="CB2915" s="6"/>
      <c r="CC2915" s="6"/>
      <c r="CD2915" s="6"/>
      <c r="CE2915" s="6"/>
      <c r="CF2915" s="6"/>
      <c r="CG2915" s="6"/>
      <c r="CH2915" s="6"/>
      <c r="CI2915" s="6"/>
      <c r="CJ2915" s="6"/>
      <c r="CK2915" s="6"/>
      <c r="CL2915" s="6"/>
      <c r="CM2915" s="6"/>
      <c r="CN2915" s="6"/>
      <c r="CO2915" s="6"/>
      <c r="CP2915" s="6"/>
      <c r="CQ2915" s="6"/>
      <c r="CR2915" s="6"/>
      <c r="CS2915" s="6"/>
      <c r="CT2915" s="6"/>
      <c r="CU2915" s="6"/>
      <c r="CV2915" s="6"/>
      <c r="CW2915" s="6"/>
      <c r="CX2915" s="6"/>
      <c r="CY2915" s="6"/>
      <c r="CZ2915" s="6"/>
    </row>
    <row r="2916" spans="27:104" s="5" customFormat="1" x14ac:dyDescent="0.25">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16"/>
      <c r="BC2916" s="6"/>
      <c r="BD2916" s="6"/>
      <c r="BE2916" s="6"/>
      <c r="BF2916" s="6"/>
      <c r="BG2916" s="6"/>
      <c r="BH2916" s="6"/>
      <c r="BI2916" s="6"/>
      <c r="BJ2916" s="6"/>
      <c r="BK2916" s="6"/>
      <c r="BL2916" s="6"/>
      <c r="BM2916" s="6"/>
      <c r="BN2916" s="6"/>
      <c r="BO2916" s="6"/>
      <c r="BP2916" s="6"/>
      <c r="BQ2916" s="6"/>
      <c r="BR2916" s="6"/>
      <c r="BS2916" s="6"/>
      <c r="BT2916" s="6"/>
      <c r="BU2916" s="6"/>
      <c r="BV2916" s="6"/>
      <c r="BW2916" s="6"/>
      <c r="BX2916" s="6"/>
      <c r="BY2916" s="6"/>
      <c r="BZ2916" s="6"/>
      <c r="CA2916" s="6"/>
      <c r="CB2916" s="6"/>
      <c r="CC2916" s="6"/>
      <c r="CD2916" s="6"/>
      <c r="CE2916" s="6"/>
      <c r="CF2916" s="6"/>
      <c r="CG2916" s="6"/>
      <c r="CH2916" s="6"/>
      <c r="CI2916" s="6"/>
      <c r="CJ2916" s="6"/>
      <c r="CK2916" s="6"/>
      <c r="CL2916" s="6"/>
      <c r="CM2916" s="6"/>
      <c r="CN2916" s="6"/>
      <c r="CO2916" s="6"/>
      <c r="CP2916" s="6"/>
      <c r="CQ2916" s="6"/>
      <c r="CR2916" s="6"/>
      <c r="CS2916" s="6"/>
      <c r="CT2916" s="6"/>
      <c r="CU2916" s="6"/>
      <c r="CV2916" s="6"/>
      <c r="CW2916" s="6"/>
      <c r="CX2916" s="6"/>
      <c r="CY2916" s="6"/>
      <c r="CZ2916" s="6"/>
    </row>
    <row r="2917" spans="27:104" s="5" customFormat="1" x14ac:dyDescent="0.25">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16"/>
      <c r="BC2917" s="6"/>
      <c r="BD2917" s="6"/>
      <c r="BE2917" s="6"/>
      <c r="BF2917" s="6"/>
      <c r="BG2917" s="6"/>
      <c r="BH2917" s="6"/>
      <c r="BI2917" s="6"/>
      <c r="BJ2917" s="6"/>
      <c r="BK2917" s="6"/>
      <c r="BL2917" s="6"/>
      <c r="BM2917" s="6"/>
      <c r="BN2917" s="6"/>
      <c r="BO2917" s="6"/>
      <c r="BP2917" s="6"/>
      <c r="BQ2917" s="6"/>
      <c r="BR2917" s="6"/>
      <c r="BS2917" s="6"/>
      <c r="BT2917" s="6"/>
      <c r="BU2917" s="6"/>
      <c r="BV2917" s="6"/>
      <c r="BW2917" s="6"/>
      <c r="BX2917" s="6"/>
      <c r="BY2917" s="6"/>
      <c r="BZ2917" s="6"/>
      <c r="CA2917" s="6"/>
      <c r="CB2917" s="6"/>
      <c r="CC2917" s="6"/>
      <c r="CD2917" s="6"/>
      <c r="CE2917" s="6"/>
      <c r="CF2917" s="6"/>
      <c r="CG2917" s="6"/>
      <c r="CH2917" s="6"/>
      <c r="CI2917" s="6"/>
      <c r="CJ2917" s="6"/>
      <c r="CK2917" s="6"/>
      <c r="CL2917" s="6"/>
      <c r="CM2917" s="6"/>
      <c r="CN2917" s="6"/>
      <c r="CO2917" s="6"/>
      <c r="CP2917" s="6"/>
      <c r="CQ2917" s="6"/>
      <c r="CR2917" s="6"/>
      <c r="CS2917" s="6"/>
      <c r="CT2917" s="6"/>
      <c r="CU2917" s="6"/>
      <c r="CV2917" s="6"/>
      <c r="CW2917" s="6"/>
      <c r="CX2917" s="6"/>
      <c r="CY2917" s="6"/>
      <c r="CZ2917" s="6"/>
    </row>
    <row r="2918" spans="27:104" s="5" customFormat="1" x14ac:dyDescent="0.25">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16"/>
      <c r="BC2918" s="6"/>
      <c r="BD2918" s="6"/>
      <c r="BE2918" s="6"/>
      <c r="BF2918" s="6"/>
      <c r="BG2918" s="6"/>
      <c r="BH2918" s="6"/>
      <c r="BI2918" s="6"/>
      <c r="BJ2918" s="6"/>
      <c r="BK2918" s="6"/>
      <c r="BL2918" s="6"/>
      <c r="BM2918" s="6"/>
      <c r="BN2918" s="6"/>
      <c r="BO2918" s="6"/>
      <c r="BP2918" s="6"/>
      <c r="BQ2918" s="6"/>
      <c r="BR2918" s="6"/>
      <c r="BS2918" s="6"/>
      <c r="BT2918" s="6"/>
      <c r="BU2918" s="6"/>
      <c r="BV2918" s="6"/>
      <c r="BW2918" s="6"/>
      <c r="BX2918" s="6"/>
      <c r="BY2918" s="6"/>
      <c r="BZ2918" s="6"/>
      <c r="CA2918" s="6"/>
      <c r="CB2918" s="6"/>
      <c r="CC2918" s="6"/>
      <c r="CD2918" s="6"/>
      <c r="CE2918" s="6"/>
      <c r="CF2918" s="6"/>
      <c r="CG2918" s="6"/>
      <c r="CH2918" s="6"/>
      <c r="CI2918" s="6"/>
      <c r="CJ2918" s="6"/>
      <c r="CK2918" s="6"/>
      <c r="CL2918" s="6"/>
      <c r="CM2918" s="6"/>
      <c r="CN2918" s="6"/>
      <c r="CO2918" s="6"/>
      <c r="CP2918" s="6"/>
      <c r="CQ2918" s="6"/>
      <c r="CR2918" s="6"/>
      <c r="CS2918" s="6"/>
      <c r="CT2918" s="6"/>
      <c r="CU2918" s="6"/>
      <c r="CV2918" s="6"/>
      <c r="CW2918" s="6"/>
      <c r="CX2918" s="6"/>
      <c r="CY2918" s="6"/>
      <c r="CZ2918" s="6"/>
    </row>
    <row r="2919" spans="27:104" s="5" customFormat="1" x14ac:dyDescent="0.25">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16"/>
      <c r="BC2919" s="6"/>
      <c r="BD2919" s="6"/>
      <c r="BE2919" s="6"/>
      <c r="BF2919" s="6"/>
      <c r="BG2919" s="6"/>
      <c r="BH2919" s="6"/>
      <c r="BI2919" s="6"/>
      <c r="BJ2919" s="6"/>
      <c r="BK2919" s="6"/>
      <c r="BL2919" s="6"/>
      <c r="BM2919" s="6"/>
      <c r="BN2919" s="6"/>
      <c r="BO2919" s="6"/>
      <c r="BP2919" s="6"/>
      <c r="BQ2919" s="6"/>
      <c r="BR2919" s="6"/>
      <c r="BS2919" s="6"/>
      <c r="BT2919" s="6"/>
      <c r="BU2919" s="6"/>
      <c r="BV2919" s="6"/>
      <c r="BW2919" s="6"/>
      <c r="BX2919" s="6"/>
      <c r="BY2919" s="6"/>
      <c r="BZ2919" s="6"/>
      <c r="CA2919" s="6"/>
      <c r="CB2919" s="6"/>
      <c r="CC2919" s="6"/>
      <c r="CD2919" s="6"/>
      <c r="CE2919" s="6"/>
      <c r="CF2919" s="6"/>
      <c r="CG2919" s="6"/>
      <c r="CH2919" s="6"/>
      <c r="CI2919" s="6"/>
      <c r="CJ2919" s="6"/>
      <c r="CK2919" s="6"/>
      <c r="CL2919" s="6"/>
      <c r="CM2919" s="6"/>
      <c r="CN2919" s="6"/>
      <c r="CO2919" s="6"/>
      <c r="CP2919" s="6"/>
      <c r="CQ2919" s="6"/>
      <c r="CR2919" s="6"/>
      <c r="CS2919" s="6"/>
      <c r="CT2919" s="6"/>
      <c r="CU2919" s="6"/>
      <c r="CV2919" s="6"/>
      <c r="CW2919" s="6"/>
      <c r="CX2919" s="6"/>
      <c r="CY2919" s="6"/>
      <c r="CZ2919" s="6"/>
    </row>
    <row r="2920" spans="27:104" s="5" customFormat="1" x14ac:dyDescent="0.25">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16"/>
      <c r="BC2920" s="6"/>
      <c r="BD2920" s="6"/>
      <c r="BE2920" s="6"/>
      <c r="BF2920" s="6"/>
      <c r="BG2920" s="6"/>
      <c r="BH2920" s="6"/>
      <c r="BI2920" s="6"/>
      <c r="BJ2920" s="6"/>
      <c r="BK2920" s="6"/>
      <c r="BL2920" s="6"/>
      <c r="BM2920" s="6"/>
      <c r="BN2920" s="6"/>
      <c r="BO2920" s="6"/>
      <c r="BP2920" s="6"/>
      <c r="BQ2920" s="6"/>
      <c r="BR2920" s="6"/>
      <c r="BS2920" s="6"/>
      <c r="BT2920" s="6"/>
      <c r="BU2920" s="6"/>
      <c r="BV2920" s="6"/>
      <c r="BW2920" s="6"/>
      <c r="BX2920" s="6"/>
      <c r="BY2920" s="6"/>
      <c r="BZ2920" s="6"/>
      <c r="CA2920" s="6"/>
      <c r="CB2920" s="6"/>
      <c r="CC2920" s="6"/>
      <c r="CD2920" s="6"/>
      <c r="CE2920" s="6"/>
      <c r="CF2920" s="6"/>
      <c r="CG2920" s="6"/>
      <c r="CH2920" s="6"/>
      <c r="CI2920" s="6"/>
      <c r="CJ2920" s="6"/>
      <c r="CK2920" s="6"/>
      <c r="CL2920" s="6"/>
      <c r="CM2920" s="6"/>
      <c r="CN2920" s="6"/>
      <c r="CO2920" s="6"/>
      <c r="CP2920" s="6"/>
      <c r="CQ2920" s="6"/>
      <c r="CR2920" s="6"/>
      <c r="CS2920" s="6"/>
      <c r="CT2920" s="6"/>
      <c r="CU2920" s="6"/>
      <c r="CV2920" s="6"/>
      <c r="CW2920" s="6"/>
      <c r="CX2920" s="6"/>
      <c r="CY2920" s="6"/>
      <c r="CZ2920" s="6"/>
    </row>
    <row r="2921" spans="27:104" s="5" customFormat="1" x14ac:dyDescent="0.25">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16"/>
      <c r="BC2921" s="6"/>
      <c r="BD2921" s="6"/>
      <c r="BE2921" s="6"/>
      <c r="BF2921" s="6"/>
      <c r="BG2921" s="6"/>
      <c r="BH2921" s="6"/>
      <c r="BI2921" s="6"/>
      <c r="BJ2921" s="6"/>
      <c r="BK2921" s="6"/>
      <c r="BL2921" s="6"/>
      <c r="BM2921" s="6"/>
      <c r="BN2921" s="6"/>
      <c r="BO2921" s="6"/>
      <c r="BP2921" s="6"/>
      <c r="BQ2921" s="6"/>
      <c r="BR2921" s="6"/>
      <c r="BS2921" s="6"/>
      <c r="BT2921" s="6"/>
      <c r="BU2921" s="6"/>
      <c r="BV2921" s="6"/>
      <c r="BW2921" s="6"/>
      <c r="BX2921" s="6"/>
      <c r="BY2921" s="6"/>
      <c r="BZ2921" s="6"/>
      <c r="CA2921" s="6"/>
      <c r="CB2921" s="6"/>
      <c r="CC2921" s="6"/>
      <c r="CD2921" s="6"/>
      <c r="CE2921" s="6"/>
      <c r="CF2921" s="6"/>
      <c r="CG2921" s="6"/>
      <c r="CH2921" s="6"/>
      <c r="CI2921" s="6"/>
      <c r="CJ2921" s="6"/>
      <c r="CK2921" s="6"/>
      <c r="CL2921" s="6"/>
      <c r="CM2921" s="6"/>
      <c r="CN2921" s="6"/>
      <c r="CO2921" s="6"/>
      <c r="CP2921" s="6"/>
      <c r="CQ2921" s="6"/>
      <c r="CR2921" s="6"/>
      <c r="CS2921" s="6"/>
      <c r="CT2921" s="6"/>
      <c r="CU2921" s="6"/>
      <c r="CV2921" s="6"/>
      <c r="CW2921" s="6"/>
      <c r="CX2921" s="6"/>
      <c r="CY2921" s="6"/>
      <c r="CZ2921" s="6"/>
    </row>
    <row r="2922" spans="27:104" s="5" customFormat="1" x14ac:dyDescent="0.25">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16"/>
      <c r="BC2922" s="6"/>
      <c r="BD2922" s="6"/>
      <c r="BE2922" s="6"/>
      <c r="BF2922" s="6"/>
      <c r="BG2922" s="6"/>
      <c r="BH2922" s="6"/>
      <c r="BI2922" s="6"/>
      <c r="BJ2922" s="6"/>
      <c r="BK2922" s="6"/>
      <c r="BL2922" s="6"/>
      <c r="BM2922" s="6"/>
      <c r="BN2922" s="6"/>
      <c r="BO2922" s="6"/>
      <c r="BP2922" s="6"/>
      <c r="BQ2922" s="6"/>
      <c r="BR2922" s="6"/>
      <c r="BS2922" s="6"/>
      <c r="BT2922" s="6"/>
      <c r="BU2922" s="6"/>
      <c r="BV2922" s="6"/>
      <c r="BW2922" s="6"/>
      <c r="BX2922" s="6"/>
      <c r="BY2922" s="6"/>
      <c r="BZ2922" s="6"/>
      <c r="CA2922" s="6"/>
      <c r="CB2922" s="6"/>
      <c r="CC2922" s="6"/>
      <c r="CD2922" s="6"/>
      <c r="CE2922" s="6"/>
      <c r="CF2922" s="6"/>
      <c r="CG2922" s="6"/>
      <c r="CH2922" s="6"/>
      <c r="CI2922" s="6"/>
      <c r="CJ2922" s="6"/>
      <c r="CK2922" s="6"/>
      <c r="CL2922" s="6"/>
      <c r="CM2922" s="6"/>
      <c r="CN2922" s="6"/>
      <c r="CO2922" s="6"/>
      <c r="CP2922" s="6"/>
      <c r="CQ2922" s="6"/>
      <c r="CR2922" s="6"/>
      <c r="CS2922" s="6"/>
      <c r="CT2922" s="6"/>
      <c r="CU2922" s="6"/>
      <c r="CV2922" s="6"/>
      <c r="CW2922" s="6"/>
      <c r="CX2922" s="6"/>
      <c r="CY2922" s="6"/>
      <c r="CZ2922" s="6"/>
    </row>
    <row r="2923" spans="27:104" s="5" customFormat="1" x14ac:dyDescent="0.25">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16"/>
      <c r="BC2923" s="6"/>
      <c r="BD2923" s="6"/>
      <c r="BE2923" s="6"/>
      <c r="BF2923" s="6"/>
      <c r="BG2923" s="6"/>
      <c r="BH2923" s="6"/>
      <c r="BI2923" s="6"/>
      <c r="BJ2923" s="6"/>
      <c r="BK2923" s="6"/>
      <c r="BL2923" s="6"/>
      <c r="BM2923" s="6"/>
      <c r="BN2923" s="6"/>
      <c r="BO2923" s="6"/>
      <c r="BP2923" s="6"/>
      <c r="BQ2923" s="6"/>
      <c r="BR2923" s="6"/>
      <c r="BS2923" s="6"/>
      <c r="BT2923" s="6"/>
      <c r="BU2923" s="6"/>
      <c r="BV2923" s="6"/>
      <c r="BW2923" s="6"/>
      <c r="BX2923" s="6"/>
      <c r="BY2923" s="6"/>
      <c r="BZ2923" s="6"/>
      <c r="CA2923" s="6"/>
      <c r="CB2923" s="6"/>
      <c r="CC2923" s="6"/>
      <c r="CD2923" s="6"/>
      <c r="CE2923" s="6"/>
      <c r="CF2923" s="6"/>
      <c r="CG2923" s="6"/>
      <c r="CH2923" s="6"/>
      <c r="CI2923" s="6"/>
      <c r="CJ2923" s="6"/>
      <c r="CK2923" s="6"/>
      <c r="CL2923" s="6"/>
      <c r="CM2923" s="6"/>
      <c r="CN2923" s="6"/>
      <c r="CO2923" s="6"/>
      <c r="CP2923" s="6"/>
      <c r="CQ2923" s="6"/>
      <c r="CR2923" s="6"/>
      <c r="CS2923" s="6"/>
      <c r="CT2923" s="6"/>
      <c r="CU2923" s="6"/>
      <c r="CV2923" s="6"/>
      <c r="CW2923" s="6"/>
      <c r="CX2923" s="6"/>
      <c r="CY2923" s="6"/>
      <c r="CZ2923" s="6"/>
    </row>
    <row r="2924" spans="27:104" s="5" customFormat="1" x14ac:dyDescent="0.25">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16"/>
      <c r="BC2924" s="6"/>
      <c r="BD2924" s="6"/>
      <c r="BE2924" s="6"/>
      <c r="BF2924" s="6"/>
      <c r="BG2924" s="6"/>
      <c r="BH2924" s="6"/>
      <c r="BI2924" s="6"/>
      <c r="BJ2924" s="6"/>
      <c r="BK2924" s="6"/>
      <c r="BL2924" s="6"/>
      <c r="BM2924" s="6"/>
      <c r="BN2924" s="6"/>
      <c r="BO2924" s="6"/>
      <c r="BP2924" s="6"/>
      <c r="BQ2924" s="6"/>
      <c r="BR2924" s="6"/>
      <c r="BS2924" s="6"/>
      <c r="BT2924" s="6"/>
      <c r="BU2924" s="6"/>
      <c r="BV2924" s="6"/>
      <c r="BW2924" s="6"/>
      <c r="BX2924" s="6"/>
      <c r="BY2924" s="6"/>
      <c r="BZ2924" s="6"/>
      <c r="CA2924" s="6"/>
      <c r="CB2924" s="6"/>
      <c r="CC2924" s="6"/>
      <c r="CD2924" s="6"/>
      <c r="CE2924" s="6"/>
      <c r="CF2924" s="6"/>
      <c r="CG2924" s="6"/>
      <c r="CH2924" s="6"/>
      <c r="CI2924" s="6"/>
      <c r="CJ2924" s="6"/>
      <c r="CK2924" s="6"/>
      <c r="CL2924" s="6"/>
      <c r="CM2924" s="6"/>
      <c r="CN2924" s="6"/>
      <c r="CO2924" s="6"/>
      <c r="CP2924" s="6"/>
      <c r="CQ2924" s="6"/>
      <c r="CR2924" s="6"/>
      <c r="CS2924" s="6"/>
      <c r="CT2924" s="6"/>
      <c r="CU2924" s="6"/>
      <c r="CV2924" s="6"/>
      <c r="CW2924" s="6"/>
      <c r="CX2924" s="6"/>
      <c r="CY2924" s="6"/>
      <c r="CZ2924" s="6"/>
    </row>
    <row r="2925" spans="27:104" s="5" customFormat="1" x14ac:dyDescent="0.25">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16"/>
      <c r="BC2925" s="6"/>
      <c r="BD2925" s="6"/>
      <c r="BE2925" s="6"/>
      <c r="BF2925" s="6"/>
      <c r="BG2925" s="6"/>
      <c r="BH2925" s="6"/>
      <c r="BI2925" s="6"/>
      <c r="BJ2925" s="6"/>
      <c r="BK2925" s="6"/>
      <c r="BL2925" s="6"/>
      <c r="BM2925" s="6"/>
      <c r="BN2925" s="6"/>
      <c r="BO2925" s="6"/>
      <c r="BP2925" s="6"/>
      <c r="BQ2925" s="6"/>
      <c r="BR2925" s="6"/>
      <c r="BS2925" s="6"/>
      <c r="BT2925" s="6"/>
      <c r="BU2925" s="6"/>
      <c r="BV2925" s="6"/>
      <c r="BW2925" s="6"/>
      <c r="BX2925" s="6"/>
      <c r="BY2925" s="6"/>
      <c r="BZ2925" s="6"/>
      <c r="CA2925" s="6"/>
      <c r="CB2925" s="6"/>
      <c r="CC2925" s="6"/>
      <c r="CD2925" s="6"/>
      <c r="CE2925" s="6"/>
      <c r="CF2925" s="6"/>
      <c r="CG2925" s="6"/>
      <c r="CH2925" s="6"/>
      <c r="CI2925" s="6"/>
      <c r="CJ2925" s="6"/>
      <c r="CK2925" s="6"/>
      <c r="CL2925" s="6"/>
      <c r="CM2925" s="6"/>
      <c r="CN2925" s="6"/>
      <c r="CO2925" s="6"/>
      <c r="CP2925" s="6"/>
      <c r="CQ2925" s="6"/>
      <c r="CR2925" s="6"/>
      <c r="CS2925" s="6"/>
      <c r="CT2925" s="6"/>
      <c r="CU2925" s="6"/>
      <c r="CV2925" s="6"/>
      <c r="CW2925" s="6"/>
      <c r="CX2925" s="6"/>
      <c r="CY2925" s="6"/>
      <c r="CZ2925" s="6"/>
    </row>
    <row r="2926" spans="27:104" s="5" customFormat="1" x14ac:dyDescent="0.25">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16"/>
      <c r="BC2926" s="6"/>
      <c r="BD2926" s="6"/>
      <c r="BE2926" s="6"/>
      <c r="BF2926" s="6"/>
      <c r="BG2926" s="6"/>
      <c r="BH2926" s="6"/>
      <c r="BI2926" s="6"/>
      <c r="BJ2926" s="6"/>
      <c r="BK2926" s="6"/>
      <c r="BL2926" s="6"/>
      <c r="BM2926" s="6"/>
      <c r="BN2926" s="6"/>
      <c r="BO2926" s="6"/>
      <c r="BP2926" s="6"/>
      <c r="BQ2926" s="6"/>
      <c r="BR2926" s="6"/>
      <c r="BS2926" s="6"/>
      <c r="BT2926" s="6"/>
      <c r="BU2926" s="6"/>
      <c r="BV2926" s="6"/>
      <c r="BW2926" s="6"/>
      <c r="BX2926" s="6"/>
      <c r="BY2926" s="6"/>
      <c r="BZ2926" s="6"/>
      <c r="CA2926" s="6"/>
      <c r="CB2926" s="6"/>
      <c r="CC2926" s="6"/>
      <c r="CD2926" s="6"/>
      <c r="CE2926" s="6"/>
      <c r="CF2926" s="6"/>
      <c r="CG2926" s="6"/>
      <c r="CH2926" s="6"/>
      <c r="CI2926" s="6"/>
      <c r="CJ2926" s="6"/>
      <c r="CK2926" s="6"/>
      <c r="CL2926" s="6"/>
      <c r="CM2926" s="6"/>
      <c r="CN2926" s="6"/>
      <c r="CO2926" s="6"/>
      <c r="CP2926" s="6"/>
      <c r="CQ2926" s="6"/>
      <c r="CR2926" s="6"/>
      <c r="CS2926" s="6"/>
      <c r="CT2926" s="6"/>
      <c r="CU2926" s="6"/>
      <c r="CV2926" s="6"/>
      <c r="CW2926" s="6"/>
      <c r="CX2926" s="6"/>
      <c r="CY2926" s="6"/>
      <c r="CZ2926" s="6"/>
    </row>
    <row r="2927" spans="27:104" s="5" customFormat="1" x14ac:dyDescent="0.25">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16"/>
      <c r="BC2927" s="6"/>
      <c r="BD2927" s="6"/>
      <c r="BE2927" s="6"/>
      <c r="BF2927" s="6"/>
      <c r="BG2927" s="6"/>
      <c r="BH2927" s="6"/>
      <c r="BI2927" s="6"/>
      <c r="BJ2927" s="6"/>
      <c r="BK2927" s="6"/>
      <c r="BL2927" s="6"/>
      <c r="BM2927" s="6"/>
      <c r="BN2927" s="6"/>
      <c r="BO2927" s="6"/>
      <c r="BP2927" s="6"/>
      <c r="BQ2927" s="6"/>
      <c r="BR2927" s="6"/>
      <c r="BS2927" s="6"/>
      <c r="BT2927" s="6"/>
      <c r="BU2927" s="6"/>
      <c r="BV2927" s="6"/>
      <c r="BW2927" s="6"/>
      <c r="BX2927" s="6"/>
      <c r="BY2927" s="6"/>
      <c r="BZ2927" s="6"/>
      <c r="CA2927" s="6"/>
      <c r="CB2927" s="6"/>
      <c r="CC2927" s="6"/>
      <c r="CD2927" s="6"/>
      <c r="CE2927" s="6"/>
      <c r="CF2927" s="6"/>
      <c r="CG2927" s="6"/>
      <c r="CH2927" s="6"/>
      <c r="CI2927" s="6"/>
      <c r="CJ2927" s="6"/>
      <c r="CK2927" s="6"/>
      <c r="CL2927" s="6"/>
      <c r="CM2927" s="6"/>
      <c r="CN2927" s="6"/>
      <c r="CO2927" s="6"/>
      <c r="CP2927" s="6"/>
      <c r="CQ2927" s="6"/>
      <c r="CR2927" s="6"/>
      <c r="CS2927" s="6"/>
      <c r="CT2927" s="6"/>
      <c r="CU2927" s="6"/>
      <c r="CV2927" s="6"/>
      <c r="CW2927" s="6"/>
      <c r="CX2927" s="6"/>
      <c r="CY2927" s="6"/>
      <c r="CZ2927" s="6"/>
    </row>
    <row r="2928" spans="27:104" s="5" customFormat="1" x14ac:dyDescent="0.25">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16"/>
      <c r="BC2928" s="6"/>
      <c r="BD2928" s="6"/>
      <c r="BE2928" s="6"/>
      <c r="BF2928" s="6"/>
      <c r="BG2928" s="6"/>
      <c r="BH2928" s="6"/>
      <c r="BI2928" s="6"/>
      <c r="BJ2928" s="6"/>
      <c r="BK2928" s="6"/>
      <c r="BL2928" s="6"/>
      <c r="BM2928" s="6"/>
      <c r="BN2928" s="6"/>
      <c r="BO2928" s="6"/>
      <c r="BP2928" s="6"/>
      <c r="BQ2928" s="6"/>
      <c r="BR2928" s="6"/>
      <c r="BS2928" s="6"/>
      <c r="BT2928" s="6"/>
      <c r="BU2928" s="6"/>
      <c r="BV2928" s="6"/>
      <c r="BW2928" s="6"/>
      <c r="BX2928" s="6"/>
      <c r="BY2928" s="6"/>
      <c r="BZ2928" s="6"/>
      <c r="CA2928" s="6"/>
      <c r="CB2928" s="6"/>
      <c r="CC2928" s="6"/>
      <c r="CD2928" s="6"/>
      <c r="CE2928" s="6"/>
      <c r="CF2928" s="6"/>
      <c r="CG2928" s="6"/>
      <c r="CH2928" s="6"/>
      <c r="CI2928" s="6"/>
      <c r="CJ2928" s="6"/>
      <c r="CK2928" s="6"/>
      <c r="CL2928" s="6"/>
      <c r="CM2928" s="6"/>
      <c r="CN2928" s="6"/>
      <c r="CO2928" s="6"/>
      <c r="CP2928" s="6"/>
      <c r="CQ2928" s="6"/>
      <c r="CR2928" s="6"/>
      <c r="CS2928" s="6"/>
      <c r="CT2928" s="6"/>
      <c r="CU2928" s="6"/>
      <c r="CV2928" s="6"/>
      <c r="CW2928" s="6"/>
      <c r="CX2928" s="6"/>
      <c r="CY2928" s="6"/>
      <c r="CZ2928" s="6"/>
    </row>
    <row r="2929" spans="27:104" s="5" customFormat="1" x14ac:dyDescent="0.25">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16"/>
      <c r="BC2929" s="6"/>
      <c r="BD2929" s="6"/>
      <c r="BE2929" s="6"/>
      <c r="BF2929" s="6"/>
      <c r="BG2929" s="6"/>
      <c r="BH2929" s="6"/>
      <c r="BI2929" s="6"/>
      <c r="BJ2929" s="6"/>
      <c r="BK2929" s="6"/>
      <c r="BL2929" s="6"/>
      <c r="BM2929" s="6"/>
      <c r="BN2929" s="6"/>
      <c r="BO2929" s="6"/>
      <c r="BP2929" s="6"/>
      <c r="BQ2929" s="6"/>
      <c r="BR2929" s="6"/>
      <c r="BS2929" s="6"/>
      <c r="BT2929" s="6"/>
      <c r="BU2929" s="6"/>
      <c r="BV2929" s="6"/>
      <c r="BW2929" s="6"/>
      <c r="BX2929" s="6"/>
      <c r="BY2929" s="6"/>
      <c r="BZ2929" s="6"/>
      <c r="CA2929" s="6"/>
      <c r="CB2929" s="6"/>
      <c r="CC2929" s="6"/>
      <c r="CD2929" s="6"/>
      <c r="CE2929" s="6"/>
      <c r="CF2929" s="6"/>
      <c r="CG2929" s="6"/>
      <c r="CH2929" s="6"/>
      <c r="CI2929" s="6"/>
      <c r="CJ2929" s="6"/>
      <c r="CK2929" s="6"/>
      <c r="CL2929" s="6"/>
      <c r="CM2929" s="6"/>
      <c r="CN2929" s="6"/>
      <c r="CO2929" s="6"/>
      <c r="CP2929" s="6"/>
      <c r="CQ2929" s="6"/>
      <c r="CR2929" s="6"/>
      <c r="CS2929" s="6"/>
      <c r="CT2929" s="6"/>
      <c r="CU2929" s="6"/>
      <c r="CV2929" s="6"/>
      <c r="CW2929" s="6"/>
      <c r="CX2929" s="6"/>
      <c r="CY2929" s="6"/>
      <c r="CZ2929" s="6"/>
    </row>
    <row r="2930" spans="27:104" s="5" customFormat="1" x14ac:dyDescent="0.25">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16"/>
      <c r="BC2930" s="6"/>
      <c r="BD2930" s="6"/>
      <c r="BE2930" s="6"/>
      <c r="BF2930" s="6"/>
      <c r="BG2930" s="6"/>
      <c r="BH2930" s="6"/>
      <c r="BI2930" s="6"/>
      <c r="BJ2930" s="6"/>
      <c r="BK2930" s="6"/>
      <c r="BL2930" s="6"/>
      <c r="BM2930" s="6"/>
      <c r="BN2930" s="6"/>
      <c r="BO2930" s="6"/>
      <c r="BP2930" s="6"/>
      <c r="BQ2930" s="6"/>
      <c r="BR2930" s="6"/>
      <c r="BS2930" s="6"/>
      <c r="BT2930" s="6"/>
      <c r="BU2930" s="6"/>
      <c r="BV2930" s="6"/>
      <c r="BW2930" s="6"/>
      <c r="BX2930" s="6"/>
      <c r="BY2930" s="6"/>
      <c r="BZ2930" s="6"/>
      <c r="CA2930" s="6"/>
      <c r="CB2930" s="6"/>
      <c r="CC2930" s="6"/>
      <c r="CD2930" s="6"/>
      <c r="CE2930" s="6"/>
      <c r="CF2930" s="6"/>
      <c r="CG2930" s="6"/>
      <c r="CH2930" s="6"/>
      <c r="CI2930" s="6"/>
      <c r="CJ2930" s="6"/>
      <c r="CK2930" s="6"/>
      <c r="CL2930" s="6"/>
      <c r="CM2930" s="6"/>
      <c r="CN2930" s="6"/>
      <c r="CO2930" s="6"/>
      <c r="CP2930" s="6"/>
      <c r="CQ2930" s="6"/>
      <c r="CR2930" s="6"/>
      <c r="CS2930" s="6"/>
      <c r="CT2930" s="6"/>
      <c r="CU2930" s="6"/>
      <c r="CV2930" s="6"/>
      <c r="CW2930" s="6"/>
      <c r="CX2930" s="6"/>
      <c r="CY2930" s="6"/>
      <c r="CZ2930" s="6"/>
    </row>
    <row r="2931" spans="27:104" s="5" customFormat="1" x14ac:dyDescent="0.25">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16"/>
      <c r="BC2931" s="6"/>
      <c r="BD2931" s="6"/>
      <c r="BE2931" s="6"/>
      <c r="BF2931" s="6"/>
      <c r="BG2931" s="6"/>
      <c r="BH2931" s="6"/>
      <c r="BI2931" s="6"/>
      <c r="BJ2931" s="6"/>
      <c r="BK2931" s="6"/>
      <c r="BL2931" s="6"/>
      <c r="BM2931" s="6"/>
      <c r="BN2931" s="6"/>
      <c r="BO2931" s="6"/>
      <c r="BP2931" s="6"/>
      <c r="BQ2931" s="6"/>
      <c r="BR2931" s="6"/>
      <c r="BS2931" s="6"/>
      <c r="BT2931" s="6"/>
      <c r="BU2931" s="6"/>
      <c r="BV2931" s="6"/>
      <c r="BW2931" s="6"/>
      <c r="BX2931" s="6"/>
      <c r="BY2931" s="6"/>
      <c r="BZ2931" s="6"/>
      <c r="CA2931" s="6"/>
      <c r="CB2931" s="6"/>
      <c r="CC2931" s="6"/>
      <c r="CD2931" s="6"/>
      <c r="CE2931" s="6"/>
      <c r="CF2931" s="6"/>
      <c r="CG2931" s="6"/>
      <c r="CH2931" s="6"/>
      <c r="CI2931" s="6"/>
      <c r="CJ2931" s="6"/>
      <c r="CK2931" s="6"/>
      <c r="CL2931" s="6"/>
      <c r="CM2931" s="6"/>
      <c r="CN2931" s="6"/>
      <c r="CO2931" s="6"/>
      <c r="CP2931" s="6"/>
      <c r="CQ2931" s="6"/>
      <c r="CR2931" s="6"/>
      <c r="CS2931" s="6"/>
      <c r="CT2931" s="6"/>
      <c r="CU2931" s="6"/>
      <c r="CV2931" s="6"/>
      <c r="CW2931" s="6"/>
      <c r="CX2931" s="6"/>
      <c r="CY2931" s="6"/>
      <c r="CZ2931" s="6"/>
    </row>
    <row r="2932" spans="27:104" s="5" customFormat="1" x14ac:dyDescent="0.25">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16"/>
      <c r="BC2932" s="6"/>
      <c r="BD2932" s="6"/>
      <c r="BE2932" s="6"/>
      <c r="BF2932" s="6"/>
      <c r="BG2932" s="6"/>
      <c r="BH2932" s="6"/>
      <c r="BI2932" s="6"/>
      <c r="BJ2932" s="6"/>
      <c r="BK2932" s="6"/>
      <c r="BL2932" s="6"/>
      <c r="BM2932" s="6"/>
      <c r="BN2932" s="6"/>
      <c r="BO2932" s="6"/>
      <c r="BP2932" s="6"/>
      <c r="BQ2932" s="6"/>
      <c r="BR2932" s="6"/>
      <c r="BS2932" s="6"/>
      <c r="BT2932" s="6"/>
      <c r="BU2932" s="6"/>
      <c r="BV2932" s="6"/>
      <c r="BW2932" s="6"/>
      <c r="BX2932" s="6"/>
      <c r="BY2932" s="6"/>
      <c r="BZ2932" s="6"/>
      <c r="CA2932" s="6"/>
      <c r="CB2932" s="6"/>
      <c r="CC2932" s="6"/>
      <c r="CD2932" s="6"/>
      <c r="CE2932" s="6"/>
      <c r="CF2932" s="6"/>
      <c r="CG2932" s="6"/>
      <c r="CH2932" s="6"/>
      <c r="CI2932" s="6"/>
      <c r="CJ2932" s="6"/>
      <c r="CK2932" s="6"/>
      <c r="CL2932" s="6"/>
      <c r="CM2932" s="6"/>
      <c r="CN2932" s="6"/>
      <c r="CO2932" s="6"/>
      <c r="CP2932" s="6"/>
      <c r="CQ2932" s="6"/>
      <c r="CR2932" s="6"/>
      <c r="CS2932" s="6"/>
      <c r="CT2932" s="6"/>
      <c r="CU2932" s="6"/>
      <c r="CV2932" s="6"/>
      <c r="CW2932" s="6"/>
      <c r="CX2932" s="6"/>
      <c r="CY2932" s="6"/>
      <c r="CZ2932" s="6"/>
    </row>
    <row r="2933" spans="27:104" s="5" customFormat="1" x14ac:dyDescent="0.25">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16"/>
      <c r="BC2933" s="6"/>
      <c r="BD2933" s="6"/>
      <c r="BE2933" s="6"/>
      <c r="BF2933" s="6"/>
      <c r="BG2933" s="6"/>
      <c r="BH2933" s="6"/>
      <c r="BI2933" s="6"/>
      <c r="BJ2933" s="6"/>
      <c r="BK2933" s="6"/>
      <c r="BL2933" s="6"/>
      <c r="BM2933" s="6"/>
      <c r="BN2933" s="6"/>
      <c r="BO2933" s="6"/>
      <c r="BP2933" s="6"/>
      <c r="BQ2933" s="6"/>
      <c r="BR2933" s="6"/>
      <c r="BS2933" s="6"/>
      <c r="BT2933" s="6"/>
      <c r="BU2933" s="6"/>
      <c r="BV2933" s="6"/>
      <c r="BW2933" s="6"/>
      <c r="BX2933" s="6"/>
      <c r="BY2933" s="6"/>
      <c r="BZ2933" s="6"/>
      <c r="CA2933" s="6"/>
      <c r="CB2933" s="6"/>
      <c r="CC2933" s="6"/>
      <c r="CD2933" s="6"/>
      <c r="CE2933" s="6"/>
      <c r="CF2933" s="6"/>
      <c r="CG2933" s="6"/>
      <c r="CH2933" s="6"/>
      <c r="CI2933" s="6"/>
      <c r="CJ2933" s="6"/>
      <c r="CK2933" s="6"/>
      <c r="CL2933" s="6"/>
      <c r="CM2933" s="6"/>
      <c r="CN2933" s="6"/>
      <c r="CO2933" s="6"/>
      <c r="CP2933" s="6"/>
      <c r="CQ2933" s="6"/>
      <c r="CR2933" s="6"/>
      <c r="CS2933" s="6"/>
      <c r="CT2933" s="6"/>
      <c r="CU2933" s="6"/>
      <c r="CV2933" s="6"/>
      <c r="CW2933" s="6"/>
      <c r="CX2933" s="6"/>
      <c r="CY2933" s="6"/>
      <c r="CZ2933" s="6"/>
    </row>
    <row r="2934" spans="27:104" s="5" customFormat="1" x14ac:dyDescent="0.25">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16"/>
      <c r="BC2934" s="6"/>
      <c r="BD2934" s="6"/>
      <c r="BE2934" s="6"/>
      <c r="BF2934" s="6"/>
      <c r="BG2934" s="6"/>
      <c r="BH2934" s="6"/>
      <c r="BI2934" s="6"/>
      <c r="BJ2934" s="6"/>
      <c r="BK2934" s="6"/>
      <c r="BL2934" s="6"/>
      <c r="BM2934" s="6"/>
      <c r="BN2934" s="6"/>
      <c r="BO2934" s="6"/>
      <c r="BP2934" s="6"/>
      <c r="BQ2934" s="6"/>
      <c r="BR2934" s="6"/>
      <c r="BS2934" s="6"/>
      <c r="BT2934" s="6"/>
      <c r="BU2934" s="6"/>
      <c r="BV2934" s="6"/>
      <c r="BW2934" s="6"/>
      <c r="BX2934" s="6"/>
      <c r="BY2934" s="6"/>
      <c r="BZ2934" s="6"/>
      <c r="CA2934" s="6"/>
      <c r="CB2934" s="6"/>
      <c r="CC2934" s="6"/>
      <c r="CD2934" s="6"/>
      <c r="CE2934" s="6"/>
      <c r="CF2934" s="6"/>
      <c r="CG2934" s="6"/>
      <c r="CH2934" s="6"/>
      <c r="CI2934" s="6"/>
      <c r="CJ2934" s="6"/>
      <c r="CK2934" s="6"/>
      <c r="CL2934" s="6"/>
      <c r="CM2934" s="6"/>
      <c r="CN2934" s="6"/>
      <c r="CO2934" s="6"/>
      <c r="CP2934" s="6"/>
      <c r="CQ2934" s="6"/>
      <c r="CR2934" s="6"/>
      <c r="CS2934" s="6"/>
      <c r="CT2934" s="6"/>
      <c r="CU2934" s="6"/>
      <c r="CV2934" s="6"/>
      <c r="CW2934" s="6"/>
      <c r="CX2934" s="6"/>
      <c r="CY2934" s="6"/>
      <c r="CZ2934" s="6"/>
    </row>
    <row r="2935" spans="27:104" s="5" customFormat="1" x14ac:dyDescent="0.25">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16"/>
      <c r="BC2935" s="6"/>
      <c r="BD2935" s="6"/>
      <c r="BE2935" s="6"/>
      <c r="BF2935" s="6"/>
      <c r="BG2935" s="6"/>
      <c r="BH2935" s="6"/>
      <c r="BI2935" s="6"/>
      <c r="BJ2935" s="6"/>
      <c r="BK2935" s="6"/>
      <c r="BL2935" s="6"/>
      <c r="BM2935" s="6"/>
      <c r="BN2935" s="6"/>
      <c r="BO2935" s="6"/>
      <c r="BP2935" s="6"/>
      <c r="BQ2935" s="6"/>
      <c r="BR2935" s="6"/>
      <c r="BS2935" s="6"/>
      <c r="BT2935" s="6"/>
      <c r="BU2935" s="6"/>
      <c r="BV2935" s="6"/>
      <c r="BW2935" s="6"/>
      <c r="BX2935" s="6"/>
      <c r="BY2935" s="6"/>
      <c r="BZ2935" s="6"/>
      <c r="CA2935" s="6"/>
      <c r="CB2935" s="6"/>
      <c r="CC2935" s="6"/>
      <c r="CD2935" s="6"/>
      <c r="CE2935" s="6"/>
      <c r="CF2935" s="6"/>
      <c r="CG2935" s="6"/>
      <c r="CH2935" s="6"/>
      <c r="CI2935" s="6"/>
      <c r="CJ2935" s="6"/>
      <c r="CK2935" s="6"/>
      <c r="CL2935" s="6"/>
      <c r="CM2935" s="6"/>
      <c r="CN2935" s="6"/>
      <c r="CO2935" s="6"/>
      <c r="CP2935" s="6"/>
      <c r="CQ2935" s="6"/>
      <c r="CR2935" s="6"/>
      <c r="CS2935" s="6"/>
      <c r="CT2935" s="6"/>
      <c r="CU2935" s="6"/>
      <c r="CV2935" s="6"/>
      <c r="CW2935" s="6"/>
      <c r="CX2935" s="6"/>
      <c r="CY2935" s="6"/>
      <c r="CZ2935" s="6"/>
    </row>
    <row r="2936" spans="27:104" s="5" customFormat="1" x14ac:dyDescent="0.25">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16"/>
      <c r="BC2936" s="6"/>
      <c r="BD2936" s="6"/>
      <c r="BE2936" s="6"/>
      <c r="BF2936" s="6"/>
      <c r="BG2936" s="6"/>
      <c r="BH2936" s="6"/>
      <c r="BI2936" s="6"/>
      <c r="BJ2936" s="6"/>
      <c r="BK2936" s="6"/>
      <c r="BL2936" s="6"/>
      <c r="BM2936" s="6"/>
      <c r="BN2936" s="6"/>
      <c r="BO2936" s="6"/>
      <c r="BP2936" s="6"/>
      <c r="BQ2936" s="6"/>
      <c r="BR2936" s="6"/>
      <c r="BS2936" s="6"/>
      <c r="BT2936" s="6"/>
      <c r="BU2936" s="6"/>
      <c r="BV2936" s="6"/>
      <c r="BW2936" s="6"/>
      <c r="BX2936" s="6"/>
      <c r="BY2936" s="6"/>
      <c r="BZ2936" s="6"/>
      <c r="CA2936" s="6"/>
      <c r="CB2936" s="6"/>
      <c r="CC2936" s="6"/>
      <c r="CD2936" s="6"/>
      <c r="CE2936" s="6"/>
      <c r="CF2936" s="6"/>
      <c r="CG2936" s="6"/>
      <c r="CH2936" s="6"/>
      <c r="CI2936" s="6"/>
      <c r="CJ2936" s="6"/>
      <c r="CK2936" s="6"/>
      <c r="CL2936" s="6"/>
      <c r="CM2936" s="6"/>
      <c r="CN2936" s="6"/>
      <c r="CO2936" s="6"/>
      <c r="CP2936" s="6"/>
      <c r="CQ2936" s="6"/>
      <c r="CR2936" s="6"/>
      <c r="CS2936" s="6"/>
      <c r="CT2936" s="6"/>
      <c r="CU2936" s="6"/>
      <c r="CV2936" s="6"/>
      <c r="CW2936" s="6"/>
      <c r="CX2936" s="6"/>
      <c r="CY2936" s="6"/>
      <c r="CZ2936" s="6"/>
    </row>
    <row r="2937" spans="27:104" s="5" customFormat="1" x14ac:dyDescent="0.25">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16"/>
      <c r="BC2937" s="6"/>
      <c r="BD2937" s="6"/>
      <c r="BE2937" s="6"/>
      <c r="BF2937" s="6"/>
      <c r="BG2937" s="6"/>
      <c r="BH2937" s="6"/>
      <c r="BI2937" s="6"/>
      <c r="BJ2937" s="6"/>
      <c r="BK2937" s="6"/>
      <c r="BL2937" s="6"/>
      <c r="BM2937" s="6"/>
      <c r="BN2937" s="6"/>
      <c r="BO2937" s="6"/>
      <c r="BP2937" s="6"/>
      <c r="BQ2937" s="6"/>
      <c r="BR2937" s="6"/>
      <c r="BS2937" s="6"/>
      <c r="BT2937" s="6"/>
      <c r="BU2937" s="6"/>
      <c r="BV2937" s="6"/>
      <c r="BW2937" s="6"/>
      <c r="BX2937" s="6"/>
      <c r="BY2937" s="6"/>
      <c r="BZ2937" s="6"/>
      <c r="CA2937" s="6"/>
      <c r="CB2937" s="6"/>
      <c r="CC2937" s="6"/>
      <c r="CD2937" s="6"/>
      <c r="CE2937" s="6"/>
      <c r="CF2937" s="6"/>
      <c r="CG2937" s="6"/>
      <c r="CH2937" s="6"/>
      <c r="CI2937" s="6"/>
      <c r="CJ2937" s="6"/>
      <c r="CK2937" s="6"/>
      <c r="CL2937" s="6"/>
      <c r="CM2937" s="6"/>
      <c r="CN2937" s="6"/>
      <c r="CO2937" s="6"/>
      <c r="CP2937" s="6"/>
      <c r="CQ2937" s="6"/>
      <c r="CR2937" s="6"/>
      <c r="CS2937" s="6"/>
      <c r="CT2937" s="6"/>
      <c r="CU2937" s="6"/>
      <c r="CV2937" s="6"/>
      <c r="CW2937" s="6"/>
      <c r="CX2937" s="6"/>
      <c r="CY2937" s="6"/>
      <c r="CZ2937" s="6"/>
    </row>
    <row r="2938" spans="27:104" s="5" customFormat="1" x14ac:dyDescent="0.25">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16"/>
      <c r="BC2938" s="6"/>
      <c r="BD2938" s="6"/>
      <c r="BE2938" s="6"/>
      <c r="BF2938" s="6"/>
      <c r="BG2938" s="6"/>
      <c r="BH2938" s="6"/>
      <c r="BI2938" s="6"/>
      <c r="BJ2938" s="6"/>
      <c r="BK2938" s="6"/>
      <c r="BL2938" s="6"/>
      <c r="BM2938" s="6"/>
      <c r="BN2938" s="6"/>
      <c r="BO2938" s="6"/>
      <c r="BP2938" s="6"/>
      <c r="BQ2938" s="6"/>
      <c r="BR2938" s="6"/>
      <c r="BS2938" s="6"/>
      <c r="BT2938" s="6"/>
      <c r="BU2938" s="6"/>
      <c r="BV2938" s="6"/>
      <c r="BW2938" s="6"/>
      <c r="BX2938" s="6"/>
      <c r="BY2938" s="6"/>
      <c r="BZ2938" s="6"/>
      <c r="CA2938" s="6"/>
      <c r="CB2938" s="6"/>
      <c r="CC2938" s="6"/>
      <c r="CD2938" s="6"/>
      <c r="CE2938" s="6"/>
      <c r="CF2938" s="6"/>
      <c r="CG2938" s="6"/>
      <c r="CH2938" s="6"/>
      <c r="CI2938" s="6"/>
      <c r="CJ2938" s="6"/>
      <c r="CK2938" s="6"/>
      <c r="CL2938" s="6"/>
      <c r="CM2938" s="6"/>
      <c r="CN2938" s="6"/>
      <c r="CO2938" s="6"/>
      <c r="CP2938" s="6"/>
      <c r="CQ2938" s="6"/>
      <c r="CR2938" s="6"/>
      <c r="CS2938" s="6"/>
      <c r="CT2938" s="6"/>
      <c r="CU2938" s="6"/>
      <c r="CV2938" s="6"/>
      <c r="CW2938" s="6"/>
      <c r="CX2938" s="6"/>
      <c r="CY2938" s="6"/>
      <c r="CZ2938" s="6"/>
    </row>
    <row r="2939" spans="27:104" s="5" customFormat="1" x14ac:dyDescent="0.25">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16"/>
      <c r="BC2939" s="6"/>
      <c r="BD2939" s="6"/>
      <c r="BE2939" s="6"/>
      <c r="BF2939" s="6"/>
      <c r="BG2939" s="6"/>
      <c r="BH2939" s="6"/>
      <c r="BI2939" s="6"/>
      <c r="BJ2939" s="6"/>
      <c r="BK2939" s="6"/>
      <c r="BL2939" s="6"/>
      <c r="BM2939" s="6"/>
      <c r="BN2939" s="6"/>
      <c r="BO2939" s="6"/>
      <c r="BP2939" s="6"/>
      <c r="BQ2939" s="6"/>
      <c r="BR2939" s="6"/>
      <c r="BS2939" s="6"/>
      <c r="BT2939" s="6"/>
      <c r="BU2939" s="6"/>
      <c r="BV2939" s="6"/>
      <c r="BW2939" s="6"/>
      <c r="BX2939" s="6"/>
      <c r="BY2939" s="6"/>
      <c r="BZ2939" s="6"/>
      <c r="CA2939" s="6"/>
      <c r="CB2939" s="6"/>
      <c r="CC2939" s="6"/>
      <c r="CD2939" s="6"/>
      <c r="CE2939" s="6"/>
      <c r="CF2939" s="6"/>
      <c r="CG2939" s="6"/>
      <c r="CH2939" s="6"/>
      <c r="CI2939" s="6"/>
      <c r="CJ2939" s="6"/>
      <c r="CK2939" s="6"/>
      <c r="CL2939" s="6"/>
      <c r="CM2939" s="6"/>
      <c r="CN2939" s="6"/>
      <c r="CO2939" s="6"/>
      <c r="CP2939" s="6"/>
      <c r="CQ2939" s="6"/>
      <c r="CR2939" s="6"/>
      <c r="CS2939" s="6"/>
      <c r="CT2939" s="6"/>
      <c r="CU2939" s="6"/>
      <c r="CV2939" s="6"/>
      <c r="CW2939" s="6"/>
      <c r="CX2939" s="6"/>
      <c r="CY2939" s="6"/>
      <c r="CZ2939" s="6"/>
    </row>
    <row r="2940" spans="27:104" s="5" customFormat="1" x14ac:dyDescent="0.25">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16"/>
      <c r="BC2940" s="6"/>
      <c r="BD2940" s="6"/>
      <c r="BE2940" s="6"/>
      <c r="BF2940" s="6"/>
      <c r="BG2940" s="6"/>
      <c r="BH2940" s="6"/>
      <c r="BI2940" s="6"/>
      <c r="BJ2940" s="6"/>
      <c r="BK2940" s="6"/>
      <c r="BL2940" s="6"/>
      <c r="BM2940" s="6"/>
      <c r="BN2940" s="6"/>
      <c r="BO2940" s="6"/>
      <c r="BP2940" s="6"/>
      <c r="BQ2940" s="6"/>
      <c r="BR2940" s="6"/>
      <c r="BS2940" s="6"/>
      <c r="BT2940" s="6"/>
      <c r="BU2940" s="6"/>
      <c r="BV2940" s="6"/>
      <c r="BW2940" s="6"/>
      <c r="BX2940" s="6"/>
      <c r="BY2940" s="6"/>
      <c r="BZ2940" s="6"/>
      <c r="CA2940" s="6"/>
      <c r="CB2940" s="6"/>
      <c r="CC2940" s="6"/>
      <c r="CD2940" s="6"/>
      <c r="CE2940" s="6"/>
      <c r="CF2940" s="6"/>
      <c r="CG2940" s="6"/>
      <c r="CH2940" s="6"/>
      <c r="CI2940" s="6"/>
      <c r="CJ2940" s="6"/>
      <c r="CK2940" s="6"/>
      <c r="CL2940" s="6"/>
      <c r="CM2940" s="6"/>
      <c r="CN2940" s="6"/>
      <c r="CO2940" s="6"/>
      <c r="CP2940" s="6"/>
      <c r="CQ2940" s="6"/>
      <c r="CR2940" s="6"/>
      <c r="CS2940" s="6"/>
      <c r="CT2940" s="6"/>
      <c r="CU2940" s="6"/>
      <c r="CV2940" s="6"/>
      <c r="CW2940" s="6"/>
      <c r="CX2940" s="6"/>
      <c r="CY2940" s="6"/>
      <c r="CZ2940" s="6"/>
    </row>
    <row r="2941" spans="27:104" s="5" customFormat="1" x14ac:dyDescent="0.25">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16"/>
      <c r="BC2941" s="6"/>
      <c r="BD2941" s="6"/>
      <c r="BE2941" s="6"/>
      <c r="BF2941" s="6"/>
      <c r="BG2941" s="6"/>
      <c r="BH2941" s="6"/>
      <c r="BI2941" s="6"/>
      <c r="BJ2941" s="6"/>
      <c r="BK2941" s="6"/>
      <c r="BL2941" s="6"/>
      <c r="BM2941" s="6"/>
      <c r="BN2941" s="6"/>
      <c r="BO2941" s="6"/>
      <c r="BP2941" s="6"/>
      <c r="BQ2941" s="6"/>
      <c r="BR2941" s="6"/>
      <c r="BS2941" s="6"/>
      <c r="BT2941" s="6"/>
      <c r="BU2941" s="6"/>
      <c r="BV2941" s="6"/>
      <c r="BW2941" s="6"/>
      <c r="BX2941" s="6"/>
      <c r="BY2941" s="6"/>
      <c r="BZ2941" s="6"/>
      <c r="CA2941" s="6"/>
      <c r="CB2941" s="6"/>
      <c r="CC2941" s="6"/>
      <c r="CD2941" s="6"/>
      <c r="CE2941" s="6"/>
      <c r="CF2941" s="6"/>
      <c r="CG2941" s="6"/>
      <c r="CH2941" s="6"/>
      <c r="CI2941" s="6"/>
      <c r="CJ2941" s="6"/>
      <c r="CK2941" s="6"/>
      <c r="CL2941" s="6"/>
      <c r="CM2941" s="6"/>
      <c r="CN2941" s="6"/>
      <c r="CO2941" s="6"/>
      <c r="CP2941" s="6"/>
      <c r="CQ2941" s="6"/>
      <c r="CR2941" s="6"/>
      <c r="CS2941" s="6"/>
      <c r="CT2941" s="6"/>
      <c r="CU2941" s="6"/>
      <c r="CV2941" s="6"/>
      <c r="CW2941" s="6"/>
      <c r="CX2941" s="6"/>
      <c r="CY2941" s="6"/>
      <c r="CZ2941" s="6"/>
    </row>
    <row r="2942" spans="27:104" s="5" customFormat="1" x14ac:dyDescent="0.25">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16"/>
      <c r="BC2942" s="6"/>
      <c r="BD2942" s="6"/>
      <c r="BE2942" s="6"/>
      <c r="BF2942" s="6"/>
      <c r="BG2942" s="6"/>
      <c r="BH2942" s="6"/>
      <c r="BI2942" s="6"/>
      <c r="BJ2942" s="6"/>
      <c r="BK2942" s="6"/>
      <c r="BL2942" s="6"/>
      <c r="BM2942" s="6"/>
      <c r="BN2942" s="6"/>
      <c r="BO2942" s="6"/>
      <c r="BP2942" s="6"/>
      <c r="BQ2942" s="6"/>
      <c r="BR2942" s="6"/>
      <c r="BS2942" s="6"/>
      <c r="BT2942" s="6"/>
      <c r="BU2942" s="6"/>
      <c r="BV2942" s="6"/>
      <c r="BW2942" s="6"/>
      <c r="BX2942" s="6"/>
      <c r="BY2942" s="6"/>
      <c r="BZ2942" s="6"/>
      <c r="CA2942" s="6"/>
      <c r="CB2942" s="6"/>
      <c r="CC2942" s="6"/>
      <c r="CD2942" s="6"/>
      <c r="CE2942" s="6"/>
      <c r="CF2942" s="6"/>
      <c r="CG2942" s="6"/>
      <c r="CH2942" s="6"/>
      <c r="CI2942" s="6"/>
      <c r="CJ2942" s="6"/>
      <c r="CK2942" s="6"/>
      <c r="CL2942" s="6"/>
      <c r="CM2942" s="6"/>
      <c r="CN2942" s="6"/>
      <c r="CO2942" s="6"/>
      <c r="CP2942" s="6"/>
      <c r="CQ2942" s="6"/>
      <c r="CR2942" s="6"/>
      <c r="CS2942" s="6"/>
      <c r="CT2942" s="6"/>
      <c r="CU2942" s="6"/>
      <c r="CV2942" s="6"/>
      <c r="CW2942" s="6"/>
      <c r="CX2942" s="6"/>
      <c r="CY2942" s="6"/>
      <c r="CZ2942" s="6"/>
    </row>
    <row r="2943" spans="27:104" s="5" customFormat="1" x14ac:dyDescent="0.25">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16"/>
      <c r="BC2943" s="6"/>
      <c r="BD2943" s="6"/>
      <c r="BE2943" s="6"/>
      <c r="BF2943" s="6"/>
      <c r="BG2943" s="6"/>
      <c r="BH2943" s="6"/>
      <c r="BI2943" s="6"/>
      <c r="BJ2943" s="6"/>
      <c r="BK2943" s="6"/>
      <c r="BL2943" s="6"/>
      <c r="BM2943" s="6"/>
      <c r="BN2943" s="6"/>
      <c r="BO2943" s="6"/>
      <c r="BP2943" s="6"/>
      <c r="BQ2943" s="6"/>
      <c r="BR2943" s="6"/>
      <c r="BS2943" s="6"/>
      <c r="BT2943" s="6"/>
      <c r="BU2943" s="6"/>
      <c r="BV2943" s="6"/>
      <c r="BW2943" s="6"/>
      <c r="BX2943" s="6"/>
      <c r="BY2943" s="6"/>
      <c r="BZ2943" s="6"/>
      <c r="CA2943" s="6"/>
      <c r="CB2943" s="6"/>
      <c r="CC2943" s="6"/>
      <c r="CD2943" s="6"/>
      <c r="CE2943" s="6"/>
      <c r="CF2943" s="6"/>
      <c r="CG2943" s="6"/>
      <c r="CH2943" s="6"/>
      <c r="CI2943" s="6"/>
      <c r="CJ2943" s="6"/>
      <c r="CK2943" s="6"/>
      <c r="CL2943" s="6"/>
      <c r="CM2943" s="6"/>
      <c r="CN2943" s="6"/>
      <c r="CO2943" s="6"/>
      <c r="CP2943" s="6"/>
      <c r="CQ2943" s="6"/>
      <c r="CR2943" s="6"/>
      <c r="CS2943" s="6"/>
      <c r="CT2943" s="6"/>
      <c r="CU2943" s="6"/>
      <c r="CV2943" s="6"/>
      <c r="CW2943" s="6"/>
      <c r="CX2943" s="6"/>
      <c r="CY2943" s="6"/>
      <c r="CZ2943" s="6"/>
    </row>
    <row r="2944" spans="27:104" s="5" customFormat="1" x14ac:dyDescent="0.25">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16"/>
      <c r="BC2944" s="6"/>
      <c r="BD2944" s="6"/>
      <c r="BE2944" s="6"/>
      <c r="BF2944" s="6"/>
      <c r="BG2944" s="6"/>
      <c r="BH2944" s="6"/>
      <c r="BI2944" s="6"/>
      <c r="BJ2944" s="6"/>
      <c r="BK2944" s="6"/>
      <c r="BL2944" s="6"/>
      <c r="BM2944" s="6"/>
      <c r="BN2944" s="6"/>
      <c r="BO2944" s="6"/>
      <c r="BP2944" s="6"/>
      <c r="BQ2944" s="6"/>
      <c r="BR2944" s="6"/>
      <c r="BS2944" s="6"/>
      <c r="BT2944" s="6"/>
      <c r="BU2944" s="6"/>
      <c r="BV2944" s="6"/>
      <c r="BW2944" s="6"/>
      <c r="BX2944" s="6"/>
      <c r="BY2944" s="6"/>
      <c r="BZ2944" s="6"/>
      <c r="CA2944" s="6"/>
      <c r="CB2944" s="6"/>
      <c r="CC2944" s="6"/>
      <c r="CD2944" s="6"/>
      <c r="CE2944" s="6"/>
      <c r="CF2944" s="6"/>
      <c r="CG2944" s="6"/>
      <c r="CH2944" s="6"/>
      <c r="CI2944" s="6"/>
      <c r="CJ2944" s="6"/>
      <c r="CK2944" s="6"/>
      <c r="CL2944" s="6"/>
      <c r="CM2944" s="6"/>
      <c r="CN2944" s="6"/>
      <c r="CO2944" s="6"/>
      <c r="CP2944" s="6"/>
      <c r="CQ2944" s="6"/>
      <c r="CR2944" s="6"/>
      <c r="CS2944" s="6"/>
      <c r="CT2944" s="6"/>
      <c r="CU2944" s="6"/>
      <c r="CV2944" s="6"/>
      <c r="CW2944" s="6"/>
      <c r="CX2944" s="6"/>
      <c r="CY2944" s="6"/>
      <c r="CZ2944" s="6"/>
    </row>
    <row r="2945" spans="27:104" s="5" customFormat="1" x14ac:dyDescent="0.25">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16"/>
      <c r="BC2945" s="6"/>
      <c r="BD2945" s="6"/>
      <c r="BE2945" s="6"/>
      <c r="BF2945" s="6"/>
      <c r="BG2945" s="6"/>
      <c r="BH2945" s="6"/>
      <c r="BI2945" s="6"/>
      <c r="BJ2945" s="6"/>
      <c r="BK2945" s="6"/>
      <c r="BL2945" s="6"/>
      <c r="BM2945" s="6"/>
      <c r="BN2945" s="6"/>
      <c r="BO2945" s="6"/>
      <c r="BP2945" s="6"/>
      <c r="BQ2945" s="6"/>
      <c r="BR2945" s="6"/>
      <c r="BS2945" s="6"/>
      <c r="BT2945" s="6"/>
      <c r="BU2945" s="6"/>
      <c r="BV2945" s="6"/>
      <c r="BW2945" s="6"/>
      <c r="BX2945" s="6"/>
      <c r="BY2945" s="6"/>
      <c r="BZ2945" s="6"/>
      <c r="CA2945" s="6"/>
      <c r="CB2945" s="6"/>
      <c r="CC2945" s="6"/>
      <c r="CD2945" s="6"/>
      <c r="CE2945" s="6"/>
      <c r="CF2945" s="6"/>
      <c r="CG2945" s="6"/>
      <c r="CH2945" s="6"/>
      <c r="CI2945" s="6"/>
      <c r="CJ2945" s="6"/>
      <c r="CK2945" s="6"/>
      <c r="CL2945" s="6"/>
      <c r="CM2945" s="6"/>
      <c r="CN2945" s="6"/>
      <c r="CO2945" s="6"/>
      <c r="CP2945" s="6"/>
      <c r="CQ2945" s="6"/>
      <c r="CR2945" s="6"/>
      <c r="CS2945" s="6"/>
      <c r="CT2945" s="6"/>
      <c r="CU2945" s="6"/>
      <c r="CV2945" s="6"/>
      <c r="CW2945" s="6"/>
      <c r="CX2945" s="6"/>
      <c r="CY2945" s="6"/>
      <c r="CZ2945" s="6"/>
    </row>
    <row r="2946" spans="27:104" s="5" customFormat="1" x14ac:dyDescent="0.25">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16"/>
      <c r="BC2946" s="6"/>
      <c r="BD2946" s="6"/>
      <c r="BE2946" s="6"/>
      <c r="BF2946" s="6"/>
      <c r="BG2946" s="6"/>
      <c r="BH2946" s="6"/>
      <c r="BI2946" s="6"/>
      <c r="BJ2946" s="6"/>
      <c r="BK2946" s="6"/>
      <c r="BL2946" s="6"/>
      <c r="BM2946" s="6"/>
      <c r="BN2946" s="6"/>
      <c r="BO2946" s="6"/>
      <c r="BP2946" s="6"/>
      <c r="BQ2946" s="6"/>
      <c r="BR2946" s="6"/>
      <c r="BS2946" s="6"/>
      <c r="BT2946" s="6"/>
      <c r="BU2946" s="6"/>
      <c r="BV2946" s="6"/>
      <c r="BW2946" s="6"/>
      <c r="BX2946" s="6"/>
      <c r="BY2946" s="6"/>
      <c r="BZ2946" s="6"/>
      <c r="CA2946" s="6"/>
      <c r="CB2946" s="6"/>
      <c r="CC2946" s="6"/>
      <c r="CD2946" s="6"/>
      <c r="CE2946" s="6"/>
      <c r="CF2946" s="6"/>
      <c r="CG2946" s="6"/>
      <c r="CH2946" s="6"/>
      <c r="CI2946" s="6"/>
      <c r="CJ2946" s="6"/>
      <c r="CK2946" s="6"/>
      <c r="CL2946" s="6"/>
      <c r="CM2946" s="6"/>
      <c r="CN2946" s="6"/>
      <c r="CO2946" s="6"/>
      <c r="CP2946" s="6"/>
      <c r="CQ2946" s="6"/>
      <c r="CR2946" s="6"/>
      <c r="CS2946" s="6"/>
      <c r="CT2946" s="6"/>
      <c r="CU2946" s="6"/>
      <c r="CV2946" s="6"/>
      <c r="CW2946" s="6"/>
      <c r="CX2946" s="6"/>
      <c r="CY2946" s="6"/>
      <c r="CZ2946" s="6"/>
    </row>
    <row r="2947" spans="27:104" s="5" customFormat="1" x14ac:dyDescent="0.25">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16"/>
      <c r="BC2947" s="6"/>
      <c r="BD2947" s="6"/>
      <c r="BE2947" s="6"/>
      <c r="BF2947" s="6"/>
      <c r="BG2947" s="6"/>
      <c r="BH2947" s="6"/>
      <c r="BI2947" s="6"/>
      <c r="BJ2947" s="6"/>
      <c r="BK2947" s="6"/>
      <c r="BL2947" s="6"/>
      <c r="BM2947" s="6"/>
      <c r="BN2947" s="6"/>
      <c r="BO2947" s="6"/>
      <c r="BP2947" s="6"/>
      <c r="BQ2947" s="6"/>
      <c r="BR2947" s="6"/>
      <c r="BS2947" s="6"/>
      <c r="BT2947" s="6"/>
      <c r="BU2947" s="6"/>
      <c r="BV2947" s="6"/>
      <c r="BW2947" s="6"/>
      <c r="BX2947" s="6"/>
      <c r="BY2947" s="6"/>
      <c r="BZ2947" s="6"/>
      <c r="CA2947" s="6"/>
      <c r="CB2947" s="6"/>
      <c r="CC2947" s="6"/>
      <c r="CD2947" s="6"/>
      <c r="CE2947" s="6"/>
      <c r="CF2947" s="6"/>
      <c r="CG2947" s="6"/>
      <c r="CH2947" s="6"/>
      <c r="CI2947" s="6"/>
      <c r="CJ2947" s="6"/>
      <c r="CK2947" s="6"/>
      <c r="CL2947" s="6"/>
      <c r="CM2947" s="6"/>
      <c r="CN2947" s="6"/>
      <c r="CO2947" s="6"/>
      <c r="CP2947" s="6"/>
      <c r="CQ2947" s="6"/>
      <c r="CR2947" s="6"/>
      <c r="CS2947" s="6"/>
      <c r="CT2947" s="6"/>
      <c r="CU2947" s="6"/>
      <c r="CV2947" s="6"/>
      <c r="CW2947" s="6"/>
      <c r="CX2947" s="6"/>
      <c r="CY2947" s="6"/>
      <c r="CZ2947" s="6"/>
    </row>
    <row r="2948" spans="27:104" s="5" customFormat="1" x14ac:dyDescent="0.25">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16"/>
      <c r="BC2948" s="6"/>
      <c r="BD2948" s="6"/>
      <c r="BE2948" s="6"/>
      <c r="BF2948" s="6"/>
      <c r="BG2948" s="6"/>
      <c r="BH2948" s="6"/>
      <c r="BI2948" s="6"/>
      <c r="BJ2948" s="6"/>
      <c r="BK2948" s="6"/>
      <c r="BL2948" s="6"/>
      <c r="BM2948" s="6"/>
      <c r="BN2948" s="6"/>
      <c r="BO2948" s="6"/>
      <c r="BP2948" s="6"/>
      <c r="BQ2948" s="6"/>
      <c r="BR2948" s="6"/>
      <c r="BS2948" s="6"/>
      <c r="BT2948" s="6"/>
      <c r="BU2948" s="6"/>
      <c r="BV2948" s="6"/>
      <c r="BW2948" s="6"/>
      <c r="BX2948" s="6"/>
      <c r="BY2948" s="6"/>
      <c r="BZ2948" s="6"/>
      <c r="CA2948" s="6"/>
      <c r="CB2948" s="6"/>
      <c r="CC2948" s="6"/>
      <c r="CD2948" s="6"/>
      <c r="CE2948" s="6"/>
      <c r="CF2948" s="6"/>
      <c r="CG2948" s="6"/>
      <c r="CH2948" s="6"/>
      <c r="CI2948" s="6"/>
      <c r="CJ2948" s="6"/>
      <c r="CK2948" s="6"/>
      <c r="CL2948" s="6"/>
      <c r="CM2948" s="6"/>
      <c r="CN2948" s="6"/>
      <c r="CO2948" s="6"/>
      <c r="CP2948" s="6"/>
      <c r="CQ2948" s="6"/>
      <c r="CR2948" s="6"/>
      <c r="CS2948" s="6"/>
      <c r="CT2948" s="6"/>
      <c r="CU2948" s="6"/>
      <c r="CV2948" s="6"/>
      <c r="CW2948" s="6"/>
      <c r="CX2948" s="6"/>
      <c r="CY2948" s="6"/>
      <c r="CZ2948" s="6"/>
    </row>
    <row r="2949" spans="27:104" s="5" customFormat="1" x14ac:dyDescent="0.25">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16"/>
      <c r="BC2949" s="6"/>
      <c r="BD2949" s="6"/>
      <c r="BE2949" s="6"/>
      <c r="BF2949" s="6"/>
      <c r="BG2949" s="6"/>
      <c r="BH2949" s="6"/>
      <c r="BI2949" s="6"/>
      <c r="BJ2949" s="6"/>
      <c r="BK2949" s="6"/>
      <c r="BL2949" s="6"/>
      <c r="BM2949" s="6"/>
      <c r="BN2949" s="6"/>
      <c r="BO2949" s="6"/>
      <c r="BP2949" s="6"/>
      <c r="BQ2949" s="6"/>
      <c r="BR2949" s="6"/>
      <c r="BS2949" s="6"/>
      <c r="BT2949" s="6"/>
      <c r="BU2949" s="6"/>
      <c r="BV2949" s="6"/>
      <c r="BW2949" s="6"/>
      <c r="BX2949" s="6"/>
      <c r="BY2949" s="6"/>
      <c r="BZ2949" s="6"/>
      <c r="CA2949" s="6"/>
      <c r="CB2949" s="6"/>
      <c r="CC2949" s="6"/>
      <c r="CD2949" s="6"/>
      <c r="CE2949" s="6"/>
      <c r="CF2949" s="6"/>
      <c r="CG2949" s="6"/>
      <c r="CH2949" s="6"/>
      <c r="CI2949" s="6"/>
      <c r="CJ2949" s="6"/>
      <c r="CK2949" s="6"/>
      <c r="CL2949" s="6"/>
      <c r="CM2949" s="6"/>
      <c r="CN2949" s="6"/>
      <c r="CO2949" s="6"/>
      <c r="CP2949" s="6"/>
      <c r="CQ2949" s="6"/>
      <c r="CR2949" s="6"/>
      <c r="CS2949" s="6"/>
      <c r="CT2949" s="6"/>
      <c r="CU2949" s="6"/>
      <c r="CV2949" s="6"/>
      <c r="CW2949" s="6"/>
      <c r="CX2949" s="6"/>
      <c r="CY2949" s="6"/>
      <c r="CZ2949" s="6"/>
    </row>
    <row r="2950" spans="27:104" s="5" customFormat="1" x14ac:dyDescent="0.25">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16"/>
      <c r="BC2950" s="6"/>
      <c r="BD2950" s="6"/>
      <c r="BE2950" s="6"/>
      <c r="BF2950" s="6"/>
      <c r="BG2950" s="6"/>
      <c r="BH2950" s="6"/>
      <c r="BI2950" s="6"/>
      <c r="BJ2950" s="6"/>
      <c r="BK2950" s="6"/>
      <c r="BL2950" s="6"/>
      <c r="BM2950" s="6"/>
      <c r="BN2950" s="6"/>
      <c r="BO2950" s="6"/>
      <c r="BP2950" s="6"/>
      <c r="BQ2950" s="6"/>
      <c r="BR2950" s="6"/>
      <c r="BS2950" s="6"/>
      <c r="BT2950" s="6"/>
      <c r="BU2950" s="6"/>
      <c r="BV2950" s="6"/>
      <c r="BW2950" s="6"/>
      <c r="BX2950" s="6"/>
      <c r="BY2950" s="6"/>
      <c r="BZ2950" s="6"/>
      <c r="CA2950" s="6"/>
      <c r="CB2950" s="6"/>
      <c r="CC2950" s="6"/>
      <c r="CD2950" s="6"/>
      <c r="CE2950" s="6"/>
      <c r="CF2950" s="6"/>
      <c r="CG2950" s="6"/>
      <c r="CH2950" s="6"/>
      <c r="CI2950" s="6"/>
      <c r="CJ2950" s="6"/>
      <c r="CK2950" s="6"/>
      <c r="CL2950" s="6"/>
      <c r="CM2950" s="6"/>
      <c r="CN2950" s="6"/>
      <c r="CO2950" s="6"/>
      <c r="CP2950" s="6"/>
      <c r="CQ2950" s="6"/>
      <c r="CR2950" s="6"/>
      <c r="CS2950" s="6"/>
      <c r="CT2950" s="6"/>
      <c r="CU2950" s="6"/>
      <c r="CV2950" s="6"/>
      <c r="CW2950" s="6"/>
      <c r="CX2950" s="6"/>
      <c r="CY2950" s="6"/>
      <c r="CZ2950" s="6"/>
    </row>
    <row r="2951" spans="27:104" s="5" customFormat="1" x14ac:dyDescent="0.25">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16"/>
      <c r="BC2951" s="6"/>
      <c r="BD2951" s="6"/>
      <c r="BE2951" s="6"/>
      <c r="BF2951" s="6"/>
      <c r="BG2951" s="6"/>
      <c r="BH2951" s="6"/>
      <c r="BI2951" s="6"/>
      <c r="BJ2951" s="6"/>
      <c r="BK2951" s="6"/>
      <c r="BL2951" s="6"/>
      <c r="BM2951" s="6"/>
      <c r="BN2951" s="6"/>
      <c r="BO2951" s="6"/>
      <c r="BP2951" s="6"/>
      <c r="BQ2951" s="6"/>
      <c r="BR2951" s="6"/>
      <c r="BS2951" s="6"/>
      <c r="BT2951" s="6"/>
      <c r="BU2951" s="6"/>
      <c r="BV2951" s="6"/>
      <c r="BW2951" s="6"/>
      <c r="BX2951" s="6"/>
      <c r="BY2951" s="6"/>
      <c r="BZ2951" s="6"/>
      <c r="CA2951" s="6"/>
      <c r="CB2951" s="6"/>
      <c r="CC2951" s="6"/>
      <c r="CD2951" s="6"/>
      <c r="CE2951" s="6"/>
      <c r="CF2951" s="6"/>
      <c r="CG2951" s="6"/>
      <c r="CH2951" s="6"/>
      <c r="CI2951" s="6"/>
      <c r="CJ2951" s="6"/>
      <c r="CK2951" s="6"/>
      <c r="CL2951" s="6"/>
      <c r="CM2951" s="6"/>
      <c r="CN2951" s="6"/>
      <c r="CO2951" s="6"/>
      <c r="CP2951" s="6"/>
      <c r="CQ2951" s="6"/>
      <c r="CR2951" s="6"/>
      <c r="CS2951" s="6"/>
      <c r="CT2951" s="6"/>
      <c r="CU2951" s="6"/>
      <c r="CV2951" s="6"/>
      <c r="CW2951" s="6"/>
      <c r="CX2951" s="6"/>
      <c r="CY2951" s="6"/>
      <c r="CZ2951" s="6"/>
    </row>
    <row r="2952" spans="27:104" s="5" customFormat="1" x14ac:dyDescent="0.25">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16"/>
      <c r="BC2952" s="6"/>
      <c r="BD2952" s="6"/>
      <c r="BE2952" s="6"/>
      <c r="BF2952" s="6"/>
      <c r="BG2952" s="6"/>
      <c r="BH2952" s="6"/>
      <c r="BI2952" s="6"/>
      <c r="BJ2952" s="6"/>
      <c r="BK2952" s="6"/>
      <c r="BL2952" s="6"/>
      <c r="BM2952" s="6"/>
      <c r="BN2952" s="6"/>
      <c r="BO2952" s="6"/>
      <c r="BP2952" s="6"/>
      <c r="BQ2952" s="6"/>
      <c r="BR2952" s="6"/>
      <c r="BS2952" s="6"/>
      <c r="BT2952" s="6"/>
      <c r="BU2952" s="6"/>
      <c r="BV2952" s="6"/>
      <c r="BW2952" s="6"/>
      <c r="BX2952" s="6"/>
      <c r="BY2952" s="6"/>
      <c r="BZ2952" s="6"/>
      <c r="CA2952" s="6"/>
      <c r="CB2952" s="6"/>
      <c r="CC2952" s="6"/>
      <c r="CD2952" s="6"/>
      <c r="CE2952" s="6"/>
      <c r="CF2952" s="6"/>
      <c r="CG2952" s="6"/>
      <c r="CH2952" s="6"/>
      <c r="CI2952" s="6"/>
      <c r="CJ2952" s="6"/>
      <c r="CK2952" s="6"/>
      <c r="CL2952" s="6"/>
      <c r="CM2952" s="6"/>
      <c r="CN2952" s="6"/>
      <c r="CO2952" s="6"/>
      <c r="CP2952" s="6"/>
      <c r="CQ2952" s="6"/>
      <c r="CR2952" s="6"/>
      <c r="CS2952" s="6"/>
      <c r="CT2952" s="6"/>
      <c r="CU2952" s="6"/>
      <c r="CV2952" s="6"/>
      <c r="CW2952" s="6"/>
      <c r="CX2952" s="6"/>
      <c r="CY2952" s="6"/>
      <c r="CZ2952" s="6"/>
    </row>
    <row r="2953" spans="27:104" s="5" customFormat="1" x14ac:dyDescent="0.25">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16"/>
      <c r="BC2953" s="6"/>
      <c r="BD2953" s="6"/>
      <c r="BE2953" s="6"/>
      <c r="BF2953" s="6"/>
      <c r="BG2953" s="6"/>
      <c r="BH2953" s="6"/>
      <c r="BI2953" s="6"/>
      <c r="BJ2953" s="6"/>
      <c r="BK2953" s="6"/>
      <c r="BL2953" s="6"/>
      <c r="BM2953" s="6"/>
      <c r="BN2953" s="6"/>
      <c r="BO2953" s="6"/>
      <c r="BP2953" s="6"/>
      <c r="BQ2953" s="6"/>
      <c r="BR2953" s="6"/>
      <c r="BS2953" s="6"/>
      <c r="BT2953" s="6"/>
      <c r="BU2953" s="6"/>
      <c r="BV2953" s="6"/>
      <c r="BW2953" s="6"/>
      <c r="BX2953" s="6"/>
      <c r="BY2953" s="6"/>
      <c r="BZ2953" s="6"/>
      <c r="CA2953" s="6"/>
      <c r="CB2953" s="6"/>
      <c r="CC2953" s="6"/>
      <c r="CD2953" s="6"/>
      <c r="CE2953" s="6"/>
      <c r="CF2953" s="6"/>
      <c r="CG2953" s="6"/>
      <c r="CH2953" s="6"/>
      <c r="CI2953" s="6"/>
      <c r="CJ2953" s="6"/>
      <c r="CK2953" s="6"/>
      <c r="CL2953" s="6"/>
      <c r="CM2953" s="6"/>
      <c r="CN2953" s="6"/>
      <c r="CO2953" s="6"/>
      <c r="CP2953" s="6"/>
      <c r="CQ2953" s="6"/>
      <c r="CR2953" s="6"/>
      <c r="CS2953" s="6"/>
      <c r="CT2953" s="6"/>
      <c r="CU2953" s="6"/>
      <c r="CV2953" s="6"/>
      <c r="CW2953" s="6"/>
      <c r="CX2953" s="6"/>
      <c r="CY2953" s="6"/>
      <c r="CZ2953" s="6"/>
    </row>
    <row r="2954" spans="27:104" s="5" customFormat="1" x14ac:dyDescent="0.25">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16"/>
      <c r="BC2954" s="6"/>
      <c r="BD2954" s="6"/>
      <c r="BE2954" s="6"/>
      <c r="BF2954" s="6"/>
      <c r="BG2954" s="6"/>
      <c r="BH2954" s="6"/>
      <c r="BI2954" s="6"/>
      <c r="BJ2954" s="6"/>
      <c r="BK2954" s="6"/>
      <c r="BL2954" s="6"/>
      <c r="BM2954" s="6"/>
      <c r="BN2954" s="6"/>
      <c r="BO2954" s="6"/>
      <c r="BP2954" s="6"/>
      <c r="BQ2954" s="6"/>
      <c r="BR2954" s="6"/>
      <c r="BS2954" s="6"/>
      <c r="BT2954" s="6"/>
      <c r="BU2954" s="6"/>
      <c r="BV2954" s="6"/>
      <c r="BW2954" s="6"/>
      <c r="BX2954" s="6"/>
      <c r="BY2954" s="6"/>
      <c r="BZ2954" s="6"/>
      <c r="CA2954" s="6"/>
      <c r="CB2954" s="6"/>
      <c r="CC2954" s="6"/>
      <c r="CD2954" s="6"/>
      <c r="CE2954" s="6"/>
      <c r="CF2954" s="6"/>
      <c r="CG2954" s="6"/>
      <c r="CH2954" s="6"/>
      <c r="CI2954" s="6"/>
      <c r="CJ2954" s="6"/>
      <c r="CK2954" s="6"/>
      <c r="CL2954" s="6"/>
      <c r="CM2954" s="6"/>
      <c r="CN2954" s="6"/>
      <c r="CO2954" s="6"/>
      <c r="CP2954" s="6"/>
      <c r="CQ2954" s="6"/>
      <c r="CR2954" s="6"/>
      <c r="CS2954" s="6"/>
      <c r="CT2954" s="6"/>
      <c r="CU2954" s="6"/>
      <c r="CV2954" s="6"/>
      <c r="CW2954" s="6"/>
      <c r="CX2954" s="6"/>
      <c r="CY2954" s="6"/>
      <c r="CZ2954" s="6"/>
    </row>
    <row r="2955" spans="27:104" s="5" customFormat="1" x14ac:dyDescent="0.25">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16"/>
      <c r="BC2955" s="6"/>
      <c r="BD2955" s="6"/>
      <c r="BE2955" s="6"/>
      <c r="BF2955" s="6"/>
      <c r="BG2955" s="6"/>
      <c r="BH2955" s="6"/>
      <c r="BI2955" s="6"/>
      <c r="BJ2955" s="6"/>
      <c r="BK2955" s="6"/>
      <c r="BL2955" s="6"/>
      <c r="BM2955" s="6"/>
      <c r="BN2955" s="6"/>
      <c r="BO2955" s="6"/>
      <c r="BP2955" s="6"/>
      <c r="BQ2955" s="6"/>
      <c r="BR2955" s="6"/>
      <c r="BS2955" s="6"/>
      <c r="BT2955" s="6"/>
      <c r="BU2955" s="6"/>
      <c r="BV2955" s="6"/>
      <c r="BW2955" s="6"/>
      <c r="BX2955" s="6"/>
      <c r="BY2955" s="6"/>
      <c r="BZ2955" s="6"/>
      <c r="CA2955" s="6"/>
      <c r="CB2955" s="6"/>
      <c r="CC2955" s="6"/>
      <c r="CD2955" s="6"/>
      <c r="CE2955" s="6"/>
      <c r="CF2955" s="6"/>
      <c r="CG2955" s="6"/>
      <c r="CH2955" s="6"/>
      <c r="CI2955" s="6"/>
      <c r="CJ2955" s="6"/>
      <c r="CK2955" s="6"/>
      <c r="CL2955" s="6"/>
      <c r="CM2955" s="6"/>
      <c r="CN2955" s="6"/>
      <c r="CO2955" s="6"/>
      <c r="CP2955" s="6"/>
      <c r="CQ2955" s="6"/>
      <c r="CR2955" s="6"/>
      <c r="CS2955" s="6"/>
      <c r="CT2955" s="6"/>
      <c r="CU2955" s="6"/>
      <c r="CV2955" s="6"/>
      <c r="CW2955" s="6"/>
      <c r="CX2955" s="6"/>
      <c r="CY2955" s="6"/>
      <c r="CZ2955" s="6"/>
    </row>
    <row r="2956" spans="27:104" s="5" customFormat="1" x14ac:dyDescent="0.25">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16"/>
      <c r="BC2956" s="6"/>
      <c r="BD2956" s="6"/>
      <c r="BE2956" s="6"/>
      <c r="BF2956" s="6"/>
      <c r="BG2956" s="6"/>
      <c r="BH2956" s="6"/>
      <c r="BI2956" s="6"/>
      <c r="BJ2956" s="6"/>
      <c r="BK2956" s="6"/>
      <c r="BL2956" s="6"/>
      <c r="BM2956" s="6"/>
      <c r="BN2956" s="6"/>
      <c r="BO2956" s="6"/>
      <c r="BP2956" s="6"/>
      <c r="BQ2956" s="6"/>
      <c r="BR2956" s="6"/>
      <c r="BS2956" s="6"/>
      <c r="BT2956" s="6"/>
      <c r="BU2956" s="6"/>
      <c r="BV2956" s="6"/>
      <c r="BW2956" s="6"/>
      <c r="BX2956" s="6"/>
      <c r="BY2956" s="6"/>
      <c r="BZ2956" s="6"/>
      <c r="CA2956" s="6"/>
      <c r="CB2956" s="6"/>
      <c r="CC2956" s="6"/>
      <c r="CD2956" s="6"/>
      <c r="CE2956" s="6"/>
      <c r="CF2956" s="6"/>
      <c r="CG2956" s="6"/>
      <c r="CH2956" s="6"/>
      <c r="CI2956" s="6"/>
      <c r="CJ2956" s="6"/>
      <c r="CK2956" s="6"/>
      <c r="CL2956" s="6"/>
      <c r="CM2956" s="6"/>
      <c r="CN2956" s="6"/>
      <c r="CO2956" s="6"/>
      <c r="CP2956" s="6"/>
      <c r="CQ2956" s="6"/>
      <c r="CR2956" s="6"/>
      <c r="CS2956" s="6"/>
      <c r="CT2956" s="6"/>
      <c r="CU2956" s="6"/>
      <c r="CV2956" s="6"/>
      <c r="CW2956" s="6"/>
      <c r="CX2956" s="6"/>
      <c r="CY2956" s="6"/>
      <c r="CZ2956" s="6"/>
    </row>
    <row r="2957" spans="27:104" s="5" customFormat="1" x14ac:dyDescent="0.25">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16"/>
      <c r="BC2957" s="6"/>
      <c r="BD2957" s="6"/>
      <c r="BE2957" s="6"/>
      <c r="BF2957" s="6"/>
      <c r="BG2957" s="6"/>
      <c r="BH2957" s="6"/>
      <c r="BI2957" s="6"/>
      <c r="BJ2957" s="6"/>
      <c r="BK2957" s="6"/>
      <c r="BL2957" s="6"/>
      <c r="BM2957" s="6"/>
      <c r="BN2957" s="6"/>
      <c r="BO2957" s="6"/>
      <c r="BP2957" s="6"/>
      <c r="BQ2957" s="6"/>
      <c r="BR2957" s="6"/>
      <c r="BS2957" s="6"/>
      <c r="BT2957" s="6"/>
      <c r="BU2957" s="6"/>
      <c r="BV2957" s="6"/>
      <c r="BW2957" s="6"/>
      <c r="BX2957" s="6"/>
      <c r="BY2957" s="6"/>
      <c r="BZ2957" s="6"/>
      <c r="CA2957" s="6"/>
      <c r="CB2957" s="6"/>
      <c r="CC2957" s="6"/>
      <c r="CD2957" s="6"/>
      <c r="CE2957" s="6"/>
      <c r="CF2957" s="6"/>
      <c r="CG2957" s="6"/>
      <c r="CH2957" s="6"/>
      <c r="CI2957" s="6"/>
      <c r="CJ2957" s="6"/>
      <c r="CK2957" s="6"/>
      <c r="CL2957" s="6"/>
      <c r="CM2957" s="6"/>
      <c r="CN2957" s="6"/>
      <c r="CO2957" s="6"/>
      <c r="CP2957" s="6"/>
      <c r="CQ2957" s="6"/>
      <c r="CR2957" s="6"/>
      <c r="CS2957" s="6"/>
      <c r="CT2957" s="6"/>
      <c r="CU2957" s="6"/>
      <c r="CV2957" s="6"/>
      <c r="CW2957" s="6"/>
      <c r="CX2957" s="6"/>
      <c r="CY2957" s="6"/>
      <c r="CZ2957" s="6"/>
    </row>
    <row r="2958" spans="27:104" s="5" customFormat="1" x14ac:dyDescent="0.25">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16"/>
      <c r="BC2958" s="6"/>
      <c r="BD2958" s="6"/>
      <c r="BE2958" s="6"/>
      <c r="BF2958" s="6"/>
      <c r="BG2958" s="6"/>
      <c r="BH2958" s="6"/>
      <c r="BI2958" s="6"/>
      <c r="BJ2958" s="6"/>
      <c r="BK2958" s="6"/>
      <c r="BL2958" s="6"/>
      <c r="BM2958" s="6"/>
      <c r="BN2958" s="6"/>
      <c r="BO2958" s="6"/>
      <c r="BP2958" s="6"/>
      <c r="BQ2958" s="6"/>
      <c r="BR2958" s="6"/>
      <c r="BS2958" s="6"/>
      <c r="BT2958" s="6"/>
      <c r="BU2958" s="6"/>
      <c r="BV2958" s="6"/>
      <c r="BW2958" s="6"/>
      <c r="BX2958" s="6"/>
      <c r="BY2958" s="6"/>
      <c r="BZ2958" s="6"/>
      <c r="CA2958" s="6"/>
      <c r="CB2958" s="6"/>
      <c r="CC2958" s="6"/>
      <c r="CD2958" s="6"/>
      <c r="CE2958" s="6"/>
      <c r="CF2958" s="6"/>
      <c r="CG2958" s="6"/>
      <c r="CH2958" s="6"/>
      <c r="CI2958" s="6"/>
      <c r="CJ2958" s="6"/>
      <c r="CK2958" s="6"/>
      <c r="CL2958" s="6"/>
      <c r="CM2958" s="6"/>
      <c r="CN2958" s="6"/>
      <c r="CO2958" s="6"/>
      <c r="CP2958" s="6"/>
      <c r="CQ2958" s="6"/>
      <c r="CR2958" s="6"/>
      <c r="CS2958" s="6"/>
      <c r="CT2958" s="6"/>
      <c r="CU2958" s="6"/>
      <c r="CV2958" s="6"/>
      <c r="CW2958" s="6"/>
      <c r="CX2958" s="6"/>
      <c r="CY2958" s="6"/>
      <c r="CZ2958" s="6"/>
    </row>
    <row r="2959" spans="27:104" s="5" customFormat="1" x14ac:dyDescent="0.25">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16"/>
      <c r="BC2959" s="6"/>
      <c r="BD2959" s="6"/>
      <c r="BE2959" s="6"/>
      <c r="BF2959" s="6"/>
      <c r="BG2959" s="6"/>
      <c r="BH2959" s="6"/>
      <c r="BI2959" s="6"/>
      <c r="BJ2959" s="6"/>
      <c r="BK2959" s="6"/>
      <c r="BL2959" s="6"/>
      <c r="BM2959" s="6"/>
      <c r="BN2959" s="6"/>
      <c r="BO2959" s="6"/>
      <c r="BP2959" s="6"/>
      <c r="BQ2959" s="6"/>
      <c r="BR2959" s="6"/>
      <c r="BS2959" s="6"/>
      <c r="BT2959" s="6"/>
      <c r="BU2959" s="6"/>
      <c r="BV2959" s="6"/>
      <c r="BW2959" s="6"/>
      <c r="BX2959" s="6"/>
      <c r="BY2959" s="6"/>
      <c r="BZ2959" s="6"/>
      <c r="CA2959" s="6"/>
      <c r="CB2959" s="6"/>
      <c r="CC2959" s="6"/>
      <c r="CD2959" s="6"/>
      <c r="CE2959" s="6"/>
      <c r="CF2959" s="6"/>
      <c r="CG2959" s="6"/>
      <c r="CH2959" s="6"/>
      <c r="CI2959" s="6"/>
      <c r="CJ2959" s="6"/>
      <c r="CK2959" s="6"/>
      <c r="CL2959" s="6"/>
      <c r="CM2959" s="6"/>
      <c r="CN2959" s="6"/>
      <c r="CO2959" s="6"/>
      <c r="CP2959" s="6"/>
      <c r="CQ2959" s="6"/>
      <c r="CR2959" s="6"/>
      <c r="CS2959" s="6"/>
      <c r="CT2959" s="6"/>
      <c r="CU2959" s="6"/>
      <c r="CV2959" s="6"/>
      <c r="CW2959" s="6"/>
      <c r="CX2959" s="6"/>
      <c r="CY2959" s="6"/>
      <c r="CZ2959" s="6"/>
    </row>
    <row r="2960" spans="27:104" s="5" customFormat="1" x14ac:dyDescent="0.25">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16"/>
      <c r="BC2960" s="6"/>
      <c r="BD2960" s="6"/>
      <c r="BE2960" s="6"/>
      <c r="BF2960" s="6"/>
      <c r="BG2960" s="6"/>
      <c r="BH2960" s="6"/>
      <c r="BI2960" s="6"/>
      <c r="BJ2960" s="6"/>
      <c r="BK2960" s="6"/>
      <c r="BL2960" s="6"/>
      <c r="BM2960" s="6"/>
      <c r="BN2960" s="6"/>
      <c r="BO2960" s="6"/>
      <c r="BP2960" s="6"/>
      <c r="BQ2960" s="6"/>
      <c r="BR2960" s="6"/>
      <c r="BS2960" s="6"/>
      <c r="BT2960" s="6"/>
      <c r="BU2960" s="6"/>
      <c r="BV2960" s="6"/>
      <c r="BW2960" s="6"/>
      <c r="BX2960" s="6"/>
      <c r="BY2960" s="6"/>
      <c r="BZ2960" s="6"/>
      <c r="CA2960" s="6"/>
      <c r="CB2960" s="6"/>
      <c r="CC2960" s="6"/>
      <c r="CD2960" s="6"/>
      <c r="CE2960" s="6"/>
      <c r="CF2960" s="6"/>
      <c r="CG2960" s="6"/>
      <c r="CH2960" s="6"/>
      <c r="CI2960" s="6"/>
      <c r="CJ2960" s="6"/>
      <c r="CK2960" s="6"/>
      <c r="CL2960" s="6"/>
      <c r="CM2960" s="6"/>
      <c r="CN2960" s="6"/>
      <c r="CO2960" s="6"/>
      <c r="CP2960" s="6"/>
      <c r="CQ2960" s="6"/>
      <c r="CR2960" s="6"/>
      <c r="CS2960" s="6"/>
      <c r="CT2960" s="6"/>
      <c r="CU2960" s="6"/>
      <c r="CV2960" s="6"/>
      <c r="CW2960" s="6"/>
      <c r="CX2960" s="6"/>
      <c r="CY2960" s="6"/>
      <c r="CZ2960" s="6"/>
    </row>
    <row r="2961" spans="27:104" s="5" customFormat="1" x14ac:dyDescent="0.25">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16"/>
      <c r="BC2961" s="6"/>
      <c r="BD2961" s="6"/>
      <c r="BE2961" s="6"/>
      <c r="BF2961" s="6"/>
      <c r="BG2961" s="6"/>
      <c r="BH2961" s="6"/>
      <c r="BI2961" s="6"/>
      <c r="BJ2961" s="6"/>
      <c r="BK2961" s="6"/>
      <c r="BL2961" s="6"/>
      <c r="BM2961" s="6"/>
      <c r="BN2961" s="6"/>
      <c r="BO2961" s="6"/>
      <c r="BP2961" s="6"/>
      <c r="BQ2961" s="6"/>
      <c r="BR2961" s="6"/>
      <c r="BS2961" s="6"/>
      <c r="BT2961" s="6"/>
      <c r="BU2961" s="6"/>
      <c r="BV2961" s="6"/>
      <c r="BW2961" s="6"/>
      <c r="BX2961" s="6"/>
      <c r="BY2961" s="6"/>
      <c r="BZ2961" s="6"/>
      <c r="CA2961" s="6"/>
      <c r="CB2961" s="6"/>
      <c r="CC2961" s="6"/>
      <c r="CD2961" s="6"/>
      <c r="CE2961" s="6"/>
      <c r="CF2961" s="6"/>
      <c r="CG2961" s="6"/>
      <c r="CH2961" s="6"/>
      <c r="CI2961" s="6"/>
      <c r="CJ2961" s="6"/>
      <c r="CK2961" s="6"/>
      <c r="CL2961" s="6"/>
      <c r="CM2961" s="6"/>
      <c r="CN2961" s="6"/>
      <c r="CO2961" s="6"/>
      <c r="CP2961" s="6"/>
      <c r="CQ2961" s="6"/>
      <c r="CR2961" s="6"/>
      <c r="CS2961" s="6"/>
      <c r="CT2961" s="6"/>
      <c r="CU2961" s="6"/>
      <c r="CV2961" s="6"/>
      <c r="CW2961" s="6"/>
      <c r="CX2961" s="6"/>
      <c r="CY2961" s="6"/>
      <c r="CZ2961" s="6"/>
    </row>
    <row r="2962" spans="27:104" s="5" customFormat="1" x14ac:dyDescent="0.25">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16"/>
      <c r="BC2962" s="6"/>
      <c r="BD2962" s="6"/>
      <c r="BE2962" s="6"/>
      <c r="BF2962" s="6"/>
      <c r="BG2962" s="6"/>
      <c r="BH2962" s="6"/>
      <c r="BI2962" s="6"/>
      <c r="BJ2962" s="6"/>
      <c r="BK2962" s="6"/>
      <c r="BL2962" s="6"/>
      <c r="BM2962" s="6"/>
      <c r="BN2962" s="6"/>
      <c r="BO2962" s="6"/>
      <c r="BP2962" s="6"/>
      <c r="BQ2962" s="6"/>
      <c r="BR2962" s="6"/>
      <c r="BS2962" s="6"/>
      <c r="BT2962" s="6"/>
      <c r="BU2962" s="6"/>
      <c r="BV2962" s="6"/>
      <c r="BW2962" s="6"/>
      <c r="BX2962" s="6"/>
      <c r="BY2962" s="6"/>
      <c r="BZ2962" s="6"/>
      <c r="CA2962" s="6"/>
      <c r="CB2962" s="6"/>
      <c r="CC2962" s="6"/>
      <c r="CD2962" s="6"/>
      <c r="CE2962" s="6"/>
      <c r="CF2962" s="6"/>
      <c r="CG2962" s="6"/>
      <c r="CH2962" s="6"/>
      <c r="CI2962" s="6"/>
      <c r="CJ2962" s="6"/>
      <c r="CK2962" s="6"/>
      <c r="CL2962" s="6"/>
      <c r="CM2962" s="6"/>
      <c r="CN2962" s="6"/>
      <c r="CO2962" s="6"/>
      <c r="CP2962" s="6"/>
      <c r="CQ2962" s="6"/>
      <c r="CR2962" s="6"/>
      <c r="CS2962" s="6"/>
      <c r="CT2962" s="6"/>
      <c r="CU2962" s="6"/>
      <c r="CV2962" s="6"/>
      <c r="CW2962" s="6"/>
      <c r="CX2962" s="6"/>
      <c r="CY2962" s="6"/>
      <c r="CZ2962" s="6"/>
    </row>
    <row r="2963" spans="27:104" s="5" customFormat="1" x14ac:dyDescent="0.25">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16"/>
      <c r="BC2963" s="6"/>
      <c r="BD2963" s="6"/>
      <c r="BE2963" s="6"/>
      <c r="BF2963" s="6"/>
      <c r="BG2963" s="6"/>
      <c r="BH2963" s="6"/>
      <c r="BI2963" s="6"/>
      <c r="BJ2963" s="6"/>
      <c r="BK2963" s="6"/>
      <c r="BL2963" s="6"/>
      <c r="BM2963" s="6"/>
      <c r="BN2963" s="6"/>
      <c r="BO2963" s="6"/>
      <c r="BP2963" s="6"/>
      <c r="BQ2963" s="6"/>
      <c r="BR2963" s="6"/>
      <c r="BS2963" s="6"/>
      <c r="BT2963" s="6"/>
      <c r="BU2963" s="6"/>
      <c r="BV2963" s="6"/>
      <c r="BW2963" s="6"/>
      <c r="BX2963" s="6"/>
      <c r="BY2963" s="6"/>
      <c r="BZ2963" s="6"/>
      <c r="CA2963" s="6"/>
      <c r="CB2963" s="6"/>
      <c r="CC2963" s="6"/>
      <c r="CD2963" s="6"/>
      <c r="CE2963" s="6"/>
      <c r="CF2963" s="6"/>
      <c r="CG2963" s="6"/>
      <c r="CH2963" s="6"/>
      <c r="CI2963" s="6"/>
      <c r="CJ2963" s="6"/>
      <c r="CK2963" s="6"/>
      <c r="CL2963" s="6"/>
      <c r="CM2963" s="6"/>
      <c r="CN2963" s="6"/>
      <c r="CO2963" s="6"/>
      <c r="CP2963" s="6"/>
      <c r="CQ2963" s="6"/>
      <c r="CR2963" s="6"/>
      <c r="CS2963" s="6"/>
      <c r="CT2963" s="6"/>
      <c r="CU2963" s="6"/>
      <c r="CV2963" s="6"/>
      <c r="CW2963" s="6"/>
      <c r="CX2963" s="6"/>
      <c r="CY2963" s="6"/>
      <c r="CZ2963" s="6"/>
    </row>
    <row r="2964" spans="27:104" s="5" customFormat="1" x14ac:dyDescent="0.25">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16"/>
      <c r="BC2964" s="6"/>
      <c r="BD2964" s="6"/>
      <c r="BE2964" s="6"/>
      <c r="BF2964" s="6"/>
      <c r="BG2964" s="6"/>
      <c r="BH2964" s="6"/>
      <c r="BI2964" s="6"/>
      <c r="BJ2964" s="6"/>
      <c r="BK2964" s="6"/>
      <c r="BL2964" s="6"/>
      <c r="BM2964" s="6"/>
      <c r="BN2964" s="6"/>
      <c r="BO2964" s="6"/>
      <c r="BP2964" s="6"/>
      <c r="BQ2964" s="6"/>
      <c r="BR2964" s="6"/>
      <c r="BS2964" s="6"/>
      <c r="BT2964" s="6"/>
      <c r="BU2964" s="6"/>
      <c r="BV2964" s="6"/>
      <c r="BW2964" s="6"/>
      <c r="BX2964" s="6"/>
      <c r="BY2964" s="6"/>
      <c r="BZ2964" s="6"/>
      <c r="CA2964" s="6"/>
      <c r="CB2964" s="6"/>
      <c r="CC2964" s="6"/>
      <c r="CD2964" s="6"/>
      <c r="CE2964" s="6"/>
      <c r="CF2964" s="6"/>
      <c r="CG2964" s="6"/>
      <c r="CH2964" s="6"/>
      <c r="CI2964" s="6"/>
      <c r="CJ2964" s="6"/>
      <c r="CK2964" s="6"/>
      <c r="CL2964" s="6"/>
      <c r="CM2964" s="6"/>
      <c r="CN2964" s="6"/>
      <c r="CO2964" s="6"/>
      <c r="CP2964" s="6"/>
      <c r="CQ2964" s="6"/>
      <c r="CR2964" s="6"/>
      <c r="CS2964" s="6"/>
      <c r="CT2964" s="6"/>
      <c r="CU2964" s="6"/>
      <c r="CV2964" s="6"/>
      <c r="CW2964" s="6"/>
      <c r="CX2964" s="6"/>
      <c r="CY2964" s="6"/>
      <c r="CZ2964" s="6"/>
    </row>
    <row r="2965" spans="27:104" s="5" customFormat="1" x14ac:dyDescent="0.25">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16"/>
      <c r="BC2965" s="6"/>
      <c r="BD2965" s="6"/>
      <c r="BE2965" s="6"/>
      <c r="BF2965" s="6"/>
      <c r="BG2965" s="6"/>
      <c r="BH2965" s="6"/>
      <c r="BI2965" s="6"/>
      <c r="BJ2965" s="6"/>
      <c r="BK2965" s="6"/>
      <c r="BL2965" s="6"/>
      <c r="BM2965" s="6"/>
      <c r="BN2965" s="6"/>
      <c r="BO2965" s="6"/>
      <c r="BP2965" s="6"/>
      <c r="BQ2965" s="6"/>
      <c r="BR2965" s="6"/>
      <c r="BS2965" s="6"/>
      <c r="BT2965" s="6"/>
      <c r="BU2965" s="6"/>
      <c r="BV2965" s="6"/>
      <c r="BW2965" s="6"/>
      <c r="BX2965" s="6"/>
      <c r="BY2965" s="6"/>
      <c r="BZ2965" s="6"/>
      <c r="CA2965" s="6"/>
      <c r="CB2965" s="6"/>
      <c r="CC2965" s="6"/>
      <c r="CD2965" s="6"/>
      <c r="CE2965" s="6"/>
      <c r="CF2965" s="6"/>
      <c r="CG2965" s="6"/>
      <c r="CH2965" s="6"/>
      <c r="CI2965" s="6"/>
      <c r="CJ2965" s="6"/>
      <c r="CK2965" s="6"/>
      <c r="CL2965" s="6"/>
      <c r="CM2965" s="6"/>
      <c r="CN2965" s="6"/>
      <c r="CO2965" s="6"/>
      <c r="CP2965" s="6"/>
      <c r="CQ2965" s="6"/>
      <c r="CR2965" s="6"/>
      <c r="CS2965" s="6"/>
      <c r="CT2965" s="6"/>
      <c r="CU2965" s="6"/>
      <c r="CV2965" s="6"/>
      <c r="CW2965" s="6"/>
      <c r="CX2965" s="6"/>
      <c r="CY2965" s="6"/>
      <c r="CZ2965" s="6"/>
    </row>
    <row r="2966" spans="27:104" s="5" customFormat="1" x14ac:dyDescent="0.25">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16"/>
      <c r="BC2966" s="6"/>
      <c r="BD2966" s="6"/>
      <c r="BE2966" s="6"/>
      <c r="BF2966" s="6"/>
      <c r="BG2966" s="6"/>
      <c r="BH2966" s="6"/>
      <c r="BI2966" s="6"/>
      <c r="BJ2966" s="6"/>
      <c r="BK2966" s="6"/>
      <c r="BL2966" s="6"/>
      <c r="BM2966" s="6"/>
      <c r="BN2966" s="6"/>
      <c r="BO2966" s="6"/>
      <c r="BP2966" s="6"/>
      <c r="BQ2966" s="6"/>
      <c r="BR2966" s="6"/>
      <c r="BS2966" s="6"/>
      <c r="BT2966" s="6"/>
      <c r="BU2966" s="6"/>
      <c r="BV2966" s="6"/>
      <c r="BW2966" s="6"/>
      <c r="BX2966" s="6"/>
      <c r="BY2966" s="6"/>
      <c r="BZ2966" s="6"/>
      <c r="CA2966" s="6"/>
      <c r="CB2966" s="6"/>
      <c r="CC2966" s="6"/>
      <c r="CD2966" s="6"/>
      <c r="CE2966" s="6"/>
      <c r="CF2966" s="6"/>
      <c r="CG2966" s="6"/>
      <c r="CH2966" s="6"/>
      <c r="CI2966" s="6"/>
      <c r="CJ2966" s="6"/>
      <c r="CK2966" s="6"/>
      <c r="CL2966" s="6"/>
      <c r="CM2966" s="6"/>
      <c r="CN2966" s="6"/>
      <c r="CO2966" s="6"/>
      <c r="CP2966" s="6"/>
      <c r="CQ2966" s="6"/>
      <c r="CR2966" s="6"/>
      <c r="CS2966" s="6"/>
      <c r="CT2966" s="6"/>
      <c r="CU2966" s="6"/>
      <c r="CV2966" s="6"/>
      <c r="CW2966" s="6"/>
      <c r="CX2966" s="6"/>
      <c r="CY2966" s="6"/>
      <c r="CZ2966" s="6"/>
    </row>
    <row r="2967" spans="27:104" s="5" customFormat="1" x14ac:dyDescent="0.25">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16"/>
      <c r="BC2967" s="6"/>
      <c r="BD2967" s="6"/>
      <c r="BE2967" s="6"/>
      <c r="BF2967" s="6"/>
      <c r="BG2967" s="6"/>
      <c r="BH2967" s="6"/>
      <c r="BI2967" s="6"/>
      <c r="BJ2967" s="6"/>
      <c r="BK2967" s="6"/>
      <c r="BL2967" s="6"/>
      <c r="BM2967" s="6"/>
      <c r="BN2967" s="6"/>
      <c r="BO2967" s="6"/>
      <c r="BP2967" s="6"/>
      <c r="BQ2967" s="6"/>
      <c r="BR2967" s="6"/>
      <c r="BS2967" s="6"/>
      <c r="BT2967" s="6"/>
      <c r="BU2967" s="6"/>
      <c r="BV2967" s="6"/>
      <c r="BW2967" s="6"/>
      <c r="BX2967" s="6"/>
      <c r="BY2967" s="6"/>
      <c r="BZ2967" s="6"/>
      <c r="CA2967" s="6"/>
      <c r="CB2967" s="6"/>
      <c r="CC2967" s="6"/>
      <c r="CD2967" s="6"/>
      <c r="CE2967" s="6"/>
      <c r="CF2967" s="6"/>
      <c r="CG2967" s="6"/>
      <c r="CH2967" s="6"/>
      <c r="CI2967" s="6"/>
      <c r="CJ2967" s="6"/>
      <c r="CK2967" s="6"/>
      <c r="CL2967" s="6"/>
      <c r="CM2967" s="6"/>
      <c r="CN2967" s="6"/>
      <c r="CO2967" s="6"/>
      <c r="CP2967" s="6"/>
      <c r="CQ2967" s="6"/>
      <c r="CR2967" s="6"/>
      <c r="CS2967" s="6"/>
      <c r="CT2967" s="6"/>
      <c r="CU2967" s="6"/>
      <c r="CV2967" s="6"/>
      <c r="CW2967" s="6"/>
      <c r="CX2967" s="6"/>
      <c r="CY2967" s="6"/>
      <c r="CZ2967" s="6"/>
    </row>
    <row r="2968" spans="27:104" s="5" customFormat="1" x14ac:dyDescent="0.25">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16"/>
      <c r="BC2968" s="6"/>
      <c r="BD2968" s="6"/>
      <c r="BE2968" s="6"/>
      <c r="BF2968" s="6"/>
      <c r="BG2968" s="6"/>
      <c r="BH2968" s="6"/>
      <c r="BI2968" s="6"/>
      <c r="BJ2968" s="6"/>
      <c r="BK2968" s="6"/>
      <c r="BL2968" s="6"/>
      <c r="BM2968" s="6"/>
      <c r="BN2968" s="6"/>
      <c r="BO2968" s="6"/>
      <c r="BP2968" s="6"/>
      <c r="BQ2968" s="6"/>
      <c r="BR2968" s="6"/>
      <c r="BS2968" s="6"/>
      <c r="BT2968" s="6"/>
      <c r="BU2968" s="6"/>
      <c r="BV2968" s="6"/>
      <c r="BW2968" s="6"/>
      <c r="BX2968" s="6"/>
      <c r="BY2968" s="6"/>
      <c r="BZ2968" s="6"/>
      <c r="CA2968" s="6"/>
      <c r="CB2968" s="6"/>
      <c r="CC2968" s="6"/>
      <c r="CD2968" s="6"/>
      <c r="CE2968" s="6"/>
      <c r="CF2968" s="6"/>
      <c r="CG2968" s="6"/>
      <c r="CH2968" s="6"/>
      <c r="CI2968" s="6"/>
      <c r="CJ2968" s="6"/>
      <c r="CK2968" s="6"/>
      <c r="CL2968" s="6"/>
      <c r="CM2968" s="6"/>
      <c r="CN2968" s="6"/>
      <c r="CO2968" s="6"/>
      <c r="CP2968" s="6"/>
      <c r="CQ2968" s="6"/>
      <c r="CR2968" s="6"/>
      <c r="CS2968" s="6"/>
      <c r="CT2968" s="6"/>
      <c r="CU2968" s="6"/>
      <c r="CV2968" s="6"/>
      <c r="CW2968" s="6"/>
      <c r="CX2968" s="6"/>
      <c r="CY2968" s="6"/>
      <c r="CZ2968" s="6"/>
    </row>
    <row r="2969" spans="27:104" s="5" customFormat="1" x14ac:dyDescent="0.25">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16"/>
      <c r="BC2969" s="6"/>
      <c r="BD2969" s="6"/>
      <c r="BE2969" s="6"/>
      <c r="BF2969" s="6"/>
      <c r="BG2969" s="6"/>
      <c r="BH2969" s="6"/>
      <c r="BI2969" s="6"/>
      <c r="BJ2969" s="6"/>
      <c r="BK2969" s="6"/>
      <c r="BL2969" s="6"/>
      <c r="BM2969" s="6"/>
      <c r="BN2969" s="6"/>
      <c r="BO2969" s="6"/>
      <c r="BP2969" s="6"/>
      <c r="BQ2969" s="6"/>
      <c r="BR2969" s="6"/>
      <c r="BS2969" s="6"/>
      <c r="BT2969" s="6"/>
      <c r="BU2969" s="6"/>
      <c r="BV2969" s="6"/>
      <c r="BW2969" s="6"/>
      <c r="BX2969" s="6"/>
      <c r="BY2969" s="6"/>
      <c r="BZ2969" s="6"/>
      <c r="CA2969" s="6"/>
      <c r="CB2969" s="6"/>
      <c r="CC2969" s="6"/>
      <c r="CD2969" s="6"/>
      <c r="CE2969" s="6"/>
      <c r="CF2969" s="6"/>
      <c r="CG2969" s="6"/>
      <c r="CH2969" s="6"/>
      <c r="CI2969" s="6"/>
      <c r="CJ2969" s="6"/>
      <c r="CK2969" s="6"/>
      <c r="CL2969" s="6"/>
      <c r="CM2969" s="6"/>
      <c r="CN2969" s="6"/>
      <c r="CO2969" s="6"/>
      <c r="CP2969" s="6"/>
      <c r="CQ2969" s="6"/>
      <c r="CR2969" s="6"/>
      <c r="CS2969" s="6"/>
      <c r="CT2969" s="6"/>
      <c r="CU2969" s="6"/>
      <c r="CV2969" s="6"/>
      <c r="CW2969" s="6"/>
      <c r="CX2969" s="6"/>
      <c r="CY2969" s="6"/>
      <c r="CZ2969" s="6"/>
    </row>
    <row r="2970" spans="27:104" s="5" customFormat="1" x14ac:dyDescent="0.25">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16"/>
      <c r="BC2970" s="6"/>
      <c r="BD2970" s="6"/>
      <c r="BE2970" s="6"/>
      <c r="BF2970" s="6"/>
      <c r="BG2970" s="6"/>
      <c r="BH2970" s="6"/>
      <c r="BI2970" s="6"/>
      <c r="BJ2970" s="6"/>
      <c r="BK2970" s="6"/>
      <c r="BL2970" s="6"/>
      <c r="BM2970" s="6"/>
      <c r="BN2970" s="6"/>
      <c r="BO2970" s="6"/>
      <c r="BP2970" s="6"/>
      <c r="BQ2970" s="6"/>
      <c r="BR2970" s="6"/>
      <c r="BS2970" s="6"/>
      <c r="BT2970" s="6"/>
      <c r="BU2970" s="6"/>
      <c r="BV2970" s="6"/>
      <c r="BW2970" s="6"/>
      <c r="BX2970" s="6"/>
      <c r="BY2970" s="6"/>
      <c r="BZ2970" s="6"/>
      <c r="CA2970" s="6"/>
      <c r="CB2970" s="6"/>
      <c r="CC2970" s="6"/>
      <c r="CD2970" s="6"/>
      <c r="CE2970" s="6"/>
      <c r="CF2970" s="6"/>
      <c r="CG2970" s="6"/>
      <c r="CH2970" s="6"/>
      <c r="CI2970" s="6"/>
      <c r="CJ2970" s="6"/>
      <c r="CK2970" s="6"/>
      <c r="CL2970" s="6"/>
      <c r="CM2970" s="6"/>
      <c r="CN2970" s="6"/>
      <c r="CO2970" s="6"/>
      <c r="CP2970" s="6"/>
      <c r="CQ2970" s="6"/>
      <c r="CR2970" s="6"/>
      <c r="CS2970" s="6"/>
      <c r="CT2970" s="6"/>
      <c r="CU2970" s="6"/>
      <c r="CV2970" s="6"/>
      <c r="CW2970" s="6"/>
      <c r="CX2970" s="6"/>
      <c r="CY2970" s="6"/>
      <c r="CZ2970" s="6"/>
    </row>
    <row r="2971" spans="27:104" s="5" customFormat="1" x14ac:dyDescent="0.25">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16"/>
      <c r="BC2971" s="6"/>
      <c r="BD2971" s="6"/>
      <c r="BE2971" s="6"/>
      <c r="BF2971" s="6"/>
      <c r="BG2971" s="6"/>
      <c r="BH2971" s="6"/>
      <c r="BI2971" s="6"/>
      <c r="BJ2971" s="6"/>
      <c r="BK2971" s="6"/>
      <c r="BL2971" s="6"/>
      <c r="BM2971" s="6"/>
      <c r="BN2971" s="6"/>
      <c r="BO2971" s="6"/>
      <c r="BP2971" s="6"/>
      <c r="BQ2971" s="6"/>
      <c r="BR2971" s="6"/>
      <c r="BS2971" s="6"/>
      <c r="BT2971" s="6"/>
      <c r="BU2971" s="6"/>
      <c r="BV2971" s="6"/>
      <c r="BW2971" s="6"/>
      <c r="BX2971" s="6"/>
      <c r="BY2971" s="6"/>
      <c r="BZ2971" s="6"/>
      <c r="CA2971" s="6"/>
      <c r="CB2971" s="6"/>
      <c r="CC2971" s="6"/>
      <c r="CD2971" s="6"/>
      <c r="CE2971" s="6"/>
      <c r="CF2971" s="6"/>
      <c r="CG2971" s="6"/>
      <c r="CH2971" s="6"/>
      <c r="CI2971" s="6"/>
      <c r="CJ2971" s="6"/>
      <c r="CK2971" s="6"/>
      <c r="CL2971" s="6"/>
      <c r="CM2971" s="6"/>
      <c r="CN2971" s="6"/>
      <c r="CO2971" s="6"/>
      <c r="CP2971" s="6"/>
      <c r="CQ2971" s="6"/>
      <c r="CR2971" s="6"/>
      <c r="CS2971" s="6"/>
      <c r="CT2971" s="6"/>
      <c r="CU2971" s="6"/>
      <c r="CV2971" s="6"/>
      <c r="CW2971" s="6"/>
      <c r="CX2971" s="6"/>
      <c r="CY2971" s="6"/>
      <c r="CZ2971" s="6"/>
    </row>
    <row r="2972" spans="27:104" s="5" customFormat="1" x14ac:dyDescent="0.25">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16"/>
      <c r="BC2972" s="6"/>
      <c r="BD2972" s="6"/>
      <c r="BE2972" s="6"/>
      <c r="BF2972" s="6"/>
      <c r="BG2972" s="6"/>
      <c r="BH2972" s="6"/>
      <c r="BI2972" s="6"/>
      <c r="BJ2972" s="6"/>
      <c r="BK2972" s="6"/>
      <c r="BL2972" s="6"/>
      <c r="BM2972" s="6"/>
      <c r="BN2972" s="6"/>
      <c r="BO2972" s="6"/>
      <c r="BP2972" s="6"/>
      <c r="BQ2972" s="6"/>
      <c r="BR2972" s="6"/>
      <c r="BS2972" s="6"/>
      <c r="BT2972" s="6"/>
      <c r="BU2972" s="6"/>
      <c r="BV2972" s="6"/>
      <c r="BW2972" s="6"/>
      <c r="BX2972" s="6"/>
      <c r="BY2972" s="6"/>
      <c r="BZ2972" s="6"/>
      <c r="CA2972" s="6"/>
      <c r="CB2972" s="6"/>
      <c r="CC2972" s="6"/>
      <c r="CD2972" s="6"/>
      <c r="CE2972" s="6"/>
      <c r="CF2972" s="6"/>
      <c r="CG2972" s="6"/>
      <c r="CH2972" s="6"/>
      <c r="CI2972" s="6"/>
      <c r="CJ2972" s="6"/>
      <c r="CK2972" s="6"/>
      <c r="CL2972" s="6"/>
      <c r="CM2972" s="6"/>
      <c r="CN2972" s="6"/>
      <c r="CO2972" s="6"/>
      <c r="CP2972" s="6"/>
      <c r="CQ2972" s="6"/>
      <c r="CR2972" s="6"/>
      <c r="CS2972" s="6"/>
      <c r="CT2972" s="6"/>
      <c r="CU2972" s="6"/>
      <c r="CV2972" s="6"/>
      <c r="CW2972" s="6"/>
      <c r="CX2972" s="6"/>
      <c r="CY2972" s="6"/>
      <c r="CZ2972" s="6"/>
    </row>
    <row r="2973" spans="27:104" s="5" customFormat="1" x14ac:dyDescent="0.25">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16"/>
      <c r="BC2973" s="6"/>
      <c r="BD2973" s="6"/>
      <c r="BE2973" s="6"/>
      <c r="BF2973" s="6"/>
      <c r="BG2973" s="6"/>
      <c r="BH2973" s="6"/>
      <c r="BI2973" s="6"/>
      <c r="BJ2973" s="6"/>
      <c r="BK2973" s="6"/>
      <c r="BL2973" s="6"/>
      <c r="BM2973" s="6"/>
      <c r="BN2973" s="6"/>
      <c r="BO2973" s="6"/>
      <c r="BP2973" s="6"/>
      <c r="BQ2973" s="6"/>
      <c r="BR2973" s="6"/>
      <c r="BS2973" s="6"/>
      <c r="BT2973" s="6"/>
      <c r="BU2973" s="6"/>
      <c r="BV2973" s="6"/>
      <c r="BW2973" s="6"/>
      <c r="BX2973" s="6"/>
      <c r="BY2973" s="6"/>
      <c r="BZ2973" s="6"/>
      <c r="CA2973" s="6"/>
      <c r="CB2973" s="6"/>
      <c r="CC2973" s="6"/>
      <c r="CD2973" s="6"/>
      <c r="CE2973" s="6"/>
      <c r="CF2973" s="6"/>
      <c r="CG2973" s="6"/>
      <c r="CH2973" s="6"/>
      <c r="CI2973" s="6"/>
      <c r="CJ2973" s="6"/>
      <c r="CK2973" s="6"/>
      <c r="CL2973" s="6"/>
      <c r="CM2973" s="6"/>
      <c r="CN2973" s="6"/>
      <c r="CO2973" s="6"/>
      <c r="CP2973" s="6"/>
      <c r="CQ2973" s="6"/>
      <c r="CR2973" s="6"/>
      <c r="CS2973" s="6"/>
      <c r="CT2973" s="6"/>
      <c r="CU2973" s="6"/>
      <c r="CV2973" s="6"/>
      <c r="CW2973" s="6"/>
      <c r="CX2973" s="6"/>
      <c r="CY2973" s="6"/>
      <c r="CZ2973" s="6"/>
    </row>
    <row r="2974" spans="27:104" s="5" customFormat="1" x14ac:dyDescent="0.25">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16"/>
      <c r="BC2974" s="6"/>
      <c r="BD2974" s="6"/>
      <c r="BE2974" s="6"/>
      <c r="BF2974" s="6"/>
      <c r="BG2974" s="6"/>
      <c r="BH2974" s="6"/>
      <c r="BI2974" s="6"/>
      <c r="BJ2974" s="6"/>
      <c r="BK2974" s="6"/>
      <c r="BL2974" s="6"/>
      <c r="BM2974" s="6"/>
      <c r="BN2974" s="6"/>
      <c r="BO2974" s="6"/>
      <c r="BP2974" s="6"/>
      <c r="BQ2974" s="6"/>
      <c r="BR2974" s="6"/>
      <c r="BS2974" s="6"/>
      <c r="BT2974" s="6"/>
      <c r="BU2974" s="6"/>
      <c r="BV2974" s="6"/>
      <c r="BW2974" s="6"/>
      <c r="BX2974" s="6"/>
      <c r="BY2974" s="6"/>
      <c r="BZ2974" s="6"/>
      <c r="CA2974" s="6"/>
      <c r="CB2974" s="6"/>
      <c r="CC2974" s="6"/>
      <c r="CD2974" s="6"/>
      <c r="CE2974" s="6"/>
      <c r="CF2974" s="6"/>
      <c r="CG2974" s="6"/>
      <c r="CH2974" s="6"/>
      <c r="CI2974" s="6"/>
      <c r="CJ2974" s="6"/>
      <c r="CK2974" s="6"/>
      <c r="CL2974" s="6"/>
      <c r="CM2974" s="6"/>
      <c r="CN2974" s="6"/>
      <c r="CO2974" s="6"/>
      <c r="CP2974" s="6"/>
      <c r="CQ2974" s="6"/>
      <c r="CR2974" s="6"/>
      <c r="CS2974" s="6"/>
      <c r="CT2974" s="6"/>
      <c r="CU2974" s="6"/>
      <c r="CV2974" s="6"/>
      <c r="CW2974" s="6"/>
      <c r="CX2974" s="6"/>
      <c r="CY2974" s="6"/>
      <c r="CZ2974" s="6"/>
    </row>
    <row r="2975" spans="27:104" s="5" customFormat="1" x14ac:dyDescent="0.25">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16"/>
      <c r="BC2975" s="6"/>
      <c r="BD2975" s="6"/>
      <c r="BE2975" s="6"/>
      <c r="BF2975" s="6"/>
      <c r="BG2975" s="6"/>
      <c r="BH2975" s="6"/>
      <c r="BI2975" s="6"/>
      <c r="BJ2975" s="6"/>
      <c r="BK2975" s="6"/>
      <c r="BL2975" s="6"/>
      <c r="BM2975" s="6"/>
      <c r="BN2975" s="6"/>
      <c r="BO2975" s="6"/>
      <c r="BP2975" s="6"/>
      <c r="BQ2975" s="6"/>
      <c r="BR2975" s="6"/>
      <c r="BS2975" s="6"/>
      <c r="BT2975" s="6"/>
      <c r="BU2975" s="6"/>
      <c r="BV2975" s="6"/>
      <c r="BW2975" s="6"/>
      <c r="BX2975" s="6"/>
      <c r="BY2975" s="6"/>
      <c r="BZ2975" s="6"/>
      <c r="CA2975" s="6"/>
      <c r="CB2975" s="6"/>
      <c r="CC2975" s="6"/>
      <c r="CD2975" s="6"/>
      <c r="CE2975" s="6"/>
      <c r="CF2975" s="6"/>
      <c r="CG2975" s="6"/>
      <c r="CH2975" s="6"/>
      <c r="CI2975" s="6"/>
      <c r="CJ2975" s="6"/>
      <c r="CK2975" s="6"/>
      <c r="CL2975" s="6"/>
      <c r="CM2975" s="6"/>
      <c r="CN2975" s="6"/>
      <c r="CO2975" s="6"/>
      <c r="CP2975" s="6"/>
      <c r="CQ2975" s="6"/>
      <c r="CR2975" s="6"/>
      <c r="CS2975" s="6"/>
      <c r="CT2975" s="6"/>
      <c r="CU2975" s="6"/>
      <c r="CV2975" s="6"/>
      <c r="CW2975" s="6"/>
      <c r="CX2975" s="6"/>
      <c r="CY2975" s="6"/>
      <c r="CZ2975" s="6"/>
    </row>
    <row r="2976" spans="27:104" s="5" customFormat="1" x14ac:dyDescent="0.25">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16"/>
      <c r="BC2976" s="6"/>
      <c r="BD2976" s="6"/>
      <c r="BE2976" s="6"/>
      <c r="BF2976" s="6"/>
      <c r="BG2976" s="6"/>
      <c r="BH2976" s="6"/>
      <c r="BI2976" s="6"/>
      <c r="BJ2976" s="6"/>
      <c r="BK2976" s="6"/>
      <c r="BL2976" s="6"/>
      <c r="BM2976" s="6"/>
      <c r="BN2976" s="6"/>
      <c r="BO2976" s="6"/>
      <c r="BP2976" s="6"/>
      <c r="BQ2976" s="6"/>
      <c r="BR2976" s="6"/>
      <c r="BS2976" s="6"/>
      <c r="BT2976" s="6"/>
      <c r="BU2976" s="6"/>
      <c r="BV2976" s="6"/>
      <c r="BW2976" s="6"/>
      <c r="BX2976" s="6"/>
      <c r="BY2976" s="6"/>
      <c r="BZ2976" s="6"/>
      <c r="CA2976" s="6"/>
      <c r="CB2976" s="6"/>
      <c r="CC2976" s="6"/>
      <c r="CD2976" s="6"/>
      <c r="CE2976" s="6"/>
      <c r="CF2976" s="6"/>
      <c r="CG2976" s="6"/>
      <c r="CH2976" s="6"/>
      <c r="CI2976" s="6"/>
      <c r="CJ2976" s="6"/>
      <c r="CK2976" s="6"/>
      <c r="CL2976" s="6"/>
      <c r="CM2976" s="6"/>
      <c r="CN2976" s="6"/>
      <c r="CO2976" s="6"/>
      <c r="CP2976" s="6"/>
      <c r="CQ2976" s="6"/>
      <c r="CR2976" s="6"/>
      <c r="CS2976" s="6"/>
      <c r="CT2976" s="6"/>
      <c r="CU2976" s="6"/>
      <c r="CV2976" s="6"/>
      <c r="CW2976" s="6"/>
      <c r="CX2976" s="6"/>
      <c r="CY2976" s="6"/>
      <c r="CZ2976" s="6"/>
    </row>
    <row r="2977" spans="27:104" s="5" customFormat="1" x14ac:dyDescent="0.25">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16"/>
      <c r="BC2977" s="6"/>
      <c r="BD2977" s="6"/>
      <c r="BE2977" s="6"/>
      <c r="BF2977" s="6"/>
      <c r="BG2977" s="6"/>
      <c r="BH2977" s="6"/>
      <c r="BI2977" s="6"/>
      <c r="BJ2977" s="6"/>
      <c r="BK2977" s="6"/>
      <c r="BL2977" s="6"/>
      <c r="BM2977" s="6"/>
      <c r="BN2977" s="6"/>
      <c r="BO2977" s="6"/>
      <c r="BP2977" s="6"/>
      <c r="BQ2977" s="6"/>
      <c r="BR2977" s="6"/>
      <c r="BS2977" s="6"/>
      <c r="BT2977" s="6"/>
      <c r="BU2977" s="6"/>
      <c r="BV2977" s="6"/>
      <c r="BW2977" s="6"/>
      <c r="BX2977" s="6"/>
      <c r="BY2977" s="6"/>
      <c r="BZ2977" s="6"/>
      <c r="CA2977" s="6"/>
      <c r="CB2977" s="6"/>
      <c r="CC2977" s="6"/>
      <c r="CD2977" s="6"/>
      <c r="CE2977" s="6"/>
      <c r="CF2977" s="6"/>
      <c r="CG2977" s="6"/>
      <c r="CH2977" s="6"/>
      <c r="CI2977" s="6"/>
      <c r="CJ2977" s="6"/>
      <c r="CK2977" s="6"/>
      <c r="CL2977" s="6"/>
      <c r="CM2977" s="6"/>
      <c r="CN2977" s="6"/>
      <c r="CO2977" s="6"/>
      <c r="CP2977" s="6"/>
      <c r="CQ2977" s="6"/>
      <c r="CR2977" s="6"/>
      <c r="CS2977" s="6"/>
      <c r="CT2977" s="6"/>
      <c r="CU2977" s="6"/>
      <c r="CV2977" s="6"/>
      <c r="CW2977" s="6"/>
      <c r="CX2977" s="6"/>
      <c r="CY2977" s="6"/>
      <c r="CZ2977" s="6"/>
    </row>
    <row r="2978" spans="27:104" s="5" customFormat="1" x14ac:dyDescent="0.25">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16"/>
      <c r="BC2978" s="6"/>
      <c r="BD2978" s="6"/>
      <c r="BE2978" s="6"/>
      <c r="BF2978" s="6"/>
      <c r="BG2978" s="6"/>
      <c r="BH2978" s="6"/>
      <c r="BI2978" s="6"/>
      <c r="BJ2978" s="6"/>
      <c r="BK2978" s="6"/>
      <c r="BL2978" s="6"/>
      <c r="BM2978" s="6"/>
      <c r="BN2978" s="6"/>
      <c r="BO2978" s="6"/>
      <c r="BP2978" s="6"/>
      <c r="BQ2978" s="6"/>
      <c r="BR2978" s="6"/>
      <c r="BS2978" s="6"/>
      <c r="BT2978" s="6"/>
      <c r="BU2978" s="6"/>
      <c r="BV2978" s="6"/>
      <c r="BW2978" s="6"/>
      <c r="BX2978" s="6"/>
      <c r="BY2978" s="6"/>
      <c r="BZ2978" s="6"/>
      <c r="CA2978" s="6"/>
      <c r="CB2978" s="6"/>
      <c r="CC2978" s="6"/>
      <c r="CD2978" s="6"/>
      <c r="CE2978" s="6"/>
      <c r="CF2978" s="6"/>
      <c r="CG2978" s="6"/>
      <c r="CH2978" s="6"/>
      <c r="CI2978" s="6"/>
      <c r="CJ2978" s="6"/>
      <c r="CK2978" s="6"/>
      <c r="CL2978" s="6"/>
      <c r="CM2978" s="6"/>
      <c r="CN2978" s="6"/>
      <c r="CO2978" s="6"/>
      <c r="CP2978" s="6"/>
      <c r="CQ2978" s="6"/>
      <c r="CR2978" s="6"/>
      <c r="CS2978" s="6"/>
      <c r="CT2978" s="6"/>
      <c r="CU2978" s="6"/>
      <c r="CV2978" s="6"/>
      <c r="CW2978" s="6"/>
      <c r="CX2978" s="6"/>
      <c r="CY2978" s="6"/>
      <c r="CZ2978" s="6"/>
    </row>
    <row r="2979" spans="27:104" s="5" customFormat="1" x14ac:dyDescent="0.25">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16"/>
      <c r="BC2979" s="6"/>
      <c r="BD2979" s="6"/>
      <c r="BE2979" s="6"/>
      <c r="BF2979" s="6"/>
      <c r="BG2979" s="6"/>
      <c r="BH2979" s="6"/>
      <c r="BI2979" s="6"/>
      <c r="BJ2979" s="6"/>
      <c r="BK2979" s="6"/>
      <c r="BL2979" s="6"/>
      <c r="BM2979" s="6"/>
      <c r="BN2979" s="6"/>
      <c r="BO2979" s="6"/>
      <c r="BP2979" s="6"/>
      <c r="BQ2979" s="6"/>
      <c r="BR2979" s="6"/>
      <c r="BS2979" s="6"/>
      <c r="BT2979" s="6"/>
      <c r="BU2979" s="6"/>
      <c r="BV2979" s="6"/>
      <c r="BW2979" s="6"/>
      <c r="BX2979" s="6"/>
      <c r="BY2979" s="6"/>
      <c r="BZ2979" s="6"/>
      <c r="CA2979" s="6"/>
      <c r="CB2979" s="6"/>
      <c r="CC2979" s="6"/>
      <c r="CD2979" s="6"/>
      <c r="CE2979" s="6"/>
      <c r="CF2979" s="6"/>
      <c r="CG2979" s="6"/>
      <c r="CH2979" s="6"/>
      <c r="CI2979" s="6"/>
      <c r="CJ2979" s="6"/>
      <c r="CK2979" s="6"/>
      <c r="CL2979" s="6"/>
      <c r="CM2979" s="6"/>
      <c r="CN2979" s="6"/>
      <c r="CO2979" s="6"/>
      <c r="CP2979" s="6"/>
      <c r="CQ2979" s="6"/>
      <c r="CR2979" s="6"/>
      <c r="CS2979" s="6"/>
      <c r="CT2979" s="6"/>
      <c r="CU2979" s="6"/>
      <c r="CV2979" s="6"/>
      <c r="CW2979" s="6"/>
      <c r="CX2979" s="6"/>
      <c r="CY2979" s="6"/>
      <c r="CZ2979" s="6"/>
    </row>
    <row r="2980" spans="27:104" s="5" customFormat="1" x14ac:dyDescent="0.25">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16"/>
      <c r="BC2980" s="6"/>
      <c r="BD2980" s="6"/>
      <c r="BE2980" s="6"/>
      <c r="BF2980" s="6"/>
      <c r="BG2980" s="6"/>
      <c r="BH2980" s="6"/>
      <c r="BI2980" s="6"/>
      <c r="BJ2980" s="6"/>
      <c r="BK2980" s="6"/>
      <c r="BL2980" s="6"/>
      <c r="BM2980" s="6"/>
      <c r="BN2980" s="6"/>
      <c r="BO2980" s="6"/>
      <c r="BP2980" s="6"/>
      <c r="BQ2980" s="6"/>
      <c r="BR2980" s="6"/>
      <c r="BS2980" s="6"/>
      <c r="BT2980" s="6"/>
      <c r="BU2980" s="6"/>
      <c r="BV2980" s="6"/>
      <c r="BW2980" s="6"/>
      <c r="BX2980" s="6"/>
      <c r="BY2980" s="6"/>
      <c r="BZ2980" s="6"/>
      <c r="CA2980" s="6"/>
      <c r="CB2980" s="6"/>
      <c r="CC2980" s="6"/>
      <c r="CD2980" s="6"/>
      <c r="CE2980" s="6"/>
      <c r="CF2980" s="6"/>
      <c r="CG2980" s="6"/>
      <c r="CH2980" s="6"/>
      <c r="CI2980" s="6"/>
      <c r="CJ2980" s="6"/>
      <c r="CK2980" s="6"/>
      <c r="CL2980" s="6"/>
      <c r="CM2980" s="6"/>
      <c r="CN2980" s="6"/>
      <c r="CO2980" s="6"/>
      <c r="CP2980" s="6"/>
      <c r="CQ2980" s="6"/>
      <c r="CR2980" s="6"/>
      <c r="CS2980" s="6"/>
      <c r="CT2980" s="6"/>
      <c r="CU2980" s="6"/>
      <c r="CV2980" s="6"/>
      <c r="CW2980" s="6"/>
      <c r="CX2980" s="6"/>
      <c r="CY2980" s="6"/>
      <c r="CZ2980" s="6"/>
    </row>
    <row r="2981" spans="27:104" s="5" customFormat="1" x14ac:dyDescent="0.25">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16"/>
      <c r="BC2981" s="6"/>
      <c r="BD2981" s="6"/>
      <c r="BE2981" s="6"/>
      <c r="BF2981" s="6"/>
      <c r="BG2981" s="6"/>
      <c r="BH2981" s="6"/>
      <c r="BI2981" s="6"/>
      <c r="BJ2981" s="6"/>
      <c r="BK2981" s="6"/>
      <c r="BL2981" s="6"/>
      <c r="BM2981" s="6"/>
      <c r="BN2981" s="6"/>
      <c r="BO2981" s="6"/>
      <c r="BP2981" s="6"/>
      <c r="BQ2981" s="6"/>
      <c r="BR2981" s="6"/>
      <c r="BS2981" s="6"/>
      <c r="BT2981" s="6"/>
      <c r="BU2981" s="6"/>
      <c r="BV2981" s="6"/>
      <c r="BW2981" s="6"/>
      <c r="BX2981" s="6"/>
      <c r="BY2981" s="6"/>
      <c r="BZ2981" s="6"/>
      <c r="CA2981" s="6"/>
      <c r="CB2981" s="6"/>
      <c r="CC2981" s="6"/>
      <c r="CD2981" s="6"/>
      <c r="CE2981" s="6"/>
      <c r="CF2981" s="6"/>
      <c r="CG2981" s="6"/>
      <c r="CH2981" s="6"/>
      <c r="CI2981" s="6"/>
      <c r="CJ2981" s="6"/>
      <c r="CK2981" s="6"/>
      <c r="CL2981" s="6"/>
      <c r="CM2981" s="6"/>
      <c r="CN2981" s="6"/>
      <c r="CO2981" s="6"/>
      <c r="CP2981" s="6"/>
      <c r="CQ2981" s="6"/>
      <c r="CR2981" s="6"/>
      <c r="CS2981" s="6"/>
      <c r="CT2981" s="6"/>
      <c r="CU2981" s="6"/>
      <c r="CV2981" s="6"/>
      <c r="CW2981" s="6"/>
      <c r="CX2981" s="6"/>
      <c r="CY2981" s="6"/>
      <c r="CZ2981" s="6"/>
    </row>
    <row r="2982" spans="27:104" s="5" customFormat="1" x14ac:dyDescent="0.25">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16"/>
      <c r="BC2982" s="6"/>
      <c r="BD2982" s="6"/>
      <c r="BE2982" s="6"/>
      <c r="BF2982" s="6"/>
      <c r="BG2982" s="6"/>
      <c r="BH2982" s="6"/>
      <c r="BI2982" s="6"/>
      <c r="BJ2982" s="6"/>
      <c r="BK2982" s="6"/>
      <c r="BL2982" s="6"/>
      <c r="BM2982" s="6"/>
      <c r="BN2982" s="6"/>
      <c r="BO2982" s="6"/>
      <c r="BP2982" s="6"/>
      <c r="BQ2982" s="6"/>
      <c r="BR2982" s="6"/>
      <c r="BS2982" s="6"/>
      <c r="BT2982" s="6"/>
      <c r="BU2982" s="6"/>
      <c r="BV2982" s="6"/>
      <c r="BW2982" s="6"/>
      <c r="BX2982" s="6"/>
      <c r="BY2982" s="6"/>
      <c r="BZ2982" s="6"/>
      <c r="CA2982" s="6"/>
      <c r="CB2982" s="6"/>
      <c r="CC2982" s="6"/>
      <c r="CD2982" s="6"/>
      <c r="CE2982" s="6"/>
      <c r="CF2982" s="6"/>
      <c r="CG2982" s="6"/>
      <c r="CH2982" s="6"/>
      <c r="CI2982" s="6"/>
      <c r="CJ2982" s="6"/>
      <c r="CK2982" s="6"/>
      <c r="CL2982" s="6"/>
      <c r="CM2982" s="6"/>
      <c r="CN2982" s="6"/>
      <c r="CO2982" s="6"/>
      <c r="CP2982" s="6"/>
      <c r="CQ2982" s="6"/>
      <c r="CR2982" s="6"/>
      <c r="CS2982" s="6"/>
      <c r="CT2982" s="6"/>
      <c r="CU2982" s="6"/>
      <c r="CV2982" s="6"/>
      <c r="CW2982" s="6"/>
      <c r="CX2982" s="6"/>
      <c r="CY2982" s="6"/>
      <c r="CZ2982" s="6"/>
    </row>
    <row r="2983" spans="27:104" s="5" customFormat="1" x14ac:dyDescent="0.25">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16"/>
      <c r="BC2983" s="6"/>
      <c r="BD2983" s="6"/>
      <c r="BE2983" s="6"/>
      <c r="BF2983" s="6"/>
      <c r="BG2983" s="6"/>
      <c r="BH2983" s="6"/>
      <c r="BI2983" s="6"/>
      <c r="BJ2983" s="6"/>
      <c r="BK2983" s="6"/>
      <c r="BL2983" s="6"/>
      <c r="BM2983" s="6"/>
      <c r="BN2983" s="6"/>
      <c r="BO2983" s="6"/>
      <c r="BP2983" s="6"/>
      <c r="BQ2983" s="6"/>
      <c r="BR2983" s="6"/>
      <c r="BS2983" s="6"/>
      <c r="BT2983" s="6"/>
      <c r="BU2983" s="6"/>
      <c r="BV2983" s="6"/>
      <c r="BW2983" s="6"/>
      <c r="BX2983" s="6"/>
      <c r="BY2983" s="6"/>
      <c r="BZ2983" s="6"/>
      <c r="CA2983" s="6"/>
      <c r="CB2983" s="6"/>
      <c r="CC2983" s="6"/>
      <c r="CD2983" s="6"/>
      <c r="CE2983" s="6"/>
      <c r="CF2983" s="6"/>
      <c r="CG2983" s="6"/>
      <c r="CH2983" s="6"/>
      <c r="CI2983" s="6"/>
      <c r="CJ2983" s="6"/>
      <c r="CK2983" s="6"/>
      <c r="CL2983" s="6"/>
      <c r="CM2983" s="6"/>
      <c r="CN2983" s="6"/>
      <c r="CO2983" s="6"/>
      <c r="CP2983" s="6"/>
      <c r="CQ2983" s="6"/>
      <c r="CR2983" s="6"/>
      <c r="CS2983" s="6"/>
      <c r="CT2983" s="6"/>
      <c r="CU2983" s="6"/>
      <c r="CV2983" s="6"/>
      <c r="CW2983" s="6"/>
      <c r="CX2983" s="6"/>
      <c r="CY2983" s="6"/>
      <c r="CZ2983" s="6"/>
    </row>
    <row r="2984" spans="27:104" s="5" customFormat="1" x14ac:dyDescent="0.25">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16"/>
      <c r="BC2984" s="6"/>
      <c r="BD2984" s="6"/>
      <c r="BE2984" s="6"/>
      <c r="BF2984" s="6"/>
      <c r="BG2984" s="6"/>
      <c r="BH2984" s="6"/>
      <c r="BI2984" s="6"/>
      <c r="BJ2984" s="6"/>
      <c r="BK2984" s="6"/>
      <c r="BL2984" s="6"/>
      <c r="BM2984" s="6"/>
      <c r="BN2984" s="6"/>
      <c r="BO2984" s="6"/>
      <c r="BP2984" s="6"/>
      <c r="BQ2984" s="6"/>
      <c r="BR2984" s="6"/>
      <c r="BS2984" s="6"/>
      <c r="BT2984" s="6"/>
      <c r="BU2984" s="6"/>
      <c r="BV2984" s="6"/>
      <c r="BW2984" s="6"/>
      <c r="BX2984" s="6"/>
      <c r="BY2984" s="6"/>
      <c r="BZ2984" s="6"/>
      <c r="CA2984" s="6"/>
      <c r="CB2984" s="6"/>
      <c r="CC2984" s="6"/>
      <c r="CD2984" s="6"/>
      <c r="CE2984" s="6"/>
      <c r="CF2984" s="6"/>
      <c r="CG2984" s="6"/>
      <c r="CH2984" s="6"/>
      <c r="CI2984" s="6"/>
      <c r="CJ2984" s="6"/>
      <c r="CK2984" s="6"/>
      <c r="CL2984" s="6"/>
      <c r="CM2984" s="6"/>
      <c r="CN2984" s="6"/>
      <c r="CO2984" s="6"/>
      <c r="CP2984" s="6"/>
      <c r="CQ2984" s="6"/>
      <c r="CR2984" s="6"/>
      <c r="CS2984" s="6"/>
      <c r="CT2984" s="6"/>
      <c r="CU2984" s="6"/>
      <c r="CV2984" s="6"/>
      <c r="CW2984" s="6"/>
      <c r="CX2984" s="6"/>
      <c r="CY2984" s="6"/>
      <c r="CZ2984" s="6"/>
    </row>
    <row r="2985" spans="27:104" s="5" customFormat="1" x14ac:dyDescent="0.25">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16"/>
      <c r="BC2985" s="6"/>
      <c r="BD2985" s="6"/>
      <c r="BE2985" s="6"/>
      <c r="BF2985" s="6"/>
      <c r="BG2985" s="6"/>
      <c r="BH2985" s="6"/>
      <c r="BI2985" s="6"/>
      <c r="BJ2985" s="6"/>
      <c r="BK2985" s="6"/>
      <c r="BL2985" s="6"/>
      <c r="BM2985" s="6"/>
      <c r="BN2985" s="6"/>
      <c r="BO2985" s="6"/>
      <c r="BP2985" s="6"/>
      <c r="BQ2985" s="6"/>
      <c r="BR2985" s="6"/>
      <c r="BS2985" s="6"/>
      <c r="BT2985" s="6"/>
      <c r="BU2985" s="6"/>
      <c r="BV2985" s="6"/>
      <c r="BW2985" s="6"/>
      <c r="BX2985" s="6"/>
      <c r="BY2985" s="6"/>
      <c r="BZ2985" s="6"/>
      <c r="CA2985" s="6"/>
      <c r="CB2985" s="6"/>
      <c r="CC2985" s="6"/>
      <c r="CD2985" s="6"/>
      <c r="CE2985" s="6"/>
      <c r="CF2985" s="6"/>
      <c r="CG2985" s="6"/>
      <c r="CH2985" s="6"/>
      <c r="CI2985" s="6"/>
      <c r="CJ2985" s="6"/>
      <c r="CK2985" s="6"/>
      <c r="CL2985" s="6"/>
      <c r="CM2985" s="6"/>
      <c r="CN2985" s="6"/>
      <c r="CO2985" s="6"/>
      <c r="CP2985" s="6"/>
      <c r="CQ2985" s="6"/>
      <c r="CR2985" s="6"/>
      <c r="CS2985" s="6"/>
      <c r="CT2985" s="6"/>
      <c r="CU2985" s="6"/>
      <c r="CV2985" s="6"/>
      <c r="CW2985" s="6"/>
      <c r="CX2985" s="6"/>
      <c r="CY2985" s="6"/>
      <c r="CZ2985" s="6"/>
    </row>
    <row r="2986" spans="27:104" s="5" customFormat="1" x14ac:dyDescent="0.25">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16"/>
      <c r="BC2986" s="6"/>
      <c r="BD2986" s="6"/>
      <c r="BE2986" s="6"/>
      <c r="BF2986" s="6"/>
      <c r="BG2986" s="6"/>
      <c r="BH2986" s="6"/>
      <c r="BI2986" s="6"/>
      <c r="BJ2986" s="6"/>
      <c r="BK2986" s="6"/>
      <c r="BL2986" s="6"/>
      <c r="BM2986" s="6"/>
      <c r="BN2986" s="6"/>
      <c r="BO2986" s="6"/>
      <c r="BP2986" s="6"/>
      <c r="BQ2986" s="6"/>
      <c r="BR2986" s="6"/>
      <c r="BS2986" s="6"/>
      <c r="BT2986" s="6"/>
      <c r="BU2986" s="6"/>
      <c r="BV2986" s="6"/>
      <c r="BW2986" s="6"/>
      <c r="BX2986" s="6"/>
      <c r="BY2986" s="6"/>
      <c r="BZ2986" s="6"/>
      <c r="CA2986" s="6"/>
      <c r="CB2986" s="6"/>
      <c r="CC2986" s="6"/>
      <c r="CD2986" s="6"/>
      <c r="CE2986" s="6"/>
      <c r="CF2986" s="6"/>
      <c r="CG2986" s="6"/>
      <c r="CH2986" s="6"/>
      <c r="CI2986" s="6"/>
      <c r="CJ2986" s="6"/>
      <c r="CK2986" s="6"/>
      <c r="CL2986" s="6"/>
      <c r="CM2986" s="6"/>
      <c r="CN2986" s="6"/>
      <c r="CO2986" s="6"/>
      <c r="CP2986" s="6"/>
      <c r="CQ2986" s="6"/>
      <c r="CR2986" s="6"/>
      <c r="CS2986" s="6"/>
      <c r="CT2986" s="6"/>
      <c r="CU2986" s="6"/>
      <c r="CV2986" s="6"/>
      <c r="CW2986" s="6"/>
      <c r="CX2986" s="6"/>
      <c r="CY2986" s="6"/>
      <c r="CZ2986" s="6"/>
    </row>
    <row r="2987" spans="27:104" s="5" customFormat="1" x14ac:dyDescent="0.25">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16"/>
      <c r="BC2987" s="6"/>
      <c r="BD2987" s="6"/>
      <c r="BE2987" s="6"/>
      <c r="BF2987" s="6"/>
      <c r="BG2987" s="6"/>
      <c r="BH2987" s="6"/>
      <c r="BI2987" s="6"/>
      <c r="BJ2987" s="6"/>
      <c r="BK2987" s="6"/>
      <c r="BL2987" s="6"/>
      <c r="BM2987" s="6"/>
      <c r="BN2987" s="6"/>
      <c r="BO2987" s="6"/>
      <c r="BP2987" s="6"/>
      <c r="BQ2987" s="6"/>
      <c r="BR2987" s="6"/>
      <c r="BS2987" s="6"/>
      <c r="BT2987" s="6"/>
      <c r="BU2987" s="6"/>
      <c r="BV2987" s="6"/>
      <c r="BW2987" s="6"/>
      <c r="BX2987" s="6"/>
      <c r="BY2987" s="6"/>
      <c r="BZ2987" s="6"/>
      <c r="CA2987" s="6"/>
      <c r="CB2987" s="6"/>
      <c r="CC2987" s="6"/>
      <c r="CD2987" s="6"/>
      <c r="CE2987" s="6"/>
      <c r="CF2987" s="6"/>
      <c r="CG2987" s="6"/>
      <c r="CH2987" s="6"/>
      <c r="CI2987" s="6"/>
      <c r="CJ2987" s="6"/>
      <c r="CK2987" s="6"/>
      <c r="CL2987" s="6"/>
      <c r="CM2987" s="6"/>
      <c r="CN2987" s="6"/>
      <c r="CO2987" s="6"/>
      <c r="CP2987" s="6"/>
      <c r="CQ2987" s="6"/>
      <c r="CR2987" s="6"/>
      <c r="CS2987" s="6"/>
      <c r="CT2987" s="6"/>
      <c r="CU2987" s="6"/>
      <c r="CV2987" s="6"/>
      <c r="CW2987" s="6"/>
      <c r="CX2987" s="6"/>
      <c r="CY2987" s="6"/>
      <c r="CZ2987" s="6"/>
    </row>
    <row r="2988" spans="27:104" s="5" customFormat="1" x14ac:dyDescent="0.25">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16"/>
      <c r="BC2988" s="6"/>
      <c r="BD2988" s="6"/>
      <c r="BE2988" s="6"/>
      <c r="BF2988" s="6"/>
      <c r="BG2988" s="6"/>
      <c r="BH2988" s="6"/>
      <c r="BI2988" s="6"/>
      <c r="BJ2988" s="6"/>
      <c r="BK2988" s="6"/>
      <c r="BL2988" s="6"/>
      <c r="BM2988" s="6"/>
      <c r="BN2988" s="6"/>
      <c r="BO2988" s="6"/>
      <c r="BP2988" s="6"/>
      <c r="BQ2988" s="6"/>
      <c r="BR2988" s="6"/>
      <c r="BS2988" s="6"/>
      <c r="BT2988" s="6"/>
      <c r="BU2988" s="6"/>
      <c r="BV2988" s="6"/>
      <c r="BW2988" s="6"/>
      <c r="BX2988" s="6"/>
      <c r="BY2988" s="6"/>
      <c r="BZ2988" s="6"/>
      <c r="CA2988" s="6"/>
      <c r="CB2988" s="6"/>
      <c r="CC2988" s="6"/>
      <c r="CD2988" s="6"/>
      <c r="CE2988" s="6"/>
      <c r="CF2988" s="6"/>
      <c r="CG2988" s="6"/>
      <c r="CH2988" s="6"/>
      <c r="CI2988" s="6"/>
      <c r="CJ2988" s="6"/>
      <c r="CK2988" s="6"/>
      <c r="CL2988" s="6"/>
      <c r="CM2988" s="6"/>
      <c r="CN2988" s="6"/>
      <c r="CO2988" s="6"/>
      <c r="CP2988" s="6"/>
      <c r="CQ2988" s="6"/>
      <c r="CR2988" s="6"/>
      <c r="CS2988" s="6"/>
      <c r="CT2988" s="6"/>
      <c r="CU2988" s="6"/>
      <c r="CV2988" s="6"/>
      <c r="CW2988" s="6"/>
      <c r="CX2988" s="6"/>
      <c r="CY2988" s="6"/>
      <c r="CZ2988" s="6"/>
    </row>
    <row r="2989" spans="27:104" s="5" customFormat="1" x14ac:dyDescent="0.25">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16"/>
      <c r="BC2989" s="6"/>
      <c r="BD2989" s="6"/>
      <c r="BE2989" s="6"/>
      <c r="BF2989" s="6"/>
      <c r="BG2989" s="6"/>
      <c r="BH2989" s="6"/>
      <c r="BI2989" s="6"/>
      <c r="BJ2989" s="6"/>
      <c r="BK2989" s="6"/>
      <c r="BL2989" s="6"/>
      <c r="BM2989" s="6"/>
      <c r="BN2989" s="6"/>
      <c r="BO2989" s="6"/>
      <c r="BP2989" s="6"/>
      <c r="BQ2989" s="6"/>
      <c r="BR2989" s="6"/>
      <c r="BS2989" s="6"/>
      <c r="BT2989" s="6"/>
      <c r="BU2989" s="6"/>
      <c r="BV2989" s="6"/>
      <c r="BW2989" s="6"/>
      <c r="BX2989" s="6"/>
      <c r="BY2989" s="6"/>
      <c r="BZ2989" s="6"/>
      <c r="CA2989" s="6"/>
      <c r="CB2989" s="6"/>
      <c r="CC2989" s="6"/>
      <c r="CD2989" s="6"/>
      <c r="CE2989" s="6"/>
      <c r="CF2989" s="6"/>
      <c r="CG2989" s="6"/>
      <c r="CH2989" s="6"/>
      <c r="CI2989" s="6"/>
      <c r="CJ2989" s="6"/>
      <c r="CK2989" s="6"/>
      <c r="CL2989" s="6"/>
      <c r="CM2989" s="6"/>
      <c r="CN2989" s="6"/>
      <c r="CO2989" s="6"/>
      <c r="CP2989" s="6"/>
      <c r="CQ2989" s="6"/>
      <c r="CR2989" s="6"/>
      <c r="CS2989" s="6"/>
      <c r="CT2989" s="6"/>
      <c r="CU2989" s="6"/>
      <c r="CV2989" s="6"/>
      <c r="CW2989" s="6"/>
      <c r="CX2989" s="6"/>
      <c r="CY2989" s="6"/>
      <c r="CZ2989" s="6"/>
    </row>
    <row r="2990" spans="27:104" s="5" customFormat="1" x14ac:dyDescent="0.25">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16"/>
      <c r="BC2990" s="6"/>
      <c r="BD2990" s="6"/>
      <c r="BE2990" s="6"/>
      <c r="BF2990" s="6"/>
      <c r="BG2990" s="6"/>
      <c r="BH2990" s="6"/>
      <c r="BI2990" s="6"/>
      <c r="BJ2990" s="6"/>
      <c r="BK2990" s="6"/>
      <c r="BL2990" s="6"/>
      <c r="BM2990" s="6"/>
      <c r="BN2990" s="6"/>
      <c r="BO2990" s="6"/>
      <c r="BP2990" s="6"/>
      <c r="BQ2990" s="6"/>
      <c r="BR2990" s="6"/>
      <c r="BS2990" s="6"/>
      <c r="BT2990" s="6"/>
      <c r="BU2990" s="6"/>
      <c r="BV2990" s="6"/>
      <c r="BW2990" s="6"/>
      <c r="BX2990" s="6"/>
      <c r="BY2990" s="6"/>
      <c r="BZ2990" s="6"/>
      <c r="CA2990" s="6"/>
      <c r="CB2990" s="6"/>
      <c r="CC2990" s="6"/>
      <c r="CD2990" s="6"/>
      <c r="CE2990" s="6"/>
      <c r="CF2990" s="6"/>
      <c r="CG2990" s="6"/>
      <c r="CH2990" s="6"/>
      <c r="CI2990" s="6"/>
      <c r="CJ2990" s="6"/>
      <c r="CK2990" s="6"/>
      <c r="CL2990" s="6"/>
      <c r="CM2990" s="6"/>
      <c r="CN2990" s="6"/>
      <c r="CO2990" s="6"/>
      <c r="CP2990" s="6"/>
      <c r="CQ2990" s="6"/>
      <c r="CR2990" s="6"/>
      <c r="CS2990" s="6"/>
      <c r="CT2990" s="6"/>
      <c r="CU2990" s="6"/>
      <c r="CV2990" s="6"/>
      <c r="CW2990" s="6"/>
      <c r="CX2990" s="6"/>
      <c r="CY2990" s="6"/>
      <c r="CZ2990" s="6"/>
    </row>
    <row r="2991" spans="27:104" s="5" customFormat="1" x14ac:dyDescent="0.25">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16"/>
      <c r="BC2991" s="6"/>
      <c r="BD2991" s="6"/>
      <c r="BE2991" s="6"/>
      <c r="BF2991" s="6"/>
      <c r="BG2991" s="6"/>
      <c r="BH2991" s="6"/>
      <c r="BI2991" s="6"/>
      <c r="BJ2991" s="6"/>
      <c r="BK2991" s="6"/>
      <c r="BL2991" s="6"/>
      <c r="BM2991" s="6"/>
      <c r="BN2991" s="6"/>
      <c r="BO2991" s="6"/>
      <c r="BP2991" s="6"/>
      <c r="BQ2991" s="6"/>
      <c r="BR2991" s="6"/>
      <c r="BS2991" s="6"/>
      <c r="BT2991" s="6"/>
      <c r="BU2991" s="6"/>
      <c r="BV2991" s="6"/>
      <c r="BW2991" s="6"/>
      <c r="BX2991" s="6"/>
      <c r="BY2991" s="6"/>
      <c r="BZ2991" s="6"/>
      <c r="CA2991" s="6"/>
      <c r="CB2991" s="6"/>
      <c r="CC2991" s="6"/>
      <c r="CD2991" s="6"/>
      <c r="CE2991" s="6"/>
      <c r="CF2991" s="6"/>
      <c r="CG2991" s="6"/>
      <c r="CH2991" s="6"/>
      <c r="CI2991" s="6"/>
      <c r="CJ2991" s="6"/>
      <c r="CK2991" s="6"/>
      <c r="CL2991" s="6"/>
      <c r="CM2991" s="6"/>
      <c r="CN2991" s="6"/>
      <c r="CO2991" s="6"/>
      <c r="CP2991" s="6"/>
      <c r="CQ2991" s="6"/>
      <c r="CR2991" s="6"/>
      <c r="CS2991" s="6"/>
      <c r="CT2991" s="6"/>
      <c r="CU2991" s="6"/>
      <c r="CV2991" s="6"/>
      <c r="CW2991" s="6"/>
      <c r="CX2991" s="6"/>
      <c r="CY2991" s="6"/>
      <c r="CZ2991" s="6"/>
    </row>
    <row r="2992" spans="27:104" s="5" customFormat="1" x14ac:dyDescent="0.25">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16"/>
      <c r="BC2992" s="6"/>
      <c r="BD2992" s="6"/>
      <c r="BE2992" s="6"/>
      <c r="BF2992" s="6"/>
      <c r="BG2992" s="6"/>
      <c r="BH2992" s="6"/>
      <c r="BI2992" s="6"/>
      <c r="BJ2992" s="6"/>
      <c r="BK2992" s="6"/>
      <c r="BL2992" s="6"/>
      <c r="BM2992" s="6"/>
      <c r="BN2992" s="6"/>
      <c r="BO2992" s="6"/>
      <c r="BP2992" s="6"/>
      <c r="BQ2992" s="6"/>
      <c r="BR2992" s="6"/>
      <c r="BS2992" s="6"/>
      <c r="BT2992" s="6"/>
      <c r="BU2992" s="6"/>
      <c r="BV2992" s="6"/>
      <c r="BW2992" s="6"/>
      <c r="BX2992" s="6"/>
      <c r="BY2992" s="6"/>
      <c r="BZ2992" s="6"/>
      <c r="CA2992" s="6"/>
      <c r="CB2992" s="6"/>
      <c r="CC2992" s="6"/>
      <c r="CD2992" s="6"/>
      <c r="CE2992" s="6"/>
      <c r="CF2992" s="6"/>
      <c r="CG2992" s="6"/>
      <c r="CH2992" s="6"/>
      <c r="CI2992" s="6"/>
      <c r="CJ2992" s="6"/>
      <c r="CK2992" s="6"/>
      <c r="CL2992" s="6"/>
      <c r="CM2992" s="6"/>
      <c r="CN2992" s="6"/>
      <c r="CO2992" s="6"/>
      <c r="CP2992" s="6"/>
      <c r="CQ2992" s="6"/>
      <c r="CR2992" s="6"/>
      <c r="CS2992" s="6"/>
      <c r="CT2992" s="6"/>
      <c r="CU2992" s="6"/>
      <c r="CV2992" s="6"/>
      <c r="CW2992" s="6"/>
      <c r="CX2992" s="6"/>
      <c r="CY2992" s="6"/>
      <c r="CZ2992" s="6"/>
    </row>
    <row r="2993" spans="27:104" s="5" customFormat="1" x14ac:dyDescent="0.25">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16"/>
      <c r="BC2993" s="6"/>
      <c r="BD2993" s="6"/>
      <c r="BE2993" s="6"/>
      <c r="BF2993" s="6"/>
      <c r="BG2993" s="6"/>
      <c r="BH2993" s="6"/>
      <c r="BI2993" s="6"/>
      <c r="BJ2993" s="6"/>
      <c r="BK2993" s="6"/>
      <c r="BL2993" s="6"/>
      <c r="BM2993" s="6"/>
      <c r="BN2993" s="6"/>
      <c r="BO2993" s="6"/>
      <c r="BP2993" s="6"/>
      <c r="BQ2993" s="6"/>
      <c r="BR2993" s="6"/>
      <c r="BS2993" s="6"/>
      <c r="BT2993" s="6"/>
      <c r="BU2993" s="6"/>
      <c r="BV2993" s="6"/>
      <c r="BW2993" s="6"/>
      <c r="BX2993" s="6"/>
      <c r="BY2993" s="6"/>
      <c r="BZ2993" s="6"/>
      <c r="CA2993" s="6"/>
      <c r="CB2993" s="6"/>
      <c r="CC2993" s="6"/>
      <c r="CD2993" s="6"/>
      <c r="CE2993" s="6"/>
      <c r="CF2993" s="6"/>
      <c r="CG2993" s="6"/>
      <c r="CH2993" s="6"/>
      <c r="CI2993" s="6"/>
      <c r="CJ2993" s="6"/>
      <c r="CK2993" s="6"/>
      <c r="CL2993" s="6"/>
      <c r="CM2993" s="6"/>
      <c r="CN2993" s="6"/>
      <c r="CO2993" s="6"/>
      <c r="CP2993" s="6"/>
      <c r="CQ2993" s="6"/>
      <c r="CR2993" s="6"/>
      <c r="CS2993" s="6"/>
      <c r="CT2993" s="6"/>
      <c r="CU2993" s="6"/>
      <c r="CV2993" s="6"/>
      <c r="CW2993" s="6"/>
      <c r="CX2993" s="6"/>
      <c r="CY2993" s="6"/>
      <c r="CZ2993" s="6"/>
    </row>
    <row r="2994" spans="27:104" s="5" customFormat="1" x14ac:dyDescent="0.25">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16"/>
      <c r="BC2994" s="6"/>
      <c r="BD2994" s="6"/>
      <c r="BE2994" s="6"/>
      <c r="BF2994" s="6"/>
      <c r="BG2994" s="6"/>
      <c r="BH2994" s="6"/>
      <c r="BI2994" s="6"/>
      <c r="BJ2994" s="6"/>
      <c r="BK2994" s="6"/>
      <c r="BL2994" s="6"/>
      <c r="BM2994" s="6"/>
      <c r="BN2994" s="6"/>
      <c r="BO2994" s="6"/>
      <c r="BP2994" s="6"/>
      <c r="BQ2994" s="6"/>
      <c r="BR2994" s="6"/>
      <c r="BS2994" s="6"/>
      <c r="BT2994" s="6"/>
      <c r="BU2994" s="6"/>
      <c r="BV2994" s="6"/>
      <c r="BW2994" s="6"/>
      <c r="BX2994" s="6"/>
      <c r="BY2994" s="6"/>
      <c r="BZ2994" s="6"/>
      <c r="CA2994" s="6"/>
      <c r="CB2994" s="6"/>
      <c r="CC2994" s="6"/>
      <c r="CD2994" s="6"/>
      <c r="CE2994" s="6"/>
      <c r="CF2994" s="6"/>
      <c r="CG2994" s="6"/>
      <c r="CH2994" s="6"/>
      <c r="CI2994" s="6"/>
      <c r="CJ2994" s="6"/>
      <c r="CK2994" s="6"/>
      <c r="CL2994" s="6"/>
      <c r="CM2994" s="6"/>
      <c r="CN2994" s="6"/>
      <c r="CO2994" s="6"/>
      <c r="CP2994" s="6"/>
      <c r="CQ2994" s="6"/>
      <c r="CR2994" s="6"/>
      <c r="CS2994" s="6"/>
      <c r="CT2994" s="6"/>
      <c r="CU2994" s="6"/>
      <c r="CV2994" s="6"/>
      <c r="CW2994" s="6"/>
      <c r="CX2994" s="6"/>
      <c r="CY2994" s="6"/>
      <c r="CZ2994" s="6"/>
    </row>
    <row r="2995" spans="27:104" s="5" customFormat="1" x14ac:dyDescent="0.25">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16"/>
      <c r="BC2995" s="6"/>
      <c r="BD2995" s="6"/>
      <c r="BE2995" s="6"/>
      <c r="BF2995" s="6"/>
      <c r="BG2995" s="6"/>
      <c r="BH2995" s="6"/>
      <c r="BI2995" s="6"/>
      <c r="BJ2995" s="6"/>
      <c r="BK2995" s="6"/>
      <c r="BL2995" s="6"/>
      <c r="BM2995" s="6"/>
      <c r="BN2995" s="6"/>
      <c r="BO2995" s="6"/>
      <c r="BP2995" s="6"/>
      <c r="BQ2995" s="6"/>
      <c r="BR2995" s="6"/>
      <c r="BS2995" s="6"/>
      <c r="BT2995" s="6"/>
      <c r="BU2995" s="6"/>
      <c r="BV2995" s="6"/>
      <c r="BW2995" s="6"/>
      <c r="BX2995" s="6"/>
      <c r="BY2995" s="6"/>
      <c r="BZ2995" s="6"/>
      <c r="CA2995" s="6"/>
      <c r="CB2995" s="6"/>
      <c r="CC2995" s="6"/>
      <c r="CD2995" s="6"/>
      <c r="CE2995" s="6"/>
      <c r="CF2995" s="6"/>
      <c r="CG2995" s="6"/>
      <c r="CH2995" s="6"/>
      <c r="CI2995" s="6"/>
      <c r="CJ2995" s="6"/>
      <c r="CK2995" s="6"/>
      <c r="CL2995" s="6"/>
      <c r="CM2995" s="6"/>
      <c r="CN2995" s="6"/>
      <c r="CO2995" s="6"/>
      <c r="CP2995" s="6"/>
      <c r="CQ2995" s="6"/>
      <c r="CR2995" s="6"/>
      <c r="CS2995" s="6"/>
      <c r="CT2995" s="6"/>
      <c r="CU2995" s="6"/>
      <c r="CV2995" s="6"/>
      <c r="CW2995" s="6"/>
      <c r="CX2995" s="6"/>
      <c r="CY2995" s="6"/>
      <c r="CZ2995" s="6"/>
    </row>
    <row r="2996" spans="27:104" s="5" customFormat="1" x14ac:dyDescent="0.25">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16"/>
      <c r="BC2996" s="6"/>
      <c r="BD2996" s="6"/>
      <c r="BE2996" s="6"/>
      <c r="BF2996" s="6"/>
      <c r="BG2996" s="6"/>
      <c r="BH2996" s="6"/>
      <c r="BI2996" s="6"/>
      <c r="BJ2996" s="6"/>
      <c r="BK2996" s="6"/>
      <c r="BL2996" s="6"/>
      <c r="BM2996" s="6"/>
      <c r="BN2996" s="6"/>
      <c r="BO2996" s="6"/>
      <c r="BP2996" s="6"/>
      <c r="BQ2996" s="6"/>
      <c r="BR2996" s="6"/>
      <c r="BS2996" s="6"/>
      <c r="BT2996" s="6"/>
      <c r="BU2996" s="6"/>
      <c r="BV2996" s="6"/>
      <c r="BW2996" s="6"/>
      <c r="BX2996" s="6"/>
      <c r="BY2996" s="6"/>
      <c r="BZ2996" s="6"/>
      <c r="CA2996" s="6"/>
      <c r="CB2996" s="6"/>
      <c r="CC2996" s="6"/>
      <c r="CD2996" s="6"/>
      <c r="CE2996" s="6"/>
      <c r="CF2996" s="6"/>
      <c r="CG2996" s="6"/>
      <c r="CH2996" s="6"/>
      <c r="CI2996" s="6"/>
      <c r="CJ2996" s="6"/>
      <c r="CK2996" s="6"/>
      <c r="CL2996" s="6"/>
      <c r="CM2996" s="6"/>
      <c r="CN2996" s="6"/>
      <c r="CO2996" s="6"/>
      <c r="CP2996" s="6"/>
      <c r="CQ2996" s="6"/>
      <c r="CR2996" s="6"/>
      <c r="CS2996" s="6"/>
      <c r="CT2996" s="6"/>
      <c r="CU2996" s="6"/>
      <c r="CV2996" s="6"/>
      <c r="CW2996" s="6"/>
      <c r="CX2996" s="6"/>
      <c r="CY2996" s="6"/>
      <c r="CZ2996" s="6"/>
    </row>
    <row r="2997" spans="27:104" s="5" customFormat="1" x14ac:dyDescent="0.25">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16"/>
      <c r="BC2997" s="6"/>
      <c r="BD2997" s="6"/>
      <c r="BE2997" s="6"/>
      <c r="BF2997" s="6"/>
      <c r="BG2997" s="6"/>
      <c r="BH2997" s="6"/>
      <c r="BI2997" s="6"/>
      <c r="BJ2997" s="6"/>
      <c r="BK2997" s="6"/>
      <c r="BL2997" s="6"/>
      <c r="BM2997" s="6"/>
      <c r="BN2997" s="6"/>
      <c r="BO2997" s="6"/>
      <c r="BP2997" s="6"/>
      <c r="BQ2997" s="6"/>
      <c r="BR2997" s="6"/>
      <c r="BS2997" s="6"/>
      <c r="BT2997" s="6"/>
      <c r="BU2997" s="6"/>
      <c r="BV2997" s="6"/>
      <c r="BW2997" s="6"/>
      <c r="BX2997" s="6"/>
      <c r="BY2997" s="6"/>
      <c r="BZ2997" s="6"/>
      <c r="CA2997" s="6"/>
      <c r="CB2997" s="6"/>
      <c r="CC2997" s="6"/>
      <c r="CD2997" s="6"/>
      <c r="CE2997" s="6"/>
      <c r="CF2997" s="6"/>
      <c r="CG2997" s="6"/>
      <c r="CH2997" s="6"/>
      <c r="CI2997" s="6"/>
      <c r="CJ2997" s="6"/>
      <c r="CK2997" s="6"/>
      <c r="CL2997" s="6"/>
      <c r="CM2997" s="6"/>
      <c r="CN2997" s="6"/>
      <c r="CO2997" s="6"/>
      <c r="CP2997" s="6"/>
      <c r="CQ2997" s="6"/>
      <c r="CR2997" s="6"/>
      <c r="CS2997" s="6"/>
      <c r="CT2997" s="6"/>
      <c r="CU2997" s="6"/>
      <c r="CV2997" s="6"/>
      <c r="CW2997" s="6"/>
      <c r="CX2997" s="6"/>
      <c r="CY2997" s="6"/>
      <c r="CZ2997" s="6"/>
    </row>
    <row r="2998" spans="27:104" s="5" customFormat="1" x14ac:dyDescent="0.25">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16"/>
      <c r="BC2998" s="6"/>
      <c r="BD2998" s="6"/>
      <c r="BE2998" s="6"/>
      <c r="BF2998" s="6"/>
      <c r="BG2998" s="6"/>
      <c r="BH2998" s="6"/>
      <c r="BI2998" s="6"/>
      <c r="BJ2998" s="6"/>
      <c r="BK2998" s="6"/>
      <c r="BL2998" s="6"/>
      <c r="BM2998" s="6"/>
      <c r="BN2998" s="6"/>
      <c r="BO2998" s="6"/>
      <c r="BP2998" s="6"/>
      <c r="BQ2998" s="6"/>
      <c r="BR2998" s="6"/>
      <c r="BS2998" s="6"/>
      <c r="BT2998" s="6"/>
      <c r="BU2998" s="6"/>
      <c r="BV2998" s="6"/>
      <c r="BW2998" s="6"/>
      <c r="BX2998" s="6"/>
      <c r="BY2998" s="6"/>
      <c r="BZ2998" s="6"/>
      <c r="CA2998" s="6"/>
      <c r="CB2998" s="6"/>
      <c r="CC2998" s="6"/>
      <c r="CD2998" s="6"/>
      <c r="CE2998" s="6"/>
      <c r="CF2998" s="6"/>
      <c r="CG2998" s="6"/>
      <c r="CH2998" s="6"/>
      <c r="CI2998" s="6"/>
      <c r="CJ2998" s="6"/>
      <c r="CK2998" s="6"/>
      <c r="CL2998" s="6"/>
      <c r="CM2998" s="6"/>
      <c r="CN2998" s="6"/>
      <c r="CO2998" s="6"/>
      <c r="CP2998" s="6"/>
      <c r="CQ2998" s="6"/>
      <c r="CR2998" s="6"/>
      <c r="CS2998" s="6"/>
      <c r="CT2998" s="6"/>
      <c r="CU2998" s="6"/>
      <c r="CV2998" s="6"/>
      <c r="CW2998" s="6"/>
      <c r="CX2998" s="6"/>
      <c r="CY2998" s="6"/>
      <c r="CZ2998" s="6"/>
    </row>
    <row r="2999" spans="27:104" s="5" customFormat="1" x14ac:dyDescent="0.25">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16"/>
      <c r="BC2999" s="6"/>
      <c r="BD2999" s="6"/>
      <c r="BE2999" s="6"/>
      <c r="BF2999" s="6"/>
      <c r="BG2999" s="6"/>
      <c r="BH2999" s="6"/>
      <c r="BI2999" s="6"/>
      <c r="BJ2999" s="6"/>
      <c r="BK2999" s="6"/>
      <c r="BL2999" s="6"/>
      <c r="BM2999" s="6"/>
      <c r="BN2999" s="6"/>
      <c r="BO2999" s="6"/>
      <c r="BP2999" s="6"/>
      <c r="BQ2999" s="6"/>
      <c r="BR2999" s="6"/>
      <c r="BS2999" s="6"/>
      <c r="BT2999" s="6"/>
      <c r="BU2999" s="6"/>
      <c r="BV2999" s="6"/>
      <c r="BW2999" s="6"/>
      <c r="BX2999" s="6"/>
      <c r="BY2999" s="6"/>
      <c r="BZ2999" s="6"/>
      <c r="CA2999" s="6"/>
      <c r="CB2999" s="6"/>
      <c r="CC2999" s="6"/>
      <c r="CD2999" s="6"/>
      <c r="CE2999" s="6"/>
      <c r="CF2999" s="6"/>
      <c r="CG2999" s="6"/>
      <c r="CH2999" s="6"/>
      <c r="CI2999" s="6"/>
      <c r="CJ2999" s="6"/>
      <c r="CK2999" s="6"/>
      <c r="CL2999" s="6"/>
      <c r="CM2999" s="6"/>
      <c r="CN2999" s="6"/>
      <c r="CO2999" s="6"/>
      <c r="CP2999" s="6"/>
      <c r="CQ2999" s="6"/>
      <c r="CR2999" s="6"/>
      <c r="CS2999" s="6"/>
      <c r="CT2999" s="6"/>
      <c r="CU2999" s="6"/>
      <c r="CV2999" s="6"/>
      <c r="CW2999" s="6"/>
      <c r="CX2999" s="6"/>
      <c r="CY2999" s="6"/>
      <c r="CZ2999" s="6"/>
    </row>
    <row r="3000" spans="27:104" s="5" customFormat="1" x14ac:dyDescent="0.25">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16"/>
      <c r="BC3000" s="6"/>
      <c r="BD3000" s="6"/>
      <c r="BE3000" s="6"/>
      <c r="BF3000" s="6"/>
      <c r="BG3000" s="6"/>
      <c r="BH3000" s="6"/>
      <c r="BI3000" s="6"/>
      <c r="BJ3000" s="6"/>
      <c r="BK3000" s="6"/>
      <c r="BL3000" s="6"/>
      <c r="BM3000" s="6"/>
      <c r="BN3000" s="6"/>
      <c r="BO3000" s="6"/>
      <c r="BP3000" s="6"/>
      <c r="BQ3000" s="6"/>
      <c r="BR3000" s="6"/>
      <c r="BS3000" s="6"/>
      <c r="BT3000" s="6"/>
      <c r="BU3000" s="6"/>
      <c r="BV3000" s="6"/>
      <c r="BW3000" s="6"/>
      <c r="BX3000" s="6"/>
      <c r="BY3000" s="6"/>
      <c r="BZ3000" s="6"/>
      <c r="CA3000" s="6"/>
      <c r="CB3000" s="6"/>
      <c r="CC3000" s="6"/>
      <c r="CD3000" s="6"/>
      <c r="CE3000" s="6"/>
      <c r="CF3000" s="6"/>
      <c r="CG3000" s="6"/>
      <c r="CH3000" s="6"/>
      <c r="CI3000" s="6"/>
      <c r="CJ3000" s="6"/>
      <c r="CK3000" s="6"/>
      <c r="CL3000" s="6"/>
      <c r="CM3000" s="6"/>
      <c r="CN3000" s="6"/>
      <c r="CO3000" s="6"/>
      <c r="CP3000" s="6"/>
      <c r="CQ3000" s="6"/>
      <c r="CR3000" s="6"/>
      <c r="CS3000" s="6"/>
      <c r="CT3000" s="6"/>
      <c r="CU3000" s="6"/>
      <c r="CV3000" s="6"/>
      <c r="CW3000" s="6"/>
      <c r="CX3000" s="6"/>
      <c r="CY3000" s="6"/>
      <c r="CZ3000" s="6"/>
    </row>
    <row r="3001" spans="27:104" s="5" customFormat="1" x14ac:dyDescent="0.25">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16"/>
      <c r="BC3001" s="6"/>
      <c r="BD3001" s="6"/>
      <c r="BE3001" s="6"/>
      <c r="BF3001" s="6"/>
      <c r="BG3001" s="6"/>
      <c r="BH3001" s="6"/>
      <c r="BI3001" s="6"/>
      <c r="BJ3001" s="6"/>
      <c r="BK3001" s="6"/>
      <c r="BL3001" s="6"/>
      <c r="BM3001" s="6"/>
      <c r="BN3001" s="6"/>
      <c r="BO3001" s="6"/>
      <c r="BP3001" s="6"/>
      <c r="BQ3001" s="6"/>
      <c r="BR3001" s="6"/>
      <c r="BS3001" s="6"/>
      <c r="BT3001" s="6"/>
      <c r="BU3001" s="6"/>
      <c r="BV3001" s="6"/>
      <c r="BW3001" s="6"/>
      <c r="BX3001" s="6"/>
      <c r="BY3001" s="6"/>
      <c r="BZ3001" s="6"/>
      <c r="CA3001" s="6"/>
      <c r="CB3001" s="6"/>
      <c r="CC3001" s="6"/>
      <c r="CD3001" s="6"/>
      <c r="CE3001" s="6"/>
      <c r="CF3001" s="6"/>
      <c r="CG3001" s="6"/>
      <c r="CH3001" s="6"/>
      <c r="CI3001" s="6"/>
      <c r="CJ3001" s="6"/>
      <c r="CK3001" s="6"/>
      <c r="CL3001" s="6"/>
      <c r="CM3001" s="6"/>
      <c r="CN3001" s="6"/>
      <c r="CO3001" s="6"/>
      <c r="CP3001" s="6"/>
      <c r="CQ3001" s="6"/>
      <c r="CR3001" s="6"/>
      <c r="CS3001" s="6"/>
      <c r="CT3001" s="6"/>
      <c r="CU3001" s="6"/>
      <c r="CV3001" s="6"/>
      <c r="CW3001" s="6"/>
      <c r="CX3001" s="6"/>
      <c r="CY3001" s="6"/>
      <c r="CZ3001" s="6"/>
    </row>
    <row r="3002" spans="27:104" s="5" customFormat="1" x14ac:dyDescent="0.25">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16"/>
      <c r="BC3002" s="6"/>
      <c r="BD3002" s="6"/>
      <c r="BE3002" s="6"/>
      <c r="BF3002" s="6"/>
      <c r="BG3002" s="6"/>
      <c r="BH3002" s="6"/>
      <c r="BI3002" s="6"/>
      <c r="BJ3002" s="6"/>
      <c r="BK3002" s="6"/>
      <c r="BL3002" s="6"/>
      <c r="BM3002" s="6"/>
      <c r="BN3002" s="6"/>
      <c r="BO3002" s="6"/>
      <c r="BP3002" s="6"/>
      <c r="BQ3002" s="6"/>
      <c r="BR3002" s="6"/>
      <c r="BS3002" s="6"/>
      <c r="BT3002" s="6"/>
      <c r="BU3002" s="6"/>
      <c r="BV3002" s="6"/>
      <c r="BW3002" s="6"/>
      <c r="BX3002" s="6"/>
      <c r="BY3002" s="6"/>
      <c r="BZ3002" s="6"/>
      <c r="CA3002" s="6"/>
      <c r="CB3002" s="6"/>
      <c r="CC3002" s="6"/>
      <c r="CD3002" s="6"/>
      <c r="CE3002" s="6"/>
      <c r="CF3002" s="6"/>
      <c r="CG3002" s="6"/>
      <c r="CH3002" s="6"/>
      <c r="CI3002" s="6"/>
      <c r="CJ3002" s="6"/>
      <c r="CK3002" s="6"/>
      <c r="CL3002" s="6"/>
      <c r="CM3002" s="6"/>
      <c r="CN3002" s="6"/>
      <c r="CO3002" s="6"/>
      <c r="CP3002" s="6"/>
      <c r="CQ3002" s="6"/>
      <c r="CR3002" s="6"/>
      <c r="CS3002" s="6"/>
      <c r="CT3002" s="6"/>
      <c r="CU3002" s="6"/>
      <c r="CV3002" s="6"/>
      <c r="CW3002" s="6"/>
      <c r="CX3002" s="6"/>
      <c r="CY3002" s="6"/>
      <c r="CZ3002" s="6"/>
    </row>
    <row r="3003" spans="27:104" s="5" customFormat="1" x14ac:dyDescent="0.25">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16"/>
      <c r="BC3003" s="6"/>
      <c r="BD3003" s="6"/>
      <c r="BE3003" s="6"/>
      <c r="BF3003" s="6"/>
      <c r="BG3003" s="6"/>
      <c r="BH3003" s="6"/>
      <c r="BI3003" s="6"/>
      <c r="BJ3003" s="6"/>
      <c r="BK3003" s="6"/>
      <c r="BL3003" s="6"/>
      <c r="BM3003" s="6"/>
      <c r="BN3003" s="6"/>
      <c r="BO3003" s="6"/>
      <c r="BP3003" s="6"/>
      <c r="BQ3003" s="6"/>
      <c r="BR3003" s="6"/>
      <c r="BS3003" s="6"/>
      <c r="BT3003" s="6"/>
      <c r="BU3003" s="6"/>
      <c r="BV3003" s="6"/>
      <c r="BW3003" s="6"/>
      <c r="BX3003" s="6"/>
      <c r="BY3003" s="6"/>
      <c r="BZ3003" s="6"/>
      <c r="CA3003" s="6"/>
      <c r="CB3003" s="6"/>
      <c r="CC3003" s="6"/>
      <c r="CD3003" s="6"/>
      <c r="CE3003" s="6"/>
      <c r="CF3003" s="6"/>
      <c r="CG3003" s="6"/>
      <c r="CH3003" s="6"/>
      <c r="CI3003" s="6"/>
      <c r="CJ3003" s="6"/>
      <c r="CK3003" s="6"/>
      <c r="CL3003" s="6"/>
      <c r="CM3003" s="6"/>
      <c r="CN3003" s="6"/>
      <c r="CO3003" s="6"/>
      <c r="CP3003" s="6"/>
      <c r="CQ3003" s="6"/>
      <c r="CR3003" s="6"/>
      <c r="CS3003" s="6"/>
      <c r="CT3003" s="6"/>
      <c r="CU3003" s="6"/>
      <c r="CV3003" s="6"/>
      <c r="CW3003" s="6"/>
      <c r="CX3003" s="6"/>
      <c r="CY3003" s="6"/>
      <c r="CZ3003" s="6"/>
    </row>
    <row r="3004" spans="27:104" s="5" customFormat="1" x14ac:dyDescent="0.25">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16"/>
      <c r="BC3004" s="6"/>
      <c r="BD3004" s="6"/>
      <c r="BE3004" s="6"/>
      <c r="BF3004" s="6"/>
      <c r="BG3004" s="6"/>
      <c r="BH3004" s="6"/>
      <c r="BI3004" s="6"/>
      <c r="BJ3004" s="6"/>
      <c r="BK3004" s="6"/>
      <c r="BL3004" s="6"/>
      <c r="BM3004" s="6"/>
      <c r="BN3004" s="6"/>
      <c r="BO3004" s="6"/>
      <c r="BP3004" s="6"/>
      <c r="BQ3004" s="6"/>
      <c r="BR3004" s="6"/>
      <c r="BS3004" s="6"/>
      <c r="BT3004" s="6"/>
      <c r="BU3004" s="6"/>
      <c r="BV3004" s="6"/>
      <c r="BW3004" s="6"/>
      <c r="BX3004" s="6"/>
      <c r="BY3004" s="6"/>
      <c r="BZ3004" s="6"/>
      <c r="CA3004" s="6"/>
      <c r="CB3004" s="6"/>
      <c r="CC3004" s="6"/>
      <c r="CD3004" s="6"/>
      <c r="CE3004" s="6"/>
      <c r="CF3004" s="6"/>
      <c r="CG3004" s="6"/>
      <c r="CH3004" s="6"/>
      <c r="CI3004" s="6"/>
      <c r="CJ3004" s="6"/>
      <c r="CK3004" s="6"/>
      <c r="CL3004" s="6"/>
      <c r="CM3004" s="6"/>
      <c r="CN3004" s="6"/>
      <c r="CO3004" s="6"/>
      <c r="CP3004" s="6"/>
      <c r="CQ3004" s="6"/>
      <c r="CR3004" s="6"/>
      <c r="CS3004" s="6"/>
      <c r="CT3004" s="6"/>
      <c r="CU3004" s="6"/>
      <c r="CV3004" s="6"/>
      <c r="CW3004" s="6"/>
      <c r="CX3004" s="6"/>
      <c r="CY3004" s="6"/>
      <c r="CZ3004" s="6"/>
    </row>
    <row r="3005" spans="27:104" s="5" customFormat="1" x14ac:dyDescent="0.25">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16"/>
      <c r="BC3005" s="6"/>
      <c r="BD3005" s="6"/>
      <c r="BE3005" s="6"/>
      <c r="BF3005" s="6"/>
      <c r="BG3005" s="6"/>
      <c r="BH3005" s="6"/>
      <c r="BI3005" s="6"/>
      <c r="BJ3005" s="6"/>
      <c r="BK3005" s="6"/>
      <c r="BL3005" s="6"/>
      <c r="BM3005" s="6"/>
      <c r="BN3005" s="6"/>
      <c r="BO3005" s="6"/>
      <c r="BP3005" s="6"/>
      <c r="BQ3005" s="6"/>
      <c r="BR3005" s="6"/>
      <c r="BS3005" s="6"/>
      <c r="BT3005" s="6"/>
      <c r="BU3005" s="6"/>
      <c r="BV3005" s="6"/>
      <c r="BW3005" s="6"/>
      <c r="BX3005" s="6"/>
      <c r="BY3005" s="6"/>
      <c r="BZ3005" s="6"/>
      <c r="CA3005" s="6"/>
      <c r="CB3005" s="6"/>
      <c r="CC3005" s="6"/>
      <c r="CD3005" s="6"/>
      <c r="CE3005" s="6"/>
      <c r="CF3005" s="6"/>
      <c r="CG3005" s="6"/>
      <c r="CH3005" s="6"/>
      <c r="CI3005" s="6"/>
      <c r="CJ3005" s="6"/>
      <c r="CK3005" s="6"/>
      <c r="CL3005" s="6"/>
      <c r="CM3005" s="6"/>
      <c r="CN3005" s="6"/>
      <c r="CO3005" s="6"/>
      <c r="CP3005" s="6"/>
      <c r="CQ3005" s="6"/>
      <c r="CR3005" s="6"/>
      <c r="CS3005" s="6"/>
      <c r="CT3005" s="6"/>
      <c r="CU3005" s="6"/>
      <c r="CV3005" s="6"/>
      <c r="CW3005" s="6"/>
      <c r="CX3005" s="6"/>
      <c r="CY3005" s="6"/>
      <c r="CZ3005" s="6"/>
    </row>
    <row r="3006" spans="27:104" s="5" customFormat="1" x14ac:dyDescent="0.25">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16"/>
      <c r="BC3006" s="6"/>
      <c r="BD3006" s="6"/>
      <c r="BE3006" s="6"/>
      <c r="BF3006" s="6"/>
      <c r="BG3006" s="6"/>
      <c r="BH3006" s="6"/>
      <c r="BI3006" s="6"/>
      <c r="BJ3006" s="6"/>
      <c r="BK3006" s="6"/>
      <c r="BL3006" s="6"/>
      <c r="BM3006" s="6"/>
      <c r="BN3006" s="6"/>
      <c r="BO3006" s="6"/>
      <c r="BP3006" s="6"/>
      <c r="BQ3006" s="6"/>
      <c r="BR3006" s="6"/>
      <c r="BS3006" s="6"/>
      <c r="BT3006" s="6"/>
      <c r="BU3006" s="6"/>
      <c r="BV3006" s="6"/>
      <c r="BW3006" s="6"/>
      <c r="BX3006" s="6"/>
      <c r="BY3006" s="6"/>
      <c r="BZ3006" s="6"/>
      <c r="CA3006" s="6"/>
      <c r="CB3006" s="6"/>
      <c r="CC3006" s="6"/>
      <c r="CD3006" s="6"/>
      <c r="CE3006" s="6"/>
      <c r="CF3006" s="6"/>
      <c r="CG3006" s="6"/>
      <c r="CH3006" s="6"/>
      <c r="CI3006" s="6"/>
      <c r="CJ3006" s="6"/>
      <c r="CK3006" s="6"/>
      <c r="CL3006" s="6"/>
      <c r="CM3006" s="6"/>
      <c r="CN3006" s="6"/>
      <c r="CO3006" s="6"/>
      <c r="CP3006" s="6"/>
      <c r="CQ3006" s="6"/>
      <c r="CR3006" s="6"/>
      <c r="CS3006" s="6"/>
      <c r="CT3006" s="6"/>
      <c r="CU3006" s="6"/>
      <c r="CV3006" s="6"/>
      <c r="CW3006" s="6"/>
      <c r="CX3006" s="6"/>
      <c r="CY3006" s="6"/>
      <c r="CZ3006" s="6"/>
    </row>
    <row r="3007" spans="27:104" s="5" customFormat="1" x14ac:dyDescent="0.25">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16"/>
      <c r="BC3007" s="6"/>
      <c r="BD3007" s="6"/>
      <c r="BE3007" s="6"/>
      <c r="BF3007" s="6"/>
      <c r="BG3007" s="6"/>
      <c r="BH3007" s="6"/>
      <c r="BI3007" s="6"/>
      <c r="BJ3007" s="6"/>
      <c r="BK3007" s="6"/>
      <c r="BL3007" s="6"/>
      <c r="BM3007" s="6"/>
      <c r="BN3007" s="6"/>
      <c r="BO3007" s="6"/>
      <c r="BP3007" s="6"/>
      <c r="BQ3007" s="6"/>
      <c r="BR3007" s="6"/>
      <c r="BS3007" s="6"/>
      <c r="BT3007" s="6"/>
      <c r="BU3007" s="6"/>
      <c r="BV3007" s="6"/>
      <c r="BW3007" s="6"/>
      <c r="BX3007" s="6"/>
      <c r="BY3007" s="6"/>
      <c r="BZ3007" s="6"/>
      <c r="CA3007" s="6"/>
      <c r="CB3007" s="6"/>
      <c r="CC3007" s="6"/>
      <c r="CD3007" s="6"/>
      <c r="CE3007" s="6"/>
      <c r="CF3007" s="6"/>
      <c r="CG3007" s="6"/>
      <c r="CH3007" s="6"/>
      <c r="CI3007" s="6"/>
      <c r="CJ3007" s="6"/>
      <c r="CK3007" s="6"/>
      <c r="CL3007" s="6"/>
      <c r="CM3007" s="6"/>
      <c r="CN3007" s="6"/>
      <c r="CO3007" s="6"/>
      <c r="CP3007" s="6"/>
      <c r="CQ3007" s="6"/>
      <c r="CR3007" s="6"/>
      <c r="CS3007" s="6"/>
      <c r="CT3007" s="6"/>
      <c r="CU3007" s="6"/>
      <c r="CV3007" s="6"/>
      <c r="CW3007" s="6"/>
      <c r="CX3007" s="6"/>
      <c r="CY3007" s="6"/>
      <c r="CZ3007" s="6"/>
    </row>
    <row r="3008" spans="27:104" s="5" customFormat="1" x14ac:dyDescent="0.25">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16"/>
      <c r="BC3008" s="6"/>
      <c r="BD3008" s="6"/>
      <c r="BE3008" s="6"/>
      <c r="BF3008" s="6"/>
      <c r="BG3008" s="6"/>
      <c r="BH3008" s="6"/>
      <c r="BI3008" s="6"/>
      <c r="BJ3008" s="6"/>
      <c r="BK3008" s="6"/>
      <c r="BL3008" s="6"/>
      <c r="BM3008" s="6"/>
      <c r="BN3008" s="6"/>
      <c r="BO3008" s="6"/>
      <c r="BP3008" s="6"/>
      <c r="BQ3008" s="6"/>
      <c r="BR3008" s="6"/>
      <c r="BS3008" s="6"/>
      <c r="BT3008" s="6"/>
      <c r="BU3008" s="6"/>
      <c r="BV3008" s="6"/>
      <c r="BW3008" s="6"/>
      <c r="BX3008" s="6"/>
      <c r="BY3008" s="6"/>
      <c r="BZ3008" s="6"/>
      <c r="CA3008" s="6"/>
      <c r="CB3008" s="6"/>
      <c r="CC3008" s="6"/>
      <c r="CD3008" s="6"/>
      <c r="CE3008" s="6"/>
      <c r="CF3008" s="6"/>
      <c r="CG3008" s="6"/>
      <c r="CH3008" s="6"/>
      <c r="CI3008" s="6"/>
      <c r="CJ3008" s="6"/>
      <c r="CK3008" s="6"/>
      <c r="CL3008" s="6"/>
      <c r="CM3008" s="6"/>
      <c r="CN3008" s="6"/>
      <c r="CO3008" s="6"/>
      <c r="CP3008" s="6"/>
      <c r="CQ3008" s="6"/>
      <c r="CR3008" s="6"/>
      <c r="CS3008" s="6"/>
      <c r="CT3008" s="6"/>
      <c r="CU3008" s="6"/>
      <c r="CV3008" s="6"/>
      <c r="CW3008" s="6"/>
      <c r="CX3008" s="6"/>
      <c r="CY3008" s="6"/>
      <c r="CZ3008" s="6"/>
    </row>
    <row r="3009" spans="27:104" s="5" customFormat="1" x14ac:dyDescent="0.25">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16"/>
      <c r="BC3009" s="6"/>
      <c r="BD3009" s="6"/>
      <c r="BE3009" s="6"/>
      <c r="BF3009" s="6"/>
      <c r="BG3009" s="6"/>
      <c r="BH3009" s="6"/>
      <c r="BI3009" s="6"/>
      <c r="BJ3009" s="6"/>
      <c r="BK3009" s="6"/>
      <c r="BL3009" s="6"/>
      <c r="BM3009" s="6"/>
      <c r="BN3009" s="6"/>
      <c r="BO3009" s="6"/>
      <c r="BP3009" s="6"/>
      <c r="BQ3009" s="6"/>
      <c r="BR3009" s="6"/>
      <c r="BS3009" s="6"/>
      <c r="BT3009" s="6"/>
      <c r="BU3009" s="6"/>
      <c r="BV3009" s="6"/>
      <c r="BW3009" s="6"/>
      <c r="BX3009" s="6"/>
      <c r="BY3009" s="6"/>
      <c r="BZ3009" s="6"/>
      <c r="CA3009" s="6"/>
      <c r="CB3009" s="6"/>
      <c r="CC3009" s="6"/>
      <c r="CD3009" s="6"/>
      <c r="CE3009" s="6"/>
      <c r="CF3009" s="6"/>
      <c r="CG3009" s="6"/>
      <c r="CH3009" s="6"/>
      <c r="CI3009" s="6"/>
      <c r="CJ3009" s="6"/>
      <c r="CK3009" s="6"/>
      <c r="CL3009" s="6"/>
      <c r="CM3009" s="6"/>
      <c r="CN3009" s="6"/>
      <c r="CO3009" s="6"/>
      <c r="CP3009" s="6"/>
      <c r="CQ3009" s="6"/>
      <c r="CR3009" s="6"/>
      <c r="CS3009" s="6"/>
      <c r="CT3009" s="6"/>
      <c r="CU3009" s="6"/>
      <c r="CV3009" s="6"/>
      <c r="CW3009" s="6"/>
      <c r="CX3009" s="6"/>
      <c r="CY3009" s="6"/>
      <c r="CZ3009" s="6"/>
    </row>
    <row r="3010" spans="27:104" s="5" customFormat="1" x14ac:dyDescent="0.25">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16"/>
      <c r="BC3010" s="6"/>
      <c r="BD3010" s="6"/>
      <c r="BE3010" s="6"/>
      <c r="BF3010" s="6"/>
      <c r="BG3010" s="6"/>
      <c r="BH3010" s="6"/>
      <c r="BI3010" s="6"/>
      <c r="BJ3010" s="6"/>
      <c r="BK3010" s="6"/>
      <c r="BL3010" s="6"/>
      <c r="BM3010" s="6"/>
      <c r="BN3010" s="6"/>
      <c r="BO3010" s="6"/>
      <c r="BP3010" s="6"/>
      <c r="BQ3010" s="6"/>
      <c r="BR3010" s="6"/>
      <c r="BS3010" s="6"/>
      <c r="BT3010" s="6"/>
      <c r="BU3010" s="6"/>
      <c r="BV3010" s="6"/>
      <c r="BW3010" s="6"/>
      <c r="BX3010" s="6"/>
      <c r="BY3010" s="6"/>
      <c r="BZ3010" s="6"/>
      <c r="CA3010" s="6"/>
      <c r="CB3010" s="6"/>
      <c r="CC3010" s="6"/>
      <c r="CD3010" s="6"/>
      <c r="CE3010" s="6"/>
      <c r="CF3010" s="6"/>
      <c r="CG3010" s="6"/>
      <c r="CH3010" s="6"/>
      <c r="CI3010" s="6"/>
      <c r="CJ3010" s="6"/>
      <c r="CK3010" s="6"/>
      <c r="CL3010" s="6"/>
      <c r="CM3010" s="6"/>
      <c r="CN3010" s="6"/>
      <c r="CO3010" s="6"/>
      <c r="CP3010" s="6"/>
      <c r="CQ3010" s="6"/>
      <c r="CR3010" s="6"/>
      <c r="CS3010" s="6"/>
      <c r="CT3010" s="6"/>
      <c r="CU3010" s="6"/>
      <c r="CV3010" s="6"/>
      <c r="CW3010" s="6"/>
      <c r="CX3010" s="6"/>
      <c r="CY3010" s="6"/>
      <c r="CZ3010" s="6"/>
    </row>
    <row r="3011" spans="27:104" s="5" customFormat="1" x14ac:dyDescent="0.25">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16"/>
      <c r="BC3011" s="6"/>
      <c r="BD3011" s="6"/>
      <c r="BE3011" s="6"/>
      <c r="BF3011" s="6"/>
      <c r="BG3011" s="6"/>
      <c r="BH3011" s="6"/>
      <c r="BI3011" s="6"/>
      <c r="BJ3011" s="6"/>
      <c r="BK3011" s="6"/>
      <c r="BL3011" s="6"/>
      <c r="BM3011" s="6"/>
      <c r="BN3011" s="6"/>
      <c r="BO3011" s="6"/>
      <c r="BP3011" s="6"/>
      <c r="BQ3011" s="6"/>
      <c r="BR3011" s="6"/>
      <c r="BS3011" s="6"/>
      <c r="BT3011" s="6"/>
      <c r="BU3011" s="6"/>
      <c r="BV3011" s="6"/>
      <c r="BW3011" s="6"/>
      <c r="BX3011" s="6"/>
      <c r="BY3011" s="6"/>
      <c r="BZ3011" s="6"/>
      <c r="CA3011" s="6"/>
      <c r="CB3011" s="6"/>
      <c r="CC3011" s="6"/>
      <c r="CD3011" s="6"/>
      <c r="CE3011" s="6"/>
      <c r="CF3011" s="6"/>
      <c r="CG3011" s="6"/>
      <c r="CH3011" s="6"/>
      <c r="CI3011" s="6"/>
      <c r="CJ3011" s="6"/>
      <c r="CK3011" s="6"/>
      <c r="CL3011" s="6"/>
      <c r="CM3011" s="6"/>
      <c r="CN3011" s="6"/>
      <c r="CO3011" s="6"/>
      <c r="CP3011" s="6"/>
      <c r="CQ3011" s="6"/>
      <c r="CR3011" s="6"/>
      <c r="CS3011" s="6"/>
      <c r="CT3011" s="6"/>
      <c r="CU3011" s="6"/>
      <c r="CV3011" s="6"/>
      <c r="CW3011" s="6"/>
      <c r="CX3011" s="6"/>
      <c r="CY3011" s="6"/>
      <c r="CZ3011" s="6"/>
    </row>
    <row r="3012" spans="27:104" s="5" customFormat="1" x14ac:dyDescent="0.25">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16"/>
      <c r="BC3012" s="6"/>
      <c r="BD3012" s="6"/>
      <c r="BE3012" s="6"/>
      <c r="BF3012" s="6"/>
      <c r="BG3012" s="6"/>
      <c r="BH3012" s="6"/>
      <c r="BI3012" s="6"/>
      <c r="BJ3012" s="6"/>
      <c r="BK3012" s="6"/>
      <c r="BL3012" s="6"/>
      <c r="BM3012" s="6"/>
      <c r="BN3012" s="6"/>
      <c r="BO3012" s="6"/>
      <c r="BP3012" s="6"/>
      <c r="BQ3012" s="6"/>
      <c r="BR3012" s="6"/>
      <c r="BS3012" s="6"/>
      <c r="BT3012" s="6"/>
      <c r="BU3012" s="6"/>
      <c r="BV3012" s="6"/>
      <c r="BW3012" s="6"/>
      <c r="BX3012" s="6"/>
      <c r="BY3012" s="6"/>
      <c r="BZ3012" s="6"/>
      <c r="CA3012" s="6"/>
      <c r="CB3012" s="6"/>
      <c r="CC3012" s="6"/>
      <c r="CD3012" s="6"/>
      <c r="CE3012" s="6"/>
      <c r="CF3012" s="6"/>
      <c r="CG3012" s="6"/>
      <c r="CH3012" s="6"/>
      <c r="CI3012" s="6"/>
      <c r="CJ3012" s="6"/>
      <c r="CK3012" s="6"/>
      <c r="CL3012" s="6"/>
      <c r="CM3012" s="6"/>
      <c r="CN3012" s="6"/>
      <c r="CO3012" s="6"/>
      <c r="CP3012" s="6"/>
      <c r="CQ3012" s="6"/>
      <c r="CR3012" s="6"/>
      <c r="CS3012" s="6"/>
      <c r="CT3012" s="6"/>
      <c r="CU3012" s="6"/>
      <c r="CV3012" s="6"/>
      <c r="CW3012" s="6"/>
      <c r="CX3012" s="6"/>
      <c r="CY3012" s="6"/>
      <c r="CZ3012" s="6"/>
    </row>
    <row r="3013" spans="27:104" s="5" customFormat="1" x14ac:dyDescent="0.25">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16"/>
      <c r="BC3013" s="6"/>
      <c r="BD3013" s="6"/>
      <c r="BE3013" s="6"/>
      <c r="BF3013" s="6"/>
      <c r="BG3013" s="6"/>
      <c r="BH3013" s="6"/>
      <c r="BI3013" s="6"/>
      <c r="BJ3013" s="6"/>
      <c r="BK3013" s="6"/>
      <c r="BL3013" s="6"/>
      <c r="BM3013" s="6"/>
      <c r="BN3013" s="6"/>
      <c r="BO3013" s="6"/>
      <c r="BP3013" s="6"/>
      <c r="BQ3013" s="6"/>
      <c r="BR3013" s="6"/>
      <c r="BS3013" s="6"/>
      <c r="BT3013" s="6"/>
      <c r="BU3013" s="6"/>
      <c r="BV3013" s="6"/>
      <c r="BW3013" s="6"/>
      <c r="BX3013" s="6"/>
      <c r="BY3013" s="6"/>
      <c r="BZ3013" s="6"/>
      <c r="CA3013" s="6"/>
      <c r="CB3013" s="6"/>
      <c r="CC3013" s="6"/>
      <c r="CD3013" s="6"/>
      <c r="CE3013" s="6"/>
      <c r="CF3013" s="6"/>
      <c r="CG3013" s="6"/>
      <c r="CH3013" s="6"/>
      <c r="CI3013" s="6"/>
      <c r="CJ3013" s="6"/>
      <c r="CK3013" s="6"/>
      <c r="CL3013" s="6"/>
      <c r="CM3013" s="6"/>
      <c r="CN3013" s="6"/>
      <c r="CO3013" s="6"/>
      <c r="CP3013" s="6"/>
      <c r="CQ3013" s="6"/>
      <c r="CR3013" s="6"/>
      <c r="CS3013" s="6"/>
      <c r="CT3013" s="6"/>
      <c r="CU3013" s="6"/>
      <c r="CV3013" s="6"/>
      <c r="CW3013" s="6"/>
      <c r="CX3013" s="6"/>
      <c r="CY3013" s="6"/>
      <c r="CZ3013" s="6"/>
    </row>
  </sheetData>
  <mergeCells count="597">
    <mergeCell ref="B2:B3"/>
    <mergeCell ref="C2:C3"/>
    <mergeCell ref="D3:D11"/>
    <mergeCell ref="B14:D14"/>
    <mergeCell ref="C16:D16"/>
    <mergeCell ref="C17:D17"/>
    <mergeCell ref="C24:D24"/>
    <mergeCell ref="C25:D25"/>
    <mergeCell ref="B28:D28"/>
    <mergeCell ref="B33:D33"/>
    <mergeCell ref="B43:D43"/>
    <mergeCell ref="B45:D45"/>
    <mergeCell ref="C18:D18"/>
    <mergeCell ref="C19:D19"/>
    <mergeCell ref="C20:D20"/>
    <mergeCell ref="C21:D21"/>
    <mergeCell ref="C22:D22"/>
    <mergeCell ref="C23:D23"/>
    <mergeCell ref="B56:D56"/>
    <mergeCell ref="B58:D58"/>
    <mergeCell ref="B59:D59"/>
    <mergeCell ref="B60:D60"/>
    <mergeCell ref="B62:D62"/>
    <mergeCell ref="B63:D63"/>
    <mergeCell ref="B46:D46"/>
    <mergeCell ref="B48:D48"/>
    <mergeCell ref="B49:D49"/>
    <mergeCell ref="B51:D51"/>
    <mergeCell ref="B52:D52"/>
    <mergeCell ref="B55:D55"/>
    <mergeCell ref="B90:B91"/>
    <mergeCell ref="C90:C91"/>
    <mergeCell ref="D90:E91"/>
    <mergeCell ref="B92:B93"/>
    <mergeCell ref="C92:C93"/>
    <mergeCell ref="D92:E93"/>
    <mergeCell ref="C84:C85"/>
    <mergeCell ref="D84:E85"/>
    <mergeCell ref="B86:B87"/>
    <mergeCell ref="C86:C87"/>
    <mergeCell ref="D86:E87"/>
    <mergeCell ref="B88:B89"/>
    <mergeCell ref="C88:C89"/>
    <mergeCell ref="D88:E89"/>
    <mergeCell ref="B98:B99"/>
    <mergeCell ref="C98:C99"/>
    <mergeCell ref="D98:E99"/>
    <mergeCell ref="B100:B101"/>
    <mergeCell ref="C100:C101"/>
    <mergeCell ref="D100:E101"/>
    <mergeCell ref="B94:B95"/>
    <mergeCell ref="C94:C95"/>
    <mergeCell ref="D94:E95"/>
    <mergeCell ref="B96:B97"/>
    <mergeCell ref="C96:C97"/>
    <mergeCell ref="D96:E97"/>
    <mergeCell ref="AI196:AK196"/>
    <mergeCell ref="B200:D200"/>
    <mergeCell ref="B204:D204"/>
    <mergeCell ref="B150:D150"/>
    <mergeCell ref="AJ155:AL155"/>
    <mergeCell ref="AQ155:AR155"/>
    <mergeCell ref="C160:D160"/>
    <mergeCell ref="B182:D182"/>
    <mergeCell ref="B184:D184"/>
    <mergeCell ref="AD208:AH208"/>
    <mergeCell ref="C217:D217"/>
    <mergeCell ref="B221:D221"/>
    <mergeCell ref="B247:D247"/>
    <mergeCell ref="B255:D255"/>
    <mergeCell ref="AB264:AC264"/>
    <mergeCell ref="B188:D188"/>
    <mergeCell ref="B190:D190"/>
    <mergeCell ref="B192:D192"/>
    <mergeCell ref="AF271:AG271"/>
    <mergeCell ref="B272:C272"/>
    <mergeCell ref="B278:C278"/>
    <mergeCell ref="AT278:AU278"/>
    <mergeCell ref="B280:D280"/>
    <mergeCell ref="B281:D281"/>
    <mergeCell ref="AB265:AC265"/>
    <mergeCell ref="B267:C267"/>
    <mergeCell ref="B269:C269"/>
    <mergeCell ref="B270:C270"/>
    <mergeCell ref="B271:C271"/>
    <mergeCell ref="AB271:AC271"/>
    <mergeCell ref="B299:D299"/>
    <mergeCell ref="B300:D300"/>
    <mergeCell ref="AK300:AL300"/>
    <mergeCell ref="AN300:AO300"/>
    <mergeCell ref="B301:D301"/>
    <mergeCell ref="B303:D303"/>
    <mergeCell ref="B284:C284"/>
    <mergeCell ref="B286:D286"/>
    <mergeCell ref="B289:D289"/>
    <mergeCell ref="B291:D291"/>
    <mergeCell ref="B292:D292"/>
    <mergeCell ref="B294:D294"/>
    <mergeCell ref="B319:D319"/>
    <mergeCell ref="B320:D320"/>
    <mergeCell ref="AK320:AL320"/>
    <mergeCell ref="AN320:AO320"/>
    <mergeCell ref="B321:D321"/>
    <mergeCell ref="B323:D323"/>
    <mergeCell ref="B309:D309"/>
    <mergeCell ref="B310:D310"/>
    <mergeCell ref="AK310:AL310"/>
    <mergeCell ref="AN310:AO310"/>
    <mergeCell ref="B311:D311"/>
    <mergeCell ref="B313:D313"/>
    <mergeCell ref="B340:D340"/>
    <mergeCell ref="AK340:AL340"/>
    <mergeCell ref="AN340:AO340"/>
    <mergeCell ref="B341:D341"/>
    <mergeCell ref="B343:D343"/>
    <mergeCell ref="B349:D349"/>
    <mergeCell ref="B329:D329"/>
    <mergeCell ref="B330:D330"/>
    <mergeCell ref="AK330:AL330"/>
    <mergeCell ref="AN330:AO330"/>
    <mergeCell ref="B331:D331"/>
    <mergeCell ref="B333:D333"/>
    <mergeCell ref="B360:D360"/>
    <mergeCell ref="AK360:AL360"/>
    <mergeCell ref="AN360:AO360"/>
    <mergeCell ref="B361:D361"/>
    <mergeCell ref="B363:D363"/>
    <mergeCell ref="B369:D369"/>
    <mergeCell ref="B350:D350"/>
    <mergeCell ref="AK350:AL350"/>
    <mergeCell ref="AN350:AO350"/>
    <mergeCell ref="B351:D351"/>
    <mergeCell ref="B353:D353"/>
    <mergeCell ref="B359:D359"/>
    <mergeCell ref="B380:D380"/>
    <mergeCell ref="AK380:AL380"/>
    <mergeCell ref="AN380:AO380"/>
    <mergeCell ref="B381:D381"/>
    <mergeCell ref="B383:D383"/>
    <mergeCell ref="B389:D389"/>
    <mergeCell ref="B370:D370"/>
    <mergeCell ref="AK370:AL370"/>
    <mergeCell ref="AN370:AO370"/>
    <mergeCell ref="B371:D371"/>
    <mergeCell ref="B373:D373"/>
    <mergeCell ref="B379:D379"/>
    <mergeCell ref="B400:D400"/>
    <mergeCell ref="AK400:AL400"/>
    <mergeCell ref="AN400:AO400"/>
    <mergeCell ref="B401:D401"/>
    <mergeCell ref="B403:D403"/>
    <mergeCell ref="B409:D409"/>
    <mergeCell ref="B390:D390"/>
    <mergeCell ref="AK390:AL390"/>
    <mergeCell ref="AN390:AO390"/>
    <mergeCell ref="B391:D391"/>
    <mergeCell ref="B393:D393"/>
    <mergeCell ref="B399:D399"/>
    <mergeCell ref="B420:D420"/>
    <mergeCell ref="AK420:AL420"/>
    <mergeCell ref="AN420:AO420"/>
    <mergeCell ref="B421:D421"/>
    <mergeCell ref="B423:D423"/>
    <mergeCell ref="B429:D429"/>
    <mergeCell ref="B410:D410"/>
    <mergeCell ref="AK410:AL410"/>
    <mergeCell ref="AN410:AO410"/>
    <mergeCell ref="B411:D411"/>
    <mergeCell ref="B413:D413"/>
    <mergeCell ref="B419:D419"/>
    <mergeCell ref="BD440:BE440"/>
    <mergeCell ref="B465:D465"/>
    <mergeCell ref="B466:D466"/>
    <mergeCell ref="E467:F467"/>
    <mergeCell ref="E468:F468"/>
    <mergeCell ref="B470:D470"/>
    <mergeCell ref="B430:D430"/>
    <mergeCell ref="AK430:AL430"/>
    <mergeCell ref="AN430:AO430"/>
    <mergeCell ref="B431:D431"/>
    <mergeCell ref="B433:D433"/>
    <mergeCell ref="BB440:BC440"/>
    <mergeCell ref="E479:F479"/>
    <mergeCell ref="B481:D481"/>
    <mergeCell ref="B482:D482"/>
    <mergeCell ref="E483:F483"/>
    <mergeCell ref="E484:F484"/>
    <mergeCell ref="B487:D487"/>
    <mergeCell ref="B471:D471"/>
    <mergeCell ref="E472:F472"/>
    <mergeCell ref="E473:F473"/>
    <mergeCell ref="B476:D476"/>
    <mergeCell ref="B477:D477"/>
    <mergeCell ref="E478:F478"/>
    <mergeCell ref="E495:F495"/>
    <mergeCell ref="B500:D500"/>
    <mergeCell ref="B501:D501"/>
    <mergeCell ref="E502:F502"/>
    <mergeCell ref="E503:F503"/>
    <mergeCell ref="B505:D505"/>
    <mergeCell ref="B488:D488"/>
    <mergeCell ref="E489:F489"/>
    <mergeCell ref="E490:F490"/>
    <mergeCell ref="B492:D492"/>
    <mergeCell ref="B493:D493"/>
    <mergeCell ref="E494:F494"/>
    <mergeCell ref="E513:F513"/>
    <mergeCell ref="B516:D516"/>
    <mergeCell ref="B517:D517"/>
    <mergeCell ref="E518:F518"/>
    <mergeCell ref="E519:F519"/>
    <mergeCell ref="B521:D521"/>
    <mergeCell ref="B506:D506"/>
    <mergeCell ref="E507:F507"/>
    <mergeCell ref="E508:F508"/>
    <mergeCell ref="B510:D510"/>
    <mergeCell ref="B511:D511"/>
    <mergeCell ref="E512:F512"/>
    <mergeCell ref="E529:F529"/>
    <mergeCell ref="B534:D534"/>
    <mergeCell ref="B535:D535"/>
    <mergeCell ref="E536:F536"/>
    <mergeCell ref="E537:F537"/>
    <mergeCell ref="B539:D539"/>
    <mergeCell ref="B522:D522"/>
    <mergeCell ref="E523:F523"/>
    <mergeCell ref="E524:F524"/>
    <mergeCell ref="B526:D526"/>
    <mergeCell ref="B527:D527"/>
    <mergeCell ref="E528:F528"/>
    <mergeCell ref="E547:F547"/>
    <mergeCell ref="B550:D550"/>
    <mergeCell ref="B551:D551"/>
    <mergeCell ref="E552:F552"/>
    <mergeCell ref="E553:F553"/>
    <mergeCell ref="B555:D555"/>
    <mergeCell ref="B540:D540"/>
    <mergeCell ref="E541:F541"/>
    <mergeCell ref="E542:F542"/>
    <mergeCell ref="B544:D544"/>
    <mergeCell ref="B545:D545"/>
    <mergeCell ref="E546:F546"/>
    <mergeCell ref="E563:F563"/>
    <mergeCell ref="B568:D568"/>
    <mergeCell ref="B569:D569"/>
    <mergeCell ref="E570:F570"/>
    <mergeCell ref="E571:F571"/>
    <mergeCell ref="B573:D573"/>
    <mergeCell ref="B556:D556"/>
    <mergeCell ref="E557:F557"/>
    <mergeCell ref="E558:F558"/>
    <mergeCell ref="B560:D560"/>
    <mergeCell ref="B561:D561"/>
    <mergeCell ref="E562:F562"/>
    <mergeCell ref="E581:F581"/>
    <mergeCell ref="B584:D584"/>
    <mergeCell ref="B585:D585"/>
    <mergeCell ref="E586:F586"/>
    <mergeCell ref="E587:F587"/>
    <mergeCell ref="B589:D589"/>
    <mergeCell ref="B574:D574"/>
    <mergeCell ref="E575:F575"/>
    <mergeCell ref="E576:F576"/>
    <mergeCell ref="B578:D578"/>
    <mergeCell ref="B579:D579"/>
    <mergeCell ref="E580:F580"/>
    <mergeCell ref="E597:F597"/>
    <mergeCell ref="B602:D602"/>
    <mergeCell ref="B603:D603"/>
    <mergeCell ref="E604:F604"/>
    <mergeCell ref="E605:F605"/>
    <mergeCell ref="B607:D607"/>
    <mergeCell ref="B590:D590"/>
    <mergeCell ref="E591:F591"/>
    <mergeCell ref="E592:F592"/>
    <mergeCell ref="B594:D594"/>
    <mergeCell ref="B595:D595"/>
    <mergeCell ref="E596:F596"/>
    <mergeCell ref="E615:F615"/>
    <mergeCell ref="B618:D618"/>
    <mergeCell ref="B619:D619"/>
    <mergeCell ref="E620:F620"/>
    <mergeCell ref="E621:F621"/>
    <mergeCell ref="B623:D623"/>
    <mergeCell ref="B608:D608"/>
    <mergeCell ref="E609:F609"/>
    <mergeCell ref="E610:F610"/>
    <mergeCell ref="B612:D612"/>
    <mergeCell ref="B613:D613"/>
    <mergeCell ref="E614:F614"/>
    <mergeCell ref="E631:F631"/>
    <mergeCell ref="B634:D634"/>
    <mergeCell ref="B635:D635"/>
    <mergeCell ref="E636:F636"/>
    <mergeCell ref="E637:F637"/>
    <mergeCell ref="B640:D640"/>
    <mergeCell ref="B624:D624"/>
    <mergeCell ref="E625:F625"/>
    <mergeCell ref="E626:F626"/>
    <mergeCell ref="B628:D628"/>
    <mergeCell ref="B629:D629"/>
    <mergeCell ref="E630:F630"/>
    <mergeCell ref="E652:F652"/>
    <mergeCell ref="E653:F653"/>
    <mergeCell ref="B655:D655"/>
    <mergeCell ref="B656:D656"/>
    <mergeCell ref="E657:F657"/>
    <mergeCell ref="E658:F658"/>
    <mergeCell ref="B645:D645"/>
    <mergeCell ref="B646:D646"/>
    <mergeCell ref="E647:F647"/>
    <mergeCell ref="E648:F648"/>
    <mergeCell ref="B650:D650"/>
    <mergeCell ref="B651:D651"/>
    <mergeCell ref="E668:F668"/>
    <mergeCell ref="E669:F669"/>
    <mergeCell ref="B671:D671"/>
    <mergeCell ref="B672:D672"/>
    <mergeCell ref="E673:F673"/>
    <mergeCell ref="E674:F674"/>
    <mergeCell ref="B661:D661"/>
    <mergeCell ref="B662:D662"/>
    <mergeCell ref="E663:F663"/>
    <mergeCell ref="E664:F664"/>
    <mergeCell ref="B666:D666"/>
    <mergeCell ref="B667:D667"/>
    <mergeCell ref="E686:F686"/>
    <mergeCell ref="E687:F687"/>
    <mergeCell ref="B689:D689"/>
    <mergeCell ref="B694:D694"/>
    <mergeCell ref="B695:D695"/>
    <mergeCell ref="E696:F696"/>
    <mergeCell ref="B676:D676"/>
    <mergeCell ref="B677:D677"/>
    <mergeCell ref="E678:F678"/>
    <mergeCell ref="E679:F679"/>
    <mergeCell ref="B684:D684"/>
    <mergeCell ref="B685:D685"/>
    <mergeCell ref="B705:D705"/>
    <mergeCell ref="E706:F706"/>
    <mergeCell ref="E707:F707"/>
    <mergeCell ref="B709:D709"/>
    <mergeCell ref="B710:D710"/>
    <mergeCell ref="E711:F711"/>
    <mergeCell ref="E697:F697"/>
    <mergeCell ref="B699:D699"/>
    <mergeCell ref="B700:D700"/>
    <mergeCell ref="E701:F701"/>
    <mergeCell ref="E702:F702"/>
    <mergeCell ref="B704:D704"/>
    <mergeCell ref="B724:D724"/>
    <mergeCell ref="B727:D727"/>
    <mergeCell ref="B728:D728"/>
    <mergeCell ref="B731:D731"/>
    <mergeCell ref="B732:D732"/>
    <mergeCell ref="B735:D735"/>
    <mergeCell ref="E712:F712"/>
    <mergeCell ref="B714:D714"/>
    <mergeCell ref="B715:D715"/>
    <mergeCell ref="E716:F716"/>
    <mergeCell ref="E717:F717"/>
    <mergeCell ref="B723:D723"/>
    <mergeCell ref="B817:D817"/>
    <mergeCell ref="B827:D827"/>
    <mergeCell ref="B836:D836"/>
    <mergeCell ref="AC836:BH836"/>
    <mergeCell ref="B840:D840"/>
    <mergeCell ref="B841:D841"/>
    <mergeCell ref="B736:D736"/>
    <mergeCell ref="B737:D737"/>
    <mergeCell ref="B792:D792"/>
    <mergeCell ref="AC792:BD792"/>
    <mergeCell ref="B811:D811"/>
    <mergeCell ref="AC811:BD811"/>
    <mergeCell ref="C852:D852"/>
    <mergeCell ref="C853:D853"/>
    <mergeCell ref="C854:D854"/>
    <mergeCell ref="C855:D855"/>
    <mergeCell ref="C856:D856"/>
    <mergeCell ref="C857:D857"/>
    <mergeCell ref="B844:D844"/>
    <mergeCell ref="B845:D845"/>
    <mergeCell ref="B848:D848"/>
    <mergeCell ref="C849:D849"/>
    <mergeCell ref="C850:D850"/>
    <mergeCell ref="C851:D851"/>
    <mergeCell ref="B869:D869"/>
    <mergeCell ref="B870:D870"/>
    <mergeCell ref="B871:D879"/>
    <mergeCell ref="B883:D883"/>
    <mergeCell ref="AO883:AQ883"/>
    <mergeCell ref="B886:D886"/>
    <mergeCell ref="C858:D858"/>
    <mergeCell ref="B861:D861"/>
    <mergeCell ref="B862:D862"/>
    <mergeCell ref="B865:D865"/>
    <mergeCell ref="B867:D867"/>
    <mergeCell ref="B868:D868"/>
    <mergeCell ref="C941:D941"/>
    <mergeCell ref="C946:D946"/>
    <mergeCell ref="C951:D951"/>
    <mergeCell ref="C956:D956"/>
    <mergeCell ref="C961:D961"/>
    <mergeCell ref="C966:D966"/>
    <mergeCell ref="B917:D917"/>
    <mergeCell ref="B919:D919"/>
    <mergeCell ref="B923:D923"/>
    <mergeCell ref="C926:D926"/>
    <mergeCell ref="C931:D931"/>
    <mergeCell ref="C936:D936"/>
    <mergeCell ref="C1001:D1001"/>
    <mergeCell ref="C1006:D1006"/>
    <mergeCell ref="C1011:D1011"/>
    <mergeCell ref="C1016:D1016"/>
    <mergeCell ref="C1021:D1021"/>
    <mergeCell ref="C1026:D1026"/>
    <mergeCell ref="C971:D971"/>
    <mergeCell ref="C976:D976"/>
    <mergeCell ref="C981:D981"/>
    <mergeCell ref="C986:D986"/>
    <mergeCell ref="C991:D991"/>
    <mergeCell ref="C996:D996"/>
    <mergeCell ref="C1066:D1066"/>
    <mergeCell ref="C1068:D1074"/>
    <mergeCell ref="C1076:D1078"/>
    <mergeCell ref="C1080:D1081"/>
    <mergeCell ref="B1102:D1102"/>
    <mergeCell ref="B1105:D1105"/>
    <mergeCell ref="AN1039:AO1039"/>
    <mergeCell ref="AT1039:BB1039"/>
    <mergeCell ref="B1040:D1040"/>
    <mergeCell ref="B1042:D1042"/>
    <mergeCell ref="B1045:D1045"/>
    <mergeCell ref="B1063:D1063"/>
    <mergeCell ref="AI1206:AJ1206"/>
    <mergeCell ref="AH1215:AI1215"/>
    <mergeCell ref="AI1216:AJ1216"/>
    <mergeCell ref="AH1225:AI1225"/>
    <mergeCell ref="AI1226:AJ1226"/>
    <mergeCell ref="AH1235:AI1235"/>
    <mergeCell ref="B1197:D1197"/>
    <mergeCell ref="C1199:D1199"/>
    <mergeCell ref="AC1199:AE1199"/>
    <mergeCell ref="AF1199:AH1199"/>
    <mergeCell ref="AI1199:AK1199"/>
    <mergeCell ref="AH1205:AI1205"/>
    <mergeCell ref="AI1266:AJ1266"/>
    <mergeCell ref="AH1275:AI1275"/>
    <mergeCell ref="AI1276:AJ1276"/>
    <mergeCell ref="AH1285:AI1285"/>
    <mergeCell ref="AI1286:AJ1286"/>
    <mergeCell ref="AH1295:AI1295"/>
    <mergeCell ref="AI1236:AJ1236"/>
    <mergeCell ref="AH1245:AI1245"/>
    <mergeCell ref="AI1246:AJ1246"/>
    <mergeCell ref="AH1255:AI1255"/>
    <mergeCell ref="AI1256:AJ1256"/>
    <mergeCell ref="AH1265:AI1265"/>
    <mergeCell ref="AI1326:AJ1326"/>
    <mergeCell ref="AH1335:AI1335"/>
    <mergeCell ref="AI1336:AJ1336"/>
    <mergeCell ref="AH1345:AI1345"/>
    <mergeCell ref="AI1346:AJ1346"/>
    <mergeCell ref="AH1355:AI1355"/>
    <mergeCell ref="AI1296:AJ1296"/>
    <mergeCell ref="AH1305:AI1305"/>
    <mergeCell ref="AI1306:AJ1306"/>
    <mergeCell ref="AH1315:AI1315"/>
    <mergeCell ref="AI1316:AJ1316"/>
    <mergeCell ref="AH1325:AI1325"/>
    <mergeCell ref="AI1386:AJ1386"/>
    <mergeCell ref="AH1395:AI1395"/>
    <mergeCell ref="AI1396:AJ1396"/>
    <mergeCell ref="AH1405:AI1405"/>
    <mergeCell ref="AI1406:AJ1406"/>
    <mergeCell ref="AH1415:AI1415"/>
    <mergeCell ref="AI1356:AJ1356"/>
    <mergeCell ref="AH1365:AI1365"/>
    <mergeCell ref="AI1366:AJ1366"/>
    <mergeCell ref="AH1375:AI1375"/>
    <mergeCell ref="AI1376:AJ1376"/>
    <mergeCell ref="AH1385:AI1385"/>
    <mergeCell ref="B1477:D1477"/>
    <mergeCell ref="B1478:D1478"/>
    <mergeCell ref="B1479:D1479"/>
    <mergeCell ref="C1482:D1482"/>
    <mergeCell ref="C1483:D1483"/>
    <mergeCell ref="C1492:D1492"/>
    <mergeCell ref="AI1416:AJ1416"/>
    <mergeCell ref="AH1425:AI1425"/>
    <mergeCell ref="AI1426:AJ1426"/>
    <mergeCell ref="AH1435:AI1435"/>
    <mergeCell ref="AI1436:AJ1436"/>
    <mergeCell ref="C1442:D1442"/>
    <mergeCell ref="C1513:D1513"/>
    <mergeCell ref="C1517:D1517"/>
    <mergeCell ref="C1522:D1522"/>
    <mergeCell ref="C1523:D1523"/>
    <mergeCell ref="C1527:D1527"/>
    <mergeCell ref="C1532:D1532"/>
    <mergeCell ref="C1493:D1493"/>
    <mergeCell ref="C1497:D1497"/>
    <mergeCell ref="C1502:D1502"/>
    <mergeCell ref="C1503:D1503"/>
    <mergeCell ref="C1507:D1507"/>
    <mergeCell ref="C1512:D1512"/>
    <mergeCell ref="AI1557:AK1557"/>
    <mergeCell ref="AO1557:AP1557"/>
    <mergeCell ref="AC1562:AD1562"/>
    <mergeCell ref="AI1562:AK1562"/>
    <mergeCell ref="AO1562:AP1562"/>
    <mergeCell ref="C1533:D1533"/>
    <mergeCell ref="C1537:D1537"/>
    <mergeCell ref="B1551:D1551"/>
    <mergeCell ref="AC1556:AD1556"/>
    <mergeCell ref="AI1556:AK1556"/>
    <mergeCell ref="AO1556:AP1556"/>
    <mergeCell ref="AO1569:AP1569"/>
    <mergeCell ref="AC1574:AD1574"/>
    <mergeCell ref="AI1574:AK1574"/>
    <mergeCell ref="AO1574:AP1574"/>
    <mergeCell ref="AC1563:AD1563"/>
    <mergeCell ref="AI1563:AK1563"/>
    <mergeCell ref="AO1563:AP1563"/>
    <mergeCell ref="AC1568:AD1568"/>
    <mergeCell ref="AI1568:AK1568"/>
    <mergeCell ref="AO1568:AP1568"/>
    <mergeCell ref="AO1581:AP1581"/>
    <mergeCell ref="B1598:E1598"/>
    <mergeCell ref="AC1601:AE1601"/>
    <mergeCell ref="AC1602:AE1602"/>
    <mergeCell ref="AC1575:AD1575"/>
    <mergeCell ref="AI1575:AK1575"/>
    <mergeCell ref="AO1575:AP1575"/>
    <mergeCell ref="AC1580:AD1580"/>
    <mergeCell ref="AI1580:AK1580"/>
    <mergeCell ref="AO1580:AP1580"/>
    <mergeCell ref="BD1607:BF1607"/>
    <mergeCell ref="BD1608:BF1608"/>
    <mergeCell ref="C1610:D1611"/>
    <mergeCell ref="AC1610:AD1610"/>
    <mergeCell ref="AE1610:AF1610"/>
    <mergeCell ref="AH1610:AI1610"/>
    <mergeCell ref="AJ1610:AK1610"/>
    <mergeCell ref="BD1610:BF1610"/>
    <mergeCell ref="AC1603:AE1603"/>
    <mergeCell ref="AC1604:AE1604"/>
    <mergeCell ref="AC1605:AE1605"/>
    <mergeCell ref="C1607:D1608"/>
    <mergeCell ref="AC1607:AD1607"/>
    <mergeCell ref="AE1607:AF1607"/>
    <mergeCell ref="BD1616:BF1616"/>
    <mergeCell ref="BD1617:BF1617"/>
    <mergeCell ref="C1619:D1620"/>
    <mergeCell ref="AH1619:AI1619"/>
    <mergeCell ref="AJ1619:AK1619"/>
    <mergeCell ref="BD1619:BF1619"/>
    <mergeCell ref="BD1620:BF1620"/>
    <mergeCell ref="BD1611:BF1611"/>
    <mergeCell ref="C1613:D1614"/>
    <mergeCell ref="AC1613:AD1613"/>
    <mergeCell ref="AH1613:AI1613"/>
    <mergeCell ref="BD1613:BF1613"/>
    <mergeCell ref="BD1614:BF1614"/>
    <mergeCell ref="BD1631:BF1631"/>
    <mergeCell ref="BD1632:BF1632"/>
    <mergeCell ref="C1622:D1623"/>
    <mergeCell ref="AH1622:AI1622"/>
    <mergeCell ref="C1625:D1626"/>
    <mergeCell ref="AH1625:AI1625"/>
    <mergeCell ref="AJ1625:AK1625"/>
    <mergeCell ref="BD1625:BF1625"/>
    <mergeCell ref="BD1626:BF1626"/>
    <mergeCell ref="AM2160:AN2160"/>
    <mergeCell ref="B757:D760"/>
    <mergeCell ref="A1643:E1645"/>
    <mergeCell ref="C1634:D1635"/>
    <mergeCell ref="AH1634:AI1634"/>
    <mergeCell ref="C1637:D1638"/>
    <mergeCell ref="AH1637:AI1637"/>
    <mergeCell ref="C1640:D1641"/>
    <mergeCell ref="AH1640:AI1640"/>
    <mergeCell ref="C1628:D1629"/>
    <mergeCell ref="AH1628:AI1628"/>
    <mergeCell ref="C1631:D1632"/>
    <mergeCell ref="AH1631:AI1631"/>
    <mergeCell ref="AJ1631:AK1631"/>
    <mergeCell ref="C1616:D1617"/>
    <mergeCell ref="AH1616:AI1616"/>
    <mergeCell ref="AJ1616:AK1616"/>
    <mergeCell ref="AH1607:AI1607"/>
    <mergeCell ref="AJ1607:AK1607"/>
    <mergeCell ref="AC1581:AD1581"/>
    <mergeCell ref="AI1581:AK1581"/>
    <mergeCell ref="AC1569:AD1569"/>
    <mergeCell ref="AI1569:AK1569"/>
    <mergeCell ref="AC1557:AD1557"/>
  </mergeCells>
  <conditionalFormatting sqref="E480">
    <cfRule type="cellIs" dxfId="1725" priority="853" operator="equal">
      <formula>E475</formula>
    </cfRule>
  </conditionalFormatting>
  <conditionalFormatting sqref="E486">
    <cfRule type="cellIs" dxfId="1724" priority="852" operator="equal">
      <formula>E480</formula>
    </cfRule>
  </conditionalFormatting>
  <conditionalFormatting sqref="E491">
    <cfRule type="cellIs" dxfId="1723" priority="851" operator="equal">
      <formula>E486</formula>
    </cfRule>
  </conditionalFormatting>
  <conditionalFormatting sqref="C17:C23">
    <cfRule type="containsText" dxfId="1722" priority="850" operator="containsText" text="Highlight">
      <formula>NOT(ISERROR(SEARCH("Highlight",C17)))</formula>
    </cfRule>
  </conditionalFormatting>
  <conditionalFormatting sqref="C17:C23">
    <cfRule type="containsText" dxfId="1721" priority="849" operator="containsText" text="Hightlight">
      <formula>NOT(ISERROR(SEARCH("Hightlight",C17)))</formula>
    </cfRule>
  </conditionalFormatting>
  <conditionalFormatting sqref="AN468">
    <cfRule type="cellIs" dxfId="1720" priority="847" operator="lessThan">
      <formula>0</formula>
    </cfRule>
    <cfRule type="cellIs" dxfId="1719" priority="848" operator="greaterThan">
      <formula>0</formula>
    </cfRule>
  </conditionalFormatting>
  <conditionalFormatting sqref="AO468:AU468">
    <cfRule type="cellIs" dxfId="1718" priority="845" operator="lessThan">
      <formula>0</formula>
    </cfRule>
    <cfRule type="cellIs" dxfId="1717" priority="846" operator="greaterThan">
      <formula>0</formula>
    </cfRule>
  </conditionalFormatting>
  <conditionalFormatting sqref="AG468:AL468">
    <cfRule type="cellIs" dxfId="1716" priority="843" operator="lessThan">
      <formula>0</formula>
    </cfRule>
    <cfRule type="cellIs" dxfId="1715" priority="844" operator="greaterThan">
      <formula>0</formula>
    </cfRule>
  </conditionalFormatting>
  <conditionalFormatting sqref="AZ469">
    <cfRule type="cellIs" dxfId="1714" priority="841" operator="lessThan">
      <formula>0</formula>
    </cfRule>
    <cfRule type="cellIs" dxfId="1713" priority="842" operator="greaterThan">
      <formula>0</formula>
    </cfRule>
  </conditionalFormatting>
  <conditionalFormatting sqref="AN473">
    <cfRule type="cellIs" dxfId="1712" priority="839" operator="lessThan">
      <formula>0</formula>
    </cfRule>
    <cfRule type="cellIs" dxfId="1711" priority="840" operator="greaterThan">
      <formula>0</formula>
    </cfRule>
  </conditionalFormatting>
  <conditionalFormatting sqref="AO473:AU473">
    <cfRule type="cellIs" dxfId="1710" priority="837" operator="lessThan">
      <formula>0</formula>
    </cfRule>
    <cfRule type="cellIs" dxfId="1709" priority="838" operator="greaterThan">
      <formula>0</formula>
    </cfRule>
  </conditionalFormatting>
  <conditionalFormatting sqref="AG473:AL473">
    <cfRule type="cellIs" dxfId="1708" priority="835" operator="lessThan">
      <formula>0</formula>
    </cfRule>
    <cfRule type="cellIs" dxfId="1707" priority="836" operator="greaterThan">
      <formula>0</formula>
    </cfRule>
  </conditionalFormatting>
  <conditionalFormatting sqref="AN479">
    <cfRule type="cellIs" dxfId="1706" priority="833" operator="lessThan">
      <formula>0</formula>
    </cfRule>
    <cfRule type="cellIs" dxfId="1705" priority="834" operator="greaterThan">
      <formula>0</formula>
    </cfRule>
  </conditionalFormatting>
  <conditionalFormatting sqref="AO479:AU479">
    <cfRule type="cellIs" dxfId="1704" priority="831" operator="lessThan">
      <formula>0</formula>
    </cfRule>
    <cfRule type="cellIs" dxfId="1703" priority="832" operator="greaterThan">
      <formula>0</formula>
    </cfRule>
  </conditionalFormatting>
  <conditionalFormatting sqref="AG479:AL479">
    <cfRule type="cellIs" dxfId="1702" priority="829" operator="lessThan">
      <formula>0</formula>
    </cfRule>
    <cfRule type="cellIs" dxfId="1701" priority="830" operator="greaterThan">
      <formula>0</formula>
    </cfRule>
  </conditionalFormatting>
  <conditionalFormatting sqref="AN484">
    <cfRule type="cellIs" dxfId="1700" priority="827" operator="lessThan">
      <formula>0</formula>
    </cfRule>
    <cfRule type="cellIs" dxfId="1699" priority="828" operator="greaterThan">
      <formula>0</formula>
    </cfRule>
  </conditionalFormatting>
  <conditionalFormatting sqref="AO484:AU484">
    <cfRule type="cellIs" dxfId="1698" priority="825" operator="lessThan">
      <formula>0</formula>
    </cfRule>
    <cfRule type="cellIs" dxfId="1697" priority="826" operator="greaterThan">
      <formula>0</formula>
    </cfRule>
  </conditionalFormatting>
  <conditionalFormatting sqref="AG484:AL484">
    <cfRule type="cellIs" dxfId="1696" priority="823" operator="lessThan">
      <formula>0</formula>
    </cfRule>
    <cfRule type="cellIs" dxfId="1695" priority="824" operator="greaterThan">
      <formula>0</formula>
    </cfRule>
  </conditionalFormatting>
  <conditionalFormatting sqref="AN490">
    <cfRule type="cellIs" dxfId="1694" priority="821" operator="lessThan">
      <formula>0</formula>
    </cfRule>
    <cfRule type="cellIs" dxfId="1693" priority="822" operator="greaterThan">
      <formula>0</formula>
    </cfRule>
  </conditionalFormatting>
  <conditionalFormatting sqref="AO490:AU490">
    <cfRule type="cellIs" dxfId="1692" priority="819" operator="lessThan">
      <formula>0</formula>
    </cfRule>
    <cfRule type="cellIs" dxfId="1691" priority="820" operator="greaterThan">
      <formula>0</formula>
    </cfRule>
  </conditionalFormatting>
  <conditionalFormatting sqref="AG490:AL490">
    <cfRule type="cellIs" dxfId="1690" priority="817" operator="lessThan">
      <formula>0</formula>
    </cfRule>
    <cfRule type="cellIs" dxfId="1689" priority="818" operator="greaterThan">
      <formula>0</formula>
    </cfRule>
  </conditionalFormatting>
  <conditionalFormatting sqref="AN495">
    <cfRule type="cellIs" dxfId="1688" priority="815" operator="lessThan">
      <formula>0</formula>
    </cfRule>
    <cfRule type="cellIs" dxfId="1687" priority="816" operator="greaterThan">
      <formula>0</formula>
    </cfRule>
  </conditionalFormatting>
  <conditionalFormatting sqref="AO495:AU495">
    <cfRule type="cellIs" dxfId="1686" priority="813" operator="lessThan">
      <formula>0</formula>
    </cfRule>
    <cfRule type="cellIs" dxfId="1685" priority="814" operator="greaterThan">
      <formula>0</formula>
    </cfRule>
  </conditionalFormatting>
  <conditionalFormatting sqref="AG495:AL495">
    <cfRule type="cellIs" dxfId="1684" priority="811" operator="lessThan">
      <formula>0</formula>
    </cfRule>
    <cfRule type="cellIs" dxfId="1683" priority="812" operator="greaterThan">
      <formula>0</formula>
    </cfRule>
  </conditionalFormatting>
  <conditionalFormatting sqref="AN503">
    <cfRule type="cellIs" dxfId="1682" priority="809" operator="lessThan">
      <formula>0</formula>
    </cfRule>
    <cfRule type="cellIs" dxfId="1681" priority="810" operator="greaterThan">
      <formula>0</formula>
    </cfRule>
  </conditionalFormatting>
  <conditionalFormatting sqref="AO503:AU503">
    <cfRule type="cellIs" dxfId="1680" priority="807" operator="lessThan">
      <formula>0</formula>
    </cfRule>
    <cfRule type="cellIs" dxfId="1679" priority="808" operator="greaterThan">
      <formula>0</formula>
    </cfRule>
  </conditionalFormatting>
  <conditionalFormatting sqref="AG503:AL503">
    <cfRule type="cellIs" dxfId="1678" priority="805" operator="lessThan">
      <formula>0</formula>
    </cfRule>
    <cfRule type="cellIs" dxfId="1677" priority="806" operator="greaterThan">
      <formula>0</formula>
    </cfRule>
  </conditionalFormatting>
  <conditionalFormatting sqref="AN508">
    <cfRule type="cellIs" dxfId="1676" priority="803" operator="lessThan">
      <formula>0</formula>
    </cfRule>
    <cfRule type="cellIs" dxfId="1675" priority="804" operator="greaterThan">
      <formula>0</formula>
    </cfRule>
  </conditionalFormatting>
  <conditionalFormatting sqref="AO508:AU508">
    <cfRule type="cellIs" dxfId="1674" priority="801" operator="lessThan">
      <formula>0</formula>
    </cfRule>
    <cfRule type="cellIs" dxfId="1673" priority="802" operator="greaterThan">
      <formula>0</formula>
    </cfRule>
  </conditionalFormatting>
  <conditionalFormatting sqref="AG508:AL508">
    <cfRule type="cellIs" dxfId="1672" priority="799" operator="lessThan">
      <formula>0</formula>
    </cfRule>
    <cfRule type="cellIs" dxfId="1671" priority="800" operator="greaterThan">
      <formula>0</formula>
    </cfRule>
  </conditionalFormatting>
  <conditionalFormatting sqref="AN513">
    <cfRule type="cellIs" dxfId="1670" priority="797" operator="lessThan">
      <formula>0</formula>
    </cfRule>
    <cfRule type="cellIs" dxfId="1669" priority="798" operator="greaterThan">
      <formula>0</formula>
    </cfRule>
  </conditionalFormatting>
  <conditionalFormatting sqref="AO513:AU513">
    <cfRule type="cellIs" dxfId="1668" priority="795" operator="lessThan">
      <formula>0</formula>
    </cfRule>
    <cfRule type="cellIs" dxfId="1667" priority="796" operator="greaterThan">
      <formula>0</formula>
    </cfRule>
  </conditionalFormatting>
  <conditionalFormatting sqref="AG513:AL513">
    <cfRule type="cellIs" dxfId="1666" priority="793" operator="lessThan">
      <formula>0</formula>
    </cfRule>
    <cfRule type="cellIs" dxfId="1665" priority="794" operator="greaterThan">
      <formula>0</formula>
    </cfRule>
  </conditionalFormatting>
  <conditionalFormatting sqref="AN519">
    <cfRule type="cellIs" dxfId="1664" priority="791" operator="lessThan">
      <formula>0</formula>
    </cfRule>
    <cfRule type="cellIs" dxfId="1663" priority="792" operator="greaterThan">
      <formula>0</formula>
    </cfRule>
  </conditionalFormatting>
  <conditionalFormatting sqref="AO519:AU519">
    <cfRule type="cellIs" dxfId="1662" priority="789" operator="lessThan">
      <formula>0</formula>
    </cfRule>
    <cfRule type="cellIs" dxfId="1661" priority="790" operator="greaterThan">
      <formula>0</formula>
    </cfRule>
  </conditionalFormatting>
  <conditionalFormatting sqref="AG519:AL519">
    <cfRule type="cellIs" dxfId="1660" priority="787" operator="lessThan">
      <formula>0</formula>
    </cfRule>
    <cfRule type="cellIs" dxfId="1659" priority="788" operator="greaterThan">
      <formula>0</formula>
    </cfRule>
  </conditionalFormatting>
  <conditionalFormatting sqref="AN524">
    <cfRule type="cellIs" dxfId="1658" priority="785" operator="lessThan">
      <formula>0</formula>
    </cfRule>
    <cfRule type="cellIs" dxfId="1657" priority="786" operator="greaterThan">
      <formula>0</formula>
    </cfRule>
  </conditionalFormatting>
  <conditionalFormatting sqref="AO524:AU524">
    <cfRule type="cellIs" dxfId="1656" priority="783" operator="lessThan">
      <formula>0</formula>
    </cfRule>
    <cfRule type="cellIs" dxfId="1655" priority="784" operator="greaterThan">
      <formula>0</formula>
    </cfRule>
  </conditionalFormatting>
  <conditionalFormatting sqref="AG524:AL524">
    <cfRule type="cellIs" dxfId="1654" priority="781" operator="lessThan">
      <formula>0</formula>
    </cfRule>
    <cfRule type="cellIs" dxfId="1653" priority="782" operator="greaterThan">
      <formula>0</formula>
    </cfRule>
  </conditionalFormatting>
  <conditionalFormatting sqref="AN529">
    <cfRule type="cellIs" dxfId="1652" priority="779" operator="lessThan">
      <formula>0</formula>
    </cfRule>
    <cfRule type="cellIs" dxfId="1651" priority="780" operator="greaterThan">
      <formula>0</formula>
    </cfRule>
  </conditionalFormatting>
  <conditionalFormatting sqref="AO529:AU529">
    <cfRule type="cellIs" dxfId="1650" priority="777" operator="lessThan">
      <formula>0</formula>
    </cfRule>
    <cfRule type="cellIs" dxfId="1649" priority="778" operator="greaterThan">
      <formula>0</formula>
    </cfRule>
  </conditionalFormatting>
  <conditionalFormatting sqref="AG529:AL529">
    <cfRule type="cellIs" dxfId="1648" priority="775" operator="lessThan">
      <formula>0</formula>
    </cfRule>
    <cfRule type="cellIs" dxfId="1647" priority="776" operator="greaterThan">
      <formula>0</formula>
    </cfRule>
  </conditionalFormatting>
  <conditionalFormatting sqref="AN537">
    <cfRule type="cellIs" dxfId="1646" priority="773" operator="lessThan">
      <formula>0</formula>
    </cfRule>
    <cfRule type="cellIs" dxfId="1645" priority="774" operator="greaterThan">
      <formula>0</formula>
    </cfRule>
  </conditionalFormatting>
  <conditionalFormatting sqref="AO537:AU537">
    <cfRule type="cellIs" dxfId="1644" priority="771" operator="lessThan">
      <formula>0</formula>
    </cfRule>
    <cfRule type="cellIs" dxfId="1643" priority="772" operator="greaterThan">
      <formula>0</formula>
    </cfRule>
  </conditionalFormatting>
  <conditionalFormatting sqref="AG537:AL537">
    <cfRule type="cellIs" dxfId="1642" priority="769" operator="lessThan">
      <formula>0</formula>
    </cfRule>
    <cfRule type="cellIs" dxfId="1641" priority="770" operator="greaterThan">
      <formula>0</formula>
    </cfRule>
  </conditionalFormatting>
  <conditionalFormatting sqref="AN542">
    <cfRule type="cellIs" dxfId="1640" priority="767" operator="lessThan">
      <formula>0</formula>
    </cfRule>
    <cfRule type="cellIs" dxfId="1639" priority="768" operator="greaterThan">
      <formula>0</formula>
    </cfRule>
  </conditionalFormatting>
  <conditionalFormatting sqref="AO542:AU542">
    <cfRule type="cellIs" dxfId="1638" priority="765" operator="lessThan">
      <formula>0</formula>
    </cfRule>
    <cfRule type="cellIs" dxfId="1637" priority="766" operator="greaterThan">
      <formula>0</formula>
    </cfRule>
  </conditionalFormatting>
  <conditionalFormatting sqref="AG542:AL542">
    <cfRule type="cellIs" dxfId="1636" priority="763" operator="lessThan">
      <formula>0</formula>
    </cfRule>
    <cfRule type="cellIs" dxfId="1635" priority="764" operator="greaterThan">
      <formula>0</formula>
    </cfRule>
  </conditionalFormatting>
  <conditionalFormatting sqref="AN547">
    <cfRule type="cellIs" dxfId="1634" priority="761" operator="lessThan">
      <formula>0</formula>
    </cfRule>
    <cfRule type="cellIs" dxfId="1633" priority="762" operator="greaterThan">
      <formula>0</formula>
    </cfRule>
  </conditionalFormatting>
  <conditionalFormatting sqref="AO547:AU547">
    <cfRule type="cellIs" dxfId="1632" priority="759" operator="lessThan">
      <formula>0</formula>
    </cfRule>
    <cfRule type="cellIs" dxfId="1631" priority="760" operator="greaterThan">
      <formula>0</formula>
    </cfRule>
  </conditionalFormatting>
  <conditionalFormatting sqref="AG547:AL547">
    <cfRule type="cellIs" dxfId="1630" priority="757" operator="lessThan">
      <formula>0</formula>
    </cfRule>
    <cfRule type="cellIs" dxfId="1629" priority="758" operator="greaterThan">
      <formula>0</formula>
    </cfRule>
  </conditionalFormatting>
  <conditionalFormatting sqref="AN553">
    <cfRule type="cellIs" dxfId="1628" priority="755" operator="lessThan">
      <formula>0</formula>
    </cfRule>
    <cfRule type="cellIs" dxfId="1627" priority="756" operator="greaterThan">
      <formula>0</formula>
    </cfRule>
  </conditionalFormatting>
  <conditionalFormatting sqref="AO553:AU553">
    <cfRule type="cellIs" dxfId="1626" priority="753" operator="lessThan">
      <formula>0</formula>
    </cfRule>
    <cfRule type="cellIs" dxfId="1625" priority="754" operator="greaterThan">
      <formula>0</formula>
    </cfRule>
  </conditionalFormatting>
  <conditionalFormatting sqref="AG553:AL553">
    <cfRule type="cellIs" dxfId="1624" priority="751" operator="lessThan">
      <formula>0</formula>
    </cfRule>
    <cfRule type="cellIs" dxfId="1623" priority="752" operator="greaterThan">
      <formula>0</formula>
    </cfRule>
  </conditionalFormatting>
  <conditionalFormatting sqref="AN558">
    <cfRule type="cellIs" dxfId="1622" priority="749" operator="lessThan">
      <formula>0</formula>
    </cfRule>
    <cfRule type="cellIs" dxfId="1621" priority="750" operator="greaterThan">
      <formula>0</formula>
    </cfRule>
  </conditionalFormatting>
  <conditionalFormatting sqref="AO558:AU558">
    <cfRule type="cellIs" dxfId="1620" priority="747" operator="lessThan">
      <formula>0</formula>
    </cfRule>
    <cfRule type="cellIs" dxfId="1619" priority="748" operator="greaterThan">
      <formula>0</formula>
    </cfRule>
  </conditionalFormatting>
  <conditionalFormatting sqref="AG558:AL558">
    <cfRule type="cellIs" dxfId="1618" priority="745" operator="lessThan">
      <formula>0</formula>
    </cfRule>
    <cfRule type="cellIs" dxfId="1617" priority="746" operator="greaterThan">
      <formula>0</formula>
    </cfRule>
  </conditionalFormatting>
  <conditionalFormatting sqref="AN563">
    <cfRule type="cellIs" dxfId="1616" priority="743" operator="lessThan">
      <formula>0</formula>
    </cfRule>
    <cfRule type="cellIs" dxfId="1615" priority="744" operator="greaterThan">
      <formula>0</formula>
    </cfRule>
  </conditionalFormatting>
  <conditionalFormatting sqref="AO563:AU563">
    <cfRule type="cellIs" dxfId="1614" priority="741" operator="lessThan">
      <formula>0</formula>
    </cfRule>
    <cfRule type="cellIs" dxfId="1613" priority="742" operator="greaterThan">
      <formula>0</formula>
    </cfRule>
  </conditionalFormatting>
  <conditionalFormatting sqref="AG563:AL563">
    <cfRule type="cellIs" dxfId="1612" priority="739" operator="lessThan">
      <formula>0</formula>
    </cfRule>
    <cfRule type="cellIs" dxfId="1611" priority="740" operator="greaterThan">
      <formula>0</formula>
    </cfRule>
  </conditionalFormatting>
  <conditionalFormatting sqref="AN571">
    <cfRule type="cellIs" dxfId="1610" priority="737" operator="lessThan">
      <formula>0</formula>
    </cfRule>
    <cfRule type="cellIs" dxfId="1609" priority="738" operator="greaterThan">
      <formula>0</formula>
    </cfRule>
  </conditionalFormatting>
  <conditionalFormatting sqref="AO571:AU571">
    <cfRule type="cellIs" dxfId="1608" priority="735" operator="lessThan">
      <formula>0</formula>
    </cfRule>
    <cfRule type="cellIs" dxfId="1607" priority="736" operator="greaterThan">
      <formula>0</formula>
    </cfRule>
  </conditionalFormatting>
  <conditionalFormatting sqref="AG571:AL571">
    <cfRule type="cellIs" dxfId="1606" priority="733" operator="lessThan">
      <formula>0</formula>
    </cfRule>
    <cfRule type="cellIs" dxfId="1605" priority="734" operator="greaterThan">
      <formula>0</formula>
    </cfRule>
  </conditionalFormatting>
  <conditionalFormatting sqref="AN576">
    <cfRule type="cellIs" dxfId="1604" priority="731" operator="lessThan">
      <formula>0</formula>
    </cfRule>
    <cfRule type="cellIs" dxfId="1603" priority="732" operator="greaterThan">
      <formula>0</formula>
    </cfRule>
  </conditionalFormatting>
  <conditionalFormatting sqref="AO576:AU576">
    <cfRule type="cellIs" dxfId="1602" priority="729" operator="lessThan">
      <formula>0</formula>
    </cfRule>
    <cfRule type="cellIs" dxfId="1601" priority="730" operator="greaterThan">
      <formula>0</formula>
    </cfRule>
  </conditionalFormatting>
  <conditionalFormatting sqref="AG576:AL576">
    <cfRule type="cellIs" dxfId="1600" priority="727" operator="lessThan">
      <formula>0</formula>
    </cfRule>
    <cfRule type="cellIs" dxfId="1599" priority="728" operator="greaterThan">
      <formula>0</formula>
    </cfRule>
  </conditionalFormatting>
  <conditionalFormatting sqref="AN581">
    <cfRule type="cellIs" dxfId="1598" priority="725" operator="lessThan">
      <formula>0</formula>
    </cfRule>
    <cfRule type="cellIs" dxfId="1597" priority="726" operator="greaterThan">
      <formula>0</formula>
    </cfRule>
  </conditionalFormatting>
  <conditionalFormatting sqref="AO581:AU581">
    <cfRule type="cellIs" dxfId="1596" priority="723" operator="lessThan">
      <formula>0</formula>
    </cfRule>
    <cfRule type="cellIs" dxfId="1595" priority="724" operator="greaterThan">
      <formula>0</formula>
    </cfRule>
  </conditionalFormatting>
  <conditionalFormatting sqref="AG581:AL581">
    <cfRule type="cellIs" dxfId="1594" priority="721" operator="lessThan">
      <formula>0</formula>
    </cfRule>
    <cfRule type="cellIs" dxfId="1593" priority="722" operator="greaterThan">
      <formula>0</formula>
    </cfRule>
  </conditionalFormatting>
  <conditionalFormatting sqref="AN587">
    <cfRule type="cellIs" dxfId="1592" priority="719" operator="lessThan">
      <formula>0</formula>
    </cfRule>
    <cfRule type="cellIs" dxfId="1591" priority="720" operator="greaterThan">
      <formula>0</formula>
    </cfRule>
  </conditionalFormatting>
  <conditionalFormatting sqref="AO587:AU587">
    <cfRule type="cellIs" dxfId="1590" priority="717" operator="lessThan">
      <formula>0</formula>
    </cfRule>
    <cfRule type="cellIs" dxfId="1589" priority="718" operator="greaterThan">
      <formula>0</formula>
    </cfRule>
  </conditionalFormatting>
  <conditionalFormatting sqref="AG587:AL587">
    <cfRule type="cellIs" dxfId="1588" priority="715" operator="lessThan">
      <formula>0</formula>
    </cfRule>
    <cfRule type="cellIs" dxfId="1587" priority="716" operator="greaterThan">
      <formula>0</formula>
    </cfRule>
  </conditionalFormatting>
  <conditionalFormatting sqref="AN592">
    <cfRule type="cellIs" dxfId="1586" priority="713" operator="lessThan">
      <formula>0</formula>
    </cfRule>
    <cfRule type="cellIs" dxfId="1585" priority="714" operator="greaterThan">
      <formula>0</formula>
    </cfRule>
  </conditionalFormatting>
  <conditionalFormatting sqref="AO592:AU592">
    <cfRule type="cellIs" dxfId="1584" priority="711" operator="lessThan">
      <formula>0</formula>
    </cfRule>
    <cfRule type="cellIs" dxfId="1583" priority="712" operator="greaterThan">
      <formula>0</formula>
    </cfRule>
  </conditionalFormatting>
  <conditionalFormatting sqref="AG592:AL592">
    <cfRule type="cellIs" dxfId="1582" priority="709" operator="lessThan">
      <formula>0</formula>
    </cfRule>
    <cfRule type="cellIs" dxfId="1581" priority="710" operator="greaterThan">
      <formula>0</formula>
    </cfRule>
  </conditionalFormatting>
  <conditionalFormatting sqref="AN597">
    <cfRule type="cellIs" dxfId="1580" priority="707" operator="lessThan">
      <formula>0</formula>
    </cfRule>
    <cfRule type="cellIs" dxfId="1579" priority="708" operator="greaterThan">
      <formula>0</formula>
    </cfRule>
  </conditionalFormatting>
  <conditionalFormatting sqref="AO597:AU597">
    <cfRule type="cellIs" dxfId="1578" priority="705" operator="lessThan">
      <formula>0</formula>
    </cfRule>
    <cfRule type="cellIs" dxfId="1577" priority="706" operator="greaterThan">
      <formula>0</formula>
    </cfRule>
  </conditionalFormatting>
  <conditionalFormatting sqref="AG597:AL597">
    <cfRule type="cellIs" dxfId="1576" priority="703" operator="lessThan">
      <formula>0</formula>
    </cfRule>
    <cfRule type="cellIs" dxfId="1575" priority="704" operator="greaterThan">
      <formula>0</formula>
    </cfRule>
  </conditionalFormatting>
  <conditionalFormatting sqref="AN605">
    <cfRule type="cellIs" dxfId="1574" priority="701" operator="lessThan">
      <formula>0</formula>
    </cfRule>
    <cfRule type="cellIs" dxfId="1573" priority="702" operator="greaterThan">
      <formula>0</formula>
    </cfRule>
  </conditionalFormatting>
  <conditionalFormatting sqref="AO605:AU605">
    <cfRule type="cellIs" dxfId="1572" priority="699" operator="lessThan">
      <formula>0</formula>
    </cfRule>
    <cfRule type="cellIs" dxfId="1571" priority="700" operator="greaterThan">
      <formula>0</formula>
    </cfRule>
  </conditionalFormatting>
  <conditionalFormatting sqref="AG605:AL605">
    <cfRule type="cellIs" dxfId="1570" priority="697" operator="lessThan">
      <formula>0</formula>
    </cfRule>
    <cfRule type="cellIs" dxfId="1569" priority="698" operator="greaterThan">
      <formula>0</formula>
    </cfRule>
  </conditionalFormatting>
  <conditionalFormatting sqref="AN610">
    <cfRule type="cellIs" dxfId="1568" priority="695" operator="lessThan">
      <formula>0</formula>
    </cfRule>
    <cfRule type="cellIs" dxfId="1567" priority="696" operator="greaterThan">
      <formula>0</formula>
    </cfRule>
  </conditionalFormatting>
  <conditionalFormatting sqref="AO610:AU610">
    <cfRule type="cellIs" dxfId="1566" priority="693" operator="lessThan">
      <formula>0</formula>
    </cfRule>
    <cfRule type="cellIs" dxfId="1565" priority="694" operator="greaterThan">
      <formula>0</formula>
    </cfRule>
  </conditionalFormatting>
  <conditionalFormatting sqref="AG610:AL610">
    <cfRule type="cellIs" dxfId="1564" priority="691" operator="lessThan">
      <formula>0</formula>
    </cfRule>
    <cfRule type="cellIs" dxfId="1563" priority="692" operator="greaterThan">
      <formula>0</formula>
    </cfRule>
  </conditionalFormatting>
  <conditionalFormatting sqref="AN615">
    <cfRule type="cellIs" dxfId="1562" priority="689" operator="lessThan">
      <formula>0</formula>
    </cfRule>
    <cfRule type="cellIs" dxfId="1561" priority="690" operator="greaterThan">
      <formula>0</formula>
    </cfRule>
  </conditionalFormatting>
  <conditionalFormatting sqref="AO615:AU615">
    <cfRule type="cellIs" dxfId="1560" priority="687" operator="lessThan">
      <formula>0</formula>
    </cfRule>
    <cfRule type="cellIs" dxfId="1559" priority="688" operator="greaterThan">
      <formula>0</formula>
    </cfRule>
  </conditionalFormatting>
  <conditionalFormatting sqref="AG615:AL615">
    <cfRule type="cellIs" dxfId="1558" priority="685" operator="lessThan">
      <formula>0</formula>
    </cfRule>
    <cfRule type="cellIs" dxfId="1557" priority="686" operator="greaterThan">
      <formula>0</formula>
    </cfRule>
  </conditionalFormatting>
  <conditionalFormatting sqref="AN621">
    <cfRule type="cellIs" dxfId="1556" priority="683" operator="lessThan">
      <formula>0</formula>
    </cfRule>
    <cfRule type="cellIs" dxfId="1555" priority="684" operator="greaterThan">
      <formula>0</formula>
    </cfRule>
  </conditionalFormatting>
  <conditionalFormatting sqref="AO621:AU621">
    <cfRule type="cellIs" dxfId="1554" priority="681" operator="lessThan">
      <formula>0</formula>
    </cfRule>
    <cfRule type="cellIs" dxfId="1553" priority="682" operator="greaterThan">
      <formula>0</formula>
    </cfRule>
  </conditionalFormatting>
  <conditionalFormatting sqref="AG621:AL621">
    <cfRule type="cellIs" dxfId="1552" priority="679" operator="lessThan">
      <formula>0</formula>
    </cfRule>
    <cfRule type="cellIs" dxfId="1551" priority="680" operator="greaterThan">
      <formula>0</formula>
    </cfRule>
  </conditionalFormatting>
  <conditionalFormatting sqref="AN626">
    <cfRule type="cellIs" dxfId="1550" priority="677" operator="lessThan">
      <formula>0</formula>
    </cfRule>
    <cfRule type="cellIs" dxfId="1549" priority="678" operator="greaterThan">
      <formula>0</formula>
    </cfRule>
  </conditionalFormatting>
  <conditionalFormatting sqref="AO626:AU626">
    <cfRule type="cellIs" dxfId="1548" priority="675" operator="lessThan">
      <formula>0</formula>
    </cfRule>
    <cfRule type="cellIs" dxfId="1547" priority="676" operator="greaterThan">
      <formula>0</formula>
    </cfRule>
  </conditionalFormatting>
  <conditionalFormatting sqref="AG626:AL626">
    <cfRule type="cellIs" dxfId="1546" priority="673" operator="lessThan">
      <formula>0</formula>
    </cfRule>
    <cfRule type="cellIs" dxfId="1545" priority="674" operator="greaterThan">
      <formula>0</formula>
    </cfRule>
  </conditionalFormatting>
  <conditionalFormatting sqref="AN631:AN632">
    <cfRule type="cellIs" dxfId="1544" priority="671" operator="lessThan">
      <formula>0</formula>
    </cfRule>
    <cfRule type="cellIs" dxfId="1543" priority="672" operator="greaterThan">
      <formula>0</formula>
    </cfRule>
  </conditionalFormatting>
  <conditionalFormatting sqref="AO631:AU632">
    <cfRule type="cellIs" dxfId="1542" priority="669" operator="lessThan">
      <formula>0</formula>
    </cfRule>
    <cfRule type="cellIs" dxfId="1541" priority="670" operator="greaterThan">
      <formula>0</formula>
    </cfRule>
  </conditionalFormatting>
  <conditionalFormatting sqref="AG631:AL632">
    <cfRule type="cellIs" dxfId="1540" priority="667" operator="lessThan">
      <formula>0</formula>
    </cfRule>
    <cfRule type="cellIs" dxfId="1539" priority="668" operator="greaterThan">
      <formula>0</formula>
    </cfRule>
  </conditionalFormatting>
  <conditionalFormatting sqref="AN637">
    <cfRule type="cellIs" dxfId="1538" priority="665" operator="lessThan">
      <formula>0</formula>
    </cfRule>
    <cfRule type="cellIs" dxfId="1537" priority="666" operator="greaterThan">
      <formula>0</formula>
    </cfRule>
  </conditionalFormatting>
  <conditionalFormatting sqref="AO637:AU637">
    <cfRule type="cellIs" dxfId="1536" priority="663" operator="lessThan">
      <formula>0</formula>
    </cfRule>
    <cfRule type="cellIs" dxfId="1535" priority="664" operator="greaterThan">
      <formula>0</formula>
    </cfRule>
  </conditionalFormatting>
  <conditionalFormatting sqref="AG637:AL637">
    <cfRule type="cellIs" dxfId="1534" priority="661" operator="lessThan">
      <formula>0</formula>
    </cfRule>
    <cfRule type="cellIs" dxfId="1533" priority="662" operator="greaterThan">
      <formula>0</formula>
    </cfRule>
  </conditionalFormatting>
  <conditionalFormatting sqref="AN648">
    <cfRule type="cellIs" dxfId="1532" priority="659" operator="lessThan">
      <formula>0</formula>
    </cfRule>
    <cfRule type="cellIs" dxfId="1531" priority="660" operator="greaterThan">
      <formula>0</formula>
    </cfRule>
  </conditionalFormatting>
  <conditionalFormatting sqref="AO648:AU648">
    <cfRule type="cellIs" dxfId="1530" priority="657" operator="lessThan">
      <formula>0</formula>
    </cfRule>
    <cfRule type="cellIs" dxfId="1529" priority="658" operator="greaterThan">
      <formula>0</formula>
    </cfRule>
  </conditionalFormatting>
  <conditionalFormatting sqref="AG648:AL648">
    <cfRule type="cellIs" dxfId="1528" priority="655" operator="lessThan">
      <formula>0</formula>
    </cfRule>
    <cfRule type="cellIs" dxfId="1527" priority="656" operator="greaterThan">
      <formula>0</formula>
    </cfRule>
  </conditionalFormatting>
  <conditionalFormatting sqref="AN653">
    <cfRule type="cellIs" dxfId="1526" priority="653" operator="lessThan">
      <formula>0</formula>
    </cfRule>
    <cfRule type="cellIs" dxfId="1525" priority="654" operator="greaterThan">
      <formula>0</formula>
    </cfRule>
  </conditionalFormatting>
  <conditionalFormatting sqref="AO653:AU653">
    <cfRule type="cellIs" dxfId="1524" priority="651" operator="lessThan">
      <formula>0</formula>
    </cfRule>
    <cfRule type="cellIs" dxfId="1523" priority="652" operator="greaterThan">
      <formula>0</formula>
    </cfRule>
  </conditionalFormatting>
  <conditionalFormatting sqref="AG653:AL653">
    <cfRule type="cellIs" dxfId="1522" priority="649" operator="lessThan">
      <formula>0</formula>
    </cfRule>
    <cfRule type="cellIs" dxfId="1521" priority="650" operator="greaterThan">
      <formula>0</formula>
    </cfRule>
  </conditionalFormatting>
  <conditionalFormatting sqref="AN658:AN659">
    <cfRule type="cellIs" dxfId="1520" priority="647" operator="lessThan">
      <formula>0</formula>
    </cfRule>
    <cfRule type="cellIs" dxfId="1519" priority="648" operator="greaterThan">
      <formula>0</formula>
    </cfRule>
  </conditionalFormatting>
  <conditionalFormatting sqref="AO658:AU659">
    <cfRule type="cellIs" dxfId="1518" priority="645" operator="lessThan">
      <formula>0</formula>
    </cfRule>
    <cfRule type="cellIs" dxfId="1517" priority="646" operator="greaterThan">
      <formula>0</formula>
    </cfRule>
  </conditionalFormatting>
  <conditionalFormatting sqref="AG658:AL659">
    <cfRule type="cellIs" dxfId="1516" priority="643" operator="lessThan">
      <formula>0</formula>
    </cfRule>
    <cfRule type="cellIs" dxfId="1515" priority="644" operator="greaterThan">
      <formula>0</formula>
    </cfRule>
  </conditionalFormatting>
  <conditionalFormatting sqref="AN664">
    <cfRule type="cellIs" dxfId="1514" priority="641" operator="lessThan">
      <formula>0</formula>
    </cfRule>
    <cfRule type="cellIs" dxfId="1513" priority="642" operator="greaterThan">
      <formula>0</formula>
    </cfRule>
  </conditionalFormatting>
  <conditionalFormatting sqref="AO664:AU664">
    <cfRule type="cellIs" dxfId="1512" priority="639" operator="lessThan">
      <formula>0</formula>
    </cfRule>
    <cfRule type="cellIs" dxfId="1511" priority="640" operator="greaterThan">
      <formula>0</formula>
    </cfRule>
  </conditionalFormatting>
  <conditionalFormatting sqref="AG664:AL664">
    <cfRule type="cellIs" dxfId="1510" priority="637" operator="lessThan">
      <formula>0</formula>
    </cfRule>
    <cfRule type="cellIs" dxfId="1509" priority="638" operator="greaterThan">
      <formula>0</formula>
    </cfRule>
  </conditionalFormatting>
  <conditionalFormatting sqref="AN669">
    <cfRule type="cellIs" dxfId="1508" priority="635" operator="lessThan">
      <formula>0</formula>
    </cfRule>
    <cfRule type="cellIs" dxfId="1507" priority="636" operator="greaterThan">
      <formula>0</formula>
    </cfRule>
  </conditionalFormatting>
  <conditionalFormatting sqref="AO669:AU669">
    <cfRule type="cellIs" dxfId="1506" priority="633" operator="lessThan">
      <formula>0</formula>
    </cfRule>
    <cfRule type="cellIs" dxfId="1505" priority="634" operator="greaterThan">
      <formula>0</formula>
    </cfRule>
  </conditionalFormatting>
  <conditionalFormatting sqref="AG669:AL669">
    <cfRule type="cellIs" dxfId="1504" priority="631" operator="lessThan">
      <formula>0</formula>
    </cfRule>
    <cfRule type="cellIs" dxfId="1503" priority="632" operator="greaterThan">
      <formula>0</formula>
    </cfRule>
  </conditionalFormatting>
  <conditionalFormatting sqref="AN674">
    <cfRule type="cellIs" dxfId="1502" priority="629" operator="lessThan">
      <formula>0</formula>
    </cfRule>
    <cfRule type="cellIs" dxfId="1501" priority="630" operator="greaterThan">
      <formula>0</formula>
    </cfRule>
  </conditionalFormatting>
  <conditionalFormatting sqref="AO674:AU674">
    <cfRule type="cellIs" dxfId="1500" priority="627" operator="lessThan">
      <formula>0</formula>
    </cfRule>
    <cfRule type="cellIs" dxfId="1499" priority="628" operator="greaterThan">
      <formula>0</formula>
    </cfRule>
  </conditionalFormatting>
  <conditionalFormatting sqref="AG674:AL674">
    <cfRule type="cellIs" dxfId="1498" priority="625" operator="lessThan">
      <formula>0</formula>
    </cfRule>
    <cfRule type="cellIs" dxfId="1497" priority="626" operator="greaterThan">
      <formula>0</formula>
    </cfRule>
  </conditionalFormatting>
  <conditionalFormatting sqref="AN679">
    <cfRule type="cellIs" dxfId="1496" priority="623" operator="lessThan">
      <formula>0</formula>
    </cfRule>
    <cfRule type="cellIs" dxfId="1495" priority="624" operator="greaterThan">
      <formula>0</formula>
    </cfRule>
  </conditionalFormatting>
  <conditionalFormatting sqref="AO679:AU679">
    <cfRule type="cellIs" dxfId="1494" priority="621" operator="lessThan">
      <formula>0</formula>
    </cfRule>
    <cfRule type="cellIs" dxfId="1493" priority="622" operator="greaterThan">
      <formula>0</formula>
    </cfRule>
  </conditionalFormatting>
  <conditionalFormatting sqref="AG679:AL679">
    <cfRule type="cellIs" dxfId="1492" priority="619" operator="lessThan">
      <formula>0</formula>
    </cfRule>
    <cfRule type="cellIs" dxfId="1491" priority="620" operator="greaterThan">
      <formula>0</formula>
    </cfRule>
  </conditionalFormatting>
  <conditionalFormatting sqref="AN687">
    <cfRule type="cellIs" dxfId="1490" priority="617" operator="lessThan">
      <formula>0</formula>
    </cfRule>
    <cfRule type="cellIs" dxfId="1489" priority="618" operator="greaterThan">
      <formula>0</formula>
    </cfRule>
  </conditionalFormatting>
  <conditionalFormatting sqref="AO687:AU687">
    <cfRule type="cellIs" dxfId="1488" priority="615" operator="lessThan">
      <formula>0</formula>
    </cfRule>
    <cfRule type="cellIs" dxfId="1487" priority="616" operator="greaterThan">
      <formula>0</formula>
    </cfRule>
  </conditionalFormatting>
  <conditionalFormatting sqref="AG687:AL687">
    <cfRule type="cellIs" dxfId="1486" priority="613" operator="lessThan">
      <formula>0</formula>
    </cfRule>
    <cfRule type="cellIs" dxfId="1485" priority="614" operator="greaterThan">
      <formula>0</formula>
    </cfRule>
  </conditionalFormatting>
  <conditionalFormatting sqref="AN697">
    <cfRule type="cellIs" dxfId="1484" priority="611" operator="lessThan">
      <formula>0</formula>
    </cfRule>
    <cfRule type="cellIs" dxfId="1483" priority="612" operator="greaterThan">
      <formula>0</formula>
    </cfRule>
  </conditionalFormatting>
  <conditionalFormatting sqref="AO697:AU697">
    <cfRule type="cellIs" dxfId="1482" priority="609" operator="lessThan">
      <formula>0</formula>
    </cfRule>
    <cfRule type="cellIs" dxfId="1481" priority="610" operator="greaterThan">
      <formula>0</formula>
    </cfRule>
  </conditionalFormatting>
  <conditionalFormatting sqref="AG697:AL697">
    <cfRule type="cellIs" dxfId="1480" priority="607" operator="lessThan">
      <formula>0</formula>
    </cfRule>
    <cfRule type="cellIs" dxfId="1479" priority="608" operator="greaterThan">
      <formula>0</formula>
    </cfRule>
  </conditionalFormatting>
  <conditionalFormatting sqref="AN702">
    <cfRule type="cellIs" dxfId="1478" priority="605" operator="lessThan">
      <formula>0</formula>
    </cfRule>
    <cfRule type="cellIs" dxfId="1477" priority="606" operator="greaterThan">
      <formula>0</formula>
    </cfRule>
  </conditionalFormatting>
  <conditionalFormatting sqref="AO702:AU702">
    <cfRule type="cellIs" dxfId="1476" priority="603" operator="lessThan">
      <formula>0</formula>
    </cfRule>
    <cfRule type="cellIs" dxfId="1475" priority="604" operator="greaterThan">
      <formula>0</formula>
    </cfRule>
  </conditionalFormatting>
  <conditionalFormatting sqref="AG702:AL702">
    <cfRule type="cellIs" dxfId="1474" priority="601" operator="lessThan">
      <formula>0</formula>
    </cfRule>
    <cfRule type="cellIs" dxfId="1473" priority="602" operator="greaterThan">
      <formula>0</formula>
    </cfRule>
  </conditionalFormatting>
  <conditionalFormatting sqref="AN707">
    <cfRule type="cellIs" dxfId="1472" priority="599" operator="lessThan">
      <formula>0</formula>
    </cfRule>
    <cfRule type="cellIs" dxfId="1471" priority="600" operator="greaterThan">
      <formula>0</formula>
    </cfRule>
  </conditionalFormatting>
  <conditionalFormatting sqref="AO707:AU707">
    <cfRule type="cellIs" dxfId="1470" priority="597" operator="lessThan">
      <formula>0</formula>
    </cfRule>
    <cfRule type="cellIs" dxfId="1469" priority="598" operator="greaterThan">
      <formula>0</formula>
    </cfRule>
  </conditionalFormatting>
  <conditionalFormatting sqref="AG707:AL707">
    <cfRule type="cellIs" dxfId="1468" priority="595" operator="lessThan">
      <formula>0</formula>
    </cfRule>
    <cfRule type="cellIs" dxfId="1467" priority="596" operator="greaterThan">
      <formula>0</formula>
    </cfRule>
  </conditionalFormatting>
  <conditionalFormatting sqref="AN712">
    <cfRule type="cellIs" dxfId="1466" priority="593" operator="lessThan">
      <formula>0</formula>
    </cfRule>
    <cfRule type="cellIs" dxfId="1465" priority="594" operator="greaterThan">
      <formula>0</formula>
    </cfRule>
  </conditionalFormatting>
  <conditionalFormatting sqref="AO712:AU712">
    <cfRule type="cellIs" dxfId="1464" priority="591" operator="lessThan">
      <formula>0</formula>
    </cfRule>
    <cfRule type="cellIs" dxfId="1463" priority="592" operator="greaterThan">
      <formula>0</formula>
    </cfRule>
  </conditionalFormatting>
  <conditionalFormatting sqref="AG712:AL712">
    <cfRule type="cellIs" dxfId="1462" priority="589" operator="lessThan">
      <formula>0</formula>
    </cfRule>
    <cfRule type="cellIs" dxfId="1461" priority="590" operator="greaterThan">
      <formula>0</formula>
    </cfRule>
  </conditionalFormatting>
  <conditionalFormatting sqref="AN717">
    <cfRule type="cellIs" dxfId="1460" priority="587" operator="lessThan">
      <formula>0</formula>
    </cfRule>
    <cfRule type="cellIs" dxfId="1459" priority="588" operator="greaterThan">
      <formula>0</formula>
    </cfRule>
  </conditionalFormatting>
  <conditionalFormatting sqref="AO717:AU717">
    <cfRule type="cellIs" dxfId="1458" priority="585" operator="lessThan">
      <formula>0</formula>
    </cfRule>
    <cfRule type="cellIs" dxfId="1457" priority="586" operator="greaterThan">
      <formula>0</formula>
    </cfRule>
  </conditionalFormatting>
  <conditionalFormatting sqref="AG717:AL717">
    <cfRule type="cellIs" dxfId="1456" priority="583" operator="lessThan">
      <formula>0</formula>
    </cfRule>
    <cfRule type="cellIs" dxfId="1455" priority="584" operator="greaterThan">
      <formula>0</formula>
    </cfRule>
  </conditionalFormatting>
  <conditionalFormatting sqref="E484">
    <cfRule type="cellIs" dxfId="1454" priority="582" operator="equal">
      <formula>$E$479</formula>
    </cfRule>
  </conditionalFormatting>
  <conditionalFormatting sqref="E483">
    <cfRule type="cellIs" dxfId="1453" priority="581" operator="equal">
      <formula>$E478</formula>
    </cfRule>
  </conditionalFormatting>
  <conditionalFormatting sqref="E490">
    <cfRule type="cellIs" dxfId="1452" priority="580" operator="equal">
      <formula>$E484</formula>
    </cfRule>
  </conditionalFormatting>
  <conditionalFormatting sqref="E489">
    <cfRule type="cellIs" dxfId="1451" priority="579" operator="equal">
      <formula>$E$483</formula>
    </cfRule>
  </conditionalFormatting>
  <conditionalFormatting sqref="E495">
    <cfRule type="cellIs" dxfId="1450" priority="578" operator="equal">
      <formula>$E490</formula>
    </cfRule>
  </conditionalFormatting>
  <conditionalFormatting sqref="E503">
    <cfRule type="cellIs" dxfId="1449" priority="577" operator="equal">
      <formula>$E495</formula>
    </cfRule>
  </conditionalFormatting>
  <conditionalFormatting sqref="E508">
    <cfRule type="cellIs" dxfId="1448" priority="576" operator="equal">
      <formula>$E503</formula>
    </cfRule>
  </conditionalFormatting>
  <conditionalFormatting sqref="E523">
    <cfRule type="cellIs" dxfId="1447" priority="575" operator="equal">
      <formula>$E518</formula>
    </cfRule>
  </conditionalFormatting>
  <conditionalFormatting sqref="E494">
    <cfRule type="cellIs" dxfId="1446" priority="574" operator="equal">
      <formula>$E$489</formula>
    </cfRule>
  </conditionalFormatting>
  <conditionalFormatting sqref="E502">
    <cfRule type="cellIs" dxfId="1445" priority="573" operator="equal">
      <formula>$E$494</formula>
    </cfRule>
  </conditionalFormatting>
  <conditionalFormatting sqref="E528">
    <cfRule type="cellIs" dxfId="1444" priority="572" operator="equal">
      <formula>$E523</formula>
    </cfRule>
  </conditionalFormatting>
  <conditionalFormatting sqref="E507">
    <cfRule type="cellIs" dxfId="1443" priority="571" operator="equal">
      <formula>$E502</formula>
    </cfRule>
  </conditionalFormatting>
  <conditionalFormatting sqref="E524">
    <cfRule type="cellIs" dxfId="1442" priority="570" operator="equal">
      <formula>$E519</formula>
    </cfRule>
  </conditionalFormatting>
  <conditionalFormatting sqref="E529">
    <cfRule type="cellIs" dxfId="1441" priority="569" operator="equal">
      <formula>$E524</formula>
    </cfRule>
  </conditionalFormatting>
  <conditionalFormatting sqref="E541">
    <cfRule type="cellIs" dxfId="1440" priority="568" operator="equal">
      <formula>$E536</formula>
    </cfRule>
  </conditionalFormatting>
  <conditionalFormatting sqref="E542">
    <cfRule type="cellIs" dxfId="1439" priority="567" operator="equal">
      <formula>$E537</formula>
    </cfRule>
  </conditionalFormatting>
  <conditionalFormatting sqref="E546">
    <cfRule type="cellIs" dxfId="1438" priority="566" operator="equal">
      <formula>$E541</formula>
    </cfRule>
  </conditionalFormatting>
  <conditionalFormatting sqref="E536">
    <cfRule type="cellIs" dxfId="1437" priority="565" operator="equal">
      <formula>$E528</formula>
    </cfRule>
  </conditionalFormatting>
  <conditionalFormatting sqref="E537">
    <cfRule type="cellIs" dxfId="1436" priority="564" operator="equal">
      <formula>$E529</formula>
    </cfRule>
  </conditionalFormatting>
  <conditionalFormatting sqref="E570">
    <cfRule type="cellIs" dxfId="1435" priority="563" operator="equal">
      <formula>$E562</formula>
    </cfRule>
  </conditionalFormatting>
  <conditionalFormatting sqref="E571">
    <cfRule type="cellIs" dxfId="1434" priority="562" operator="equal">
      <formula>$E563</formula>
    </cfRule>
  </conditionalFormatting>
  <conditionalFormatting sqref="E604">
    <cfRule type="cellIs" dxfId="1433" priority="561" operator="equal">
      <formula>$E596</formula>
    </cfRule>
  </conditionalFormatting>
  <conditionalFormatting sqref="E647">
    <cfRule type="cellIs" dxfId="1432" priority="560" operator="equal">
      <formula>$E636</formula>
    </cfRule>
  </conditionalFormatting>
  <conditionalFormatting sqref="E686">
    <cfRule type="cellIs" dxfId="1431" priority="559" operator="equal">
      <formula>$E678</formula>
    </cfRule>
  </conditionalFormatting>
  <conditionalFormatting sqref="E696">
    <cfRule type="cellIs" dxfId="1430" priority="558" operator="equal">
      <formula>$E686</formula>
    </cfRule>
  </conditionalFormatting>
  <conditionalFormatting sqref="E513">
    <cfRule type="cellIs" dxfId="1429" priority="557" operator="equal">
      <formula>$E508</formula>
    </cfRule>
  </conditionalFormatting>
  <conditionalFormatting sqref="E512">
    <cfRule type="cellIs" dxfId="1428" priority="556" operator="equal">
      <formula>$E507</formula>
    </cfRule>
  </conditionalFormatting>
  <conditionalFormatting sqref="E518">
    <cfRule type="cellIs" dxfId="1427" priority="555" operator="equal">
      <formula>$E512</formula>
    </cfRule>
  </conditionalFormatting>
  <conditionalFormatting sqref="E519">
    <cfRule type="cellIs" dxfId="1426" priority="554" operator="equal">
      <formula>$E513</formula>
    </cfRule>
  </conditionalFormatting>
  <conditionalFormatting sqref="E472">
    <cfRule type="cellIs" dxfId="1425" priority="553" operator="equal">
      <formula>$E467</formula>
    </cfRule>
  </conditionalFormatting>
  <conditionalFormatting sqref="E473">
    <cfRule type="cellIs" dxfId="1424" priority="552" operator="equal">
      <formula>$E468</formula>
    </cfRule>
  </conditionalFormatting>
  <conditionalFormatting sqref="E478">
    <cfRule type="cellIs" dxfId="1423" priority="551" operator="equal">
      <formula>$E$472</formula>
    </cfRule>
  </conditionalFormatting>
  <conditionalFormatting sqref="E479">
    <cfRule type="cellIs" dxfId="1422" priority="550" operator="equal">
      <formula>$E473</formula>
    </cfRule>
  </conditionalFormatting>
  <conditionalFormatting sqref="E547">
    <cfRule type="cellIs" dxfId="1421" priority="549" operator="equal">
      <formula>$E542</formula>
    </cfRule>
  </conditionalFormatting>
  <conditionalFormatting sqref="E552">
    <cfRule type="cellIs" dxfId="1420" priority="548" operator="equal">
      <formula>$E546</formula>
    </cfRule>
  </conditionalFormatting>
  <conditionalFormatting sqref="E553">
    <cfRule type="cellIs" dxfId="1419" priority="547" operator="equal">
      <formula>$E547</formula>
    </cfRule>
  </conditionalFormatting>
  <conditionalFormatting sqref="E557">
    <cfRule type="cellIs" dxfId="1418" priority="546" operator="equal">
      <formula>$E552</formula>
    </cfRule>
  </conditionalFormatting>
  <conditionalFormatting sqref="E558">
    <cfRule type="cellIs" dxfId="1417" priority="545" operator="equal">
      <formula>$E553</formula>
    </cfRule>
  </conditionalFormatting>
  <conditionalFormatting sqref="E562">
    <cfRule type="cellIs" dxfId="1416" priority="544" operator="equal">
      <formula>$E557</formula>
    </cfRule>
  </conditionalFormatting>
  <conditionalFormatting sqref="E563">
    <cfRule type="cellIs" dxfId="1415" priority="543" operator="equal">
      <formula>$E558</formula>
    </cfRule>
  </conditionalFormatting>
  <conditionalFormatting sqref="E575">
    <cfRule type="cellIs" dxfId="1414" priority="542" operator="equal">
      <formula>$E570</formula>
    </cfRule>
  </conditionalFormatting>
  <conditionalFormatting sqref="E576">
    <cfRule type="cellIs" dxfId="1413" priority="541" operator="equal">
      <formula>$E571</formula>
    </cfRule>
  </conditionalFormatting>
  <conditionalFormatting sqref="E580">
    <cfRule type="cellIs" dxfId="1412" priority="540" operator="equal">
      <formula>$E575</formula>
    </cfRule>
  </conditionalFormatting>
  <conditionalFormatting sqref="E581">
    <cfRule type="cellIs" dxfId="1411" priority="539" operator="equal">
      <formula>$E576</formula>
    </cfRule>
  </conditionalFormatting>
  <conditionalFormatting sqref="E591">
    <cfRule type="cellIs" dxfId="1410" priority="538" operator="equal">
      <formula>$E586</formula>
    </cfRule>
  </conditionalFormatting>
  <conditionalFormatting sqref="E592">
    <cfRule type="cellIs" dxfId="1409" priority="537" operator="equal">
      <formula>$E587</formula>
    </cfRule>
  </conditionalFormatting>
  <conditionalFormatting sqref="E596">
    <cfRule type="cellIs" dxfId="1408" priority="536" operator="equal">
      <formula>$E591</formula>
    </cfRule>
  </conditionalFormatting>
  <conditionalFormatting sqref="E597">
    <cfRule type="cellIs" dxfId="1407" priority="535" operator="equal">
      <formula>$E592</formula>
    </cfRule>
  </conditionalFormatting>
  <conditionalFormatting sqref="E586">
    <cfRule type="cellIs" dxfId="1406" priority="534" operator="equal">
      <formula>$E580</formula>
    </cfRule>
  </conditionalFormatting>
  <conditionalFormatting sqref="E587">
    <cfRule type="cellIs" dxfId="1405" priority="533" operator="equal">
      <formula>$E581</formula>
    </cfRule>
  </conditionalFormatting>
  <conditionalFormatting sqref="E609">
    <cfRule type="cellIs" dxfId="1404" priority="532" operator="equal">
      <formula>$E604</formula>
    </cfRule>
  </conditionalFormatting>
  <conditionalFormatting sqref="E610">
    <cfRule type="cellIs" dxfId="1403" priority="531" operator="equal">
      <formula>$E605</formula>
    </cfRule>
  </conditionalFormatting>
  <conditionalFormatting sqref="E614">
    <cfRule type="cellIs" dxfId="1402" priority="530" operator="equal">
      <formula>$E609</formula>
    </cfRule>
  </conditionalFormatting>
  <conditionalFormatting sqref="E615">
    <cfRule type="cellIs" dxfId="1401" priority="529" operator="equal">
      <formula>$E610</formula>
    </cfRule>
  </conditionalFormatting>
  <conditionalFormatting sqref="E630">
    <cfRule type="cellIs" dxfId="1400" priority="528" operator="equal">
      <formula>$E625</formula>
    </cfRule>
  </conditionalFormatting>
  <conditionalFormatting sqref="E631">
    <cfRule type="cellIs" dxfId="1399" priority="527" operator="equal">
      <formula>$E626</formula>
    </cfRule>
  </conditionalFormatting>
  <conditionalFormatting sqref="E636">
    <cfRule type="cellIs" dxfId="1398" priority="526" operator="equal">
      <formula>$E630</formula>
    </cfRule>
  </conditionalFormatting>
  <conditionalFormatting sqref="E637">
    <cfRule type="cellIs" dxfId="1397" priority="525" operator="equal">
      <formula>$E631</formula>
    </cfRule>
  </conditionalFormatting>
  <conditionalFormatting sqref="E652">
    <cfRule type="cellIs" dxfId="1396" priority="524" operator="equal">
      <formula>$E647</formula>
    </cfRule>
  </conditionalFormatting>
  <conditionalFormatting sqref="E653">
    <cfRule type="cellIs" dxfId="1395" priority="523" operator="equal">
      <formula>$E648</formula>
    </cfRule>
  </conditionalFormatting>
  <conditionalFormatting sqref="E657">
    <cfRule type="cellIs" dxfId="1394" priority="522" operator="equal">
      <formula>$E652</formula>
    </cfRule>
  </conditionalFormatting>
  <conditionalFormatting sqref="E658">
    <cfRule type="cellIs" dxfId="1393" priority="521" operator="equal">
      <formula>$E653</formula>
    </cfRule>
  </conditionalFormatting>
  <conditionalFormatting sqref="E663">
    <cfRule type="cellIs" dxfId="1392" priority="520" operator="equal">
      <formula>$E657</formula>
    </cfRule>
  </conditionalFormatting>
  <conditionalFormatting sqref="E664">
    <cfRule type="cellIs" dxfId="1391" priority="519" operator="equal">
      <formula>$E658</formula>
    </cfRule>
  </conditionalFormatting>
  <conditionalFormatting sqref="E668">
    <cfRule type="cellIs" dxfId="1390" priority="518" operator="equal">
      <formula>$E663</formula>
    </cfRule>
  </conditionalFormatting>
  <conditionalFormatting sqref="E669">
    <cfRule type="cellIs" dxfId="1389" priority="517" operator="equal">
      <formula>$E664</formula>
    </cfRule>
  </conditionalFormatting>
  <conditionalFormatting sqref="E673">
    <cfRule type="cellIs" dxfId="1388" priority="516" operator="equal">
      <formula>$E668</formula>
    </cfRule>
  </conditionalFormatting>
  <conditionalFormatting sqref="E674">
    <cfRule type="cellIs" dxfId="1387" priority="515" operator="equal">
      <formula>$E669</formula>
    </cfRule>
  </conditionalFormatting>
  <conditionalFormatting sqref="E678">
    <cfRule type="cellIs" dxfId="1386" priority="514" operator="equal">
      <formula>$E673</formula>
    </cfRule>
  </conditionalFormatting>
  <conditionalFormatting sqref="E679">
    <cfRule type="cellIs" dxfId="1385" priority="513" operator="equal">
      <formula>$E674</formula>
    </cfRule>
  </conditionalFormatting>
  <conditionalFormatting sqref="E687">
    <cfRule type="cellIs" dxfId="1384" priority="512" operator="equal">
      <formula>$E679</formula>
    </cfRule>
  </conditionalFormatting>
  <conditionalFormatting sqref="E648">
    <cfRule type="cellIs" dxfId="1383" priority="511" operator="equal">
      <formula>$E637</formula>
    </cfRule>
  </conditionalFormatting>
  <conditionalFormatting sqref="E625">
    <cfRule type="cellIs" dxfId="1382" priority="510" operator="equal">
      <formula>$E620</formula>
    </cfRule>
  </conditionalFormatting>
  <conditionalFormatting sqref="E626">
    <cfRule type="cellIs" dxfId="1381" priority="509" operator="equal">
      <formula>$E621</formula>
    </cfRule>
  </conditionalFormatting>
  <conditionalFormatting sqref="E605">
    <cfRule type="cellIs" dxfId="1380" priority="508" operator="equal">
      <formula>$E597</formula>
    </cfRule>
  </conditionalFormatting>
  <conditionalFormatting sqref="E620">
    <cfRule type="cellIs" dxfId="1379" priority="507" operator="equal">
      <formula>$E614</formula>
    </cfRule>
  </conditionalFormatting>
  <conditionalFormatting sqref="E621">
    <cfRule type="cellIs" dxfId="1378" priority="506" operator="equal">
      <formula>$E615</formula>
    </cfRule>
  </conditionalFormatting>
  <conditionalFormatting sqref="E701">
    <cfRule type="cellIs" dxfId="1377" priority="505" operator="equal">
      <formula>$E696</formula>
    </cfRule>
  </conditionalFormatting>
  <conditionalFormatting sqref="E702">
    <cfRule type="cellIs" dxfId="1376" priority="504" operator="equal">
      <formula>$E697</formula>
    </cfRule>
  </conditionalFormatting>
  <conditionalFormatting sqref="E706">
    <cfRule type="cellIs" dxfId="1375" priority="503" operator="equal">
      <formula>$E701</formula>
    </cfRule>
  </conditionalFormatting>
  <conditionalFormatting sqref="E707">
    <cfRule type="cellIs" dxfId="1374" priority="502" operator="equal">
      <formula>$E702</formula>
    </cfRule>
  </conditionalFormatting>
  <conditionalFormatting sqref="E711">
    <cfRule type="cellIs" dxfId="1373" priority="501" operator="equal">
      <formula>$E706</formula>
    </cfRule>
  </conditionalFormatting>
  <conditionalFormatting sqref="E712">
    <cfRule type="cellIs" dxfId="1372" priority="500" operator="equal">
      <formula>$E707</formula>
    </cfRule>
  </conditionalFormatting>
  <conditionalFormatting sqref="E716">
    <cfRule type="cellIs" dxfId="1371" priority="499" operator="equal">
      <formula>$E711</formula>
    </cfRule>
  </conditionalFormatting>
  <conditionalFormatting sqref="E717">
    <cfRule type="cellIs" dxfId="1370" priority="498" operator="equal">
      <formula>$E712</formula>
    </cfRule>
  </conditionalFormatting>
  <conditionalFormatting sqref="E697">
    <cfRule type="cellIs" dxfId="1369" priority="497" operator="equal">
      <formula>$E687</formula>
    </cfRule>
  </conditionalFormatting>
  <conditionalFormatting sqref="B1">
    <cfRule type="cellIs" dxfId="1368" priority="492" operator="between">
      <formula>0.8</formula>
      <formula>1</formula>
    </cfRule>
    <cfRule type="cellIs" dxfId="1367" priority="493" operator="between">
      <formula>0.6</formula>
      <formula>0.799999</formula>
    </cfRule>
    <cfRule type="cellIs" dxfId="1366" priority="494" operator="between">
      <formula>0.4</formula>
      <formula>0.599999</formula>
    </cfRule>
    <cfRule type="cellIs" dxfId="1365" priority="495" operator="between">
      <formula>0.2</formula>
      <formula>0.399999</formula>
    </cfRule>
    <cfRule type="cellIs" dxfId="1364" priority="496" operator="between">
      <formula>0</formula>
      <formula>0.199999</formula>
    </cfRule>
  </conditionalFormatting>
  <conditionalFormatting sqref="B2">
    <cfRule type="cellIs" dxfId="1363" priority="487" operator="between">
      <formula>0.8</formula>
      <formula>1</formula>
    </cfRule>
    <cfRule type="cellIs" dxfId="1362" priority="488" operator="between">
      <formula>0.6</formula>
      <formula>0.799999</formula>
    </cfRule>
    <cfRule type="cellIs" dxfId="1361" priority="489" operator="between">
      <formula>0.4</formula>
      <formula>0.599999</formula>
    </cfRule>
    <cfRule type="cellIs" dxfId="1360" priority="490" operator="between">
      <formula>0.2</formula>
      <formula>0.399999</formula>
    </cfRule>
    <cfRule type="cellIs" dxfId="1359" priority="491" operator="between">
      <formula>0</formula>
      <formula>0.199999</formula>
    </cfRule>
  </conditionalFormatting>
  <conditionalFormatting sqref="AO770:AO789">
    <cfRule type="cellIs" dxfId="1358" priority="476" operator="equal">
      <formula>0</formula>
    </cfRule>
  </conditionalFormatting>
  <conditionalFormatting sqref="C332">
    <cfRule type="containsText" dxfId="1357" priority="475" operator="containsText" text="URL">
      <formula>NOT(ISERROR(SEARCH("URL",C332)))</formula>
    </cfRule>
  </conditionalFormatting>
  <conditionalFormatting sqref="D339">
    <cfRule type="containsText" dxfId="1356" priority="474" operator="containsText" text="URL">
      <formula>NOT(ISERROR(SEARCH("URL",D339)))</formula>
    </cfRule>
  </conditionalFormatting>
  <conditionalFormatting sqref="C332">
    <cfRule type="containsText" dxfId="1355" priority="473" operator="containsText" text="URL">
      <formula>NOT(ISERROR(SEARCH("URL",C332)))</formula>
    </cfRule>
  </conditionalFormatting>
  <conditionalFormatting sqref="D332">
    <cfRule type="containsText" dxfId="1354" priority="472" operator="containsText" text="URL">
      <formula>NOT(ISERROR(SEARCH("URL",D332)))</formula>
    </cfRule>
  </conditionalFormatting>
  <conditionalFormatting sqref="B305">
    <cfRule type="containsText" dxfId="1353" priority="471" operator="containsText" text="URL">
      <formula>NOT(ISERROR(SEARCH("URL",B305)))</formula>
    </cfRule>
  </conditionalFormatting>
  <conditionalFormatting sqref="D305">
    <cfRule type="containsText" dxfId="1352" priority="470" operator="containsText" text="URL">
      <formula>NOT(ISERROR(SEARCH("URL",D305)))</formula>
    </cfRule>
  </conditionalFormatting>
  <conditionalFormatting sqref="D306">
    <cfRule type="containsText" dxfId="1351" priority="469" operator="containsText" text="URL">
      <formula>NOT(ISERROR(SEARCH("URL",D306)))</formula>
    </cfRule>
  </conditionalFormatting>
  <conditionalFormatting sqref="B325">
    <cfRule type="containsText" dxfId="1350" priority="468" operator="containsText" text="URL">
      <formula>NOT(ISERROR(SEARCH("URL",B325)))</formula>
    </cfRule>
  </conditionalFormatting>
  <conditionalFormatting sqref="D325">
    <cfRule type="containsText" dxfId="1349" priority="467" operator="containsText" text="URL">
      <formula>NOT(ISERROR(SEARCH("URL",D325)))</formula>
    </cfRule>
  </conditionalFormatting>
  <conditionalFormatting sqref="D326">
    <cfRule type="containsText" dxfId="1348" priority="466" operator="containsText" text="URL">
      <formula>NOT(ISERROR(SEARCH("URL",D326)))</formula>
    </cfRule>
  </conditionalFormatting>
  <conditionalFormatting sqref="B315">
    <cfRule type="containsText" dxfId="1347" priority="465" operator="containsText" text="URL">
      <formula>NOT(ISERROR(SEARCH("URL",B315)))</formula>
    </cfRule>
  </conditionalFormatting>
  <conditionalFormatting sqref="D315">
    <cfRule type="containsText" dxfId="1346" priority="464" operator="containsText" text="URL">
      <formula>NOT(ISERROR(SEARCH("URL",D315)))</formula>
    </cfRule>
  </conditionalFormatting>
  <conditionalFormatting sqref="D316">
    <cfRule type="containsText" dxfId="1345" priority="463" operator="containsText" text="URL">
      <formula>NOT(ISERROR(SEARCH("URL",D316)))</formula>
    </cfRule>
  </conditionalFormatting>
  <conditionalFormatting sqref="B335">
    <cfRule type="containsText" dxfId="1344" priority="462" operator="containsText" text="URL">
      <formula>NOT(ISERROR(SEARCH("URL",B335)))</formula>
    </cfRule>
  </conditionalFormatting>
  <conditionalFormatting sqref="D335">
    <cfRule type="containsText" dxfId="1343" priority="461" operator="containsText" text="URL">
      <formula>NOT(ISERROR(SEARCH("URL",D335)))</formula>
    </cfRule>
  </conditionalFormatting>
  <conditionalFormatting sqref="D336">
    <cfRule type="containsText" dxfId="1342" priority="460" operator="containsText" text="URL">
      <formula>NOT(ISERROR(SEARCH("URL",D336)))</formula>
    </cfRule>
  </conditionalFormatting>
  <conditionalFormatting sqref="D436">
    <cfRule type="containsText" dxfId="1341" priority="401" operator="containsText" text="URL">
      <formula>NOT(ISERROR(SEARCH("URL",D436)))</formula>
    </cfRule>
  </conditionalFormatting>
  <conditionalFormatting sqref="C342">
    <cfRule type="containsText" dxfId="1340" priority="459" operator="containsText" text="URL">
      <formula>NOT(ISERROR(SEARCH("URL",C342)))</formula>
    </cfRule>
  </conditionalFormatting>
  <conditionalFormatting sqref="B342:C342">
    <cfRule type="containsText" dxfId="1339" priority="458" operator="containsText" text="URL">
      <formula>NOT(ISERROR(SEARCH("URL",B342)))</formula>
    </cfRule>
  </conditionalFormatting>
  <conditionalFormatting sqref="D342">
    <cfRule type="containsText" dxfId="1338" priority="457" operator="containsText" text="URL">
      <formula>NOT(ISERROR(SEARCH("URL",D342)))</formula>
    </cfRule>
  </conditionalFormatting>
  <conditionalFormatting sqref="B345">
    <cfRule type="containsText" dxfId="1337" priority="456" operator="containsText" text="URL">
      <formula>NOT(ISERROR(SEARCH("URL",B345)))</formula>
    </cfRule>
  </conditionalFormatting>
  <conditionalFormatting sqref="D345">
    <cfRule type="containsText" dxfId="1336" priority="455" operator="containsText" text="URL">
      <formula>NOT(ISERROR(SEARCH("URL",D345)))</formula>
    </cfRule>
  </conditionalFormatting>
  <conditionalFormatting sqref="D346">
    <cfRule type="containsText" dxfId="1335" priority="454" operator="containsText" text="URL">
      <formula>NOT(ISERROR(SEARCH("URL",D346)))</formula>
    </cfRule>
  </conditionalFormatting>
  <conditionalFormatting sqref="C352">
    <cfRule type="containsText" dxfId="1334" priority="453" operator="containsText" text="URL">
      <formula>NOT(ISERROR(SEARCH("URL",C352)))</formula>
    </cfRule>
  </conditionalFormatting>
  <conditionalFormatting sqref="B352:C352">
    <cfRule type="containsText" dxfId="1333" priority="452" operator="containsText" text="URL">
      <formula>NOT(ISERROR(SEARCH("URL",B352)))</formula>
    </cfRule>
  </conditionalFormatting>
  <conditionalFormatting sqref="D352">
    <cfRule type="containsText" dxfId="1332" priority="451" operator="containsText" text="URL">
      <formula>NOT(ISERROR(SEARCH("URL",D352)))</formula>
    </cfRule>
  </conditionalFormatting>
  <conditionalFormatting sqref="B355">
    <cfRule type="containsText" dxfId="1331" priority="450" operator="containsText" text="URL">
      <formula>NOT(ISERROR(SEARCH("URL",B355)))</formula>
    </cfRule>
  </conditionalFormatting>
  <conditionalFormatting sqref="D355">
    <cfRule type="containsText" dxfId="1330" priority="449" operator="containsText" text="URL">
      <formula>NOT(ISERROR(SEARCH("URL",D355)))</formula>
    </cfRule>
  </conditionalFormatting>
  <conditionalFormatting sqref="D356">
    <cfRule type="containsText" dxfId="1329" priority="448" operator="containsText" text="URL">
      <formula>NOT(ISERROR(SEARCH("URL",D356)))</formula>
    </cfRule>
  </conditionalFormatting>
  <conditionalFormatting sqref="C362">
    <cfRule type="containsText" dxfId="1328" priority="447" operator="containsText" text="URL">
      <formula>NOT(ISERROR(SEARCH("URL",C362)))</formula>
    </cfRule>
  </conditionalFormatting>
  <conditionalFormatting sqref="B362:C362">
    <cfRule type="containsText" dxfId="1327" priority="446" operator="containsText" text="URL">
      <formula>NOT(ISERROR(SEARCH("URL",B362)))</formula>
    </cfRule>
  </conditionalFormatting>
  <conditionalFormatting sqref="D362">
    <cfRule type="containsText" dxfId="1326" priority="445" operator="containsText" text="URL">
      <formula>NOT(ISERROR(SEARCH("URL",D362)))</formula>
    </cfRule>
  </conditionalFormatting>
  <conditionalFormatting sqref="B365">
    <cfRule type="containsText" dxfId="1325" priority="444" operator="containsText" text="URL">
      <formula>NOT(ISERROR(SEARCH("URL",B365)))</formula>
    </cfRule>
  </conditionalFormatting>
  <conditionalFormatting sqref="D365">
    <cfRule type="containsText" dxfId="1324" priority="443" operator="containsText" text="URL">
      <formula>NOT(ISERROR(SEARCH("URL",D365)))</formula>
    </cfRule>
  </conditionalFormatting>
  <conditionalFormatting sqref="D366">
    <cfRule type="containsText" dxfId="1323" priority="442" operator="containsText" text="URL">
      <formula>NOT(ISERROR(SEARCH("URL",D366)))</formula>
    </cfRule>
  </conditionalFormatting>
  <conditionalFormatting sqref="C372">
    <cfRule type="containsText" dxfId="1322" priority="441" operator="containsText" text="URL">
      <formula>NOT(ISERROR(SEARCH("URL",C372)))</formula>
    </cfRule>
  </conditionalFormatting>
  <conditionalFormatting sqref="B372:C372">
    <cfRule type="containsText" dxfId="1321" priority="440" operator="containsText" text="URL">
      <formula>NOT(ISERROR(SEARCH("URL",B372)))</formula>
    </cfRule>
  </conditionalFormatting>
  <conditionalFormatting sqref="D372">
    <cfRule type="containsText" dxfId="1320" priority="439" operator="containsText" text="URL">
      <formula>NOT(ISERROR(SEARCH("URL",D372)))</formula>
    </cfRule>
  </conditionalFormatting>
  <conditionalFormatting sqref="B375">
    <cfRule type="containsText" dxfId="1319" priority="438" operator="containsText" text="URL">
      <formula>NOT(ISERROR(SEARCH("URL",B375)))</formula>
    </cfRule>
  </conditionalFormatting>
  <conditionalFormatting sqref="D375">
    <cfRule type="containsText" dxfId="1318" priority="437" operator="containsText" text="URL">
      <formula>NOT(ISERROR(SEARCH("URL",D375)))</formula>
    </cfRule>
  </conditionalFormatting>
  <conditionalFormatting sqref="D376">
    <cfRule type="containsText" dxfId="1317" priority="436" operator="containsText" text="URL">
      <formula>NOT(ISERROR(SEARCH("URL",D376)))</formula>
    </cfRule>
  </conditionalFormatting>
  <conditionalFormatting sqref="C382">
    <cfRule type="containsText" dxfId="1316" priority="435" operator="containsText" text="URL">
      <formula>NOT(ISERROR(SEARCH("URL",C382)))</formula>
    </cfRule>
  </conditionalFormatting>
  <conditionalFormatting sqref="B382:C382">
    <cfRule type="containsText" dxfId="1315" priority="434" operator="containsText" text="URL">
      <formula>NOT(ISERROR(SEARCH("URL",B382)))</formula>
    </cfRule>
  </conditionalFormatting>
  <conditionalFormatting sqref="D382">
    <cfRule type="containsText" dxfId="1314" priority="433" operator="containsText" text="URL">
      <formula>NOT(ISERROR(SEARCH("URL",D382)))</formula>
    </cfRule>
  </conditionalFormatting>
  <conditionalFormatting sqref="B385">
    <cfRule type="containsText" dxfId="1313" priority="432" operator="containsText" text="URL">
      <formula>NOT(ISERROR(SEARCH("URL",B385)))</formula>
    </cfRule>
  </conditionalFormatting>
  <conditionalFormatting sqref="C392">
    <cfRule type="containsText" dxfId="1312" priority="430" operator="containsText" text="URL">
      <formula>NOT(ISERROR(SEARCH("URL",C392)))</formula>
    </cfRule>
  </conditionalFormatting>
  <conditionalFormatting sqref="D386">
    <cfRule type="containsText" dxfId="1311" priority="431" operator="containsText" text="URL">
      <formula>NOT(ISERROR(SEARCH("URL",D386)))</formula>
    </cfRule>
  </conditionalFormatting>
  <conditionalFormatting sqref="B392:C392">
    <cfRule type="containsText" dxfId="1310" priority="429" operator="containsText" text="URL">
      <formula>NOT(ISERROR(SEARCH("URL",B392)))</formula>
    </cfRule>
  </conditionalFormatting>
  <conditionalFormatting sqref="D392">
    <cfRule type="containsText" dxfId="1309" priority="428" operator="containsText" text="URL">
      <formula>NOT(ISERROR(SEARCH("URL",D392)))</formula>
    </cfRule>
  </conditionalFormatting>
  <conditionalFormatting sqref="B395">
    <cfRule type="containsText" dxfId="1308" priority="427" operator="containsText" text="URL">
      <formula>NOT(ISERROR(SEARCH("URL",B395)))</formula>
    </cfRule>
  </conditionalFormatting>
  <conditionalFormatting sqref="D395">
    <cfRule type="containsText" dxfId="1307" priority="426" operator="containsText" text="URL">
      <formula>NOT(ISERROR(SEARCH("URL",D395)))</formula>
    </cfRule>
  </conditionalFormatting>
  <conditionalFormatting sqref="D396">
    <cfRule type="containsText" dxfId="1306" priority="425" operator="containsText" text="URL">
      <formula>NOT(ISERROR(SEARCH("URL",D396)))</formula>
    </cfRule>
  </conditionalFormatting>
  <conditionalFormatting sqref="C402">
    <cfRule type="containsText" dxfId="1305" priority="424" operator="containsText" text="URL">
      <formula>NOT(ISERROR(SEARCH("URL",C402)))</formula>
    </cfRule>
  </conditionalFormatting>
  <conditionalFormatting sqref="B402:C402">
    <cfRule type="containsText" dxfId="1304" priority="423" operator="containsText" text="URL">
      <formula>NOT(ISERROR(SEARCH("URL",B402)))</formula>
    </cfRule>
  </conditionalFormatting>
  <conditionalFormatting sqref="D402">
    <cfRule type="containsText" dxfId="1303" priority="422" operator="containsText" text="URL">
      <formula>NOT(ISERROR(SEARCH("URL",D402)))</formula>
    </cfRule>
  </conditionalFormatting>
  <conditionalFormatting sqref="B405">
    <cfRule type="containsText" dxfId="1302" priority="421" operator="containsText" text="URL">
      <formula>NOT(ISERROR(SEARCH("URL",B405)))</formula>
    </cfRule>
  </conditionalFormatting>
  <conditionalFormatting sqref="D405">
    <cfRule type="containsText" dxfId="1301" priority="420" operator="containsText" text="URL">
      <formula>NOT(ISERROR(SEARCH("URL",D405)))</formula>
    </cfRule>
  </conditionalFormatting>
  <conditionalFormatting sqref="D406">
    <cfRule type="containsText" dxfId="1300" priority="419" operator="containsText" text="URL">
      <formula>NOT(ISERROR(SEARCH("URL",D406)))</formula>
    </cfRule>
  </conditionalFormatting>
  <conditionalFormatting sqref="C412">
    <cfRule type="containsText" dxfId="1299" priority="418" operator="containsText" text="URL">
      <formula>NOT(ISERROR(SEARCH("URL",C412)))</formula>
    </cfRule>
  </conditionalFormatting>
  <conditionalFormatting sqref="B412:C412">
    <cfRule type="containsText" dxfId="1298" priority="417" operator="containsText" text="URL">
      <formula>NOT(ISERROR(SEARCH("URL",B412)))</formula>
    </cfRule>
  </conditionalFormatting>
  <conditionalFormatting sqref="D412">
    <cfRule type="containsText" dxfId="1297" priority="416" operator="containsText" text="URL">
      <formula>NOT(ISERROR(SEARCH("URL",D412)))</formula>
    </cfRule>
  </conditionalFormatting>
  <conditionalFormatting sqref="B415">
    <cfRule type="containsText" dxfId="1296" priority="415" operator="containsText" text="URL">
      <formula>NOT(ISERROR(SEARCH("URL",B415)))</formula>
    </cfRule>
  </conditionalFormatting>
  <conditionalFormatting sqref="D415">
    <cfRule type="containsText" dxfId="1295" priority="414" operator="containsText" text="URL">
      <formula>NOT(ISERROR(SEARCH("URL",D415)))</formula>
    </cfRule>
  </conditionalFormatting>
  <conditionalFormatting sqref="D416">
    <cfRule type="containsText" dxfId="1294" priority="413" operator="containsText" text="URL">
      <formula>NOT(ISERROR(SEARCH("URL",D416)))</formula>
    </cfRule>
  </conditionalFormatting>
  <conditionalFormatting sqref="C422">
    <cfRule type="containsText" dxfId="1293" priority="412" operator="containsText" text="URL">
      <formula>NOT(ISERROR(SEARCH("URL",C422)))</formula>
    </cfRule>
  </conditionalFormatting>
  <conditionalFormatting sqref="B422:C422">
    <cfRule type="containsText" dxfId="1292" priority="411" operator="containsText" text="URL">
      <formula>NOT(ISERROR(SEARCH("URL",B422)))</formula>
    </cfRule>
  </conditionalFormatting>
  <conditionalFormatting sqref="D422">
    <cfRule type="containsText" dxfId="1291" priority="410" operator="containsText" text="URL">
      <formula>NOT(ISERROR(SEARCH("URL",D422)))</formula>
    </cfRule>
  </conditionalFormatting>
  <conditionalFormatting sqref="B425">
    <cfRule type="containsText" dxfId="1290" priority="409" operator="containsText" text="URL">
      <formula>NOT(ISERROR(SEARCH("URL",B425)))</formula>
    </cfRule>
  </conditionalFormatting>
  <conditionalFormatting sqref="D425">
    <cfRule type="containsText" dxfId="1289" priority="408" operator="containsText" text="URL">
      <formula>NOT(ISERROR(SEARCH("URL",D425)))</formula>
    </cfRule>
  </conditionalFormatting>
  <conditionalFormatting sqref="D426">
    <cfRule type="containsText" dxfId="1288" priority="407" operator="containsText" text="URL">
      <formula>NOT(ISERROR(SEARCH("URL",D426)))</formula>
    </cfRule>
  </conditionalFormatting>
  <conditionalFormatting sqref="C432">
    <cfRule type="containsText" dxfId="1287" priority="406" operator="containsText" text="URL">
      <formula>NOT(ISERROR(SEARCH("URL",C432)))</formula>
    </cfRule>
  </conditionalFormatting>
  <conditionalFormatting sqref="B432:C432">
    <cfRule type="containsText" dxfId="1286" priority="405" operator="containsText" text="URL">
      <formula>NOT(ISERROR(SEARCH("URL",B432)))</formula>
    </cfRule>
  </conditionalFormatting>
  <conditionalFormatting sqref="D432">
    <cfRule type="containsText" dxfId="1285" priority="404" operator="containsText" text="URL">
      <formula>NOT(ISERROR(SEARCH("URL",D432)))</formula>
    </cfRule>
  </conditionalFormatting>
  <conditionalFormatting sqref="B435">
    <cfRule type="containsText" dxfId="1284" priority="403" operator="containsText" text="URL">
      <formula>NOT(ISERROR(SEARCH("URL",B435)))</formula>
    </cfRule>
  </conditionalFormatting>
  <conditionalFormatting sqref="D435">
    <cfRule type="containsText" dxfId="1283" priority="402" operator="containsText" text="URL">
      <formula>NOT(ISERROR(SEARCH("URL",D435)))</formula>
    </cfRule>
  </conditionalFormatting>
  <conditionalFormatting sqref="D298">
    <cfRule type="cellIs" dxfId="1282" priority="399" operator="equal">
      <formula>0</formula>
    </cfRule>
    <cfRule type="cellIs" dxfId="1281" priority="400" operator="greaterThan">
      <formula>0</formula>
    </cfRule>
  </conditionalFormatting>
  <conditionalFormatting sqref="D308">
    <cfRule type="cellIs" dxfId="1280" priority="397" operator="equal">
      <formula>0</formula>
    </cfRule>
    <cfRule type="cellIs" dxfId="1279" priority="398" operator="greaterThan">
      <formula>0</formula>
    </cfRule>
  </conditionalFormatting>
  <conditionalFormatting sqref="D328">
    <cfRule type="cellIs" dxfId="1278" priority="393" operator="equal">
      <formula>0</formula>
    </cfRule>
    <cfRule type="cellIs" dxfId="1277" priority="394" operator="greaterThan">
      <formula>0</formula>
    </cfRule>
  </conditionalFormatting>
  <conditionalFormatting sqref="D348">
    <cfRule type="cellIs" dxfId="1276" priority="389" operator="equal">
      <formula>0</formula>
    </cfRule>
    <cfRule type="cellIs" dxfId="1275" priority="390" operator="greaterThan">
      <formula>0</formula>
    </cfRule>
  </conditionalFormatting>
  <conditionalFormatting sqref="D378">
    <cfRule type="cellIs" dxfId="1274" priority="383" operator="equal">
      <formula>0</formula>
    </cfRule>
    <cfRule type="cellIs" dxfId="1273" priority="384" operator="greaterThan">
      <formula>0</formula>
    </cfRule>
  </conditionalFormatting>
  <conditionalFormatting sqref="D398">
    <cfRule type="cellIs" dxfId="1272" priority="379" operator="equal">
      <formula>0</formula>
    </cfRule>
    <cfRule type="cellIs" dxfId="1271" priority="380" operator="greaterThan">
      <formula>0</formula>
    </cfRule>
  </conditionalFormatting>
  <conditionalFormatting sqref="D428">
    <cfRule type="cellIs" dxfId="1270" priority="373" operator="equal">
      <formula>0</formula>
    </cfRule>
    <cfRule type="cellIs" dxfId="1269" priority="374" operator="greaterThan">
      <formula>0</formula>
    </cfRule>
  </conditionalFormatting>
  <conditionalFormatting sqref="B439">
    <cfRule type="cellIs" dxfId="1268" priority="371" operator="equal">
      <formula>0</formula>
    </cfRule>
    <cfRule type="cellIs" dxfId="1267" priority="372" operator="greaterThan">
      <formula>0</formula>
    </cfRule>
  </conditionalFormatting>
  <conditionalFormatting sqref="D318">
    <cfRule type="cellIs" dxfId="1266" priority="395" operator="equal">
      <formula>0</formula>
    </cfRule>
    <cfRule type="cellIs" dxfId="1265" priority="396" operator="greaterThan">
      <formula>0</formula>
    </cfRule>
  </conditionalFormatting>
  <conditionalFormatting sqref="D338">
    <cfRule type="cellIs" dxfId="1264" priority="391" operator="equal">
      <formula>0</formula>
    </cfRule>
    <cfRule type="cellIs" dxfId="1263" priority="392" operator="greaterThan">
      <formula>0</formula>
    </cfRule>
  </conditionalFormatting>
  <conditionalFormatting sqref="D358">
    <cfRule type="cellIs" dxfId="1262" priority="387" operator="equal">
      <formula>0</formula>
    </cfRule>
    <cfRule type="cellIs" dxfId="1261" priority="388" operator="greaterThan">
      <formula>0</formula>
    </cfRule>
  </conditionalFormatting>
  <conditionalFormatting sqref="D368">
    <cfRule type="cellIs" dxfId="1260" priority="385" operator="equal">
      <formula>0</formula>
    </cfRule>
    <cfRule type="cellIs" dxfId="1259" priority="386" operator="greaterThan">
      <formula>0</formula>
    </cfRule>
  </conditionalFormatting>
  <conditionalFormatting sqref="D388">
    <cfRule type="cellIs" dxfId="1258" priority="381" operator="equal">
      <formula>0</formula>
    </cfRule>
    <cfRule type="cellIs" dxfId="1257" priority="382" operator="greaterThan">
      <formula>0</formula>
    </cfRule>
  </conditionalFormatting>
  <conditionalFormatting sqref="D408">
    <cfRule type="cellIs" dxfId="1256" priority="377" operator="equal">
      <formula>0</formula>
    </cfRule>
    <cfRule type="cellIs" dxfId="1255" priority="378" operator="greaterThan">
      <formula>0</formula>
    </cfRule>
  </conditionalFormatting>
  <conditionalFormatting sqref="D418">
    <cfRule type="cellIs" dxfId="1254" priority="375" operator="equal">
      <formula>0</formula>
    </cfRule>
    <cfRule type="cellIs" dxfId="1253" priority="376" operator="greaterThan">
      <formula>0</formula>
    </cfRule>
  </conditionalFormatting>
  <conditionalFormatting sqref="C439">
    <cfRule type="cellIs" dxfId="1252" priority="370" operator="equal">
      <formula>0</formula>
    </cfRule>
  </conditionalFormatting>
  <conditionalFormatting sqref="A1440">
    <cfRule type="cellIs" dxfId="1251" priority="369" operator="equal">
      <formula>0</formula>
    </cfRule>
  </conditionalFormatting>
  <conditionalFormatting sqref="A1202:A1208">
    <cfRule type="cellIs" dxfId="1250" priority="368" operator="equal">
      <formula>0</formula>
    </cfRule>
  </conditionalFormatting>
  <conditionalFormatting sqref="C156">
    <cfRule type="cellIs" dxfId="1249" priority="367" operator="equal">
      <formula>"YYYY-MM-DD"</formula>
    </cfRule>
  </conditionalFormatting>
  <conditionalFormatting sqref="D156">
    <cfRule type="cellIs" dxfId="1248" priority="366" operator="equal">
      <formula>"YYYY-MM-DD"</formula>
    </cfRule>
  </conditionalFormatting>
  <conditionalFormatting sqref="D158">
    <cfRule type="cellIs" dxfId="1247" priority="365" operator="equal">
      <formula>"YYYY-MM-DD"</formula>
    </cfRule>
  </conditionalFormatting>
  <conditionalFormatting sqref="C158">
    <cfRule type="cellIs" dxfId="1246" priority="364" operator="equal">
      <formula>"YYYY-MM-DD"</formula>
    </cfRule>
  </conditionalFormatting>
  <conditionalFormatting sqref="B259:D261">
    <cfRule type="cellIs" dxfId="1245" priority="363" operator="greaterThan">
      <formula>0</formula>
    </cfRule>
  </conditionalFormatting>
  <conditionalFormatting sqref="B226:D228">
    <cfRule type="containsText" dxfId="1244" priority="362" operator="containsText" text="NAME ">
      <formula>NOT(ISERROR(SEARCH("NAME ",B226)))</formula>
    </cfRule>
  </conditionalFormatting>
  <conditionalFormatting sqref="C226:D228 B227:B228">
    <cfRule type="containsText" dxfId="1243" priority="359" operator="containsText" text="claims to know real culprit?">
      <formula>NOT(ISERROR(SEARCH("claims to know real culprit?",B226)))</formula>
    </cfRule>
    <cfRule type="containsText" dxfId="1242" priority="360" operator="containsText" text="charged as?">
      <formula>NOT(ISERROR(SEARCH("charged as?",B226)))</formula>
    </cfRule>
    <cfRule type="containsText" dxfId="1241" priority="361" operator="containsText" text="convicted as?">
      <formula>NOT(ISERROR(SEARCH("convicted as?",B226)))</formula>
    </cfRule>
  </conditionalFormatting>
  <conditionalFormatting sqref="B227:B228">
    <cfRule type="containsText" dxfId="1240" priority="358" operator="containsText" text="relation?">
      <formula>NOT(ISERROR(SEARCH("relation?",B227)))</formula>
    </cfRule>
  </conditionalFormatting>
  <conditionalFormatting sqref="D226">
    <cfRule type="containsText" dxfId="1239" priority="357" operator="containsText" text="how adjudicated?">
      <formula>NOT(ISERROR(SEARCH("how adjudicated?",D226)))</formula>
    </cfRule>
  </conditionalFormatting>
  <conditionalFormatting sqref="D227">
    <cfRule type="containsText" dxfId="1238" priority="356" operator="containsText" text="verdict?">
      <formula>NOT(ISERROR(SEARCH("verdict?",D227)))</formula>
    </cfRule>
  </conditionalFormatting>
  <conditionalFormatting sqref="D228">
    <cfRule type="containsText" dxfId="1237" priority="355" operator="containsText" text="also claims innocence?">
      <formula>NOT(ISERROR(SEARCH("also claims innocence?",D228)))</formula>
    </cfRule>
  </conditionalFormatting>
  <conditionalFormatting sqref="B228">
    <cfRule type="containsText" dxfId="1236" priority="354" operator="containsText" text="know location?">
      <formula>NOT(ISERROR(SEARCH("know location?",B228)))</formula>
    </cfRule>
  </conditionalFormatting>
  <conditionalFormatting sqref="B230:D232">
    <cfRule type="containsText" dxfId="1235" priority="353" operator="containsText" text="NAME ">
      <formula>NOT(ISERROR(SEARCH("NAME ",B230)))</formula>
    </cfRule>
  </conditionalFormatting>
  <conditionalFormatting sqref="C230:D232 B231:B232">
    <cfRule type="containsText" dxfId="1234" priority="350" operator="containsText" text="claims to know real culprit?">
      <formula>NOT(ISERROR(SEARCH("claims to know real culprit?",B230)))</formula>
    </cfRule>
    <cfRule type="containsText" dxfId="1233" priority="351" operator="containsText" text="charged as?">
      <formula>NOT(ISERROR(SEARCH("charged as?",B230)))</formula>
    </cfRule>
    <cfRule type="containsText" dxfId="1232" priority="352" operator="containsText" text="convicted as?">
      <formula>NOT(ISERROR(SEARCH("convicted as?",B230)))</formula>
    </cfRule>
  </conditionalFormatting>
  <conditionalFormatting sqref="B231:B232">
    <cfRule type="containsText" dxfId="1231" priority="349" operator="containsText" text="relation?">
      <formula>NOT(ISERROR(SEARCH("relation?",B231)))</formula>
    </cfRule>
  </conditionalFormatting>
  <conditionalFormatting sqref="D230">
    <cfRule type="containsText" dxfId="1230" priority="348" operator="containsText" text="how adjudicated?">
      <formula>NOT(ISERROR(SEARCH("how adjudicated?",D230)))</formula>
    </cfRule>
  </conditionalFormatting>
  <conditionalFormatting sqref="D231">
    <cfRule type="containsText" dxfId="1229" priority="347" operator="containsText" text="verdict?">
      <formula>NOT(ISERROR(SEARCH("verdict?",D231)))</formula>
    </cfRule>
  </conditionalFormatting>
  <conditionalFormatting sqref="D232">
    <cfRule type="containsText" dxfId="1228" priority="346" operator="containsText" text="also claims innocence?">
      <formula>NOT(ISERROR(SEARCH("also claims innocence?",D232)))</formula>
    </cfRule>
  </conditionalFormatting>
  <conditionalFormatting sqref="B232">
    <cfRule type="containsText" dxfId="1227" priority="345" operator="containsText" text="know location?">
      <formula>NOT(ISERROR(SEARCH("know location?",B232)))</formula>
    </cfRule>
  </conditionalFormatting>
  <conditionalFormatting sqref="B234:D236">
    <cfRule type="containsText" dxfId="1226" priority="344" operator="containsText" text="NAME ">
      <formula>NOT(ISERROR(SEARCH("NAME ",B234)))</formula>
    </cfRule>
  </conditionalFormatting>
  <conditionalFormatting sqref="C234:D236 B235:B236">
    <cfRule type="containsText" dxfId="1225" priority="341" operator="containsText" text="claims to know real culprit?">
      <formula>NOT(ISERROR(SEARCH("claims to know real culprit?",B234)))</formula>
    </cfRule>
    <cfRule type="containsText" dxfId="1224" priority="342" operator="containsText" text="charged as?">
      <formula>NOT(ISERROR(SEARCH("charged as?",B234)))</formula>
    </cfRule>
    <cfRule type="containsText" dxfId="1223" priority="343" operator="containsText" text="convicted as?">
      <formula>NOT(ISERROR(SEARCH("convicted as?",B234)))</formula>
    </cfRule>
  </conditionalFormatting>
  <conditionalFormatting sqref="B235:B236">
    <cfRule type="containsText" dxfId="1222" priority="340" operator="containsText" text="relation?">
      <formula>NOT(ISERROR(SEARCH("relation?",B235)))</formula>
    </cfRule>
  </conditionalFormatting>
  <conditionalFormatting sqref="D234">
    <cfRule type="containsText" dxfId="1221" priority="339" operator="containsText" text="how adjudicated?">
      <formula>NOT(ISERROR(SEARCH("how adjudicated?",D234)))</formula>
    </cfRule>
  </conditionalFormatting>
  <conditionalFormatting sqref="D235">
    <cfRule type="containsText" dxfId="1220" priority="338" operator="containsText" text="verdict?">
      <formula>NOT(ISERROR(SEARCH("verdict?",D235)))</formula>
    </cfRule>
  </conditionalFormatting>
  <conditionalFormatting sqref="D236">
    <cfRule type="containsText" dxfId="1219" priority="337" operator="containsText" text="also claims innocence?">
      <formula>NOT(ISERROR(SEARCH("also claims innocence?",D236)))</formula>
    </cfRule>
  </conditionalFormatting>
  <conditionalFormatting sqref="B236">
    <cfRule type="containsText" dxfId="1218" priority="336" operator="containsText" text="know location?">
      <formula>NOT(ISERROR(SEARCH("know location?",B236)))</formula>
    </cfRule>
  </conditionalFormatting>
  <conditionalFormatting sqref="B238:D240">
    <cfRule type="containsText" dxfId="1217" priority="335" operator="containsText" text="NAME ">
      <formula>NOT(ISERROR(SEARCH("NAME ",B238)))</formula>
    </cfRule>
  </conditionalFormatting>
  <conditionalFormatting sqref="C238:D240 B239:B240">
    <cfRule type="containsText" dxfId="1216" priority="332" operator="containsText" text="claims to know real culprit?">
      <formula>NOT(ISERROR(SEARCH("claims to know real culprit?",B238)))</formula>
    </cfRule>
    <cfRule type="containsText" dxfId="1215" priority="333" operator="containsText" text="charged as?">
      <formula>NOT(ISERROR(SEARCH("charged as?",B238)))</formula>
    </cfRule>
    <cfRule type="containsText" dxfId="1214" priority="334" operator="containsText" text="convicted as?">
      <formula>NOT(ISERROR(SEARCH("convicted as?",B238)))</formula>
    </cfRule>
  </conditionalFormatting>
  <conditionalFormatting sqref="B239:B240">
    <cfRule type="containsText" dxfId="1213" priority="331" operator="containsText" text="relation?">
      <formula>NOT(ISERROR(SEARCH("relation?",B239)))</formula>
    </cfRule>
  </conditionalFormatting>
  <conditionalFormatting sqref="D238">
    <cfRule type="containsText" dxfId="1212" priority="330" operator="containsText" text="how adjudicated?">
      <formula>NOT(ISERROR(SEARCH("how adjudicated?",D238)))</formula>
    </cfRule>
  </conditionalFormatting>
  <conditionalFormatting sqref="D239">
    <cfRule type="containsText" dxfId="1211" priority="329" operator="containsText" text="verdict?">
      <formula>NOT(ISERROR(SEARCH("verdict?",D239)))</formula>
    </cfRule>
  </conditionalFormatting>
  <conditionalFormatting sqref="D240">
    <cfRule type="containsText" dxfId="1210" priority="328" operator="containsText" text="also claims innocence?">
      <formula>NOT(ISERROR(SEARCH("also claims innocence?",D240)))</formula>
    </cfRule>
  </conditionalFormatting>
  <conditionalFormatting sqref="B240">
    <cfRule type="containsText" dxfId="1209" priority="327" operator="containsText" text="know location?">
      <formula>NOT(ISERROR(SEARCH("know location?",B240)))</formula>
    </cfRule>
  </conditionalFormatting>
  <conditionalFormatting sqref="B242:D244">
    <cfRule type="containsText" dxfId="1208" priority="326" operator="containsText" text="NAME ">
      <formula>NOT(ISERROR(SEARCH("NAME ",B242)))</formula>
    </cfRule>
  </conditionalFormatting>
  <conditionalFormatting sqref="C242:D244 B243:B244">
    <cfRule type="containsText" dxfId="1207" priority="323" operator="containsText" text="claims to know real culprit?">
      <formula>NOT(ISERROR(SEARCH("claims to know real culprit?",B242)))</formula>
    </cfRule>
    <cfRule type="containsText" dxfId="1206" priority="324" operator="containsText" text="charged as?">
      <formula>NOT(ISERROR(SEARCH("charged as?",B242)))</formula>
    </cfRule>
    <cfRule type="containsText" dxfId="1205" priority="325" operator="containsText" text="convicted as?">
      <formula>NOT(ISERROR(SEARCH("convicted as?",B242)))</formula>
    </cfRule>
  </conditionalFormatting>
  <conditionalFormatting sqref="B243:B244">
    <cfRule type="containsText" dxfId="1204" priority="322" operator="containsText" text="relation?">
      <formula>NOT(ISERROR(SEARCH("relation?",B243)))</formula>
    </cfRule>
  </conditionalFormatting>
  <conditionalFormatting sqref="D242">
    <cfRule type="containsText" dxfId="1203" priority="321" operator="containsText" text="how adjudicated?">
      <formula>NOT(ISERROR(SEARCH("how adjudicated?",D242)))</formula>
    </cfRule>
  </conditionalFormatting>
  <conditionalFormatting sqref="D243">
    <cfRule type="containsText" dxfId="1202" priority="320" operator="containsText" text="verdict?">
      <formula>NOT(ISERROR(SEARCH("verdict?",D243)))</formula>
    </cfRule>
  </conditionalFormatting>
  <conditionalFormatting sqref="D244">
    <cfRule type="containsText" dxfId="1201" priority="319" operator="containsText" text="also claims innocence?">
      <formula>NOT(ISERROR(SEARCH("also claims innocence?",D244)))</formula>
    </cfRule>
  </conditionalFormatting>
  <conditionalFormatting sqref="B244">
    <cfRule type="containsText" dxfId="1200" priority="318" operator="containsText" text="know location?">
      <formula>NOT(ISERROR(SEARCH("know location?",B244)))</formula>
    </cfRule>
  </conditionalFormatting>
  <conditionalFormatting sqref="B222">
    <cfRule type="containsText" dxfId="1199" priority="317" operator="containsText" text="NAME ">
      <formula>NOT(ISERROR(SEARCH("NAME ",B222)))</formula>
    </cfRule>
  </conditionalFormatting>
  <conditionalFormatting sqref="C222:D223 C224">
    <cfRule type="containsText" dxfId="1198" priority="316" operator="containsText" text="NAME ">
      <formula>NOT(ISERROR(SEARCH("NAME ",C222)))</formula>
    </cfRule>
  </conditionalFormatting>
  <conditionalFormatting sqref="C222:D223 C224">
    <cfRule type="containsText" dxfId="1197" priority="313" operator="containsText" text="claims to know real culprit?">
      <formula>NOT(ISERROR(SEARCH("claims to know real culprit?",C222)))</formula>
    </cfRule>
    <cfRule type="containsText" dxfId="1196" priority="314" operator="containsText" text="charged as?">
      <formula>NOT(ISERROR(SEARCH("charged as?",C222)))</formula>
    </cfRule>
    <cfRule type="containsText" dxfId="1195" priority="315" operator="containsText" text="convicted as?">
      <formula>NOT(ISERROR(SEARCH("convicted as?",C222)))</formula>
    </cfRule>
  </conditionalFormatting>
  <conditionalFormatting sqref="D222">
    <cfRule type="containsText" dxfId="1194" priority="312" operator="containsText" text="how adjudicated?">
      <formula>NOT(ISERROR(SEARCH("how adjudicated?",D222)))</formula>
    </cfRule>
  </conditionalFormatting>
  <conditionalFormatting sqref="D223">
    <cfRule type="containsText" dxfId="1193" priority="311" operator="containsText" text="verdict?">
      <formula>NOT(ISERROR(SEARCH("verdict?",D223)))</formula>
    </cfRule>
  </conditionalFormatting>
  <conditionalFormatting sqref="B223:B224">
    <cfRule type="containsText" dxfId="1192" priority="310" operator="containsText" text="NAME ">
      <formula>NOT(ISERROR(SEARCH("NAME ",B223)))</formula>
    </cfRule>
  </conditionalFormatting>
  <conditionalFormatting sqref="B223:B224">
    <cfRule type="containsText" dxfId="1191" priority="307" operator="containsText" text="claims to know real culprit?">
      <formula>NOT(ISERROR(SEARCH("claims to know real culprit?",B223)))</formula>
    </cfRule>
    <cfRule type="containsText" dxfId="1190" priority="308" operator="containsText" text="charged as?">
      <formula>NOT(ISERROR(SEARCH("charged as?",B223)))</formula>
    </cfRule>
    <cfRule type="containsText" dxfId="1189" priority="309" operator="containsText" text="convicted as?">
      <formula>NOT(ISERROR(SEARCH("convicted as?",B223)))</formula>
    </cfRule>
  </conditionalFormatting>
  <conditionalFormatting sqref="B223:B224">
    <cfRule type="containsText" dxfId="1188" priority="306" operator="containsText" text="relation?">
      <formula>NOT(ISERROR(SEARCH("relation?",B223)))</formula>
    </cfRule>
  </conditionalFormatting>
  <conditionalFormatting sqref="B224">
    <cfRule type="containsText" dxfId="1187" priority="305" operator="containsText" text="know location?">
      <formula>NOT(ISERROR(SEARCH("know location?",B224)))</formula>
    </cfRule>
  </conditionalFormatting>
  <conditionalFormatting sqref="D196">
    <cfRule type="cellIs" dxfId="1186" priority="304" operator="greaterThan">
      <formula>$AI$196</formula>
    </cfRule>
  </conditionalFormatting>
  <conditionalFormatting sqref="BG5:BH5">
    <cfRule type="cellIs" dxfId="1185" priority="854" operator="equal">
      <formula>$B$1906</formula>
    </cfRule>
    <cfRule type="cellIs" dxfId="1184" priority="855" operator="equal">
      <formula>$B$1905</formula>
    </cfRule>
    <cfRule type="cellIs" dxfId="1183" priority="856" operator="equal">
      <formula>$B$1904</formula>
    </cfRule>
  </conditionalFormatting>
  <conditionalFormatting sqref="C926">
    <cfRule type="cellIs" dxfId="1182" priority="303" operator="equal">
      <formula>AD926</formula>
    </cfRule>
  </conditionalFormatting>
  <conditionalFormatting sqref="C931">
    <cfRule type="cellIs" dxfId="1181" priority="302" operator="equal">
      <formula>AD931</formula>
    </cfRule>
  </conditionalFormatting>
  <conditionalFormatting sqref="C936">
    <cfRule type="cellIs" dxfId="1180" priority="301" operator="equal">
      <formula>AD936</formula>
    </cfRule>
  </conditionalFormatting>
  <conditionalFormatting sqref="C941">
    <cfRule type="cellIs" dxfId="1179" priority="300" operator="equal">
      <formula>AD941</formula>
    </cfRule>
  </conditionalFormatting>
  <conditionalFormatting sqref="C946">
    <cfRule type="cellIs" dxfId="1178" priority="299" operator="equal">
      <formula>AD946</formula>
    </cfRule>
  </conditionalFormatting>
  <conditionalFormatting sqref="C951">
    <cfRule type="cellIs" dxfId="1177" priority="298" operator="equal">
      <formula>AD951</formula>
    </cfRule>
  </conditionalFormatting>
  <conditionalFormatting sqref="C956">
    <cfRule type="cellIs" dxfId="1176" priority="297" operator="equal">
      <formula>AD956</formula>
    </cfRule>
  </conditionalFormatting>
  <conditionalFormatting sqref="C961">
    <cfRule type="cellIs" dxfId="1175" priority="296" operator="equal">
      <formula>AD961</formula>
    </cfRule>
  </conditionalFormatting>
  <conditionalFormatting sqref="C966">
    <cfRule type="cellIs" dxfId="1174" priority="295" operator="equal">
      <formula>AD966</formula>
    </cfRule>
  </conditionalFormatting>
  <conditionalFormatting sqref="C971">
    <cfRule type="cellIs" dxfId="1173" priority="294" operator="equal">
      <formula>AD971</formula>
    </cfRule>
  </conditionalFormatting>
  <conditionalFormatting sqref="C976">
    <cfRule type="cellIs" dxfId="1172" priority="293" operator="equal">
      <formula>AD976</formula>
    </cfRule>
  </conditionalFormatting>
  <conditionalFormatting sqref="C981">
    <cfRule type="cellIs" dxfId="1171" priority="292" operator="equal">
      <formula>AD981</formula>
    </cfRule>
  </conditionalFormatting>
  <conditionalFormatting sqref="C986">
    <cfRule type="cellIs" dxfId="1170" priority="291" operator="equal">
      <formula>AD986</formula>
    </cfRule>
  </conditionalFormatting>
  <conditionalFormatting sqref="C991">
    <cfRule type="cellIs" dxfId="1169" priority="290" operator="equal">
      <formula>AD991</formula>
    </cfRule>
  </conditionalFormatting>
  <conditionalFormatting sqref="C996">
    <cfRule type="cellIs" dxfId="1168" priority="289" operator="equal">
      <formula>AD996</formula>
    </cfRule>
  </conditionalFormatting>
  <conditionalFormatting sqref="C1001">
    <cfRule type="cellIs" dxfId="1167" priority="288" operator="equal">
      <formula>AD1001</formula>
    </cfRule>
  </conditionalFormatting>
  <conditionalFormatting sqref="C1006">
    <cfRule type="cellIs" dxfId="1166" priority="287" operator="equal">
      <formula>AD1006</formula>
    </cfRule>
  </conditionalFormatting>
  <conditionalFormatting sqref="C1011">
    <cfRule type="cellIs" dxfId="1165" priority="286" operator="equal">
      <formula>AD1011</formula>
    </cfRule>
  </conditionalFormatting>
  <conditionalFormatting sqref="C1016">
    <cfRule type="cellIs" dxfId="1164" priority="285" operator="equal">
      <formula>AD1016</formula>
    </cfRule>
  </conditionalFormatting>
  <conditionalFormatting sqref="C1021">
    <cfRule type="cellIs" dxfId="1163" priority="284" operator="equal">
      <formula>AD1021</formula>
    </cfRule>
  </conditionalFormatting>
  <conditionalFormatting sqref="C1026">
    <cfRule type="cellIs" dxfId="1162" priority="283" operator="equal">
      <formula>AD1026</formula>
    </cfRule>
  </conditionalFormatting>
  <conditionalFormatting sqref="C16">
    <cfRule type="containsText" dxfId="1161" priority="282" operator="containsText" text="Highlight">
      <formula>NOT(ISERROR(SEARCH("Highlight",C16)))</formula>
    </cfRule>
  </conditionalFormatting>
  <conditionalFormatting sqref="C16">
    <cfRule type="containsText" dxfId="1160" priority="281" operator="containsText" text="Hightlight">
      <formula>NOT(ISERROR(SEARCH("Hightlight",C16)))</formula>
    </cfRule>
  </conditionalFormatting>
  <conditionalFormatting sqref="B33:D33">
    <cfRule type="cellIs" dxfId="1159" priority="280" operator="equal">
      <formula>$AG$33</formula>
    </cfRule>
  </conditionalFormatting>
  <conditionalFormatting sqref="B46:D46">
    <cfRule type="containsText" dxfId="1158" priority="278" operator="containsText" text="being">
      <formula>NOT(ISERROR(SEARCH("being",B46)))</formula>
    </cfRule>
  </conditionalFormatting>
  <conditionalFormatting sqref="B49:D49">
    <cfRule type="containsText" dxfId="1157" priority="277" operator="containsText" text="from">
      <formula>NOT(ISERROR(SEARCH("from",B49)))</formula>
    </cfRule>
  </conditionalFormatting>
  <conditionalFormatting sqref="B52:D52">
    <cfRule type="containsText" dxfId="1156" priority="276" operator="containsText" text="and other">
      <formula>NOT(ISERROR(SEARCH("and other",B52)))</formula>
    </cfRule>
  </conditionalFormatting>
  <conditionalFormatting sqref="D191 D193">
    <cfRule type="cellIs" dxfId="1155" priority="857" operator="equal">
      <formula>$D$1845</formula>
    </cfRule>
  </conditionalFormatting>
  <conditionalFormatting sqref="B56:D56">
    <cfRule type="containsText" dxfId="1154" priority="274" operator="containsText" text="background check">
      <formula>NOT(ISERROR(SEARCH("background check",B56)))</formula>
    </cfRule>
    <cfRule type="containsText" dxfId="1153" priority="275" operator="containsText" text="and other">
      <formula>NOT(ISERROR(SEARCH("and other",B56)))</formula>
    </cfRule>
  </conditionalFormatting>
  <conditionalFormatting sqref="E467">
    <cfRule type="cellIs" dxfId="1152" priority="273" operator="equal">
      <formula>$B$439</formula>
    </cfRule>
  </conditionalFormatting>
  <conditionalFormatting sqref="E468">
    <cfRule type="cellIs" dxfId="1151" priority="272" operator="equal">
      <formula>$B439</formula>
    </cfRule>
  </conditionalFormatting>
  <conditionalFormatting sqref="C152">
    <cfRule type="containsText" dxfId="1150" priority="269" operator="containsText" text="FIRST NAME">
      <formula>NOT(ISERROR(SEARCH("FIRST NAME",C152)))</formula>
    </cfRule>
  </conditionalFormatting>
  <conditionalFormatting sqref="D152">
    <cfRule type="containsText" dxfId="1149" priority="268" operator="containsText" text="LAST NAME">
      <formula>NOT(ISERROR(SEARCH("LAST NAME",D152)))</formula>
    </cfRule>
  </conditionalFormatting>
  <conditionalFormatting sqref="C7">
    <cfRule type="containsText" dxfId="1148" priority="267" operator="containsText" text="FIRST NAME">
      <formula>NOT(ISERROR(SEARCH("FIRST NAME",C7)))</formula>
    </cfRule>
  </conditionalFormatting>
  <conditionalFormatting sqref="C162">
    <cfRule type="containsText" dxfId="1147" priority="266" operator="containsText" text="FIRST NAME">
      <formula>NOT(ISERROR(SEARCH("FIRST NAME",C162)))</formula>
    </cfRule>
  </conditionalFormatting>
  <conditionalFormatting sqref="D162">
    <cfRule type="containsText" dxfId="1146" priority="265" operator="containsText" text="LAST NAME">
      <formula>NOT(ISERROR(SEARCH("LAST NAME",D162)))</formula>
    </cfRule>
  </conditionalFormatting>
  <conditionalFormatting sqref="C10">
    <cfRule type="containsText" dxfId="1145" priority="264" operator="containsText" text="FIRST NAME">
      <formula>NOT(ISERROR(SEARCH("FIRST NAME",C10)))</formula>
    </cfRule>
  </conditionalFormatting>
  <conditionalFormatting sqref="C8">
    <cfRule type="notContainsText" dxfId="1144" priority="263" operator="notContains" text="@">
      <formula>ISERROR(SEARCH("@",C8))</formula>
    </cfRule>
  </conditionalFormatting>
  <conditionalFormatting sqref="C11">
    <cfRule type="notContainsText" dxfId="1143" priority="262" operator="notContains" text="@">
      <formula>ISERROR(SEARCH("@",C11))</formula>
    </cfRule>
  </conditionalFormatting>
  <conditionalFormatting sqref="C1482:D1482">
    <cfRule type="cellIs" dxfId="1142" priority="251" operator="equal">
      <formula>$BN$1482</formula>
    </cfRule>
  </conditionalFormatting>
  <conditionalFormatting sqref="C1492:D1492">
    <cfRule type="cellIs" dxfId="1141" priority="249" operator="equal">
      <formula>$BN$1482</formula>
    </cfRule>
  </conditionalFormatting>
  <conditionalFormatting sqref="D1481">
    <cfRule type="cellIs" dxfId="1140" priority="250" operator="equal">
      <formula>$AJ$1480</formula>
    </cfRule>
  </conditionalFormatting>
  <conditionalFormatting sqref="C1502:D1502">
    <cfRule type="cellIs" dxfId="1139" priority="247" operator="equal">
      <formula>$BN$1482</formula>
    </cfRule>
  </conditionalFormatting>
  <conditionalFormatting sqref="D1491">
    <cfRule type="cellIs" dxfId="1138" priority="248" operator="equal">
      <formula>$AJ$1480</formula>
    </cfRule>
  </conditionalFormatting>
  <conditionalFormatting sqref="D1501">
    <cfRule type="cellIs" dxfId="1137" priority="246" operator="equal">
      <formula>$AJ$1480</formula>
    </cfRule>
  </conditionalFormatting>
  <conditionalFormatting sqref="C1512:D1512">
    <cfRule type="cellIs" dxfId="1136" priority="245" operator="equal">
      <formula>$BN$1482</formula>
    </cfRule>
  </conditionalFormatting>
  <conditionalFormatting sqref="D1511">
    <cfRule type="cellIs" dxfId="1135" priority="244" operator="equal">
      <formula>$AJ$1480</formula>
    </cfRule>
  </conditionalFormatting>
  <conditionalFormatting sqref="C1522:D1522">
    <cfRule type="cellIs" dxfId="1134" priority="243" operator="equal">
      <formula>$BN$1482</formula>
    </cfRule>
  </conditionalFormatting>
  <conditionalFormatting sqref="D1521">
    <cfRule type="cellIs" dxfId="1133" priority="242" operator="equal">
      <formula>$AJ$1480</formula>
    </cfRule>
  </conditionalFormatting>
  <conditionalFormatting sqref="C1532:D1532">
    <cfRule type="cellIs" dxfId="1132" priority="241" operator="equal">
      <formula>$BN$1482</formula>
    </cfRule>
  </conditionalFormatting>
  <conditionalFormatting sqref="D1531">
    <cfRule type="cellIs" dxfId="1131" priority="240" operator="equal">
      <formula>$AJ$1480</formula>
    </cfRule>
  </conditionalFormatting>
  <conditionalFormatting sqref="A1201">
    <cfRule type="cellIs" dxfId="1130" priority="239" operator="equal">
      <formula>0</formula>
    </cfRule>
  </conditionalFormatting>
  <conditionalFormatting sqref="B445 B447 B457">
    <cfRule type="cellIs" dxfId="1129" priority="859" operator="equal">
      <formula>$AK$457</formula>
    </cfRule>
    <cfRule type="cellIs" dxfId="1128" priority="860" operator="equal">
      <formula>$AK$459</formula>
    </cfRule>
    <cfRule type="cellIs" dxfId="1127" priority="861" operator="equal">
      <formula>$AK$458</formula>
    </cfRule>
  </conditionalFormatting>
  <conditionalFormatting sqref="B444">
    <cfRule type="containsText" dxfId="1126" priority="238" operator="containsText" text="Great!">
      <formula>NOT(ISERROR(SEARCH("Great!",B444)))</formula>
    </cfRule>
  </conditionalFormatting>
  <conditionalFormatting sqref="C1201">
    <cfRule type="cellIs" dxfId="1125" priority="862" operator="equal">
      <formula>$AM$1201</formula>
    </cfRule>
  </conditionalFormatting>
  <conditionalFormatting sqref="D1201">
    <cfRule type="cellIs" dxfId="1124" priority="863" operator="equal">
      <formula>$AQ$1201</formula>
    </cfRule>
  </conditionalFormatting>
  <conditionalFormatting sqref="C1205">
    <cfRule type="timePeriod" dxfId="1123" priority="233" timePeriod="lastWeek">
      <formula>AND(TODAY()-ROUNDDOWN(C1205,0)&gt;=(WEEKDAY(TODAY())),TODAY()-ROUNDDOWN(C1205,0)&lt;(WEEKDAY(TODAY())+7))</formula>
    </cfRule>
    <cfRule type="timePeriod" dxfId="1122" priority="235" timePeriod="lastMonth">
      <formula>AND(MONTH(C1205)=MONTH(EDATE(TODAY(),0-1)),YEAR(C1205)=YEAR(EDATE(TODAY(),0-1)))</formula>
    </cfRule>
    <cfRule type="cellIs" dxfId="1121" priority="237" operator="equal">
      <formula>$AM$1205</formula>
    </cfRule>
  </conditionalFormatting>
  <conditionalFormatting sqref="D1205">
    <cfRule type="timePeriod" dxfId="1120" priority="232" timePeriod="lastWeek">
      <formula>AND(TODAY()-ROUNDDOWN(D1205,0)&gt;=(WEEKDAY(TODAY())),TODAY()-ROUNDDOWN(D1205,0)&lt;(WEEKDAY(TODAY())+7))</formula>
    </cfRule>
    <cfRule type="timePeriod" dxfId="1119" priority="234" timePeriod="lastMonth">
      <formula>AND(MONTH(D1205)=MONTH(EDATE(TODAY(),0-1)),YEAR(D1205)=YEAR(EDATE(TODAY(),0-1)))</formula>
    </cfRule>
    <cfRule type="cellIs" dxfId="1118" priority="236" operator="equal">
      <formula>$AM$1205</formula>
    </cfRule>
  </conditionalFormatting>
  <conditionalFormatting sqref="A1212:A1219 A1222:A1229 A1232:A1239 A1242:A1249 A1252:A1259 A1262:A1269 A1272:A1279 A1282:A1289 A1292:A1299 A1302:A1309 A1312:A1319 A1322:A1329 A1332:A1339 A1342:A1349 A1352:A1359 A1362:A1369 A1372:A1379 A1382:A1389 A1392:A1399 A1402:A1409 A1412:A1419 A1422:A1429">
    <cfRule type="cellIs" dxfId="1117" priority="230" operator="equal">
      <formula>0</formula>
    </cfRule>
  </conditionalFormatting>
  <conditionalFormatting sqref="D1211">
    <cfRule type="cellIs" dxfId="1116" priority="231" operator="equal">
      <formula>$AQ$1201</formula>
    </cfRule>
  </conditionalFormatting>
  <conditionalFormatting sqref="C1215">
    <cfRule type="timePeriod" dxfId="1115" priority="225" timePeriod="lastWeek">
      <formula>AND(TODAY()-ROUNDDOWN(C1215,0)&gt;=(WEEKDAY(TODAY())),TODAY()-ROUNDDOWN(C1215,0)&lt;(WEEKDAY(TODAY())+7))</formula>
    </cfRule>
    <cfRule type="timePeriod" dxfId="1114" priority="227" timePeriod="lastMonth">
      <formula>AND(MONTH(C1215)=MONTH(EDATE(TODAY(),0-1)),YEAR(C1215)=YEAR(EDATE(TODAY(),0-1)))</formula>
    </cfRule>
    <cfRule type="cellIs" dxfId="1113" priority="229" operator="equal">
      <formula>$AM$1205</formula>
    </cfRule>
  </conditionalFormatting>
  <conditionalFormatting sqref="D1215">
    <cfRule type="timePeriod" dxfId="1112" priority="224" timePeriod="lastWeek">
      <formula>AND(TODAY()-ROUNDDOWN(D1215,0)&gt;=(WEEKDAY(TODAY())),TODAY()-ROUNDDOWN(D1215,0)&lt;(WEEKDAY(TODAY())+7))</formula>
    </cfRule>
    <cfRule type="timePeriod" dxfId="1111" priority="226" timePeriod="lastMonth">
      <formula>AND(MONTH(D1215)=MONTH(EDATE(TODAY(),0-1)),YEAR(D1215)=YEAR(EDATE(TODAY(),0-1)))</formula>
    </cfRule>
    <cfRule type="cellIs" dxfId="1110" priority="228" operator="equal">
      <formula>$AM$1205</formula>
    </cfRule>
  </conditionalFormatting>
  <conditionalFormatting sqref="C1221">
    <cfRule type="cellIs" dxfId="1109" priority="222" operator="equal">
      <formula>$AM$1201</formula>
    </cfRule>
  </conditionalFormatting>
  <conditionalFormatting sqref="D1221">
    <cfRule type="cellIs" dxfId="1108" priority="223" operator="equal">
      <formula>$AQ$1201</formula>
    </cfRule>
  </conditionalFormatting>
  <conditionalFormatting sqref="C1225">
    <cfRule type="timePeriod" dxfId="1107" priority="217" timePeriod="lastWeek">
      <formula>AND(TODAY()-ROUNDDOWN(C1225,0)&gt;=(WEEKDAY(TODAY())),TODAY()-ROUNDDOWN(C1225,0)&lt;(WEEKDAY(TODAY())+7))</formula>
    </cfRule>
    <cfRule type="timePeriod" dxfId="1106" priority="219" timePeriod="lastMonth">
      <formula>AND(MONTH(C1225)=MONTH(EDATE(TODAY(),0-1)),YEAR(C1225)=YEAR(EDATE(TODAY(),0-1)))</formula>
    </cfRule>
    <cfRule type="cellIs" dxfId="1105" priority="221" operator="equal">
      <formula>$AM$1205</formula>
    </cfRule>
  </conditionalFormatting>
  <conditionalFormatting sqref="D1225">
    <cfRule type="timePeriod" dxfId="1104" priority="216" timePeriod="lastWeek">
      <formula>AND(TODAY()-ROUNDDOWN(D1225,0)&gt;=(WEEKDAY(TODAY())),TODAY()-ROUNDDOWN(D1225,0)&lt;(WEEKDAY(TODAY())+7))</formula>
    </cfRule>
    <cfRule type="timePeriod" dxfId="1103" priority="218" timePeriod="lastMonth">
      <formula>AND(MONTH(D1225)=MONTH(EDATE(TODAY(),0-1)),YEAR(D1225)=YEAR(EDATE(TODAY(),0-1)))</formula>
    </cfRule>
    <cfRule type="cellIs" dxfId="1102" priority="220" operator="equal">
      <formula>$AM$1205</formula>
    </cfRule>
  </conditionalFormatting>
  <conditionalFormatting sqref="C1231">
    <cfRule type="cellIs" dxfId="1101" priority="214" operator="equal">
      <formula>$AM$1201</formula>
    </cfRule>
  </conditionalFormatting>
  <conditionalFormatting sqref="D1231">
    <cfRule type="cellIs" dxfId="1100" priority="215" operator="equal">
      <formula>$AQ$1201</formula>
    </cfRule>
  </conditionalFormatting>
  <conditionalFormatting sqref="C1235">
    <cfRule type="timePeriod" dxfId="1099" priority="209" timePeriod="lastWeek">
      <formula>AND(TODAY()-ROUNDDOWN(C1235,0)&gt;=(WEEKDAY(TODAY())),TODAY()-ROUNDDOWN(C1235,0)&lt;(WEEKDAY(TODAY())+7))</formula>
    </cfRule>
    <cfRule type="timePeriod" dxfId="1098" priority="211" timePeriod="lastMonth">
      <formula>AND(MONTH(C1235)=MONTH(EDATE(TODAY(),0-1)),YEAR(C1235)=YEAR(EDATE(TODAY(),0-1)))</formula>
    </cfRule>
    <cfRule type="cellIs" dxfId="1097" priority="213" operator="equal">
      <formula>$AM$1205</formula>
    </cfRule>
  </conditionalFormatting>
  <conditionalFormatting sqref="D1235">
    <cfRule type="timePeriod" dxfId="1096" priority="208" timePeriod="lastWeek">
      <formula>AND(TODAY()-ROUNDDOWN(D1235,0)&gt;=(WEEKDAY(TODAY())),TODAY()-ROUNDDOWN(D1235,0)&lt;(WEEKDAY(TODAY())+7))</formula>
    </cfRule>
    <cfRule type="timePeriod" dxfId="1095" priority="210" timePeriod="lastMonth">
      <formula>AND(MONTH(D1235)=MONTH(EDATE(TODAY(),0-1)),YEAR(D1235)=YEAR(EDATE(TODAY(),0-1)))</formula>
    </cfRule>
    <cfRule type="cellIs" dxfId="1094" priority="212" operator="equal">
      <formula>$AM$1205</formula>
    </cfRule>
  </conditionalFormatting>
  <conditionalFormatting sqref="C1241">
    <cfRule type="cellIs" dxfId="1093" priority="206" operator="equal">
      <formula>$AM$1201</formula>
    </cfRule>
  </conditionalFormatting>
  <conditionalFormatting sqref="D1241">
    <cfRule type="cellIs" dxfId="1092" priority="207" operator="equal">
      <formula>$AQ$1201</formula>
    </cfRule>
  </conditionalFormatting>
  <conditionalFormatting sqref="C1245">
    <cfRule type="timePeriod" dxfId="1091" priority="201" timePeriod="lastWeek">
      <formula>AND(TODAY()-ROUNDDOWN(C1245,0)&gt;=(WEEKDAY(TODAY())),TODAY()-ROUNDDOWN(C1245,0)&lt;(WEEKDAY(TODAY())+7))</formula>
    </cfRule>
    <cfRule type="timePeriod" dxfId="1090" priority="203" timePeriod="lastMonth">
      <formula>AND(MONTH(C1245)=MONTH(EDATE(TODAY(),0-1)),YEAR(C1245)=YEAR(EDATE(TODAY(),0-1)))</formula>
    </cfRule>
    <cfRule type="cellIs" dxfId="1089" priority="205" operator="equal">
      <formula>$AM$1205</formula>
    </cfRule>
  </conditionalFormatting>
  <conditionalFormatting sqref="D1245">
    <cfRule type="timePeriod" dxfId="1088" priority="200" timePeriod="lastWeek">
      <formula>AND(TODAY()-ROUNDDOWN(D1245,0)&gt;=(WEEKDAY(TODAY())),TODAY()-ROUNDDOWN(D1245,0)&lt;(WEEKDAY(TODAY())+7))</formula>
    </cfRule>
    <cfRule type="timePeriod" dxfId="1087" priority="202" timePeriod="lastMonth">
      <formula>AND(MONTH(D1245)=MONTH(EDATE(TODAY(),0-1)),YEAR(D1245)=YEAR(EDATE(TODAY(),0-1)))</formula>
    </cfRule>
    <cfRule type="cellIs" dxfId="1086" priority="204" operator="equal">
      <formula>$AM$1205</formula>
    </cfRule>
  </conditionalFormatting>
  <conditionalFormatting sqref="A1209">
    <cfRule type="cellIs" dxfId="1085" priority="199" operator="equal">
      <formula>0</formula>
    </cfRule>
  </conditionalFormatting>
  <conditionalFormatting sqref="C1251">
    <cfRule type="cellIs" dxfId="1084" priority="197" operator="equal">
      <formula>$AM$1201</formula>
    </cfRule>
  </conditionalFormatting>
  <conditionalFormatting sqref="D1251">
    <cfRule type="cellIs" dxfId="1083" priority="198" operator="equal">
      <formula>$AQ$1201</formula>
    </cfRule>
  </conditionalFormatting>
  <conditionalFormatting sqref="C1255">
    <cfRule type="timePeriod" dxfId="1082" priority="192" timePeriod="lastWeek">
      <formula>AND(TODAY()-ROUNDDOWN(C1255,0)&gt;=(WEEKDAY(TODAY())),TODAY()-ROUNDDOWN(C1255,0)&lt;(WEEKDAY(TODAY())+7))</formula>
    </cfRule>
    <cfRule type="timePeriod" dxfId="1081" priority="194" timePeriod="lastMonth">
      <formula>AND(MONTH(C1255)=MONTH(EDATE(TODAY(),0-1)),YEAR(C1255)=YEAR(EDATE(TODAY(),0-1)))</formula>
    </cfRule>
    <cfRule type="cellIs" dxfId="1080" priority="196" operator="equal">
      <formula>$AM$1205</formula>
    </cfRule>
  </conditionalFormatting>
  <conditionalFormatting sqref="D1255">
    <cfRule type="timePeriod" dxfId="1079" priority="191" timePeriod="lastWeek">
      <formula>AND(TODAY()-ROUNDDOWN(D1255,0)&gt;=(WEEKDAY(TODAY())),TODAY()-ROUNDDOWN(D1255,0)&lt;(WEEKDAY(TODAY())+7))</formula>
    </cfRule>
    <cfRule type="timePeriod" dxfId="1078" priority="193" timePeriod="lastMonth">
      <formula>AND(MONTH(D1255)=MONTH(EDATE(TODAY(),0-1)),YEAR(D1255)=YEAR(EDATE(TODAY(),0-1)))</formula>
    </cfRule>
    <cfRule type="cellIs" dxfId="1077" priority="195" operator="equal">
      <formula>$AM$1205</formula>
    </cfRule>
  </conditionalFormatting>
  <conditionalFormatting sqref="C1261">
    <cfRule type="cellIs" dxfId="1076" priority="189" operator="equal">
      <formula>$AM$1201</formula>
    </cfRule>
  </conditionalFormatting>
  <conditionalFormatting sqref="D1261">
    <cfRule type="cellIs" dxfId="1075" priority="190" operator="equal">
      <formula>$AQ$1201</formula>
    </cfRule>
  </conditionalFormatting>
  <conditionalFormatting sqref="C1265">
    <cfRule type="timePeriod" dxfId="1074" priority="184" timePeriod="lastWeek">
      <formula>AND(TODAY()-ROUNDDOWN(C1265,0)&gt;=(WEEKDAY(TODAY())),TODAY()-ROUNDDOWN(C1265,0)&lt;(WEEKDAY(TODAY())+7))</formula>
    </cfRule>
    <cfRule type="timePeriod" dxfId="1073" priority="186" timePeriod="lastMonth">
      <formula>AND(MONTH(C1265)=MONTH(EDATE(TODAY(),0-1)),YEAR(C1265)=YEAR(EDATE(TODAY(),0-1)))</formula>
    </cfRule>
    <cfRule type="cellIs" dxfId="1072" priority="188" operator="equal">
      <formula>$AM$1205</formula>
    </cfRule>
  </conditionalFormatting>
  <conditionalFormatting sqref="D1265">
    <cfRule type="timePeriod" dxfId="1071" priority="183" timePeriod="lastWeek">
      <formula>AND(TODAY()-ROUNDDOWN(D1265,0)&gt;=(WEEKDAY(TODAY())),TODAY()-ROUNDDOWN(D1265,0)&lt;(WEEKDAY(TODAY())+7))</formula>
    </cfRule>
    <cfRule type="timePeriod" dxfId="1070" priority="185" timePeriod="lastMonth">
      <formula>AND(MONTH(D1265)=MONTH(EDATE(TODAY(),0-1)),YEAR(D1265)=YEAR(EDATE(TODAY(),0-1)))</formula>
    </cfRule>
    <cfRule type="cellIs" dxfId="1069" priority="187" operator="equal">
      <formula>$AM$1205</formula>
    </cfRule>
  </conditionalFormatting>
  <conditionalFormatting sqref="C1271">
    <cfRule type="cellIs" dxfId="1068" priority="181" operator="equal">
      <formula>$AM$1201</formula>
    </cfRule>
  </conditionalFormatting>
  <conditionalFormatting sqref="D1271">
    <cfRule type="cellIs" dxfId="1067" priority="182" operator="equal">
      <formula>$AQ$1201</formula>
    </cfRule>
  </conditionalFormatting>
  <conditionalFormatting sqref="C1275">
    <cfRule type="timePeriod" dxfId="1066" priority="176" timePeriod="lastWeek">
      <formula>AND(TODAY()-ROUNDDOWN(C1275,0)&gt;=(WEEKDAY(TODAY())),TODAY()-ROUNDDOWN(C1275,0)&lt;(WEEKDAY(TODAY())+7))</formula>
    </cfRule>
    <cfRule type="timePeriod" dxfId="1065" priority="178" timePeriod="lastMonth">
      <formula>AND(MONTH(C1275)=MONTH(EDATE(TODAY(),0-1)),YEAR(C1275)=YEAR(EDATE(TODAY(),0-1)))</formula>
    </cfRule>
    <cfRule type="cellIs" dxfId="1064" priority="180" operator="equal">
      <formula>$AM$1205</formula>
    </cfRule>
  </conditionalFormatting>
  <conditionalFormatting sqref="D1275">
    <cfRule type="timePeriod" dxfId="1063" priority="175" timePeriod="lastWeek">
      <formula>AND(TODAY()-ROUNDDOWN(D1275,0)&gt;=(WEEKDAY(TODAY())),TODAY()-ROUNDDOWN(D1275,0)&lt;(WEEKDAY(TODAY())+7))</formula>
    </cfRule>
    <cfRule type="timePeriod" dxfId="1062" priority="177" timePeriod="lastMonth">
      <formula>AND(MONTH(D1275)=MONTH(EDATE(TODAY(),0-1)),YEAR(D1275)=YEAR(EDATE(TODAY(),0-1)))</formula>
    </cfRule>
    <cfRule type="cellIs" dxfId="1061" priority="179" operator="equal">
      <formula>$AM$1205</formula>
    </cfRule>
  </conditionalFormatting>
  <conditionalFormatting sqref="C1281">
    <cfRule type="cellIs" dxfId="1060" priority="173" operator="equal">
      <formula>$AM$1201</formula>
    </cfRule>
  </conditionalFormatting>
  <conditionalFormatting sqref="D1281">
    <cfRule type="cellIs" dxfId="1059" priority="174" operator="equal">
      <formula>$AQ$1201</formula>
    </cfRule>
  </conditionalFormatting>
  <conditionalFormatting sqref="C1285">
    <cfRule type="timePeriod" dxfId="1058" priority="168" timePeriod="lastWeek">
      <formula>AND(TODAY()-ROUNDDOWN(C1285,0)&gt;=(WEEKDAY(TODAY())),TODAY()-ROUNDDOWN(C1285,0)&lt;(WEEKDAY(TODAY())+7))</formula>
    </cfRule>
    <cfRule type="timePeriod" dxfId="1057" priority="170" timePeriod="lastMonth">
      <formula>AND(MONTH(C1285)=MONTH(EDATE(TODAY(),0-1)),YEAR(C1285)=YEAR(EDATE(TODAY(),0-1)))</formula>
    </cfRule>
    <cfRule type="cellIs" dxfId="1056" priority="172" operator="equal">
      <formula>$AM$1205</formula>
    </cfRule>
  </conditionalFormatting>
  <conditionalFormatting sqref="D1285">
    <cfRule type="timePeriod" dxfId="1055" priority="167" timePeriod="lastWeek">
      <formula>AND(TODAY()-ROUNDDOWN(D1285,0)&gt;=(WEEKDAY(TODAY())),TODAY()-ROUNDDOWN(D1285,0)&lt;(WEEKDAY(TODAY())+7))</formula>
    </cfRule>
    <cfRule type="timePeriod" dxfId="1054" priority="169" timePeriod="lastMonth">
      <formula>AND(MONTH(D1285)=MONTH(EDATE(TODAY(),0-1)),YEAR(D1285)=YEAR(EDATE(TODAY(),0-1)))</formula>
    </cfRule>
    <cfRule type="cellIs" dxfId="1053" priority="171" operator="equal">
      <formula>$AM$1205</formula>
    </cfRule>
  </conditionalFormatting>
  <conditionalFormatting sqref="C1291">
    <cfRule type="cellIs" dxfId="1052" priority="165" operator="equal">
      <formula>$AM$1201</formula>
    </cfRule>
  </conditionalFormatting>
  <conditionalFormatting sqref="D1291">
    <cfRule type="cellIs" dxfId="1051" priority="166" operator="equal">
      <formula>$AQ$1201</formula>
    </cfRule>
  </conditionalFormatting>
  <conditionalFormatting sqref="C1295">
    <cfRule type="timePeriod" dxfId="1050" priority="160" timePeriod="lastWeek">
      <formula>AND(TODAY()-ROUNDDOWN(C1295,0)&gt;=(WEEKDAY(TODAY())),TODAY()-ROUNDDOWN(C1295,0)&lt;(WEEKDAY(TODAY())+7))</formula>
    </cfRule>
    <cfRule type="timePeriod" dxfId="1049" priority="162" timePeriod="lastMonth">
      <formula>AND(MONTH(C1295)=MONTH(EDATE(TODAY(),0-1)),YEAR(C1295)=YEAR(EDATE(TODAY(),0-1)))</formula>
    </cfRule>
    <cfRule type="cellIs" dxfId="1048" priority="164" operator="equal">
      <formula>$AM$1205</formula>
    </cfRule>
  </conditionalFormatting>
  <conditionalFormatting sqref="D1295">
    <cfRule type="timePeriod" dxfId="1047" priority="159" timePeriod="lastWeek">
      <formula>AND(TODAY()-ROUNDDOWN(D1295,0)&gt;=(WEEKDAY(TODAY())),TODAY()-ROUNDDOWN(D1295,0)&lt;(WEEKDAY(TODAY())+7))</formula>
    </cfRule>
    <cfRule type="timePeriod" dxfId="1046" priority="161" timePeriod="lastMonth">
      <formula>AND(MONTH(D1295)=MONTH(EDATE(TODAY(),0-1)),YEAR(D1295)=YEAR(EDATE(TODAY(),0-1)))</formula>
    </cfRule>
    <cfRule type="cellIs" dxfId="1045" priority="163" operator="equal">
      <formula>$AM$1205</formula>
    </cfRule>
  </conditionalFormatting>
  <conditionalFormatting sqref="C1301">
    <cfRule type="cellIs" dxfId="1044" priority="157" operator="equal">
      <formula>$AM$1201</formula>
    </cfRule>
  </conditionalFormatting>
  <conditionalFormatting sqref="D1301">
    <cfRule type="cellIs" dxfId="1043" priority="158" operator="equal">
      <formula>$AQ$1201</formula>
    </cfRule>
  </conditionalFormatting>
  <conditionalFormatting sqref="C1305">
    <cfRule type="timePeriod" dxfId="1042" priority="152" timePeriod="lastWeek">
      <formula>AND(TODAY()-ROUNDDOWN(C1305,0)&gt;=(WEEKDAY(TODAY())),TODAY()-ROUNDDOWN(C1305,0)&lt;(WEEKDAY(TODAY())+7))</formula>
    </cfRule>
    <cfRule type="timePeriod" dxfId="1041" priority="154" timePeriod="lastMonth">
      <formula>AND(MONTH(C1305)=MONTH(EDATE(TODAY(),0-1)),YEAR(C1305)=YEAR(EDATE(TODAY(),0-1)))</formula>
    </cfRule>
    <cfRule type="cellIs" dxfId="1040" priority="156" operator="equal">
      <formula>$AM$1205</formula>
    </cfRule>
  </conditionalFormatting>
  <conditionalFormatting sqref="D1305">
    <cfRule type="timePeriod" dxfId="1039" priority="151" timePeriod="lastWeek">
      <formula>AND(TODAY()-ROUNDDOWN(D1305,0)&gt;=(WEEKDAY(TODAY())),TODAY()-ROUNDDOWN(D1305,0)&lt;(WEEKDAY(TODAY())+7))</formula>
    </cfRule>
    <cfRule type="timePeriod" dxfId="1038" priority="153" timePeriod="lastMonth">
      <formula>AND(MONTH(D1305)=MONTH(EDATE(TODAY(),0-1)),YEAR(D1305)=YEAR(EDATE(TODAY(),0-1)))</formula>
    </cfRule>
    <cfRule type="cellIs" dxfId="1037" priority="155" operator="equal">
      <formula>$AM$1205</formula>
    </cfRule>
  </conditionalFormatting>
  <conditionalFormatting sqref="C1311">
    <cfRule type="cellIs" dxfId="1036" priority="149" operator="equal">
      <formula>$AM$1201</formula>
    </cfRule>
  </conditionalFormatting>
  <conditionalFormatting sqref="D1311">
    <cfRule type="cellIs" dxfId="1035" priority="150" operator="equal">
      <formula>$AQ$1201</formula>
    </cfRule>
  </conditionalFormatting>
  <conditionalFormatting sqref="C1315">
    <cfRule type="timePeriod" dxfId="1034" priority="144" timePeriod="lastWeek">
      <formula>AND(TODAY()-ROUNDDOWN(C1315,0)&gt;=(WEEKDAY(TODAY())),TODAY()-ROUNDDOWN(C1315,0)&lt;(WEEKDAY(TODAY())+7))</formula>
    </cfRule>
    <cfRule type="timePeriod" dxfId="1033" priority="146" timePeriod="lastMonth">
      <formula>AND(MONTH(C1315)=MONTH(EDATE(TODAY(),0-1)),YEAR(C1315)=YEAR(EDATE(TODAY(),0-1)))</formula>
    </cfRule>
    <cfRule type="cellIs" dxfId="1032" priority="148" operator="equal">
      <formula>$AM$1205</formula>
    </cfRule>
  </conditionalFormatting>
  <conditionalFormatting sqref="D1315">
    <cfRule type="timePeriod" dxfId="1031" priority="143" timePeriod="lastWeek">
      <formula>AND(TODAY()-ROUNDDOWN(D1315,0)&gt;=(WEEKDAY(TODAY())),TODAY()-ROUNDDOWN(D1315,0)&lt;(WEEKDAY(TODAY())+7))</formula>
    </cfRule>
    <cfRule type="timePeriod" dxfId="1030" priority="145" timePeriod="lastMonth">
      <formula>AND(MONTH(D1315)=MONTH(EDATE(TODAY(),0-1)),YEAR(D1315)=YEAR(EDATE(TODAY(),0-1)))</formula>
    </cfRule>
    <cfRule type="cellIs" dxfId="1029" priority="147" operator="equal">
      <formula>$AM$1205</formula>
    </cfRule>
  </conditionalFormatting>
  <conditionalFormatting sqref="C1321">
    <cfRule type="cellIs" dxfId="1028" priority="141" operator="equal">
      <formula>$AM$1201</formula>
    </cfRule>
  </conditionalFormatting>
  <conditionalFormatting sqref="D1321">
    <cfRule type="cellIs" dxfId="1027" priority="142" operator="equal">
      <formula>$AQ$1201</formula>
    </cfRule>
  </conditionalFormatting>
  <conditionalFormatting sqref="C1325">
    <cfRule type="timePeriod" dxfId="1026" priority="136" timePeriod="lastWeek">
      <formula>AND(TODAY()-ROUNDDOWN(C1325,0)&gt;=(WEEKDAY(TODAY())),TODAY()-ROUNDDOWN(C1325,0)&lt;(WEEKDAY(TODAY())+7))</formula>
    </cfRule>
    <cfRule type="timePeriod" dxfId="1025" priority="138" timePeriod="lastMonth">
      <formula>AND(MONTH(C1325)=MONTH(EDATE(TODAY(),0-1)),YEAR(C1325)=YEAR(EDATE(TODAY(),0-1)))</formula>
    </cfRule>
    <cfRule type="cellIs" dxfId="1024" priority="140" operator="equal">
      <formula>$AM$1205</formula>
    </cfRule>
  </conditionalFormatting>
  <conditionalFormatting sqref="D1325">
    <cfRule type="timePeriod" dxfId="1023" priority="135" timePeriod="lastWeek">
      <formula>AND(TODAY()-ROUNDDOWN(D1325,0)&gt;=(WEEKDAY(TODAY())),TODAY()-ROUNDDOWN(D1325,0)&lt;(WEEKDAY(TODAY())+7))</formula>
    </cfRule>
    <cfRule type="timePeriod" dxfId="1022" priority="137" timePeriod="lastMonth">
      <formula>AND(MONTH(D1325)=MONTH(EDATE(TODAY(),0-1)),YEAR(D1325)=YEAR(EDATE(TODAY(),0-1)))</formula>
    </cfRule>
    <cfRule type="cellIs" dxfId="1021" priority="139" operator="equal">
      <formula>$AM$1205</formula>
    </cfRule>
  </conditionalFormatting>
  <conditionalFormatting sqref="C1331">
    <cfRule type="cellIs" dxfId="1020" priority="133" operator="equal">
      <formula>$AM$1201</formula>
    </cfRule>
  </conditionalFormatting>
  <conditionalFormatting sqref="D1331">
    <cfRule type="cellIs" dxfId="1019" priority="134" operator="equal">
      <formula>$AQ$1201</formula>
    </cfRule>
  </conditionalFormatting>
  <conditionalFormatting sqref="C1335">
    <cfRule type="timePeriod" dxfId="1018" priority="128" timePeriod="lastWeek">
      <formula>AND(TODAY()-ROUNDDOWN(C1335,0)&gt;=(WEEKDAY(TODAY())),TODAY()-ROUNDDOWN(C1335,0)&lt;(WEEKDAY(TODAY())+7))</formula>
    </cfRule>
    <cfRule type="timePeriod" dxfId="1017" priority="130" timePeriod="lastMonth">
      <formula>AND(MONTH(C1335)=MONTH(EDATE(TODAY(),0-1)),YEAR(C1335)=YEAR(EDATE(TODAY(),0-1)))</formula>
    </cfRule>
    <cfRule type="cellIs" dxfId="1016" priority="132" operator="equal">
      <formula>$AM$1205</formula>
    </cfRule>
  </conditionalFormatting>
  <conditionalFormatting sqref="D1335">
    <cfRule type="timePeriod" dxfId="1015" priority="127" timePeriod="lastWeek">
      <formula>AND(TODAY()-ROUNDDOWN(D1335,0)&gt;=(WEEKDAY(TODAY())),TODAY()-ROUNDDOWN(D1335,0)&lt;(WEEKDAY(TODAY())+7))</formula>
    </cfRule>
    <cfRule type="timePeriod" dxfId="1014" priority="129" timePeriod="lastMonth">
      <formula>AND(MONTH(D1335)=MONTH(EDATE(TODAY(),0-1)),YEAR(D1335)=YEAR(EDATE(TODAY(),0-1)))</formula>
    </cfRule>
    <cfRule type="cellIs" dxfId="1013" priority="131" operator="equal">
      <formula>$AM$1205</formula>
    </cfRule>
  </conditionalFormatting>
  <conditionalFormatting sqref="C1341">
    <cfRule type="cellIs" dxfId="1012" priority="125" operator="equal">
      <formula>$AM$1201</formula>
    </cfRule>
  </conditionalFormatting>
  <conditionalFormatting sqref="D1341">
    <cfRule type="cellIs" dxfId="1011" priority="126" operator="equal">
      <formula>$AQ$1201</formula>
    </cfRule>
  </conditionalFormatting>
  <conditionalFormatting sqref="C1345">
    <cfRule type="timePeriod" dxfId="1010" priority="120" timePeriod="lastWeek">
      <formula>AND(TODAY()-ROUNDDOWN(C1345,0)&gt;=(WEEKDAY(TODAY())),TODAY()-ROUNDDOWN(C1345,0)&lt;(WEEKDAY(TODAY())+7))</formula>
    </cfRule>
    <cfRule type="timePeriod" dxfId="1009" priority="122" timePeriod="lastMonth">
      <formula>AND(MONTH(C1345)=MONTH(EDATE(TODAY(),0-1)),YEAR(C1345)=YEAR(EDATE(TODAY(),0-1)))</formula>
    </cfRule>
    <cfRule type="cellIs" dxfId="1008" priority="124" operator="equal">
      <formula>$AM$1205</formula>
    </cfRule>
  </conditionalFormatting>
  <conditionalFormatting sqref="D1345">
    <cfRule type="timePeriod" dxfId="1007" priority="119" timePeriod="lastWeek">
      <formula>AND(TODAY()-ROUNDDOWN(D1345,0)&gt;=(WEEKDAY(TODAY())),TODAY()-ROUNDDOWN(D1345,0)&lt;(WEEKDAY(TODAY())+7))</formula>
    </cfRule>
    <cfRule type="timePeriod" dxfId="1006" priority="121" timePeriod="lastMonth">
      <formula>AND(MONTH(D1345)=MONTH(EDATE(TODAY(),0-1)),YEAR(D1345)=YEAR(EDATE(TODAY(),0-1)))</formula>
    </cfRule>
    <cfRule type="cellIs" dxfId="1005" priority="123" operator="equal">
      <formula>$AM$1205</formula>
    </cfRule>
  </conditionalFormatting>
  <conditionalFormatting sqref="C1351">
    <cfRule type="cellIs" dxfId="1004" priority="117" operator="equal">
      <formula>$AM$1201</formula>
    </cfRule>
  </conditionalFormatting>
  <conditionalFormatting sqref="D1351">
    <cfRule type="cellIs" dxfId="1003" priority="118" operator="equal">
      <formula>$AQ$1201</formula>
    </cfRule>
  </conditionalFormatting>
  <conditionalFormatting sqref="C1355">
    <cfRule type="timePeriod" dxfId="1002" priority="112" timePeriod="lastWeek">
      <formula>AND(TODAY()-ROUNDDOWN(C1355,0)&gt;=(WEEKDAY(TODAY())),TODAY()-ROUNDDOWN(C1355,0)&lt;(WEEKDAY(TODAY())+7))</formula>
    </cfRule>
    <cfRule type="timePeriod" dxfId="1001" priority="114" timePeriod="lastMonth">
      <formula>AND(MONTH(C1355)=MONTH(EDATE(TODAY(),0-1)),YEAR(C1355)=YEAR(EDATE(TODAY(),0-1)))</formula>
    </cfRule>
    <cfRule type="cellIs" dxfId="1000" priority="116" operator="equal">
      <formula>$AM$1205</formula>
    </cfRule>
  </conditionalFormatting>
  <conditionalFormatting sqref="D1355">
    <cfRule type="timePeriod" dxfId="999" priority="111" timePeriod="lastWeek">
      <formula>AND(TODAY()-ROUNDDOWN(D1355,0)&gt;=(WEEKDAY(TODAY())),TODAY()-ROUNDDOWN(D1355,0)&lt;(WEEKDAY(TODAY())+7))</formula>
    </cfRule>
    <cfRule type="timePeriod" dxfId="998" priority="113" timePeriod="lastMonth">
      <formula>AND(MONTH(D1355)=MONTH(EDATE(TODAY(),0-1)),YEAR(D1355)=YEAR(EDATE(TODAY(),0-1)))</formula>
    </cfRule>
    <cfRule type="cellIs" dxfId="997" priority="115" operator="equal">
      <formula>$AM$1205</formula>
    </cfRule>
  </conditionalFormatting>
  <conditionalFormatting sqref="C1361">
    <cfRule type="cellIs" dxfId="996" priority="109" operator="equal">
      <formula>$AM$1201</formula>
    </cfRule>
  </conditionalFormatting>
  <conditionalFormatting sqref="D1361">
    <cfRule type="cellIs" dxfId="995" priority="110" operator="equal">
      <formula>$AQ$1201</formula>
    </cfRule>
  </conditionalFormatting>
  <conditionalFormatting sqref="C1365">
    <cfRule type="timePeriod" dxfId="994" priority="104" timePeriod="lastWeek">
      <formula>AND(TODAY()-ROUNDDOWN(C1365,0)&gt;=(WEEKDAY(TODAY())),TODAY()-ROUNDDOWN(C1365,0)&lt;(WEEKDAY(TODAY())+7))</formula>
    </cfRule>
    <cfRule type="timePeriod" dxfId="993" priority="106" timePeriod="lastMonth">
      <formula>AND(MONTH(C1365)=MONTH(EDATE(TODAY(),0-1)),YEAR(C1365)=YEAR(EDATE(TODAY(),0-1)))</formula>
    </cfRule>
    <cfRule type="cellIs" dxfId="992" priority="108" operator="equal">
      <formula>$AM$1205</formula>
    </cfRule>
  </conditionalFormatting>
  <conditionalFormatting sqref="D1365">
    <cfRule type="timePeriod" dxfId="991" priority="103" timePeriod="lastWeek">
      <formula>AND(TODAY()-ROUNDDOWN(D1365,0)&gt;=(WEEKDAY(TODAY())),TODAY()-ROUNDDOWN(D1365,0)&lt;(WEEKDAY(TODAY())+7))</formula>
    </cfRule>
    <cfRule type="timePeriod" dxfId="990" priority="105" timePeriod="lastMonth">
      <formula>AND(MONTH(D1365)=MONTH(EDATE(TODAY(),0-1)),YEAR(D1365)=YEAR(EDATE(TODAY(),0-1)))</formula>
    </cfRule>
    <cfRule type="cellIs" dxfId="989" priority="107" operator="equal">
      <formula>$AM$1205</formula>
    </cfRule>
  </conditionalFormatting>
  <conditionalFormatting sqref="C1371">
    <cfRule type="cellIs" dxfId="988" priority="101" operator="equal">
      <formula>$AM$1201</formula>
    </cfRule>
  </conditionalFormatting>
  <conditionalFormatting sqref="D1371">
    <cfRule type="cellIs" dxfId="987" priority="102" operator="equal">
      <formula>$AQ$1201</formula>
    </cfRule>
  </conditionalFormatting>
  <conditionalFormatting sqref="C1375">
    <cfRule type="timePeriod" dxfId="986" priority="96" timePeriod="lastWeek">
      <formula>AND(TODAY()-ROUNDDOWN(C1375,0)&gt;=(WEEKDAY(TODAY())),TODAY()-ROUNDDOWN(C1375,0)&lt;(WEEKDAY(TODAY())+7))</formula>
    </cfRule>
    <cfRule type="timePeriod" dxfId="985" priority="98" timePeriod="lastMonth">
      <formula>AND(MONTH(C1375)=MONTH(EDATE(TODAY(),0-1)),YEAR(C1375)=YEAR(EDATE(TODAY(),0-1)))</formula>
    </cfRule>
    <cfRule type="cellIs" dxfId="984" priority="100" operator="equal">
      <formula>$AM$1205</formula>
    </cfRule>
  </conditionalFormatting>
  <conditionalFormatting sqref="D1375">
    <cfRule type="timePeriod" dxfId="983" priority="95" timePeriod="lastWeek">
      <formula>AND(TODAY()-ROUNDDOWN(D1375,0)&gt;=(WEEKDAY(TODAY())),TODAY()-ROUNDDOWN(D1375,0)&lt;(WEEKDAY(TODAY())+7))</formula>
    </cfRule>
    <cfRule type="timePeriod" dxfId="982" priority="97" timePeriod="lastMonth">
      <formula>AND(MONTH(D1375)=MONTH(EDATE(TODAY(),0-1)),YEAR(D1375)=YEAR(EDATE(TODAY(),0-1)))</formula>
    </cfRule>
    <cfRule type="cellIs" dxfId="981" priority="99" operator="equal">
      <formula>$AM$1205</formula>
    </cfRule>
  </conditionalFormatting>
  <conditionalFormatting sqref="C1381">
    <cfRule type="cellIs" dxfId="980" priority="93" operator="equal">
      <formula>$AM$1201</formula>
    </cfRule>
  </conditionalFormatting>
  <conditionalFormatting sqref="D1381">
    <cfRule type="cellIs" dxfId="979" priority="94" operator="equal">
      <formula>$AQ$1201</formula>
    </cfRule>
  </conditionalFormatting>
  <conditionalFormatting sqref="C1385">
    <cfRule type="timePeriod" dxfId="978" priority="88" timePeriod="lastWeek">
      <formula>AND(TODAY()-ROUNDDOWN(C1385,0)&gt;=(WEEKDAY(TODAY())),TODAY()-ROUNDDOWN(C1385,0)&lt;(WEEKDAY(TODAY())+7))</formula>
    </cfRule>
    <cfRule type="timePeriod" dxfId="977" priority="90" timePeriod="lastMonth">
      <formula>AND(MONTH(C1385)=MONTH(EDATE(TODAY(),0-1)),YEAR(C1385)=YEAR(EDATE(TODAY(),0-1)))</formula>
    </cfRule>
    <cfRule type="cellIs" dxfId="976" priority="92" operator="equal">
      <formula>$AM$1205</formula>
    </cfRule>
  </conditionalFormatting>
  <conditionalFormatting sqref="D1385">
    <cfRule type="timePeriod" dxfId="975" priority="87" timePeriod="lastWeek">
      <formula>AND(TODAY()-ROUNDDOWN(D1385,0)&gt;=(WEEKDAY(TODAY())),TODAY()-ROUNDDOWN(D1385,0)&lt;(WEEKDAY(TODAY())+7))</formula>
    </cfRule>
    <cfRule type="timePeriod" dxfId="974" priority="89" timePeriod="lastMonth">
      <formula>AND(MONTH(D1385)=MONTH(EDATE(TODAY(),0-1)),YEAR(D1385)=YEAR(EDATE(TODAY(),0-1)))</formula>
    </cfRule>
    <cfRule type="cellIs" dxfId="973" priority="91" operator="equal">
      <formula>$AM$1205</formula>
    </cfRule>
  </conditionalFormatting>
  <conditionalFormatting sqref="C1391">
    <cfRule type="cellIs" dxfId="972" priority="85" operator="equal">
      <formula>$AM$1201</formula>
    </cfRule>
  </conditionalFormatting>
  <conditionalFormatting sqref="D1391">
    <cfRule type="cellIs" dxfId="971" priority="86" operator="equal">
      <formula>$AQ$1201</formula>
    </cfRule>
  </conditionalFormatting>
  <conditionalFormatting sqref="C1395">
    <cfRule type="timePeriod" dxfId="970" priority="80" timePeriod="lastWeek">
      <formula>AND(TODAY()-ROUNDDOWN(C1395,0)&gt;=(WEEKDAY(TODAY())),TODAY()-ROUNDDOWN(C1395,0)&lt;(WEEKDAY(TODAY())+7))</formula>
    </cfRule>
    <cfRule type="timePeriod" dxfId="969" priority="82" timePeriod="lastMonth">
      <formula>AND(MONTH(C1395)=MONTH(EDATE(TODAY(),0-1)),YEAR(C1395)=YEAR(EDATE(TODAY(),0-1)))</formula>
    </cfRule>
    <cfRule type="cellIs" dxfId="968" priority="84" operator="equal">
      <formula>$AM$1205</formula>
    </cfRule>
  </conditionalFormatting>
  <conditionalFormatting sqref="D1395">
    <cfRule type="timePeriod" dxfId="967" priority="79" timePeriod="lastWeek">
      <formula>AND(TODAY()-ROUNDDOWN(D1395,0)&gt;=(WEEKDAY(TODAY())),TODAY()-ROUNDDOWN(D1395,0)&lt;(WEEKDAY(TODAY())+7))</formula>
    </cfRule>
    <cfRule type="timePeriod" dxfId="966" priority="81" timePeriod="lastMonth">
      <formula>AND(MONTH(D1395)=MONTH(EDATE(TODAY(),0-1)),YEAR(D1395)=YEAR(EDATE(TODAY(),0-1)))</formula>
    </cfRule>
    <cfRule type="cellIs" dxfId="965" priority="83" operator="equal">
      <formula>$AM$1205</formula>
    </cfRule>
  </conditionalFormatting>
  <conditionalFormatting sqref="C1401">
    <cfRule type="cellIs" dxfId="964" priority="77" operator="equal">
      <formula>$AM$1201</formula>
    </cfRule>
  </conditionalFormatting>
  <conditionalFormatting sqref="D1401">
    <cfRule type="cellIs" dxfId="963" priority="78" operator="equal">
      <formula>$AQ$1201</formula>
    </cfRule>
  </conditionalFormatting>
  <conditionalFormatting sqref="C1405">
    <cfRule type="timePeriod" dxfId="962" priority="72" timePeriod="lastWeek">
      <formula>AND(TODAY()-ROUNDDOWN(C1405,0)&gt;=(WEEKDAY(TODAY())),TODAY()-ROUNDDOWN(C1405,0)&lt;(WEEKDAY(TODAY())+7))</formula>
    </cfRule>
    <cfRule type="timePeriod" dxfId="961" priority="74" timePeriod="lastMonth">
      <formula>AND(MONTH(C1405)=MONTH(EDATE(TODAY(),0-1)),YEAR(C1405)=YEAR(EDATE(TODAY(),0-1)))</formula>
    </cfRule>
    <cfRule type="cellIs" dxfId="960" priority="76" operator="equal">
      <formula>$AM$1205</formula>
    </cfRule>
  </conditionalFormatting>
  <conditionalFormatting sqref="D1405">
    <cfRule type="timePeriod" dxfId="959" priority="71" timePeriod="lastWeek">
      <formula>AND(TODAY()-ROUNDDOWN(D1405,0)&gt;=(WEEKDAY(TODAY())),TODAY()-ROUNDDOWN(D1405,0)&lt;(WEEKDAY(TODAY())+7))</formula>
    </cfRule>
    <cfRule type="timePeriod" dxfId="958" priority="73" timePeriod="lastMonth">
      <formula>AND(MONTH(D1405)=MONTH(EDATE(TODAY(),0-1)),YEAR(D1405)=YEAR(EDATE(TODAY(),0-1)))</formula>
    </cfRule>
    <cfRule type="cellIs" dxfId="957" priority="75" operator="equal">
      <formula>$AM$1205</formula>
    </cfRule>
  </conditionalFormatting>
  <conditionalFormatting sqref="C1411">
    <cfRule type="cellIs" dxfId="956" priority="69" operator="equal">
      <formula>$AM$1201</formula>
    </cfRule>
  </conditionalFormatting>
  <conditionalFormatting sqref="D1411">
    <cfRule type="cellIs" dxfId="955" priority="70" operator="equal">
      <formula>$AQ$1201</formula>
    </cfRule>
  </conditionalFormatting>
  <conditionalFormatting sqref="C1415">
    <cfRule type="timePeriod" dxfId="954" priority="64" timePeriod="lastWeek">
      <formula>AND(TODAY()-ROUNDDOWN(C1415,0)&gt;=(WEEKDAY(TODAY())),TODAY()-ROUNDDOWN(C1415,0)&lt;(WEEKDAY(TODAY())+7))</formula>
    </cfRule>
    <cfRule type="timePeriod" dxfId="953" priority="66" timePeriod="lastMonth">
      <formula>AND(MONTH(C1415)=MONTH(EDATE(TODAY(),0-1)),YEAR(C1415)=YEAR(EDATE(TODAY(),0-1)))</formula>
    </cfRule>
    <cfRule type="cellIs" dxfId="952" priority="68" operator="equal">
      <formula>$AM$1205</formula>
    </cfRule>
  </conditionalFormatting>
  <conditionalFormatting sqref="D1415">
    <cfRule type="timePeriod" dxfId="951" priority="63" timePeriod="lastWeek">
      <formula>AND(TODAY()-ROUNDDOWN(D1415,0)&gt;=(WEEKDAY(TODAY())),TODAY()-ROUNDDOWN(D1415,0)&lt;(WEEKDAY(TODAY())+7))</formula>
    </cfRule>
    <cfRule type="timePeriod" dxfId="950" priority="65" timePeriod="lastMonth">
      <formula>AND(MONTH(D1415)=MONTH(EDATE(TODAY(),0-1)),YEAR(D1415)=YEAR(EDATE(TODAY(),0-1)))</formula>
    </cfRule>
    <cfRule type="cellIs" dxfId="949" priority="67" operator="equal">
      <formula>$AM$1205</formula>
    </cfRule>
  </conditionalFormatting>
  <conditionalFormatting sqref="C1421">
    <cfRule type="cellIs" dxfId="948" priority="61" operator="equal">
      <formula>$AM$1201</formula>
    </cfRule>
  </conditionalFormatting>
  <conditionalFormatting sqref="D1421">
    <cfRule type="cellIs" dxfId="947" priority="62" operator="equal">
      <formula>$AQ$1201</formula>
    </cfRule>
  </conditionalFormatting>
  <conditionalFormatting sqref="C1425">
    <cfRule type="timePeriod" dxfId="946" priority="56" timePeriod="lastWeek">
      <formula>AND(TODAY()-ROUNDDOWN(C1425,0)&gt;=(WEEKDAY(TODAY())),TODAY()-ROUNDDOWN(C1425,0)&lt;(WEEKDAY(TODAY())+7))</formula>
    </cfRule>
    <cfRule type="timePeriod" dxfId="945" priority="58" timePeriod="lastMonth">
      <formula>AND(MONTH(C1425)=MONTH(EDATE(TODAY(),0-1)),YEAR(C1425)=YEAR(EDATE(TODAY(),0-1)))</formula>
    </cfRule>
    <cfRule type="cellIs" dxfId="944" priority="60" operator="equal">
      <formula>$AM$1205</formula>
    </cfRule>
  </conditionalFormatting>
  <conditionalFormatting sqref="D1425">
    <cfRule type="timePeriod" dxfId="943" priority="55" timePeriod="lastWeek">
      <formula>AND(TODAY()-ROUNDDOWN(D1425,0)&gt;=(WEEKDAY(TODAY())),TODAY()-ROUNDDOWN(D1425,0)&lt;(WEEKDAY(TODAY())+7))</formula>
    </cfRule>
    <cfRule type="timePeriod" dxfId="942" priority="57" timePeriod="lastMonth">
      <formula>AND(MONTH(D1425)=MONTH(EDATE(TODAY(),0-1)),YEAR(D1425)=YEAR(EDATE(TODAY(),0-1)))</formula>
    </cfRule>
    <cfRule type="cellIs" dxfId="941" priority="59" operator="equal">
      <formula>$AM$1205</formula>
    </cfRule>
  </conditionalFormatting>
  <conditionalFormatting sqref="A1432:A1439">
    <cfRule type="cellIs" dxfId="940" priority="54" operator="equal">
      <formula>0</formula>
    </cfRule>
  </conditionalFormatting>
  <conditionalFormatting sqref="C1431">
    <cfRule type="cellIs" dxfId="939" priority="52" operator="equal">
      <formula>$AM$1201</formula>
    </cfRule>
  </conditionalFormatting>
  <conditionalFormatting sqref="D1431">
    <cfRule type="cellIs" dxfId="938" priority="53" operator="equal">
      <formula>$AQ$1201</formula>
    </cfRule>
  </conditionalFormatting>
  <conditionalFormatting sqref="C1435">
    <cfRule type="timePeriod" dxfId="937" priority="47" timePeriod="lastWeek">
      <formula>AND(TODAY()-ROUNDDOWN(C1435,0)&gt;=(WEEKDAY(TODAY())),TODAY()-ROUNDDOWN(C1435,0)&lt;(WEEKDAY(TODAY())+7))</formula>
    </cfRule>
    <cfRule type="timePeriod" dxfId="936" priority="49" timePeriod="lastMonth">
      <formula>AND(MONTH(C1435)=MONTH(EDATE(TODAY(),0-1)),YEAR(C1435)=YEAR(EDATE(TODAY(),0-1)))</formula>
    </cfRule>
    <cfRule type="cellIs" dxfId="935" priority="51" operator="equal">
      <formula>$AM$1205</formula>
    </cfRule>
  </conditionalFormatting>
  <conditionalFormatting sqref="D1435">
    <cfRule type="timePeriod" dxfId="934" priority="46" timePeriod="lastWeek">
      <formula>AND(TODAY()-ROUNDDOWN(D1435,0)&gt;=(WEEKDAY(TODAY())),TODAY()-ROUNDDOWN(D1435,0)&lt;(WEEKDAY(TODAY())+7))</formula>
    </cfRule>
    <cfRule type="timePeriod" dxfId="933" priority="48" timePeriod="lastMonth">
      <formula>AND(MONTH(D1435)=MONTH(EDATE(TODAY(),0-1)),YEAR(D1435)=YEAR(EDATE(TODAY(),0-1)))</formula>
    </cfRule>
    <cfRule type="cellIs" dxfId="932" priority="50" operator="equal">
      <formula>$AM$1205</formula>
    </cfRule>
  </conditionalFormatting>
  <conditionalFormatting sqref="A1211 A1221 A1231 A1241 A1251 A1261 A1271 A1281 A1291 A1301 A1311 A1321 A1331 A1341 A1351 A1361 A1371 A1381 A1391 A1401 A1411 A1421 A1431">
    <cfRule type="cellIs" dxfId="931" priority="45" operator="equal">
      <formula>0</formula>
    </cfRule>
  </conditionalFormatting>
  <conditionalFormatting sqref="D1203">
    <cfRule type="cellIs" dxfId="930" priority="44" operator="equal">
      <formula>$AS$1203</formula>
    </cfRule>
  </conditionalFormatting>
  <conditionalFormatting sqref="D1233">
    <cfRule type="cellIs" dxfId="929" priority="42" operator="equal">
      <formula>$AS$1203</formula>
    </cfRule>
  </conditionalFormatting>
  <conditionalFormatting sqref="D1223">
    <cfRule type="cellIs" dxfId="928" priority="43" operator="equal">
      <formula>$AS$1203</formula>
    </cfRule>
  </conditionalFormatting>
  <conditionalFormatting sqref="D1243">
    <cfRule type="cellIs" dxfId="927" priority="41" operator="equal">
      <formula>$AS$1203</formula>
    </cfRule>
  </conditionalFormatting>
  <conditionalFormatting sqref="D1253">
    <cfRule type="cellIs" dxfId="926" priority="40" operator="equal">
      <formula>$AS$1203</formula>
    </cfRule>
  </conditionalFormatting>
  <conditionalFormatting sqref="D1263">
    <cfRule type="cellIs" dxfId="925" priority="39" operator="equal">
      <formula>$AS$1203</formula>
    </cfRule>
  </conditionalFormatting>
  <conditionalFormatting sqref="D1273">
    <cfRule type="cellIs" dxfId="924" priority="38" operator="equal">
      <formula>$AS$1203</formula>
    </cfRule>
  </conditionalFormatting>
  <conditionalFormatting sqref="D1283">
    <cfRule type="cellIs" dxfId="923" priority="37" operator="equal">
      <formula>$AS$1203</formula>
    </cfRule>
  </conditionalFormatting>
  <conditionalFormatting sqref="D1293">
    <cfRule type="cellIs" dxfId="922" priority="36" operator="equal">
      <formula>$AS$1203</formula>
    </cfRule>
  </conditionalFormatting>
  <conditionalFormatting sqref="D1303">
    <cfRule type="cellIs" dxfId="921" priority="35" operator="equal">
      <formula>$AS$1203</formula>
    </cfRule>
  </conditionalFormatting>
  <conditionalFormatting sqref="D1313">
    <cfRule type="cellIs" dxfId="920" priority="34" operator="equal">
      <formula>$AS$1203</formula>
    </cfRule>
  </conditionalFormatting>
  <conditionalFormatting sqref="D1323">
    <cfRule type="cellIs" dxfId="919" priority="33" operator="equal">
      <formula>$AS$1203</formula>
    </cfRule>
  </conditionalFormatting>
  <conditionalFormatting sqref="D1333">
    <cfRule type="cellIs" dxfId="918" priority="32" operator="equal">
      <formula>$AS$1203</formula>
    </cfRule>
  </conditionalFormatting>
  <conditionalFormatting sqref="D1433">
    <cfRule type="cellIs" dxfId="917" priority="22" operator="equal">
      <formula>$AS$1203</formula>
    </cfRule>
  </conditionalFormatting>
  <conditionalFormatting sqref="D1343">
    <cfRule type="cellIs" dxfId="916" priority="31" operator="equal">
      <formula>$AS$1203</formula>
    </cfRule>
  </conditionalFormatting>
  <conditionalFormatting sqref="D1353">
    <cfRule type="cellIs" dxfId="915" priority="30" operator="equal">
      <formula>$AS$1203</formula>
    </cfRule>
  </conditionalFormatting>
  <conditionalFormatting sqref="D1363">
    <cfRule type="cellIs" dxfId="914" priority="29" operator="equal">
      <formula>$AS$1203</formula>
    </cfRule>
  </conditionalFormatting>
  <conditionalFormatting sqref="D1373">
    <cfRule type="cellIs" dxfId="913" priority="28" operator="equal">
      <formula>$AS$1203</formula>
    </cfRule>
  </conditionalFormatting>
  <conditionalFormatting sqref="D1383">
    <cfRule type="cellIs" dxfId="912" priority="27" operator="equal">
      <formula>$AS$1203</formula>
    </cfRule>
  </conditionalFormatting>
  <conditionalFormatting sqref="D1393">
    <cfRule type="cellIs" dxfId="911" priority="26" operator="equal">
      <formula>$AS$1203</formula>
    </cfRule>
  </conditionalFormatting>
  <conditionalFormatting sqref="D1403">
    <cfRule type="cellIs" dxfId="910" priority="25" operator="equal">
      <formula>$AS$1203</formula>
    </cfRule>
  </conditionalFormatting>
  <conditionalFormatting sqref="D1413">
    <cfRule type="cellIs" dxfId="909" priority="24" operator="equal">
      <formula>$AS$1203</formula>
    </cfRule>
  </conditionalFormatting>
  <conditionalFormatting sqref="D1423">
    <cfRule type="cellIs" dxfId="908" priority="23" operator="equal">
      <formula>$AS$1203</formula>
    </cfRule>
  </conditionalFormatting>
  <conditionalFormatting sqref="D1213">
    <cfRule type="cellIs" dxfId="907" priority="21" operator="equal">
      <formula>$AS$1203</formula>
    </cfRule>
  </conditionalFormatting>
  <conditionalFormatting sqref="B28:D28">
    <cfRule type="containsText" dxfId="906" priority="20" operator="containsText" text="FLIPSIDE">
      <formula>NOT(ISERROR(SEARCH("FLIPSIDE",B28)))</formula>
    </cfRule>
  </conditionalFormatting>
  <conditionalFormatting sqref="B63:D63">
    <cfRule type="notContainsText" dxfId="905" priority="19" operator="notContains" text="claimant">
      <formula>ISERROR(SEARCH("claimant",B63))</formula>
    </cfRule>
  </conditionalFormatting>
  <conditionalFormatting sqref="A1198">
    <cfRule type="cellIs" dxfId="904" priority="18" operator="equal">
      <formula>0</formula>
    </cfRule>
  </conditionalFormatting>
  <conditionalFormatting sqref="C1513:D1513">
    <cfRule type="beginsWith" dxfId="903" priority="14" operator="beginsWith" text="click">
      <formula>LEFT(C1513,LEN("click"))="click"</formula>
    </cfRule>
  </conditionalFormatting>
  <conditionalFormatting sqref="C1483:D1483">
    <cfRule type="beginsWith" dxfId="902" priority="17" operator="beginsWith" text="click">
      <formula>LEFT(C1483,LEN("click"))="click"</formula>
    </cfRule>
  </conditionalFormatting>
  <conditionalFormatting sqref="C1533:D1533">
    <cfRule type="beginsWith" dxfId="901" priority="12" operator="beginsWith" text="click">
      <formula>LEFT(C1533,LEN("click"))="click"</formula>
    </cfRule>
  </conditionalFormatting>
  <conditionalFormatting sqref="C1493:D1493">
    <cfRule type="beginsWith" dxfId="900" priority="16" operator="beginsWith" text="click">
      <formula>LEFT(C1493,LEN("click"))="click"</formula>
    </cfRule>
  </conditionalFormatting>
  <conditionalFormatting sqref="C1503:D1503">
    <cfRule type="beginsWith" dxfId="899" priority="15" operator="beginsWith" text="click">
      <formula>LEFT(C1503,LEN("click"))="click"</formula>
    </cfRule>
  </conditionalFormatting>
  <conditionalFormatting sqref="C1523:D1523">
    <cfRule type="beginsWith" dxfId="898" priority="13" operator="beginsWith" text="click">
      <formula>LEFT(C1523,LEN("click"))="click"</formula>
    </cfRule>
  </conditionalFormatting>
  <conditionalFormatting sqref="C24:C25">
    <cfRule type="containsText" dxfId="897" priority="11" operator="containsText" text="Highlight">
      <formula>NOT(ISERROR(SEARCH("Highlight",C24)))</formula>
    </cfRule>
  </conditionalFormatting>
  <conditionalFormatting sqref="C24:C25">
    <cfRule type="containsText" dxfId="896" priority="10" operator="containsText" text="Hightlight">
      <formula>NOT(ISERROR(SEARCH("Hightlight",C24)))</formula>
    </cfRule>
  </conditionalFormatting>
  <conditionalFormatting sqref="D224">
    <cfRule type="containsText" dxfId="895" priority="9" operator="containsText" text="NAME ">
      <formula>NOT(ISERROR(SEARCH("NAME ",D224)))</formula>
    </cfRule>
  </conditionalFormatting>
  <conditionalFormatting sqref="D224">
    <cfRule type="containsText" dxfId="894" priority="6" operator="containsText" text="claims to know real culprit?">
      <formula>NOT(ISERROR(SEARCH("claims to know real culprit?",D224)))</formula>
    </cfRule>
    <cfRule type="containsText" dxfId="893" priority="7" operator="containsText" text="charged as?">
      <formula>NOT(ISERROR(SEARCH("charged as?",D224)))</formula>
    </cfRule>
    <cfRule type="containsText" dxfId="892" priority="8" operator="containsText" text="convicted as?">
      <formula>NOT(ISERROR(SEARCH("convicted as?",D224)))</formula>
    </cfRule>
  </conditionalFormatting>
  <conditionalFormatting sqref="D224">
    <cfRule type="containsText" dxfId="891" priority="5" operator="containsText" text="also claims innocence?">
      <formula>NOT(ISERROR(SEARCH("also claims innocence?",D224)))</formula>
    </cfRule>
  </conditionalFormatting>
  <conditionalFormatting sqref="D385">
    <cfRule type="containsText" dxfId="890" priority="4" operator="containsText" text="URL">
      <formula>NOT(ISERROR(SEARCH("URL",D385)))</formula>
    </cfRule>
  </conditionalFormatting>
  <conditionalFormatting sqref="C1211">
    <cfRule type="cellIs" dxfId="889" priority="3" operator="equal">
      <formula>$AM$1201</formula>
    </cfRule>
  </conditionalFormatting>
  <conditionalFormatting sqref="C154">
    <cfRule type="cellIs" dxfId="888" priority="2" operator="equal">
      <formula>"YYYY-MM-DD"</formula>
    </cfRule>
  </conditionalFormatting>
  <conditionalFormatting sqref="C164">
    <cfRule type="cellIs" dxfId="887" priority="1" operator="equal">
      <formula>"YYYY-MM-DD"</formula>
    </cfRule>
  </conditionalFormatting>
  <dataValidations count="109">
    <dataValidation type="list" errorStyle="warning" allowBlank="1" showInputMessage="1" showErrorMessage="1" sqref="B1603" xr:uid="{A27B3716-8592-4E6A-8A2A-ED23440161D5}">
      <formula1>$AF$1601:$AF$1605</formula1>
    </dataValidation>
    <dataValidation type="list" allowBlank="1" showInputMessage="1" showErrorMessage="1" errorTitle="Oops" error="Choose from dropdown list" prompt="from list" sqref="C166" xr:uid="{BD9AD313-B4F7-4636-8DBD-B7B6E6D06BAC}">
      <formula1>$C$2409:$C$2420</formula1>
    </dataValidation>
    <dataValidation type="list" allowBlank="1" showInputMessage="1" showErrorMessage="1" sqref="C170:C179" xr:uid="{9D7730E0-825F-4105-8567-02C566538BB5}">
      <formula1>$D$2384:$D$2386</formula1>
    </dataValidation>
    <dataValidation type="list" allowBlank="1" showInputMessage="1" showErrorMessage="1" sqref="D156" xr:uid="{F58DB0B9-B056-448F-9511-03C45521B1AC}">
      <formula1>$C$2423:$C$2425</formula1>
    </dataValidation>
    <dataValidation type="list" allowBlank="1" showInputMessage="1" showErrorMessage="1" sqref="C158" xr:uid="{44A24373-395B-4699-BE12-4F52A97B5F3A}">
      <formula1>$C$2428:$C$2431</formula1>
    </dataValidation>
    <dataValidation type="list" allowBlank="1" showInputMessage="1" showErrorMessage="1" sqref="D158" xr:uid="{BF78C2C1-D9AA-493B-BF11-DA6D5B261783}">
      <formula1>$C$2434:$C$2436</formula1>
    </dataValidation>
    <dataValidation type="list" allowBlank="1" showInputMessage="1" showErrorMessage="1" errorTitle="Oops" error="Choose from dropdown list" prompt="from list" sqref="D166" xr:uid="{45C2C893-2DE7-4B11-B0B4-6F4C1CBB021F}">
      <formula1>$C$2440:$C$2443</formula1>
    </dataValidation>
    <dataValidation allowBlank="1" showInputMessage="1" showErrorMessage="1" prompt="Be sure to spell exacdtly, or we may lose you. Check your email inbox to verify. Thanks." sqref="C164" xr:uid="{2BE19E3A-FB3A-448D-B5C2-D0C483D21612}"/>
    <dataValidation allowBlank="1" showInputMessage="1" showErrorMessage="1" prompt="If still incarcerated or under custody conditions prohibiting Internet access, then write in &quot;see proxy&quot;." sqref="C154" xr:uid="{87CDD677-7DA3-4C93-8C76-49772F78AEE8}"/>
    <dataValidation allowBlank="1" showInputMessage="1" showErrorMessage="1" prompt="If still incarcerated or under custody conditions prohibiting direct calling, then write in &quot;see proxy&quot;." sqref="D154" xr:uid="{BF10B32A-EC9C-4F63-A84C-B78FF2DA8C9F}"/>
    <dataValidation type="list" allowBlank="1" showInputMessage="1" showErrorMessage="1" sqref="B170:B179" xr:uid="{1B090BAF-BA84-401D-A4AA-20B2B48D510F}">
      <formula1>$B$2384:$B$2391</formula1>
    </dataValidation>
    <dataValidation type="list" allowBlank="1" showInputMessage="1" showErrorMessage="1" sqref="C229 C233 C237 C241 C245" xr:uid="{F784DEFF-6812-4C78-9F6D-44999187B5A1}">
      <formula1>$AH$221:$AH$223</formula1>
    </dataValidation>
    <dataValidation type="list" allowBlank="1" showInputMessage="1" showErrorMessage="1" prompt="charged as?" sqref="C226 C242 C230 C234 C238 C222" xr:uid="{A5F74767-3EB6-4C4D-ADCA-674B4871509C}">
      <formula1>$AH$221:$AH$223</formula1>
    </dataValidation>
    <dataValidation type="list" allowBlank="1" showInputMessage="1" showErrorMessage="1" prompt="convicted as?" sqref="C227 C243 C231 C235 C239 C223" xr:uid="{103352F0-0019-4E63-95DE-FBB472E2D37D}">
      <formula1>$AH$221:$AH$223</formula1>
    </dataValidation>
    <dataValidation type="list" allowBlank="1" showInputMessage="1" showErrorMessage="1" sqref="D229 D233 D237 D241 D245" xr:uid="{B783CDFD-E5B1-4C9D-9995-35A2F4283808}">
      <formula1>$AC$221:$AC$222</formula1>
    </dataValidation>
    <dataValidation type="list" allowBlank="1" showInputMessage="1" showErrorMessage="1" prompt="verdict?" sqref="D243 D223 D227 D231 D235 D239" xr:uid="{E91CF7FE-6230-445A-BD57-F5200C1F60FB}">
      <formula1>$AD$226:$AD$228</formula1>
    </dataValidation>
    <dataValidation allowBlank="1" showInputMessage="1" showErrorMessage="1" prompt="Name of codefendant" sqref="B226 B222" xr:uid="{42327806-7831-4169-9242-B6F153165505}"/>
    <dataValidation type="list" allowBlank="1" showInputMessage="1" showErrorMessage="1" prompt="how adjudicated?" sqref="D242 D222 D226 D230 D234 D238" xr:uid="{7BEC5626-27F2-4F0C-87E6-87B07A1440B5}">
      <formula1>$AL$221:$AL$224</formula1>
    </dataValidation>
    <dataValidation type="list" allowBlank="1" showInputMessage="1" showErrorMessage="1" sqref="D170:D179" xr:uid="{E733060C-DE62-46BF-BD56-3CA9F6B004CB}">
      <formula1>$C$2395:$C$2405</formula1>
    </dataValidation>
    <dataValidation type="list" allowBlank="1" showInputMessage="1" showErrorMessage="1" sqref="D253" xr:uid="{8F7ED964-B1DF-44CC-B1EC-186FE592A4C7}">
      <formula1>$C$2447:$C$2451</formula1>
    </dataValidation>
    <dataValidation type="list" allowBlank="1" showInputMessage="1" showErrorMessage="1" sqref="D250" xr:uid="{12762306-1BAA-417B-A316-731876225BF7}">
      <formula1>$AC$249:$AC$250</formula1>
    </dataValidation>
    <dataValidation type="list" allowBlank="1" showInputMessage="1" showErrorMessage="1" sqref="C218" xr:uid="{004C4A83-2DA8-42AA-8E60-91AACBEC176A}">
      <formula1>$C$2456:$C$2460</formula1>
    </dataValidation>
    <dataValidation type="list" allowBlank="1" showInputMessage="1" showErrorMessage="1" sqref="D218" xr:uid="{6A9E56A4-C368-4FA0-BB27-26B94121853A}">
      <formula1>$C$2464:$C$2469</formula1>
    </dataValidation>
    <dataValidation type="list" allowBlank="1" showInputMessage="1" showErrorMessage="1" sqref="D284" xr:uid="{425E06B3-E04F-4352-815C-46FE82A2FB94}">
      <formula1>$C$2489:$C$2493</formula1>
    </dataValidation>
    <dataValidation type="list" allowBlank="1" showInputMessage="1" showErrorMessage="1" promptTitle="US State or Federal" prompt="Select US State or federal jurisdiction for prosecuting this case." sqref="B208" xr:uid="{810C7D4F-7DE7-4F46-AD47-FB6B77EBCF01}">
      <formula1>$B$2242:$B$2294</formula1>
    </dataValidation>
    <dataValidation type="list" allowBlank="1" showInputMessage="1" showErrorMessage="1" prompt="claims to know real culprit?" sqref="C228 C232 C236 C240 C244" xr:uid="{D0291212-FF64-48DF-AAB2-5B4D5E24D999}">
      <formula1>$AE$218:$AE$219</formula1>
    </dataValidation>
    <dataValidation type="list" allowBlank="1" showInputMessage="1" showErrorMessage="1" prompt="relation to claimant?" sqref="B227 B231 B243 B235 B239 B223" xr:uid="{D23463DB-536A-4E28-B6D1-02F269929E48}">
      <formula1>$AP$218:$AP$223</formula1>
    </dataValidation>
    <dataValidation type="list" allowBlank="1" showInputMessage="1" showErrorMessage="1" prompt="know location where this codefendant currently lives?" sqref="B228" xr:uid="{281FED30-8F41-49EC-A77B-7696F27D0557}">
      <formula1>$AE$218:$AE$219</formula1>
    </dataValidation>
    <dataValidation type="list" allowBlank="1" showInputMessage="1" showErrorMessage="1" prompt="also claims innocence?" sqref="D228 D244 D232 D236 D240 D224" xr:uid="{BE282703-211D-4AC5-A6C2-F6A79319A081}">
      <formula1>$AG$218:$AG$220</formula1>
    </dataValidation>
    <dataValidation type="list" allowBlank="1" showInputMessage="1" showErrorMessage="1" prompt="know where this codefendant currently lives?" sqref="B244 B232 B236 B240 B224" xr:uid="{ECBA8DC2-A9FD-44D0-A1B5-7A5FCDFAB4C8}">
      <formula1>$AE$218:$AE$219</formula1>
    </dataValidation>
    <dataValidation type="list" allowBlank="1" showInputMessage="1" showErrorMessage="1" prompt="claim to know real culprit?" sqref="C224" xr:uid="{AE4A916F-4E05-4C7E-93B7-AD0E4AD9CF4F}">
      <formula1>$AE$218:$AE$219</formula1>
    </dataValidation>
    <dataValidation type="list" allowBlank="1" showInputMessage="1" showErrorMessage="1" sqref="D278 D269" xr:uid="{A651B9FA-6D01-4DE9-9B6C-5F81A3AB8AB2}">
      <formula1>$AE$218:$AE$219</formula1>
    </dataValidation>
    <dataValidation type="list" allowBlank="1" showInputMessage="1" showErrorMessage="1" promptTitle="Time of impact" prompt="When did or does this item impact claimant?" sqref="D770:D789" xr:uid="{8314A63B-5313-4B3B-BBC5-960CA6E4466A}">
      <formula1>$B$1912:$B$1914</formula1>
    </dataValidation>
    <dataValidation type="list" allowBlank="1" showInputMessage="1" showErrorMessage="1" promptTitle="Applicability" prompt="How does this item apply to claimant?" sqref="B770:B789" xr:uid="{E8DA73DF-F7C9-4D55-8B87-1CBBBA5871EE}">
      <formula1>$B$1908:$B$1910</formula1>
    </dataValidation>
    <dataValidation type="list" allowBlank="1" showInputMessage="1" showErrorMessage="1" error="Only three options available for now" promptTitle="Choose one" prompt="Select best option available. Be sure spelling is exact. An inaccessible URL or unresponsive email address may lower the score." sqref="C326 C316 C336 C346 C356 C366 C376 C386 C396 C406 C416 C426 C436 C306" xr:uid="{C3CA2E66-5585-434F-8C7A-6C575E9A66C7}">
      <formula1>$D$1896:$D$1901</formula1>
    </dataValidation>
    <dataValidation type="list" allowBlank="1" showInputMessage="1" showErrorMessage="1" sqref="BG5:BH5" xr:uid="{8B01CCC1-CC94-4A2C-9765-65E8705A2DAD}">
      <formula1>$B$1904:$B$1906</formula1>
    </dataValidation>
    <dataValidation type="list" allowBlank="1" showInputMessage="1" showErrorMessage="1" error="Only three options available for now" promptTitle="Choose one" prompt="Select best option available. Be sure spelling is exact. An inaccessible URL or unresponsive email address may lower the score." sqref="B330 B320:D320 B430:D430 B340:D340 B350:D350 B360:D360 B370:D370 B380:D380 B390:D390 B400:D400 B410:D410 B420:D420 B310:D310 B300 B723:D723" xr:uid="{C52B0958-6EAC-44A3-A8A3-27B3BC817096}">
      <formula1>$B$1896:$B$1901</formula1>
    </dataValidation>
    <dataValidation type="list" allowBlank="1" showInputMessage="1" showErrorMessage="1" errorTitle="Oops!" error="You can only select one of the options given. Contact us if we missed an option vital to your case." promptTitle="Choose one" prompt="Select best option" sqref="B468 B513 B479 B529 B490 B495 B503 B508 B473 B519 B524 B484" xr:uid="{133CB07C-F2C7-400B-971B-4411F0AA1FC0}">
      <formula1>$B$1871:$B$1874</formula1>
    </dataValidation>
    <dataValidation type="list" allowBlank="1" showInputMessage="1" showErrorMessage="1" errorTitle="Oops!" error="You can only select one of the options given. Contact us if we missed an option vital to your case." promptTitle="Choose one" prompt="Select best option" sqref="C468 C513 C479 C529 C490 C495 C503 C508 C473 C519 C524 C484" xr:uid="{E17F162E-57B0-42C0-A527-DB89F09349B4}">
      <formula1>$B$1877:$B$1882</formula1>
    </dataValidation>
    <dataValidation type="list" allowBlank="1" showInputMessage="1" showErrorMessage="1" sqref="C717 C631 C707 C702 C697 C581 C679 C674 C669 C664 C615 C653 C537 C542 C648 C553 C558 C563 C571 C576 C712 C587 C592 C597 C605 C610 C547 C621 C626 C687 C637 C658" xr:uid="{928E4790-307F-4DA4-BAB1-F0222D7BCAC9}">
      <formula1>$B$1877:$B$1882</formula1>
    </dataValidation>
    <dataValidation type="list" allowBlank="1" showInputMessage="1" showErrorMessage="1" error="You can only select one of the options given. Contact us if we missed an option vital to your case." promptTitle="Choose one" prompt="Select best option" sqref="B717 B631 B707 B702 B697 B581 B679 B674 B669 B664 B615 B653 B537 B542 B648 B553 B558 B563 B571 B576 B712 B587 B592 B597 B605 B610 B547 B621 B626 B687 B637 B658" xr:uid="{1CF5FE66-A754-40B6-8C81-6D21E3F5B82B}">
      <formula1>$B$1871:$B$1874</formula1>
    </dataValidation>
    <dataValidation type="list" allowBlank="1" showInputMessage="1" showErrorMessage="1" sqref="D468 D631 D712 D707 D702 D697 D581 D679 D674 D669 D664 D615 D653 D648 D637 D687 D626 D621 D547 D610 D605 D597 D592 D587 D484 D576 D571 D563 D558 D553 D513 D542 D537 D529 D524 D519 D473 D508 D503 D495 D479 D717 D490 D658" xr:uid="{E59DA95A-A5ED-49DE-962B-D35EE329D43D}">
      <formula1>$B$1885:$B$1892</formula1>
    </dataValidation>
    <dataValidation type="list" allowBlank="1" showInputMessage="1" showErrorMessage="1" sqref="D818:D823" xr:uid="{19898AA6-8BF5-4FD0-8DC3-FFD682367E5F}">
      <formula1>$B$1918:$B$1922</formula1>
    </dataValidation>
    <dataValidation type="list" allowBlank="1" showInputMessage="1" showErrorMessage="1" sqref="D828:D833" xr:uid="{A54A329E-C0C9-4B34-910E-40EF622C6A46}">
      <formula1>$B$1926:$B$1932</formula1>
    </dataValidation>
    <dataValidation type="list" allowBlank="1" showInputMessage="1" showErrorMessage="1" sqref="D738:D744" xr:uid="{036A0300-0FF8-4AA1-A0B2-9F5CEF04DB29}">
      <formula1>$B$1936:$B$1941</formula1>
    </dataValidation>
    <dataValidation type="textLength" errorStyle="warning" operator="lessThanOrEqual" allowBlank="1" showInputMessage="1" showErrorMessage="1" errorTitle="Oops!" error="You've reached the 2000-characters maximum. Try using fewer words." sqref="B871" xr:uid="{159685B7-36E1-43B4-8FED-705A55EF4862}">
      <formula1>2000</formula1>
    </dataValidation>
    <dataValidation type="textLength" operator="lessThanOrEqual" allowBlank="1" showInputMessage="1" showErrorMessage="1" errorTitle="Oops!" error="You've reached the limit of 250 characters. Use fewer words." sqref="B845:D845" xr:uid="{FE995B17-9C55-4CCB-876C-F16572D2C2CB}">
      <formula1>250</formula1>
    </dataValidation>
    <dataValidation type="textLength" errorStyle="warning" operator="lessThanOrEqual" allowBlank="1" showInputMessage="1" showErrorMessage="1" errorTitle="Oops! Too many words." error="Try using fewer words, or fewer characters, to make sure this displays correctly above. Click &quot;No&quot; to edit. Click &quot;Yes&quot; to accept as is. Click &quot;Cancel&quot; to start over." sqref="C849:D858" xr:uid="{BE667269-9E3B-4D9C-9AD8-A7F22706E6FE}">
      <formula1>75</formula1>
    </dataValidation>
    <dataValidation type="list" allowBlank="1" showInputMessage="1" showErrorMessage="1" promptTitle="1 of 21" prompt="sadness" sqref="C926:D926" xr:uid="{586DDB2A-80BE-4312-B1FB-64AE75ECBD7E}">
      <formula1>$C$927:$C$930</formula1>
    </dataValidation>
    <dataValidation type="list" allowBlank="1" showInputMessage="1" showErrorMessage="1" promptTitle="3 of 21" prompt="failures" sqref="C936:D936" xr:uid="{19296D1E-3C95-4F84-84E7-10C77176040A}">
      <formula1>$C$937:$C$940</formula1>
    </dataValidation>
    <dataValidation type="list" allowBlank="1" showInputMessage="1" showErrorMessage="1" promptTitle="21 of 21" prompt="sexual interest" sqref="C1026:D1026" xr:uid="{93EB9DC9-F1B3-47ED-9D69-5F0B65ACDBB9}">
      <formula1>$C$1027:$C$1030</formula1>
    </dataValidation>
    <dataValidation type="list" allowBlank="1" showInputMessage="1" showErrorMessage="1" promptTitle="20 of 21" prompt="worries" sqref="C1021:D1021" xr:uid="{E8261D00-6E2C-4CEB-9D7D-798170E6E386}">
      <formula1>$C$1022:$C$1025</formula1>
    </dataValidation>
    <dataValidation type="list" allowBlank="1" showInputMessage="1" showErrorMessage="1" promptTitle="19 of 21" prompt="weight loss" sqref="C1016:D1016" xr:uid="{CD198805-71B2-4D89-A8EB-CEB0E7DB51F8}">
      <formula1>$C$1017:$C$1020</formula1>
    </dataValidation>
    <dataValidation type="list" allowBlank="1" showInputMessage="1" showErrorMessage="1" promptTitle="18 of 21" prompt="appetite" sqref="C1011:D1011" xr:uid="{73B84D88-D90B-479B-8121-99819D378177}">
      <formula1>$C$1012:$C$1015</formula1>
    </dataValidation>
    <dataValidation type="list" allowBlank="1" showInputMessage="1" showErrorMessage="1" promptTitle="17 of 21" prompt="tiredness" sqref="C1006:D1006" xr:uid="{0B785997-E252-45C2-BA56-841EA3E52A35}">
      <formula1>$C$1007:$C$1010</formula1>
    </dataValidation>
    <dataValidation type="list" allowBlank="1" showInputMessage="1" showErrorMessage="1" promptTitle="16 of 21" prompt="sleep" sqref="C1001:D1001" xr:uid="{AA50F34F-AC9C-4B5E-9FA5-D6252CDD7D57}">
      <formula1>$C$1002:$C$1005</formula1>
    </dataValidation>
    <dataValidation type="list" allowBlank="1" showInputMessage="1" showErrorMessage="1" promptTitle="15 of 21" prompt="effort" sqref="C996:D996" xr:uid="{83AC4B01-C79B-4C5F-A5EB-BD6B6B1CE5AA}">
      <formula1>$C$997:$C$1000</formula1>
    </dataValidation>
    <dataValidation type="list" allowBlank="1" showInputMessage="1" showErrorMessage="1" promptTitle="14 of 21" prompt="self-image" sqref="C991:D991" xr:uid="{F4E91AA7-E10D-46A9-A474-CB3A1B516667}">
      <formula1>$C$992:$C$995</formula1>
    </dataValidation>
    <dataValidation type="list" allowBlank="1" showInputMessage="1" showErrorMessage="1" promptTitle="13 of 21" prompt="decisiveness" sqref="C986:D986" xr:uid="{397666A7-E25D-4BCA-BC2A-38A27C6326B3}">
      <formula1>$C$987:$C$990</formula1>
    </dataValidation>
    <dataValidation type="list" allowBlank="1" showInputMessage="1" showErrorMessage="1" promptTitle="12 of 21" prompt="socializing" sqref="C981:D981" xr:uid="{93550BDD-0758-454A-A3E1-046E72801C64}">
      <formula1>$C$982:$C$985</formula1>
    </dataValidation>
    <dataValidation type="list" allowBlank="1" showInputMessage="1" showErrorMessage="1" promptTitle="11 of 21" prompt="irritability" sqref="C976:D976" xr:uid="{10CB81DD-7497-4DB2-82B0-A4E25C8C8BD0}">
      <formula1>$C$977:$C$980</formula1>
    </dataValidation>
    <dataValidation type="list" allowBlank="1" showInputMessage="1" showErrorMessage="1" promptTitle="10 of 21" prompt="crying" sqref="C971:D971" xr:uid="{47007260-3366-4DDD-A4CC-E38479A34BB8}">
      <formula1>$C$972:$C$975</formula1>
    </dataValidation>
    <dataValidation type="list" allowBlank="1" showInputMessage="1" showErrorMessage="1" promptTitle="9 of 21" prompt="suicidal thoughts" sqref="C966:D966" xr:uid="{D56136A7-F186-4993-99C5-5B84C5A1B759}">
      <formula1>$C$967:$C$970</formula1>
    </dataValidation>
    <dataValidation type="list" allowBlank="1" showInputMessage="1" showErrorMessage="1" promptTitle="8 of 21" prompt="faults" sqref="C961:D961" xr:uid="{E13BBB2C-2BC9-4190-9F84-02CCF36FDDC1}">
      <formula1>$C$962:$C$965</formula1>
    </dataValidation>
    <dataValidation type="list" allowBlank="1" showInputMessage="1" showErrorMessage="1" promptTitle="7 of 21" prompt="self-loath" sqref="C956:D956" xr:uid="{F75F1BF3-6F01-4A8A-936C-7FF2367795FB}">
      <formula1>$C$957:$C$960</formula1>
    </dataValidation>
    <dataValidation type="list" allowBlank="1" showInputMessage="1" showErrorMessage="1" promptTitle="6 of 21" prompt="punished" sqref="C951:D951" xr:uid="{99FCBF19-5A11-47EB-BF01-083FEA4F9E86}">
      <formula1>$C$952:$C$955</formula1>
    </dataValidation>
    <dataValidation type="list" allowBlank="1" showInputMessage="1" showErrorMessage="1" promptTitle="5 of 21" prompt="guilt" sqref="C946:D946" xr:uid="{FCB299AE-1524-49B1-994D-3528F880FD0B}">
      <formula1>$C$947:$C$950</formula1>
    </dataValidation>
    <dataValidation type="list" allowBlank="1" showInputMessage="1" showErrorMessage="1" promptTitle="4 of 21" prompt="satisfaction" sqref="C941:D941" xr:uid="{FF794513-5B56-414E-AE33-3C33DA16F574}">
      <formula1>$C$942:$C$945</formula1>
    </dataValidation>
    <dataValidation type="list" allowBlank="1" showInputMessage="1" showErrorMessage="1" promptTitle="2 of 21" prompt="hope" sqref="C931:D931" xr:uid="{EFA540E6-0452-4CEA-8A04-D73F73C5F0F9}">
      <formula1>$C$932:$C$935</formula1>
    </dataValidation>
    <dataValidation type="list" allowBlank="1" showInputMessage="1" showErrorMessage="1" promptTitle="Choose one" prompt="Select which best fits your current experience." sqref="D889:D909" xr:uid="{6C7B9EEF-DFAE-4DC8-A595-20E07E76A44B}">
      <formula1>$D$911:$D$914</formula1>
    </dataValidation>
    <dataValidation type="list" allowBlank="1" showInputMessage="1" showErrorMessage="1" sqref="B284" xr:uid="{E4A158A9-2257-405C-8CAE-27E8C3E95974}">
      <formula1>$B$2473:$B$2482</formula1>
    </dataValidation>
    <dataValidation type="list" allowBlank="1" showInputMessage="1" showErrorMessage="1" sqref="D193" xr:uid="{94A44047-D40F-4726-A878-D2930C54BC96}">
      <formula1>$D$2473:$D$2478</formula1>
    </dataValidation>
    <dataValidation type="list" allowBlank="1" showInputMessage="1" showErrorMessage="1" sqref="D189" xr:uid="{31784D42-5B3E-4C57-8B7F-0B95B3177D7B}">
      <formula1>$B$1848:$B$1849</formula1>
    </dataValidation>
    <dataValidation type="list" allowBlank="1" showInputMessage="1" showErrorMessage="1" sqref="D187" xr:uid="{3E90D4B7-03FA-4C0A-A9CE-C95AF40D1143}">
      <formula1>$B$1845:$B$1847</formula1>
    </dataValidation>
    <dataValidation type="list" allowBlank="1" showInputMessage="1" showErrorMessage="1" sqref="D191" xr:uid="{E0797AD9-2AC8-4ECB-8D4F-05960C9C6A9D}">
      <formula1>$D$1845:$D$1850</formula1>
    </dataValidation>
    <dataValidation type="list" allowBlank="1" showInputMessage="1" showErrorMessage="1" sqref="B276:D276" xr:uid="{2AAB81D2-D2F9-472E-A025-4F0A85578832}">
      <formula1>$B$1853:$B$1856</formula1>
    </dataValidation>
    <dataValidation type="list" allowBlank="1" showInputMessage="1" showErrorMessage="1" sqref="D279" xr:uid="{EF651A68-0A16-4507-9633-103229EEFB38}">
      <formula1>$B$1859:$B$1863</formula1>
    </dataValidation>
    <dataValidation type="list" allowBlank="1" showInputMessage="1" showErrorMessage="1" sqref="D270" xr:uid="{C8B76BC3-9EB6-4709-A475-1CD30087F3AD}">
      <formula1>$B$1988:$B$1991</formula1>
    </dataValidation>
    <dataValidation type="list" allowBlank="1" showInputMessage="1" showErrorMessage="1" sqref="D199" xr:uid="{8267B354-F0E9-4DAA-9F0C-249F0CA05072}">
      <formula1>$AM$194:$AM$199</formula1>
    </dataValidation>
    <dataValidation type="list" allowBlank="1" showInputMessage="1" showErrorMessage="1" sqref="D267" xr:uid="{9281C6A6-C161-4862-90FE-8D05B523D9E6}">
      <formula1>$D$2017:$D$2024</formula1>
    </dataValidation>
    <dataValidation type="list" allowBlank="1" showInputMessage="1" showErrorMessage="1" sqref="B797:B808" xr:uid="{E50D57D8-19E0-4C55-9E6C-8E2C16C1AD30}">
      <formula1>$C$1995:$C$1998</formula1>
    </dataValidation>
    <dataValidation type="list" allowBlank="1" showInputMessage="1" showErrorMessage="1" sqref="D797:D808" xr:uid="{A55379F3-B551-4018-9954-04511CAB6ED5}">
      <formula1>$C$2002:$C$2009</formula1>
    </dataValidation>
    <dataValidation type="list" allowBlank="1" showInputMessage="1" showErrorMessage="1" errorTitle="Oops!" error="Select only from the pulldown list." promptTitle="Custody status" prompt="Select item from list that best characterizes claimant's current custody status." sqref="D257" xr:uid="{A4FF6AEA-D3AA-4320-92B3-B95667D00589}">
      <formula1>$C$2017:$C$2038</formula1>
    </dataValidation>
    <dataValidation type="textLength" errorStyle="information" operator="lessThanOrEqual" allowBlank="1" showInputMessage="1" showErrorMessage="1" errorTitle="Before you go..." error="Make sure email is spelled correctly. It's up to you to provide a working email address." sqref="C1487:D1487 C1537:D1537 C1507:D1507 C1517:D1517 C1527:D1527 C1497:D1497" xr:uid="{5305090D-AEDE-437D-8EC6-0C43DECCC892}">
      <formula1>60</formula1>
    </dataValidation>
    <dataValidation type="textLength" errorStyle="information" operator="lessThanOrEqual" allowBlank="1" showInputMessage="1" showErrorMessage="1" errorTitle="Before you go..." error="Make sure this city is spelled correctly" prompt="Street address" sqref="C1488 C1538 C1508 C1518 C1528 C1498" xr:uid="{E2EF0CF5-5D0B-43FD-BC48-9BC23231C0D1}">
      <formula1>60</formula1>
    </dataValidation>
    <dataValidation type="textLength" errorStyle="information" operator="lessThanOrEqual" allowBlank="1" showInputMessage="1" showErrorMessage="1" prompt="Suite or apt" sqref="D1488 D1538 D1508 D1518 D1528 D1498" xr:uid="{EBEA464E-E816-4667-9E56-2EF09CBE41D4}">
      <formula1>20</formula1>
    </dataValidation>
    <dataValidation type="textLength" errorStyle="information" operator="lessThanOrEqual" allowBlank="1" showInputMessage="1" showErrorMessage="1" errorTitle="Before you go..." error="Make sure email is spelled correctly. It's up to you to provide a working email address." prompt="City" sqref="C1489 C1499 C1509 C1519 C1529 C1539" xr:uid="{D2C26A32-5074-4C0B-A5DC-44142FC7FE7B}">
      <formula1>35</formula1>
    </dataValidation>
    <dataValidation type="list" operator="lessThanOrEqual" allowBlank="1" showInputMessage="1" showErrorMessage="1" error="Pick from list in dropdown menu" prompt="State" sqref="D1489 D1509 D1499 D1519 D1539 D1529" xr:uid="{6464A40C-98EE-47E4-876E-F14A1B6CE3FC}">
      <formula1>$B$2167:$B$2218</formula1>
    </dataValidation>
    <dataValidation type="textLength" errorStyle="information" allowBlank="1" showInputMessage="1" showErrorMessage="1" error="Use either 5-digit or full zip code" prompt="Zip code" sqref="B1489 B1499 B1509 B1519 B1529 B1539" xr:uid="{350A4DE0-957C-4C9E-B9F3-FC2C54C4924E}">
      <formula1>5</formula1>
      <formula2>10</formula2>
    </dataValidation>
    <dataValidation type="list" errorStyle="information" allowBlank="1" showInputMessage="1" showErrorMessage="1" errorTitle="Select recipient type to notify" promptTitle="Change to recipient type: " prompt="Employer_x000a_Housing_x000a_Debt collector" sqref="B1491 B1481 B1501 B1521 B1511 B1531" xr:uid="{226D5F2A-9D33-45EA-A6A4-A295B9F6FC05}">
      <formula1>$BB$1483:$BB$1485</formula1>
    </dataValidation>
    <dataValidation allowBlank="1" showInputMessage="1" showErrorMessage="1" prompt="Click on link" sqref="C1483:D1483 C1493:D1493 C1503:D1503 C1513:D1513 C1523:D1523 C1533:D1533" xr:uid="{21380C6A-01AF-4E82-B6FE-CFBEBA3897B9}"/>
    <dataValidation type="list" errorStyle="information" allowBlank="1" showInputMessage="1" showErrorMessage="1" prompt="Select option that best fits your need" sqref="C1482:D1482 C1532:D1532 C1522:D1522 C1512:D1512 C1502:D1502 C1492:D1492" xr:uid="{9DAF98A4-EC82-498C-9329-B1EADAF56F8C}">
      <formula1>$CI$1483:$CI$1485</formula1>
    </dataValidation>
    <dataValidation type="list" allowBlank="1" showInputMessage="1" showErrorMessage="1" sqref="B445 B457 B447" xr:uid="{82A27354-7F4C-4E6A-B540-E737D49F9391}">
      <formula1>$AK$457:$AK$459</formula1>
    </dataValidation>
    <dataValidation type="list" allowBlank="1" showInputMessage="1" showErrorMessage="1" sqref="C1207 C1437 C1427 C1417 C1407 C1397 C1387 C1377 C1327 C1317 C1307 C1297 C1287 C1277 C1267 C1257 C1247 C1237 C1227 C1217 C1367 C1357 C1347 C1337" xr:uid="{A9E3B73B-266A-4E67-A9B6-327B207F5B66}">
      <formula1>$B$2043:$B$2048</formula1>
    </dataValidation>
    <dataValidation errorStyle="information" allowBlank="1" showInputMessage="1" showErrorMessage="1" error="Make sure you provide a working email address, or we may not be able to include this one." sqref="C1202 C1212 C1222 C1232 C1242 C1252 C1262 C1272 C1282 C1292 C1302 C1312 C1322 C1332 C1342 C1352 C1362 C1372 C1382 C1392 C1402 C1412 C1422 C1432" xr:uid="{35F356FE-B2FF-4B94-A4DB-3EEE9EE0D41A}"/>
    <dataValidation type="date" errorStyle="warning" operator="lessThanOrEqual" allowBlank="1" showInputMessage="1" showErrorMessage="1" error="Use format: YEAR-MONTH-DAY" sqref="C1205:D1205 C1215:D1215 C1225:D1225 C1235:D1235 C1245:D1245 C1255:D1255 C1265:D1265 C1275:D1275 C1285:D1285 C1295:D1295 C1305:D1305 C1315:D1315 C1325:D1325 C1335:D1335 C1345:D1345 C1355:D1355 C1365:D1365 C1375:D1375 C1385:D1385 C1395:D1395 C1405:D1405 C1415:D1415 C1425:D1425 C1435:D1435" xr:uid="{ECF2B681-D23B-431C-88CF-5886022F3636}">
      <formula1>$AI$1199</formula1>
    </dataValidation>
    <dataValidation allowBlank="1" showInputMessage="1" showErrorMessage="1" sqref="D1212 D1222 D1232 D1242 D1252 D1262 D1272 D1282 D1292 D1302 D1312 D1322 D1332 D1342 D1352 D1362 D1372 D1382 D1392 D1402 D1412 D1422 D1432" xr:uid="{065F39D1-4FEE-4FFB-B67E-7C155BB0D1DA}"/>
    <dataValidation type="list" errorStyle="warning" allowBlank="1" showInputMessage="1" showErrorMessage="1" sqref="D1206 D1436 D1406 D1416 D1426 D1376 D1386 D1396 D1336 D1346 D1356 D1366 D1296 D1306 D1316 D1326 D1256 D1266 D1276 D1286 D1216 D1226 D1236 D1246" xr:uid="{C86328C2-5A22-4CAC-8232-867E4F3FFB03}">
      <formula1>$BM$1201:$BM$1205</formula1>
    </dataValidation>
    <dataValidation type="list" errorStyle="warning" allowBlank="1" showInputMessage="1" showErrorMessage="1" sqref="C1206 C1436 C1406 C1416 C1426 C1376 C1386 C1396 C1336 C1346 C1356 C1366 C1296 C1306 C1316 C1326 C1256 C1266 C1276 C1286 C1216 C1226 C1236 C1246" xr:uid="{A49F8717-C397-48FA-AFE1-F57401D853FD}">
      <formula1>$BN$1201:$BN$1205</formula1>
    </dataValidation>
    <dataValidation type="list" errorStyle="warning" allowBlank="1" showInputMessage="1" showErrorMessage="1" error="Choose one of these four options, unless you've got one better." sqref="D1203 D1213 D1423 D1413 D1403 D1393 D1383 D1373 D1363 D1353 D1343 D1333 D1323 D1313 D1303 D1293 D1283 D1273 D1263 D1253 D1243 D1233 D1223 D1433" xr:uid="{50EDA0A3-E004-4338-987F-64198F3E1C26}">
      <formula1>$BQ$1206:$BQ$1209</formula1>
    </dataValidation>
    <dataValidation type="list" errorStyle="warning" allowBlank="1" showInputMessage="1" showErrorMessage="1" sqref="D748" xr:uid="{AE5DE966-A9C0-4FB5-A5CB-3E73A92CBF39}">
      <formula1>$AD$749:$AD$754</formula1>
    </dataValidation>
    <dataValidation type="list" errorStyle="warning" allowBlank="1" showInputMessage="1" showErrorMessage="1" sqref="D749" xr:uid="{6D69ECEF-761A-4098-94F4-29F9858B96EB}">
      <formula1>$AF$749:$AF$754</formula1>
    </dataValidation>
    <dataValidation type="list" errorStyle="warning" allowBlank="1" showInputMessage="1" showErrorMessage="1" sqref="D750" xr:uid="{1C4B55EE-B364-4A8A-BB42-9D654A1E6AC7}">
      <formula1>$AH$749:$AH$753</formula1>
    </dataValidation>
    <dataValidation type="list" errorStyle="warning" allowBlank="1" showInputMessage="1" showErrorMessage="1" sqref="D751" xr:uid="{0145C249-B1E9-4F75-9B8D-D403EAA34B2A}">
      <formula1>$AJ$749:$AJ$753</formula1>
    </dataValidation>
    <dataValidation type="list" errorStyle="warning" allowBlank="1" showInputMessage="1" showErrorMessage="1" sqref="D752" xr:uid="{DB72E4C0-9DE8-46E1-9521-CCE623DC4582}">
      <formula1>$AL$749:$AL$753</formula1>
    </dataValidation>
    <dataValidation type="list" errorStyle="warning" allowBlank="1" showInputMessage="1" showErrorMessage="1" sqref="D753" xr:uid="{61982C8B-D106-4E32-B2F0-C52B8A328895}">
      <formula1>$AN$749:$AN$753</formula1>
    </dataValidation>
    <dataValidation type="list" errorStyle="warning" allowBlank="1" showInputMessage="1" showErrorMessage="1" sqref="D754" xr:uid="{7A162ED8-EFAC-4671-9D02-639FB4FE557F}">
      <formula1>$AP$749:$AP$753</formula1>
    </dataValidation>
    <dataValidation type="list" errorStyle="warning" allowBlank="1" showInputMessage="1" showErrorMessage="1" sqref="D755" xr:uid="{F2D87A2C-7866-4AD5-A754-2D5B28078700}">
      <formula1>$AR$749:$AR$753</formula1>
    </dataValidation>
    <dataValidation type="list" errorStyle="warning" allowBlank="1" showInputMessage="1" showErrorMessage="1" sqref="D1065" xr:uid="{4DA6A868-66A6-4113-A485-E275E6D2B9F9}">
      <formula1>$B$2242:$B$2293</formula1>
    </dataValidation>
  </dataValidations>
  <hyperlinks>
    <hyperlink ref="B464" r:id="rId1" xr:uid="{2917C462-C2CB-4AF3-8DCD-1B2D0616F58B}"/>
    <hyperlink ref="A532" r:id="rId2" xr:uid="{251E32A5-4A01-4244-B4F9-FE7EF3AC9A62}"/>
    <hyperlink ref="B843" location="input!B12" display="Claim Synopsis" xr:uid="{2CDF567B-60D4-477B-B439-4A395134280D}"/>
    <hyperlink ref="A108" location="'EIF-Steph'!A149:F295" tooltip="&gt;&gt; click to go to section A &lt;&lt;" display="A" xr:uid="{FF595B56-D411-48E2-9666-366C64686DCF}"/>
    <hyperlink ref="A110" location="'EIF-Steph'!A296:F461" tooltip="&gt;&gt; click to go to section B &lt;&lt;" display="B" xr:uid="{C055B7DA-5503-4786-9ACB-83DB9FDA4602}"/>
    <hyperlink ref="A130" location="'EIF-Steph'!A762:F838" tooltip="&gt;&gt; click to go to section E &lt;&lt;" display="E." xr:uid="{9B7C9BE2-2A3F-4162-A35D-0BFD8F1546CF}"/>
    <hyperlink ref="A462" location="'EIF-Steph'!A112" tooltip="Contents menu" display="C.1" xr:uid="{4CFDDDA5-B0CA-4BB1-AABB-275727003004}"/>
    <hyperlink ref="A497" location="'EIF-Steph'!A114" tooltip="Contents menu" display="C.2" xr:uid="{D6EBFE03-1A40-4B45-8E0B-500658F97199}"/>
    <hyperlink ref="A531" location="'EIF-Steph'!A116" tooltip="Contents menu" display="C.3" xr:uid="{58182FFA-2567-4299-9EED-C6810A1AE625}"/>
    <hyperlink ref="A599" location="'EIF-Steph'!A120" tooltip="Contents menu" display="C.5" xr:uid="{CC3227AD-BADF-4B45-967C-C4AA7F634663}"/>
    <hyperlink ref="A642" location="'EIF-Steph'!A122" tooltip="Contents menu" display="C.6" xr:uid="{F9A60BDA-46BD-4DC3-A00B-400C4D3A54F8}"/>
    <hyperlink ref="A681" location="'EIF-Steph'!A124" tooltip="Contents menu" display="C.7" xr:uid="{0EF79932-7AA7-4850-92A5-9312FB891552}"/>
    <hyperlink ref="A691" location="'EIF-Steph'!A126" tooltip="Contents menu" display="C.8" xr:uid="{6F48E640-77DD-4568-A0A4-E606B9013D79}"/>
    <hyperlink ref="A719" location="'EIF-Steph'!A128" tooltip="Contents menu" display="D." xr:uid="{672F7B11-14DC-4A43-97F5-B2A43AFF54C5}"/>
    <hyperlink ref="A762" location="'EIF-Steph'!A130" tooltip="Contents menu" display="E." xr:uid="{A2056C36-1D4E-4DBE-8329-5297561024FD}"/>
    <hyperlink ref="A839" location="'EIF-Steph'!A132" tooltip="Contents menu" display="F." xr:uid="{2F66FD6B-88A0-4814-802F-C910B03B9A9F}"/>
    <hyperlink ref="AD2241" r:id="rId3" xr:uid="{D050C54E-17B3-4EFD-8643-D4A29579A884}"/>
    <hyperlink ref="AB2264" r:id="rId4" xr:uid="{246980D0-274E-42EA-902E-4D3DE89A1523}"/>
    <hyperlink ref="B767" r:id="rId5" xr:uid="{6BC90FF5-B6CE-4651-A4F0-BD32D20FB47A}"/>
    <hyperlink ref="A296" location="'EIF-Steph'!A110" tooltip="Contents menu" display="B." xr:uid="{5F96B761-BB4D-496F-BB85-6017B7274A6F}"/>
    <hyperlink ref="B441" r:id="rId6" xr:uid="{C441CFAF-8EA0-41B5-8F9A-BFD1862938FA}"/>
    <hyperlink ref="B408" r:id="rId7" xr:uid="{ECC91D35-5025-4497-AA80-A02D8D9355B4}"/>
    <hyperlink ref="C2369" r:id="rId8" display="https://www.sao4th.com/about/programs-and-initiatives/community-engagement/" xr:uid="{FB37B920-4FBC-4722-BF2A-E52686855EFE}"/>
    <hyperlink ref="C2370" r:id="rId9" display="https://www.sao4th.com/about/programs-and-initiatives/community-prosecution/" xr:uid="{6D60E62D-2BC2-4142-B9D1-86A5D5CB0E23}"/>
    <hyperlink ref="C2371" r:id="rId10" display="https://www.sao4th.com/about/programs-and-initiatives/diversion/" xr:uid="{BC265B01-B8E3-4D25-A44F-2D5D19287252}"/>
    <hyperlink ref="C2372" r:id="rId11" display="https://www.sao4th.com/about/programs-and-initiatives/human-rights-division/" xr:uid="{11212603-779C-420F-BD16-000543E6907A}"/>
    <hyperlink ref="C2373" r:id="rId12" display="https://www.sao4th.com/about/programs-and-initiatives/juvenile-justice/" xr:uid="{F0A0CF8F-6804-4C33-BAFE-48CFB796B1D4}"/>
    <hyperlink ref="C2374" r:id="rId13" display="https://www.sao4th.com/about/programs-and-initiatives/mental-health/" xr:uid="{2FD3805B-C06B-4054-B835-3894CC81EBB5}"/>
    <hyperlink ref="C2375" r:id="rId14" display="https://www.sao4th.com/about/programs-and-initiatives/public-corruption/" xr:uid="{E5F4D97A-F978-4519-A73A-AC92FE693CBC}"/>
    <hyperlink ref="C2376" r:id="rId15" display="https://www.sao4th.com/about/programs-and-initiatives/restitution/" xr:uid="{DFDE4A48-39FC-45B5-BD2E-F8AF39FE97B3}"/>
    <hyperlink ref="C2377" r:id="rId16" display="https://www.sao4th.com/about/programs-and-initiatives/restorative-justice/" xr:uid="{D96CBE28-3916-4300-B67C-F1A88769208C}"/>
    <hyperlink ref="C2378" r:id="rId17" display="https://www.sao4th.com/about/programs-and-initiatives/violent-crime/" xr:uid="{48DEDBD8-8E4D-49BA-B894-1037727B2F7F}"/>
    <hyperlink ref="BB1" location="input!A1360" display="input!A1360" xr:uid="{E253DC42-D9D7-4469-8EF7-4EED6335CC41}"/>
    <hyperlink ref="B1055" r:id="rId18" xr:uid="{D6C5049B-C0D0-412F-88FD-A69A97BF2064}"/>
    <hyperlink ref="A114" location="'EIF-Steph'!A497:F530" tooltip="&gt;&gt; click to go to section C.2 &lt;&lt;" display="C.2" xr:uid="{8E19076D-1F2A-4CCB-A5BB-8FFE04D61B6B}"/>
    <hyperlink ref="A116" location="'EIF-Steph'!A531:F564" tooltip="&gt;&gt; click to go to section C.3 &lt;&lt;" display="C.3" xr:uid="{FCCF2FC0-0CD8-46DF-88E3-EEB34C4E0D70}"/>
    <hyperlink ref="A118" location="'EIF-Steph'!A565:F598" tooltip="&gt;&gt; click to go section C.4 &lt;&lt;" display="C.4" xr:uid="{112B61EC-3BC9-47BD-BD40-6141670B9C50}"/>
    <hyperlink ref="A120" location="'EIF-Steph'!A599:F641" tooltip="&gt;&gt; click to go to section C.5 &lt;&lt;" display="C.5" xr:uid="{A4F0A806-2B69-463A-81E6-DF3734D403C9}"/>
    <hyperlink ref="A122" location="'EIF-Steph'!A642:F680" tooltip="&gt;&gt; click to go to section C.6 &lt;&lt;" display="C.6" xr:uid="{7AA1C36B-0C02-480E-849B-1CF8B0F293A5}"/>
    <hyperlink ref="A124" location="'EIF-Steph'!A681:F690" tooltip="&gt;&gt; click to go to section C.7 &lt;&lt;" display="C.7" xr:uid="{E6F6A438-3939-4C83-8019-6ADA2A3DD031}"/>
    <hyperlink ref="A126" location="'EIF-Steph'!A691:F718" tooltip="&gt;&gt; click to go to section C.8 &lt;&lt;" display="C.8" xr:uid="{C9881233-A57B-4A1B-9F3E-F4161B52883C}"/>
    <hyperlink ref="A128" location="'EIF-Steph'!A719:F761" tooltip="&gt;&gt; click to go to section D &lt;&lt;" display="D." xr:uid="{91A8EC42-68CA-4DF9-B811-D70DC772DBCD}"/>
    <hyperlink ref="A132" location="'EIF-Steph'!A839:F881" tooltip="&gt;&gt; click to go to section F &lt;&lt;" display="F." xr:uid="{1151594D-7195-4117-A3B2-2F8EF0EDD01B}"/>
    <hyperlink ref="A149" location="'EIF-Steph'!A108" tooltip="Contents menu above" display="A." xr:uid="{1FACD464-161A-41F8-8E3C-AB4B05835247}"/>
    <hyperlink ref="A1062" location="'EIF-Steph'!A134" tooltip="Contents menu" display="G." xr:uid="{EDE20248-EB73-4936-8B16-94BCD57ECE25}"/>
    <hyperlink ref="A1196" location="input!A140" tooltip="Contents menu" display="J." xr:uid="{B9ECA855-55D0-417C-BE83-CB90DA2707B7}"/>
    <hyperlink ref="A1550" location="input!A144" tooltip="Contents menu" display="L." xr:uid="{3398C979-6C0D-4183-BDE2-2D0066DD16EE}"/>
    <hyperlink ref="AR781" location="input!W214" display="GO" xr:uid="{B3629111-D8B1-4566-83F3-D70D740FF177}"/>
    <hyperlink ref="AZ257" location="input!Z725" display="Z725" xr:uid="{2B9EDF00-AB25-4499-9BA8-94564F2C741A}"/>
    <hyperlink ref="B272:C272" location="input!A1030:F1072" display="If exonerated, expect to seek compensation?" xr:uid="{4172677E-F57B-4463-B2C8-7761D346A56A}"/>
    <hyperlink ref="B278:C278" location="input!B595" display="Asked an Innocence Project for help or something like it?" xr:uid="{5D357F76-A519-40ED-B789-7C8CDDEFACD2}"/>
    <hyperlink ref="A882" location="input!A134" tooltip="Contents menu" display="G." xr:uid="{EA00302A-3487-411E-8533-B4DCF5E228C7}"/>
    <hyperlink ref="C1493" location="'AI01'!A1" display="'AI01'!A1" xr:uid="{9182A671-71F7-43C8-ADFD-398C4E307A23}"/>
    <hyperlink ref="C1493:D1493" location="'N2'!A1" tooltip="&gt;&gt; click to go to N2 notification &lt;&lt;" display="'N2'!A1" xr:uid="{D933BE54-852F-446E-A831-64AF887DBB17}"/>
    <hyperlink ref="C1513" location="'AI01'!A1" display="'AI01'!A1" xr:uid="{1010FF22-126C-46B8-AA11-705AFC22D611}"/>
    <hyperlink ref="C1513:D1513" location="'N4'!A1" tooltip="&gt;&gt; click to go to N4 notification &lt;&lt;" display="'N4'!A1" xr:uid="{FD8A2B01-F174-433A-B766-31638F50AD14}"/>
    <hyperlink ref="C1523" location="'AI01'!A1" display="'AI01'!A1" xr:uid="{ADF0BF90-BB9C-4129-85B5-B2A5F958F627}"/>
    <hyperlink ref="C1523:D1523" location="'N5'!A1" tooltip="&gt;&gt; click to go to N5 notification &lt;&lt;" display="'N5'!A1" xr:uid="{88870308-9EA0-400F-B37B-C44E2053BF6C}"/>
    <hyperlink ref="C1533" location="'AI01'!A1" display="'AI01'!A1" xr:uid="{4B1A758F-00F0-4800-BFF3-8372595D2872}"/>
    <hyperlink ref="C1533:D1533" location="'N6'!A1" tooltip="&gt;&gt; click to go to N6 notification &lt;&lt;" display="'N6'!A1" xr:uid="{7F2D9390-722D-4CE7-B7E7-E6B4AD82884A}"/>
    <hyperlink ref="A1201:B1201" location="'S01'!C4" display="'S01'!C4" xr:uid="{CAB8BBAB-455C-4FD9-9DB5-7F1E054D26AB}"/>
    <hyperlink ref="C1483:D1483" location="'N1'!A1:J1" tooltip="&gt;&gt; go to N1 notification &lt;&lt;" display="'N1'!A1:J1" xr:uid="{EF54B459-610B-4006-A723-AE2344DD7AC1}"/>
    <hyperlink ref="B1201" location="'S01'!A1:F1" tooltip="CLICK to go to Supporter 1 tab" display="Supporter 01:" xr:uid="{E5AB0E8E-4073-4D0A-AD6D-C4A01A17DFD2}"/>
    <hyperlink ref="C1110" location="'AI01'!A1:J1" tooltip="click to go to AI01 tab, first place for receiving your notification of estimated innocence" display="(AI01 and so forth) and review the information. " xr:uid="{81905A50-7371-47D8-932A-C0921B678C81}"/>
    <hyperlink ref="C1503" location="'AI01'!A1" display="'AI01'!A1" xr:uid="{7744D493-9F2B-4000-BD32-9E56C52F9978}"/>
    <hyperlink ref="C1503:D1503" location="'N3'!A1" tooltip="&gt;&gt; click to go to N3 notification &lt;&lt;" display="'N3'!A1" xr:uid="{69E21394-DBAC-44D5-A94D-D62D63812A5F}"/>
    <hyperlink ref="A1104" location="input!A138" tooltip="Contents menu" display="I. " xr:uid="{9974EAED-811D-4830-8E62-FE4BC75AE044}"/>
    <hyperlink ref="B149:E149" location="input!A1" tooltip="back to top" display="Case Information" xr:uid="{35F62011-AADD-46A5-ADD2-03B09C5A8997}"/>
    <hyperlink ref="B296:E296" location="input!A1" tooltip="back to top" display="Documentation for verification" xr:uid="{FC349FFD-F1C7-4978-87F7-AE92657D5F23}"/>
    <hyperlink ref="B462:E462" location="input!A1" tooltip="back to top" display="Common Factors in Wrongful Convictions" xr:uid="{B0046815-23E2-4AB2-8AF8-486F0513EB12}"/>
    <hyperlink ref="B497:E497" location="input!A1" tooltip="back to top" display="Evidentiary Factors" xr:uid="{C7F2C027-614D-4CB0-879E-C99CA5B1231B}"/>
    <hyperlink ref="B531:E531" location="input!A1" tooltip="back to top" display="Investigative Factors" xr:uid="{C637AB15-B578-4C81-98BB-031F0E42A203}"/>
    <hyperlink ref="B565:E565" location="input!A1" tooltip="back to top" display="Complicating Factors" xr:uid="{A0F94EA1-9276-4414-B17B-3CA69B0EC249}"/>
    <hyperlink ref="B599:E599" location="input!A1" tooltip="back to top" display="Claimant’s demonstratable innocence" xr:uid="{813B4F84-28E4-46D3-8EF3-179D5F28C37A}"/>
    <hyperlink ref="B642:E642" location="input!A1" tooltip="back to top" display="Claimant’s innocence recognized by others" xr:uid="{E075DB9F-F4EA-4ECC-A1F5-61D4C4951931}"/>
    <hyperlink ref="B681:E681" location="input!A1" tooltip="back to top" display="Other" xr:uid="{C1DD642D-D101-4C05-B3A5-BF606F7F096D}"/>
    <hyperlink ref="B691:E691" location="input!A1" tooltip="back to top" display="Process" xr:uid="{18E218D9-E6EA-42CC-BAD6-50AC7E7D64B2}"/>
    <hyperlink ref="A565" location="'EIF-Steph'!A118" tooltip="Contents menu" display="C.4" xr:uid="{B0ED5D06-8E4E-44BD-A617-96E251B5C048}"/>
    <hyperlink ref="B719:E719" location="input!A1" tooltip="back to top" display="Requests and responses for exoneration help" xr:uid="{FE87817D-05A2-4019-BBC5-AA26B24A51EC}"/>
    <hyperlink ref="B762:E762" location="input!A1" tooltip="back to top" display="Collateral consequences of conviction" xr:uid="{85586C2F-3746-46F8-AA94-26FDFCAE5A33}"/>
    <hyperlink ref="B839:E839" location="input!A1" tooltip="back to top" display="Claimant narrative" xr:uid="{3148211D-A4DD-4FA7-B5E6-BADE193D2AAF}"/>
    <hyperlink ref="B882:E882" location="input!A1" tooltip="back to top" display="Dynamic Relating" xr:uid="{4A996C21-D442-4981-8CC4-389BD71BAE8E}"/>
    <hyperlink ref="B1062:E1062" location="input!A1" tooltip="back to top" display="Compensation" xr:uid="{623BB46C-7F5A-4BD1-A1CC-2C22C88FACA4}"/>
    <hyperlink ref="B1104:E1104" location="input!A1" tooltip="back to top" display="Options" xr:uid="{694E06DB-F27A-47FB-B3E3-CB1880B100CF}"/>
    <hyperlink ref="B1196:E1196" location="input!A1" tooltip="back to top" display="Supporter(s)" xr:uid="{78085DEB-35AA-4841-8689-922DE270C5DB}"/>
    <hyperlink ref="B1476:E1476" location="input!A1" tooltip="back to top" display="Notifying" xr:uid="{1FC873BD-D28C-4423-A304-39B7E13B58FD}"/>
    <hyperlink ref="B1550:E1550" location="input!A1" tooltip="back to top" display="Independent Verifier(s)" xr:uid="{30EEF3A8-C648-4BB5-A41F-0D441414C775}"/>
    <hyperlink ref="B1597:E1597" location="input!A1" tooltip="back to top" display="Next" xr:uid="{E6A2648F-D118-4FCD-89DC-6A40430FDC94}"/>
    <hyperlink ref="B1211" location="'S02'!A1:F1" tooltip="CLICK to go to Supporter 2 tab" display="Supporter 02" xr:uid="{99003AB2-0CD3-4FC8-825A-215C36EB1CBA}"/>
    <hyperlink ref="B1221" location="'S03'!A1:F1" tooltip="CLICK to go to Supporter 3 tab" display="Supporter 03" xr:uid="{18CC36E6-5D34-445C-9AC2-9EE64F790EFA}"/>
    <hyperlink ref="B1231" location="'S04'!A1:F1" tooltip="CLICK to go to Supporter 4 tab" display="Supporter 04" xr:uid="{78497674-182E-4A3B-8A1D-29E8D468A838}"/>
    <hyperlink ref="B1241" location="'N5'!A1:F1" tooltip="CLICK to go to Supporter 5 tab" display="Supporter 05" xr:uid="{CB36BB03-4559-4FC5-9DC1-3E64E702DFA6}"/>
    <hyperlink ref="B1251" location="'S06'!A1:F1" tooltip="CLICK to go to Supporter 6 tab" display="Supporter 06" xr:uid="{FEA45AA4-0774-4429-B1BE-88345743CABE}"/>
    <hyperlink ref="B1261" location="'S07'!A1:F1" tooltip="CLICK to go to Supporter 7 tab" display="Supporter 07" xr:uid="{3614E4BD-FFD6-49D8-8FFE-8BA42E701CAF}"/>
    <hyperlink ref="B1271" location="'S08'!A1:F1" tooltip="CLICK to go to Supporter 8 tab" display="Supporter 08" xr:uid="{684B5130-A640-467B-A3B9-7F650F4E9E41}"/>
    <hyperlink ref="B1281" location="'S09'!A1:F1" tooltip="CLICK to go to Supporter 9 tab" display="Supporter 09" xr:uid="{9E1D84A9-C142-4533-AFFF-FAD379E84D3C}"/>
    <hyperlink ref="B1291" location="'S10'!A1:F1" tooltip="CLICK to go to Supporter 10 tab" display="Supporter 10" xr:uid="{3A0BE4CD-C447-47E7-9E81-6D8E2BE14CB0}"/>
    <hyperlink ref="B1301" location="'S11'!A1:F1" tooltip="CLICK to go to Supporter 11 tab" display="Supporter 11" xr:uid="{A032109B-E278-441A-A441-86F2A147DCF9}"/>
    <hyperlink ref="B1311" location="'S12'!A1:F1" tooltip="CLICK to go to Supporter 12 tab" display="Supporter 12" xr:uid="{0A2494B1-614B-414A-AA13-6BE34FC5872F}"/>
    <hyperlink ref="B1321" location="'S13'!A1:F1" tooltip="CLICK to go to Supporter 13 tab" display="Supporter 13" xr:uid="{922090EC-DF09-4E37-87F2-1CA2FF7725E9}"/>
    <hyperlink ref="B1331" location="'S14'!A1:F1" tooltip="CLICK to go to Supporter 14 tab" display="Supporter 14" xr:uid="{EAB146E3-6AB4-49C6-972A-E8A989962BF1}"/>
    <hyperlink ref="B301" r:id="rId19" xr:uid="{8EFBD548-C4E8-44C1-B266-2741BA455D99}"/>
    <hyperlink ref="B311" r:id="rId20" xr:uid="{3EBF9803-100C-41A3-9B80-FEB005371CB8}"/>
    <hyperlink ref="B321" r:id="rId21" xr:uid="{AC71532E-0B89-4604-8F1A-197096828210}"/>
    <hyperlink ref="B351" r:id="rId22" xr:uid="{5028D244-F960-4C1E-A904-4D67AEBEA471}"/>
    <hyperlink ref="B361" r:id="rId23" xr:uid="{DB8B7E64-D29A-49D5-86B7-0FE9EA6EB009}"/>
    <hyperlink ref="B371" r:id="rId24" xr:uid="{ED7AF666-95C7-4A7F-8300-90C2C13F7048}"/>
    <hyperlink ref="B341" r:id="rId25" xr:uid="{9BD8F5A5-0886-472E-AE33-9630A6C2A4ED}"/>
    <hyperlink ref="B538" r:id="rId26" tooltip="Wikipedia entry" xr:uid="{81B86152-9356-4B47-B868-AA2F5E44D633}"/>
    <hyperlink ref="B533" r:id="rId27" tooltip="Government website info on tunnel vision" xr:uid="{681D1639-DF8F-4658-AC14-DE969BC865A5}"/>
    <hyperlink ref="B2221" r:id="rId28" display="http://www.wrongfulconvictionlawyers.com/state-statutes/" xr:uid="{F02A583E-CD70-41FC-8DD9-951AFDF77CA0}"/>
    <hyperlink ref="AB2256" r:id="rId29" xr:uid="{63EAA7E4-609C-4228-BA74-F796C20EE2F9}"/>
    <hyperlink ref="AB2258" r:id="rId30" xr:uid="{BE0E9A33-3F71-4EF9-A538-47B6D155AC6D}"/>
    <hyperlink ref="AB2293" r:id="rId31" xr:uid="{6B0B7DBD-C488-46FD-9D1D-3FA2F798F326}"/>
    <hyperlink ref="B1608" r:id="rId32" tooltip="Hoffman, Morris B. (2007). The Myth of Factual Innocence. 82 Chi.-Kent L. Rev. 663. | judicial official | def. &quot;actual innocence&quot; | qualitative method" xr:uid="{0963C906-00BE-4C90-8AB3-8094F9868954}"/>
    <hyperlink ref="AC1605:AE1605" r:id="rId33" tooltip="source" display="https://leg.mt.gov/content/Committees/Interim/2019-2020/Law-and-Justice/Meetings/Nov-2019/sj19-doj-map-sex-offenders-per-capita-november-2019.pdf" xr:uid="{CFB4A9D4-D64E-48F3-BBBF-D8E3F28A8702}"/>
    <hyperlink ref="B1611" r:id="rId34" tooltip="Cassell, Paul G. (2018). Overstating America’s Wrongful Conviction Rate? Reassessing the Conventional Wisdom About the Prevalence of Wrongful Convictions. Arizona Law Review, 60:815." xr:uid="{E3E2B882-0EB1-4DBF-99B8-1C13E25DBC91}"/>
    <hyperlink ref="B1614" r:id="rId35" tooltip="Kansas v. Marsh (2006). U.S. Supreme Court Justice Antonin Scalia, quoting Joshua Marquis in U.S. Supreme Court opinion; Marquis, J. (2005). The Myth of Innocence, 95 J. Crim. L. &amp; Criminology 501." xr:uid="{C96B911B-3A3E-40CB-A81E-0F86F7E784CF}"/>
    <hyperlink ref="B1617" r:id="rId36" tooltip="Zalman, Marvin (2012). Qualitatively Estimating the Incidence of Wrongful Convictions. Criminal Law Bulletin, 48:2, 219-279." xr:uid="{5F4E07C5-6A7E-4234-9217-EC4ACD04A983}"/>
    <hyperlink ref="B1620" r:id="rId37" tooltip="Ramsey, Robert H. and Frank, James (2007). Wrongful Conviction: Perceptions of Criminal Justice Professionals Regarding the Frequency of Wrongful Conviction and the Extent of System Errors. Crime &amp; Delinq, 53:3, 436-470." xr:uid="{DFB2A7F8-1EBC-4713-9F96-0B800FE387D1}"/>
    <hyperlink ref="B1623" r:id="rId38" tooltip="Gross, Samuel R. (2008). “Frequency and Predictors of False Conviction: Why We Know So Little, and New Data on Capital Cases.” B. O’Brien, co-author. J. Empirical Legal Stud. 5, no. 4: 927-6" xr:uid="{B0D74CFA-0165-46AB-8BC4-CD3161061579}"/>
    <hyperlink ref="B1626" r:id="rId39" tooltip="Risinger, D.M. (2007). Innocents Convicted: An Empirical Justified Factual Wrongful Conviction Rate, J. Crim. L. &amp; Criminology 97:761." xr:uid="{F5103A94-12B4-41F2-BB9C-775C6AAE24BE}"/>
    <hyperlink ref="B1629" r:id="rId40" tooltip="Samuel R. Gross, Barbara O’Brien, Chen Hu, and Edward H. Kennedy (2014). Rate of False Conviction of Criminal Defendants Who are Sentenced to Death. Proceedings of the National Academy of Science, 111:2, 7230-7235." xr:uid="{3D010E0A-A310-4C6C-8D29-92467CE77CDA}"/>
    <hyperlink ref="B1632" r:id="rId41" tooltip="John Roman, Kelly Walsh, Pamela Lachman, and Jennifer Yahner (2012). Post-Conviction DNA Testing and Wrongful Conviction. Urban Institute." xr:uid="{CA08BB60-08DA-4D9E-9359-E037D1415E2E}"/>
    <hyperlink ref="B1635" r:id="rId42" tooltip="Loeffler, C.E., Hyatt, J. &amp; Ridgeway, G. (2019). Measuring Self-Reported Wrongful Convictions Among Prisoners. J Quant Criminol 35, 259–286." xr:uid="{751283AB-2FDB-43A7-A2A3-5A9F5AEC8230}"/>
    <hyperlink ref="B1638" r:id="rId43" tooltip="Walsh, K., Hussemann, J., Flynn, A., Yahner, J., Golian, L. (2017). Estimating the Prevalence of Wrongful Conviction. Office of Justice Programs’ National Criminal Justice Reference Service." xr:uid="{453C3517-BAC7-4077-A59F-5F50B4CA5784}"/>
    <hyperlink ref="B1641" r:id="rId44" tooltip="Poveda, T.G. (2001). Estimating Wrongful Convictions. Justice Quarterly, 18:3, 689-708." xr:uid="{42B931B7-40BB-4B3A-8E3F-B7A00C7B0062}"/>
    <hyperlink ref="A112" location="'EIF-Steph'!A462:F530" tooltip="&gt;&gt; click to go to section C.1 &lt;&lt;" display="C.1" xr:uid="{F7C068AB-ECC9-4F7F-AB0E-2EF42EB1FA09}"/>
    <hyperlink ref="B149" location="'EIF-Steph'!A1" tooltip="back to top" display="Case information" xr:uid="{C99DC935-513A-434D-9C70-E518CEDA81B4}"/>
    <hyperlink ref="B296" location="'EIF-Steph'!A1" tooltip="back to top" display="Documentation for verification" xr:uid="{2AD102D2-F2C0-43EF-86F9-37EBD899A8F2}"/>
    <hyperlink ref="B462" location="'EIF-Steph'!A1" tooltip="back to top" display="Common factors in wrongful convictions" xr:uid="{3244A7E8-082A-4359-897E-C5081C3A3E34}"/>
    <hyperlink ref="B531" location="'EIF-Steph'!A1" tooltip="back to top" display="Investigative factors" xr:uid="{6D1926D0-EE91-4F9A-8D36-173645BD927A}"/>
    <hyperlink ref="B565" location="'EIF-Steph'!A1" tooltip="back to top" display="Complicating factors" xr:uid="{C7E5519D-A049-4A0C-9890-D76E55CB0742}"/>
    <hyperlink ref="B599" location="'EIF-Steph'!A1" tooltip="back to top" display="Claimant’s demonstratable innocence" xr:uid="{F5EB6DFE-A37D-417B-95CE-531753E11384}"/>
    <hyperlink ref="B642" location="'EIF-Steph'!A1" tooltip="back to top" display="Claimant’s innocence recognized by others" xr:uid="{788B9F28-FC02-429C-9BE1-2B5545F0ADE1}"/>
    <hyperlink ref="B681" location="'EIF-Steph'!A1" tooltip="back to top" display="Other" xr:uid="{8C8E49D5-D5EE-44C6-AF3C-B7C4CC64E5FB}"/>
    <hyperlink ref="B719" location="'EIF-Steph'!A1" tooltip="back to top" display="Requests and responses for exoneration help" xr:uid="{9E74863F-9075-4BFB-9F80-ED34DE89FA6D}"/>
    <hyperlink ref="B762" location="'EIF-Steph'!A1" tooltip="back to top" display="Collateral consequences of conviction" xr:uid="{044EBCF0-4615-4FB0-9D92-90F96F173B84}"/>
    <hyperlink ref="B839" location="'EIF-Steph'!A1" tooltip="back to top" display="Claimant narrative" xr:uid="{69FF40CF-EE76-4F08-B21C-DD60CC5604C7}"/>
    <hyperlink ref="B1062" location="'EIF-Steph'!A1" tooltip="back to top" display="Compensation" xr:uid="{10B57071-D01B-4D58-A1A7-D3258699A1C3}"/>
    <hyperlink ref="B1597" location="'EIF-Steph'!A1" tooltip="back to top" display="You're not alone" xr:uid="{305F7AB1-0096-48E4-A685-719BAA41E6CF}"/>
    <hyperlink ref="A1597" location="'EIF-Steph'!A136" display="H." xr:uid="{F2B8CB1A-0EEA-4D40-8311-7C42EF7374CC}"/>
    <hyperlink ref="F149" location="'EIF-Steph'!A296:F296" tooltip="to B. Documentation for verfication" display="$" xr:uid="{96E65A2F-D864-450B-BDD8-9F2B416DA935}"/>
    <hyperlink ref="F296" location="'EIF-Steph'!A462:F462" tooltip="to C.1 Common factors in wrongful convictions" display="$" xr:uid="{9FC67406-B1E6-4C0D-BD3F-BAF95F231928}"/>
    <hyperlink ref="F462" location="'EIF-Steph'!A497:F497" tooltip="to C.2 Evidentiary factors" display="$" xr:uid="{FCC00BDD-0835-48D4-BA33-FE7EF4A72005}"/>
    <hyperlink ref="F691" location="'EIF-Steph'!A719:F719" tooltip="to D. Requests &amp; responses for exoneration help" display="$" xr:uid="{AEC8EE31-999B-4D18-961E-239EDCC9A0D4}"/>
    <hyperlink ref="F681" location="'EIF-Steph'!A691:F691" tooltip="C.8 Process" display="$" xr:uid="{47A8F4F8-9A9E-473E-A59B-1D4CC71F93BE}"/>
    <hyperlink ref="F642" location="'EIF-Steph'!A681:F681" tooltip="to C.7 Other" display="$" xr:uid="{80941F88-E7F6-4EAE-9FE1-C30C747C5E29}"/>
    <hyperlink ref="F599" location="'EIF-Steph'!A642:F642" tooltip="to C.6 Claimant's innocence recognized by others" display="$" xr:uid="{7A90B658-B7D0-4C8C-864B-769C9A845DFD}"/>
    <hyperlink ref="F565" location="'EIF-Steph'!A599:F599" tooltip="to C.5 Claimant's demonstrable innocence" display="$" xr:uid="{09EB7E89-B403-483D-A4D4-777561D1CBD7}"/>
    <hyperlink ref="F531" location="'EIF-Steph'!A565:F565" tooltip="to C.4 Complicating factors" display="$" xr:uid="{91259CD8-9B12-4FB3-A7AF-F756EB47556A}"/>
    <hyperlink ref="F497" location="'EIF-Steph'!A531:F531" tooltip="to C.3 Investigative factors" display="$" xr:uid="{1828AF22-DEDA-40F1-91F6-5D3D5B049C90}"/>
    <hyperlink ref="A134" location="'EIF-Steph'!A1062:F1103" tooltip="&gt;&gt; click to go to section G &lt;&lt;" display="'EIF-Steph'!A1062:F1103" xr:uid="{481A8523-0775-4D1E-81A5-0B46319E49D3}"/>
    <hyperlink ref="A136" location="'EIF-Steph'!A1597:F1646" tooltip="&gt;&gt; click to go to section H &lt;&lt;" display="'EIF-Steph'!A1597:F1646" xr:uid="{33AE2EF5-A136-4A60-9BE4-7E90C166944E}"/>
    <hyperlink ref="F719" location="'EIF-Steph'!A762:F762" tooltip="to E. Collateral consequences of wrongful conviction" display="$" xr:uid="{B0382104-D282-4ECB-ABA1-719C18EB9AA6}"/>
    <hyperlink ref="F762" location="'EIF-Steph'!A839:F839" tooltip="F. Claimant narrative" display="$" xr:uid="{EBC83BEB-2FB7-4FE5-A001-87AAA5D748E1}"/>
    <hyperlink ref="F839" location="'EIF-Steph'!A1062:F1062" tooltip="G. Compensation" display="$" xr:uid="{9471E14E-3000-4299-B49D-CE54E34B24A9}"/>
    <hyperlink ref="F1062" location="'EIF-Steph'!A1597:F1597" tooltip="H. You're not alone" display="$" xr:uid="{85C91EF4-83EC-4CFE-9902-FA86180E5111}"/>
    <hyperlink ref="F1597" location="'EIF-Steph'!A1:F3" tooltip="back to the top" display="#" xr:uid="{5FE16F6A-BB2A-4DB6-B354-C8AAB7C6C507}"/>
  </hyperlinks>
  <pageMargins left="0.7" right="0.7" top="0.75" bottom="0.75" header="0.3" footer="0.3"/>
  <pageSetup orientation="portrait" r:id="rId45"/>
  <headerFooter>
    <oddHeader xml:space="preserve">&amp;L&amp;"-,Bold"&amp;14Estimated Innocence Form &amp;K01+048-A&amp;R&amp;D
</oddHeader>
    <oddFooter>&amp;L&amp;A&amp;C&amp;P&amp;R&amp;G</oddFooter>
  </headerFooter>
  <drawing r:id="rId46"/>
  <legacyDrawing r:id="rId47"/>
  <legacyDrawingHF r:id="rId48"/>
  <extLst>
    <ext xmlns:x14="http://schemas.microsoft.com/office/spreadsheetml/2009/9/main" uri="{78C0D931-6437-407d-A8EE-F0AAD7539E65}">
      <x14:conditionalFormattings>
        <x14:conditionalFormatting xmlns:xm="http://schemas.microsoft.com/office/excel/2006/main">
          <x14:cfRule type="containsText" priority="482" operator="containsText" id="{352F5248-3804-4404-A78E-E401CD8847CD}">
            <xm:f>NOT(ISERROR(SEARCH($AM$1,BG1)))</xm:f>
            <xm:f>$AM$1</xm:f>
            <x14:dxf>
              <font>
                <color rgb="FF00B050"/>
              </font>
              <fill>
                <patternFill>
                  <bgColor theme="2"/>
                </patternFill>
              </fill>
            </x14:dxf>
          </x14:cfRule>
          <x14:cfRule type="containsText" priority="483" operator="containsText" id="{E3A6D820-C051-4D55-ADD3-87AA9EE8E659}">
            <xm:f>NOT(ISERROR(SEARCH($AL$1,BG1)))</xm:f>
            <xm:f>$AL$1</xm:f>
            <x14:dxf>
              <font>
                <color rgb="FF92D050"/>
              </font>
              <fill>
                <patternFill>
                  <bgColor theme="2"/>
                </patternFill>
              </fill>
            </x14:dxf>
          </x14:cfRule>
          <x14:cfRule type="containsText" priority="484" operator="containsText" id="{52C7C10F-4FE8-46D9-8ECD-5371710A2306}">
            <xm:f>NOT(ISERROR(SEARCH($AK$1,BG1)))</xm:f>
            <xm:f>$AK$1</xm:f>
            <x14:dxf>
              <font>
                <color theme="7" tint="-0.24994659260841701"/>
              </font>
              <fill>
                <patternFill patternType="solid">
                  <bgColor theme="2"/>
                </patternFill>
              </fill>
            </x14:dxf>
          </x14:cfRule>
          <x14:cfRule type="containsText" priority="485" operator="containsText" id="{7A0D8FF3-B697-4CCA-B705-02F854C89CD5}">
            <xm:f>NOT(ISERROR(SEARCH($AJ$1,BG1)))</xm:f>
            <xm:f>$AJ$1</xm:f>
            <x14:dxf>
              <font>
                <color theme="5" tint="-0.24994659260841701"/>
              </font>
              <fill>
                <patternFill patternType="solid">
                  <bgColor theme="2"/>
                </patternFill>
              </fill>
            </x14:dxf>
          </x14:cfRule>
          <x14:cfRule type="containsText" priority="486" operator="containsText" id="{2B5D4FEA-398E-4447-95F4-BBFD9DF531DC}">
            <xm:f>NOT(ISERROR(SEARCH($AI$1,BG1)))</xm:f>
            <xm:f>$AI$1</xm:f>
            <x14:dxf>
              <font>
                <strike val="0"/>
                <color rgb="FF9C0006"/>
              </font>
              <fill>
                <patternFill patternType="solid">
                  <bgColor theme="2"/>
                </patternFill>
              </fill>
            </x14:dxf>
          </x14:cfRule>
          <xm:sqref>BG1</xm:sqref>
        </x14:conditionalFormatting>
        <x14:conditionalFormatting xmlns:xm="http://schemas.microsoft.com/office/excel/2006/main">
          <x14:cfRule type="containsText" priority="477" operator="containsText" id="{F6491A73-F6D6-41E7-BD84-3EA0FA70FF69}">
            <xm:f>NOT(ISERROR(SEARCH($AM$1,BG2)))</xm:f>
            <xm:f>$AM$1</xm:f>
            <x14:dxf>
              <font>
                <color rgb="FF00B050"/>
              </font>
              <fill>
                <patternFill>
                  <bgColor theme="2"/>
                </patternFill>
              </fill>
            </x14:dxf>
          </x14:cfRule>
          <x14:cfRule type="containsText" priority="478" operator="containsText" id="{16A67CCB-8071-415F-95AA-B13C3FA952F3}">
            <xm:f>NOT(ISERROR(SEARCH($AL$1,BG2)))</xm:f>
            <xm:f>$AL$1</xm:f>
            <x14:dxf>
              <font>
                <color rgb="FF92D050"/>
              </font>
              <fill>
                <patternFill>
                  <bgColor theme="2"/>
                </patternFill>
              </fill>
            </x14:dxf>
          </x14:cfRule>
          <x14:cfRule type="containsText" priority="479" operator="containsText" id="{B1484FAB-5192-4376-952B-8ABD1DC635FA}">
            <xm:f>NOT(ISERROR(SEARCH($AK$1,BG2)))</xm:f>
            <xm:f>$AK$1</xm:f>
            <x14:dxf>
              <font>
                <color theme="7" tint="-0.24994659260841701"/>
              </font>
              <fill>
                <patternFill patternType="solid">
                  <bgColor theme="2"/>
                </patternFill>
              </fill>
            </x14:dxf>
          </x14:cfRule>
          <x14:cfRule type="containsText" priority="480" operator="containsText" id="{01D8E8DA-B1B5-471E-A934-454589009B19}">
            <xm:f>NOT(ISERROR(SEARCH($AJ$1,BG2)))</xm:f>
            <xm:f>$AJ$1</xm:f>
            <x14:dxf>
              <font>
                <color theme="5" tint="-0.24994659260841701"/>
              </font>
              <fill>
                <patternFill patternType="solid">
                  <bgColor theme="2"/>
                </patternFill>
              </fill>
            </x14:dxf>
          </x14:cfRule>
          <x14:cfRule type="containsText" priority="481" operator="containsText" id="{8B29C2B4-E7BF-4A30-9717-195F1A25178C}">
            <xm:f>NOT(ISERROR(SEARCH($AI$1,BG2)))</xm:f>
            <xm:f>$AI$1</xm:f>
            <x14:dxf>
              <font>
                <strike val="0"/>
                <color rgb="FF9C0006"/>
              </font>
              <fill>
                <patternFill patternType="solid">
                  <bgColor theme="2"/>
                </patternFill>
              </fill>
            </x14:dxf>
          </x14:cfRule>
          <xm:sqref>BG2:BG3</xm:sqref>
        </x14:conditionalFormatting>
        <x14:conditionalFormatting xmlns:xm="http://schemas.microsoft.com/office/excel/2006/main">
          <x14:cfRule type="containsText" priority="279" operator="containsText" id="{4C7E0438-DC68-4D25-A180-CE46FCAB2848}">
            <xm:f>NOT(ISERROR(SEARCH($AG$14,B14)))</xm:f>
            <xm:f>$AG$14</xm:f>
            <x14:dxf>
              <font>
                <color theme="0" tint="-0.499984740745262"/>
              </font>
              <fill>
                <patternFill>
                  <bgColor theme="0" tint="-0.14996795556505021"/>
                </patternFill>
              </fill>
            </x14:dxf>
          </x14:cfRule>
          <xm:sqref>B14:D14</xm:sqref>
        </x14:conditionalFormatting>
        <x14:conditionalFormatting xmlns:xm="http://schemas.microsoft.com/office/excel/2006/main">
          <x14:cfRule type="containsText" priority="858" operator="containsText" id="{803E2288-7484-4D3E-B0B8-BE0711F56F19}">
            <xm:f>NOT(ISERROR(SEARCH($D$1862,B280)))</xm:f>
            <xm:f>$D$1862</xm:f>
            <x14:dxf>
              <font>
                <color auto="1"/>
              </font>
              <fill>
                <patternFill>
                  <bgColor theme="0"/>
                </patternFill>
              </fill>
              <border>
                <bottom style="thin">
                  <color rgb="FFEAE3D2"/>
                </bottom>
              </border>
            </x14:dxf>
          </x14:cfRule>
          <xm:sqref>B280:D280</xm:sqref>
        </x14:conditionalFormatting>
        <x14:conditionalFormatting xmlns:xm="http://schemas.microsoft.com/office/excel/2006/main">
          <x14:cfRule type="containsText" priority="271" operator="containsText" id="{EC61DC47-F393-4D57-BE1A-7CA913497B28}">
            <xm:f>NOT(ISERROR(SEARCH($C$152,B59)))</xm:f>
            <xm:f>$C$152</xm:f>
            <x14:dxf>
              <font>
                <color auto="1"/>
              </font>
              <fill>
                <patternFill>
                  <bgColor theme="0"/>
                </patternFill>
              </fill>
            </x14:dxf>
          </x14:cfRule>
          <xm:sqref>B59:D59</xm:sqref>
        </x14:conditionalFormatting>
        <x14:conditionalFormatting xmlns:xm="http://schemas.microsoft.com/office/excel/2006/main">
          <x14:cfRule type="containsText" priority="270" operator="containsText" id="{CE66E357-9412-409F-91E5-7D2DA44B43DE}">
            <xm:f>NOT(ISERROR(SEARCH($C$152,B60)))</xm:f>
            <xm:f>$C$152</xm:f>
            <x14:dxf>
              <font>
                <color auto="1"/>
              </font>
              <fill>
                <patternFill>
                  <bgColor theme="0"/>
                </patternFill>
              </fill>
            </x14:dxf>
          </x14:cfRule>
          <xm:sqref>B60:D60</xm:sqref>
        </x14:conditionalFormatting>
        <x14:conditionalFormatting xmlns:xm="http://schemas.microsoft.com/office/excel/2006/main">
          <x14:cfRule type="containsText" priority="257" operator="containsText" id="{1910F6BF-A178-432F-9A9F-6A7BD8E7F0CE}">
            <xm:f>NOT(ISERROR(SEARCH($AM$1,D1)))</xm:f>
            <xm:f>$AM$1</xm:f>
            <x14:dxf>
              <font>
                <color rgb="FF00B050"/>
              </font>
              <fill>
                <patternFill>
                  <bgColor theme="2"/>
                </patternFill>
              </fill>
            </x14:dxf>
          </x14:cfRule>
          <x14:cfRule type="containsText" priority="258" operator="containsText" id="{A9D94E78-FC97-4A44-9D1D-554E4BADE62D}">
            <xm:f>NOT(ISERROR(SEARCH($AL$1,D1)))</xm:f>
            <xm:f>$AL$1</xm:f>
            <x14:dxf>
              <font>
                <color rgb="FF92D050"/>
              </font>
              <fill>
                <patternFill>
                  <bgColor theme="2"/>
                </patternFill>
              </fill>
            </x14:dxf>
          </x14:cfRule>
          <x14:cfRule type="containsText" priority="259" operator="containsText" id="{F313BBDB-E577-4619-81AF-0108CEE153D6}">
            <xm:f>NOT(ISERROR(SEARCH($AK$1,D1)))</xm:f>
            <xm:f>$AK$1</xm:f>
            <x14:dxf>
              <font>
                <color theme="7" tint="-0.24994659260841701"/>
              </font>
              <fill>
                <patternFill patternType="solid">
                  <bgColor theme="2"/>
                </patternFill>
              </fill>
            </x14:dxf>
          </x14:cfRule>
          <x14:cfRule type="containsText" priority="260" operator="containsText" id="{26471C2F-8D09-4574-96B5-AC2516A477A6}">
            <xm:f>NOT(ISERROR(SEARCH($AJ$1,D1)))</xm:f>
            <xm:f>$AJ$1</xm:f>
            <x14:dxf>
              <font>
                <color theme="5" tint="-0.24994659260841701"/>
              </font>
              <fill>
                <patternFill patternType="solid">
                  <bgColor theme="2"/>
                </patternFill>
              </fill>
            </x14:dxf>
          </x14:cfRule>
          <x14:cfRule type="containsText" priority="261" operator="containsText" id="{19035CF8-CC75-4718-AD5F-C71CFEB2AB5C}">
            <xm:f>NOT(ISERROR(SEARCH($AI$1,D1)))</xm:f>
            <xm:f>$AI$1</xm:f>
            <x14:dxf>
              <font>
                <strike val="0"/>
                <color rgb="FF9C0006"/>
              </font>
              <fill>
                <patternFill patternType="solid">
                  <bgColor theme="2"/>
                </patternFill>
              </fill>
            </x14:dxf>
          </x14:cfRule>
          <xm:sqref>D1</xm:sqref>
        </x14:conditionalFormatting>
        <x14:conditionalFormatting xmlns:xm="http://schemas.microsoft.com/office/excel/2006/main">
          <x14:cfRule type="containsText" priority="252" operator="containsText" id="{72F656FF-4C84-4235-BCFF-ABBF935EABE7}">
            <xm:f>NOT(ISERROR(SEARCH($AM$1,D2)))</xm:f>
            <xm:f>$AM$1</xm:f>
            <x14:dxf>
              <font>
                <color rgb="FF00B050"/>
              </font>
              <fill>
                <patternFill>
                  <bgColor theme="2"/>
                </patternFill>
              </fill>
            </x14:dxf>
          </x14:cfRule>
          <x14:cfRule type="containsText" priority="253" operator="containsText" id="{977CCE5B-1E48-436F-96A2-36E4300951EC}">
            <xm:f>NOT(ISERROR(SEARCH($AL$1,D2)))</xm:f>
            <xm:f>$AL$1</xm:f>
            <x14:dxf>
              <font>
                <color rgb="FF92D050"/>
              </font>
              <fill>
                <patternFill>
                  <bgColor theme="2"/>
                </patternFill>
              </fill>
            </x14:dxf>
          </x14:cfRule>
          <x14:cfRule type="containsText" priority="254" operator="containsText" id="{E2D6474F-0509-4D47-99EC-3CB837C32A29}">
            <xm:f>NOT(ISERROR(SEARCH($AK$1,D2)))</xm:f>
            <xm:f>$AK$1</xm:f>
            <x14:dxf>
              <font>
                <color theme="7" tint="-0.24994659260841701"/>
              </font>
              <fill>
                <patternFill patternType="solid">
                  <bgColor theme="2"/>
                </patternFill>
              </fill>
            </x14:dxf>
          </x14:cfRule>
          <x14:cfRule type="containsText" priority="255" operator="containsText" id="{8B1C16FA-DA09-4197-B4B6-F7829349069B}">
            <xm:f>NOT(ISERROR(SEARCH($AJ$1,D2)))</xm:f>
            <xm:f>$AJ$1</xm:f>
            <x14:dxf>
              <font>
                <color theme="5" tint="-0.24994659260841701"/>
              </font>
              <fill>
                <patternFill patternType="solid">
                  <bgColor theme="2"/>
                </patternFill>
              </fill>
            </x14:dxf>
          </x14:cfRule>
          <x14:cfRule type="containsText" priority="256" operator="containsText" id="{02C5C3F3-7591-4CFA-AFFF-7BEC54892697}">
            <xm:f>NOT(ISERROR(SEARCH($AI$1,D2)))</xm:f>
            <xm:f>$AI$1</xm:f>
            <x14:dxf>
              <font>
                <strike val="0"/>
                <color rgb="FF9C0006"/>
              </font>
              <fill>
                <patternFill patternType="solid">
                  <bgColor theme="2"/>
                </patternFill>
              </fill>
            </x14:dxf>
          </x14:cfRule>
          <xm:sqref>D2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86FEF-6AE3-4C04-820F-34B09C23092C}">
  <dimension ref="A1:CZ3013"/>
  <sheetViews>
    <sheetView zoomScaleNormal="100" workbookViewId="0"/>
  </sheetViews>
  <sheetFormatPr defaultRowHeight="13.8" x14ac:dyDescent="0.25"/>
  <cols>
    <col min="1" max="1" width="3.77734375" style="56" customWidth="1"/>
    <col min="2" max="2" width="15.77734375" style="56" customWidth="1"/>
    <col min="3" max="3" width="35.77734375" style="56" customWidth="1"/>
    <col min="4" max="4" width="28.77734375" style="56" customWidth="1"/>
    <col min="5" max="6" width="2.77734375" style="56" customWidth="1"/>
    <col min="7" max="26" width="8.88671875" style="5" customWidth="1"/>
    <col min="27" max="47" width="3.77734375" style="56" hidden="1" customWidth="1"/>
    <col min="48" max="48" width="4.77734375" style="56" hidden="1" customWidth="1"/>
    <col min="49" max="49" width="1.77734375" style="56" hidden="1" customWidth="1"/>
    <col min="50" max="50" width="3.77734375" style="56" hidden="1" customWidth="1"/>
    <col min="51" max="51" width="1.77734375" style="56" hidden="1" customWidth="1"/>
    <col min="52" max="52" width="3.77734375" style="56" hidden="1" customWidth="1"/>
    <col min="53" max="53" width="1.77734375" style="56" hidden="1" customWidth="1"/>
    <col min="54" max="54" width="6.77734375" style="16" hidden="1" customWidth="1"/>
    <col min="55" max="55" width="1.77734375" style="56" hidden="1" customWidth="1"/>
    <col min="56" max="56" width="6.77734375" style="56" hidden="1" customWidth="1"/>
    <col min="57" max="57" width="1.77734375" style="56" hidden="1" customWidth="1"/>
    <col min="58" max="58" width="5.77734375" style="56" hidden="1" customWidth="1"/>
    <col min="59" max="62" width="7.77734375" style="56" hidden="1" customWidth="1"/>
    <col min="63" max="77" width="3.77734375" style="56" hidden="1" customWidth="1"/>
    <col min="78" max="104" width="8.88671875" style="56" hidden="1" customWidth="1"/>
    <col min="105" max="16384" width="8.88671875" style="56"/>
  </cols>
  <sheetData>
    <row r="1" spans="1:60" ht="40.049999999999997" customHeight="1" thickTop="1" thickBot="1" x14ac:dyDescent="0.5">
      <c r="A1" s="1"/>
      <c r="B1" s="2">
        <f>E716</f>
        <v>0.89455357142857095</v>
      </c>
      <c r="C1" s="3" t="s">
        <v>0</v>
      </c>
      <c r="D1" s="4" t="str">
        <f>IF(B2&gt;B1,BG2,BG1)</f>
        <v>strong claim</v>
      </c>
      <c r="E1" s="1"/>
      <c r="F1" s="1"/>
      <c r="AC1" s="7">
        <f>IF(AND($B1&gt;0,$B1&lt;0.199999),AQ1,0)</f>
        <v>0</v>
      </c>
      <c r="AD1" s="7">
        <f>IF(AND($B1&gt;0.2,$B1&lt;0.399999),AR1,0)</f>
        <v>0</v>
      </c>
      <c r="AE1" s="7">
        <f>IF(AND($B1&gt;0.4,$B1&lt;0.599999),AS1,0)</f>
        <v>0</v>
      </c>
      <c r="AF1" s="7">
        <f>IF(AND($B1&gt;0.6,$B1&lt;0.799999),AT1,0)</f>
        <v>0</v>
      </c>
      <c r="AG1" s="7" t="str">
        <f>IF(AND($B1&gt;0.8,$B1&lt;1),AU1,0)</f>
        <v>strong claim</v>
      </c>
      <c r="AI1" s="56" t="s">
        <v>1</v>
      </c>
      <c r="AJ1" s="56" t="s">
        <v>2</v>
      </c>
      <c r="AK1" s="56" t="s">
        <v>3</v>
      </c>
      <c r="AL1" s="56" t="s">
        <v>4</v>
      </c>
      <c r="AM1" s="56" t="s">
        <v>5</v>
      </c>
      <c r="AO1" s="8" t="s">
        <v>6</v>
      </c>
      <c r="AQ1" s="9" t="str">
        <f>CONCATENATE(AI1,$AO1)</f>
        <v>weak claim</v>
      </c>
      <c r="AR1" s="10" t="str">
        <f>CONCATENATE(AJ1,$AO1)</f>
        <v>poor claim</v>
      </c>
      <c r="AS1" s="11" t="str">
        <f>CONCATENATE(AK1,$AO1)</f>
        <v>fair claim</v>
      </c>
      <c r="AT1" s="12" t="str">
        <f>CONCATENATE(AL1,$AO1)</f>
        <v>good claim</v>
      </c>
      <c r="AU1" s="13" t="str">
        <f>CONCATENATE(AM1,$AO1)</f>
        <v>strong claim</v>
      </c>
      <c r="BB1" s="14" t="s">
        <v>7</v>
      </c>
      <c r="BG1" s="15" t="str">
        <f>IF(AND(B1&gt;0,B1&lt;0.1999),AQ1,IF(AND(B1&gt;0.2,B1&lt;0.3999),AR1,IF(AND(B1&gt;0.4,B1&lt;0.5999),AS1,IF(AND(B1&gt;0.6,B1&lt;0.7999),AT1,IF(AND(B1&gt;0.8,B1&lt;1),AU1,"")))))</f>
        <v>strong claim</v>
      </c>
    </row>
    <row r="2" spans="1:60" ht="19.95" customHeight="1" thickTop="1" x14ac:dyDescent="0.25">
      <c r="A2" s="1"/>
      <c r="B2" s="498">
        <f>E717</f>
        <v>0.47142857142857131</v>
      </c>
      <c r="C2" s="500" t="s">
        <v>8</v>
      </c>
      <c r="D2" s="15"/>
      <c r="E2" s="1"/>
      <c r="F2" s="1"/>
      <c r="AQ2" s="9" t="str">
        <f>AQ1</f>
        <v>weak claim</v>
      </c>
      <c r="AR2" s="10" t="str">
        <f>AR1</f>
        <v>poor claim</v>
      </c>
      <c r="AS2" s="11" t="str">
        <f>AS1</f>
        <v>fair claim</v>
      </c>
      <c r="AT2" s="12" t="str">
        <f>AT1</f>
        <v>good claim</v>
      </c>
      <c r="AU2" s="13" t="str">
        <f>AU1</f>
        <v>strong claim</v>
      </c>
      <c r="BG2" s="15" t="str">
        <f>IF(AND(B2&gt;0.4,B2&lt;0.5999),AS2,IF(AND(B2&gt;0.6,B2&lt;0.7999),AT2,""))</f>
        <v>fair claim</v>
      </c>
    </row>
    <row r="3" spans="1:60" ht="19.95" customHeight="1" thickBot="1" x14ac:dyDescent="0.3">
      <c r="A3" s="1"/>
      <c r="B3" s="499"/>
      <c r="C3" s="500"/>
      <c r="D3" s="501" t="s">
        <v>9</v>
      </c>
      <c r="E3" s="1"/>
      <c r="F3" s="1"/>
      <c r="AQ3" s="9"/>
      <c r="AR3" s="10"/>
      <c r="AS3" s="11"/>
      <c r="AT3" s="12"/>
      <c r="AU3" s="13"/>
      <c r="BG3" s="15"/>
    </row>
    <row r="4" spans="1:60" ht="4.95" customHeight="1" thickTop="1" x14ac:dyDescent="0.25">
      <c r="A4" s="1"/>
      <c r="B4" s="1"/>
      <c r="C4" s="1"/>
      <c r="D4" s="501"/>
      <c r="E4" s="1"/>
      <c r="F4" s="1"/>
    </row>
    <row r="5" spans="1:60" ht="45" customHeight="1" x14ac:dyDescent="0.4">
      <c r="A5" s="17" t="s">
        <v>10</v>
      </c>
      <c r="B5" s="18"/>
      <c r="C5" s="18"/>
      <c r="D5" s="501"/>
      <c r="E5" s="1"/>
      <c r="F5" s="1"/>
      <c r="G5" s="479"/>
      <c r="BF5" s="19"/>
      <c r="BG5" s="20" t="s">
        <v>11</v>
      </c>
      <c r="BH5" s="20"/>
    </row>
    <row r="6" spans="1:60" ht="10.050000000000001" customHeight="1" thickBot="1" x14ac:dyDescent="0.3">
      <c r="A6" s="1"/>
      <c r="B6" s="1"/>
      <c r="C6" s="1"/>
      <c r="D6" s="501"/>
      <c r="E6" s="1"/>
      <c r="F6" s="1"/>
    </row>
    <row r="7" spans="1:60" ht="18.600000000000001" thickBot="1" x14ac:dyDescent="0.4">
      <c r="A7" s="1"/>
      <c r="B7" s="21" t="s">
        <v>12</v>
      </c>
      <c r="C7" s="22" t="str">
        <f>IF(OR(C152=AD152,D152=AH152),AD152,CONCATENATE(C152," ",D152))</f>
        <v>Steph Turner</v>
      </c>
      <c r="D7" s="501"/>
      <c r="E7" s="1"/>
      <c r="F7" s="1"/>
    </row>
    <row r="8" spans="1:60" ht="15" customHeight="1" thickBot="1" x14ac:dyDescent="0.3">
      <c r="A8" s="1"/>
      <c r="B8" s="23" t="s">
        <v>13</v>
      </c>
      <c r="C8" s="24" t="str">
        <f>IF(C154="","",C154)</f>
        <v>valuerelating@gmail.com</v>
      </c>
      <c r="D8" s="501"/>
      <c r="E8" s="1"/>
      <c r="F8" s="1"/>
    </row>
    <row r="9" spans="1:60" ht="4.95" customHeight="1" thickBot="1" x14ac:dyDescent="0.3">
      <c r="A9" s="1"/>
      <c r="B9" s="23"/>
      <c r="C9" s="1"/>
      <c r="D9" s="501"/>
      <c r="E9" s="1"/>
      <c r="F9" s="1"/>
    </row>
    <row r="10" spans="1:60" ht="18.600000000000001" thickBot="1" x14ac:dyDescent="0.4">
      <c r="A10" s="1"/>
      <c r="B10" s="25" t="s">
        <v>14</v>
      </c>
      <c r="C10" s="22" t="str">
        <f>IF(OR(C162=AD162,D162=AH162),AD162,CONCATENATE(C162," ",D162))</f>
        <v>Alisha Turner</v>
      </c>
      <c r="D10" s="501"/>
      <c r="E10" s="1"/>
      <c r="F10" s="1"/>
    </row>
    <row r="11" spans="1:60" ht="15" customHeight="1" thickBot="1" x14ac:dyDescent="0.3">
      <c r="A11" s="1"/>
      <c r="B11" s="23" t="s">
        <v>15</v>
      </c>
      <c r="C11" s="24"/>
      <c r="D11" s="502"/>
      <c r="E11" s="1"/>
      <c r="F11" s="1"/>
    </row>
    <row r="12" spans="1:60" ht="10.050000000000001" customHeight="1" x14ac:dyDescent="0.25">
      <c r="A12" s="1"/>
      <c r="B12" s="1"/>
      <c r="C12" s="1"/>
      <c r="D12" s="1"/>
      <c r="E12" s="1"/>
      <c r="F12" s="1"/>
    </row>
    <row r="13" spans="1:60" ht="20.399999999999999" customHeight="1" thickBot="1" x14ac:dyDescent="0.35">
      <c r="A13" s="1"/>
      <c r="B13" s="26" t="s">
        <v>16</v>
      </c>
      <c r="C13" s="1"/>
      <c r="D13" s="1"/>
      <c r="E13" s="1"/>
      <c r="F13" s="1"/>
    </row>
    <row r="14" spans="1:60" ht="90" customHeight="1" thickTop="1" thickBot="1" x14ac:dyDescent="0.3">
      <c r="A14" s="1"/>
      <c r="B14" s="503" t="str">
        <f>IF(B845="",AG14,B845)</f>
        <v>Asexual person comes out as transgender in early 90s, gets falsely accused as being a “sexual predator” homophobic stereotype. Convicted without evidence. Must register as sex offender for life. Forced into poverty and homelessness.</v>
      </c>
      <c r="C14" s="504"/>
      <c r="D14" s="505"/>
      <c r="E14" s="27"/>
      <c r="F14" s="1"/>
      <c r="AG14" s="28" t="s">
        <v>17</v>
      </c>
    </row>
    <row r="15" spans="1:60" ht="10.050000000000001" customHeight="1" thickTop="1" thickBot="1" x14ac:dyDescent="0.3">
      <c r="A15" s="1"/>
      <c r="B15" s="1"/>
      <c r="C15" s="1"/>
      <c r="D15" s="1"/>
      <c r="E15" s="1"/>
      <c r="F15" s="1"/>
    </row>
    <row r="16" spans="1:60" ht="16.2" customHeight="1" thickTop="1" thickBot="1" x14ac:dyDescent="0.3">
      <c r="A16" s="1"/>
      <c r="B16" s="29" t="str">
        <f t="shared" ref="B16:B25" si="0">IF(C16=C849,B849,"")</f>
        <v>Highlight 1</v>
      </c>
      <c r="C16" s="506" t="str">
        <f t="shared" ref="C16:C23" si="1">IF(C849="",AR849,C849)</f>
        <v>No other criminal history</v>
      </c>
      <c r="D16" s="506"/>
      <c r="E16" s="1"/>
      <c r="F16" s="1"/>
    </row>
    <row r="17" spans="1:33" ht="19.2" thickTop="1" thickBot="1" x14ac:dyDescent="0.3">
      <c r="A17" s="1"/>
      <c r="B17" s="29" t="str">
        <f t="shared" si="0"/>
        <v>Highlight 2</v>
      </c>
      <c r="C17" s="506" t="str">
        <f t="shared" si="1"/>
        <v>Consistently maintained innocence, took no plea deals</v>
      </c>
      <c r="D17" s="506"/>
      <c r="E17" s="1"/>
      <c r="F17" s="1"/>
    </row>
    <row r="18" spans="1:33" ht="19.2" thickTop="1" thickBot="1" x14ac:dyDescent="0.3">
      <c r="A18" s="1"/>
      <c r="B18" s="29" t="str">
        <f t="shared" si="0"/>
        <v>Highlight 3</v>
      </c>
      <c r="C18" s="506" t="str">
        <f t="shared" si="1"/>
        <v>Transphobic investigation and prosecution</v>
      </c>
      <c r="D18" s="506"/>
      <c r="E18" s="1"/>
      <c r="F18" s="1"/>
    </row>
    <row r="19" spans="1:33" ht="19.2" thickTop="1" thickBot="1" x14ac:dyDescent="0.3">
      <c r="A19" s="1"/>
      <c r="B19" s="29" t="str">
        <f t="shared" si="0"/>
        <v>Highlight 4</v>
      </c>
      <c r="C19" s="506" t="str">
        <f t="shared" si="1"/>
        <v>Convicted without corroborating evidence</v>
      </c>
      <c r="D19" s="506"/>
      <c r="E19" s="1"/>
      <c r="F19" s="1"/>
    </row>
    <row r="20" spans="1:33" ht="19.2" thickTop="1" thickBot="1" x14ac:dyDescent="0.3">
      <c r="A20" s="1"/>
      <c r="B20" s="29" t="str">
        <f t="shared" si="0"/>
        <v>Highlight 5</v>
      </c>
      <c r="C20" s="506" t="str">
        <f t="shared" si="1"/>
        <v>Climate of sex abuse hysteria</v>
      </c>
      <c r="D20" s="506"/>
      <c r="E20" s="1"/>
      <c r="F20" s="1"/>
    </row>
    <row r="21" spans="1:33" ht="19.2" thickTop="1" thickBot="1" x14ac:dyDescent="0.3">
      <c r="A21" s="1"/>
      <c r="B21" s="29" t="str">
        <f t="shared" si="0"/>
        <v>Highlight 6</v>
      </c>
      <c r="C21" s="506" t="str">
        <f t="shared" si="1"/>
        <v>Media sensationalized coverage</v>
      </c>
      <c r="D21" s="506"/>
      <c r="E21" s="1"/>
      <c r="F21" s="1"/>
    </row>
    <row r="22" spans="1:33" ht="19.2" thickTop="1" thickBot="1" x14ac:dyDescent="0.3">
      <c r="A22" s="1"/>
      <c r="B22" s="29" t="str">
        <f t="shared" si="0"/>
        <v>Highlight 7</v>
      </c>
      <c r="C22" s="506" t="str">
        <f t="shared" si="1"/>
        <v>Exculpatory evidence overlooked with untested DNA</v>
      </c>
      <c r="D22" s="506"/>
      <c r="E22" s="1"/>
      <c r="F22" s="1"/>
    </row>
    <row r="23" spans="1:33" ht="19.2" thickTop="1" thickBot="1" x14ac:dyDescent="0.3">
      <c r="A23" s="1"/>
      <c r="B23" s="29" t="str">
        <f t="shared" si="0"/>
        <v>Highlight 8</v>
      </c>
      <c r="C23" s="506" t="str">
        <f t="shared" si="1"/>
        <v>Asexual transperson must register for life as "sex offender"</v>
      </c>
      <c r="D23" s="506"/>
      <c r="E23" s="1"/>
      <c r="F23" s="1"/>
    </row>
    <row r="24" spans="1:33" ht="19.2" thickTop="1" thickBot="1" x14ac:dyDescent="0.3">
      <c r="A24" s="1"/>
      <c r="B24" s="29" t="str">
        <f t="shared" si="0"/>
        <v>Highlight 9</v>
      </c>
      <c r="C24" s="506"/>
      <c r="D24" s="506"/>
      <c r="E24" s="1"/>
      <c r="F24" s="1"/>
    </row>
    <row r="25" spans="1:33" ht="19.2" thickTop="1" thickBot="1" x14ac:dyDescent="0.3">
      <c r="A25" s="1"/>
      <c r="B25" s="29" t="str">
        <f t="shared" si="0"/>
        <v>Highlight 10</v>
      </c>
      <c r="C25" s="506"/>
      <c r="D25" s="506"/>
      <c r="E25" s="1"/>
      <c r="F25" s="1"/>
    </row>
    <row r="26" spans="1:33" ht="18.600000000000001" thickTop="1" x14ac:dyDescent="0.25">
      <c r="A26" s="1"/>
      <c r="B26" s="29"/>
      <c r="C26" s="1"/>
      <c r="D26" s="29"/>
      <c r="E26" s="1"/>
      <c r="F26" s="1"/>
    </row>
    <row r="27" spans="1:33" ht="18.600000000000001" thickBot="1" x14ac:dyDescent="0.35">
      <c r="A27" s="1"/>
      <c r="B27" s="26" t="s">
        <v>18</v>
      </c>
      <c r="C27" s="1"/>
      <c r="D27" s="29"/>
      <c r="E27" s="1"/>
      <c r="F27" s="1"/>
    </row>
    <row r="28" spans="1:33" ht="85.05" customHeight="1" thickTop="1" thickBot="1" x14ac:dyDescent="0.3">
      <c r="A28" s="1"/>
      <c r="B28" s="507" t="str">
        <f>IF(B862="",AG28,B862)</f>
        <v>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v>
      </c>
      <c r="C28" s="508"/>
      <c r="D28" s="509"/>
      <c r="E28" s="1"/>
      <c r="F28" s="1"/>
      <c r="AG28" s="28" t="s">
        <v>19</v>
      </c>
    </row>
    <row r="29" spans="1:33" ht="10.050000000000001" customHeight="1" thickTop="1" x14ac:dyDescent="0.25">
      <c r="A29" s="1"/>
      <c r="B29" s="29"/>
      <c r="C29" s="1"/>
      <c r="D29" s="29"/>
      <c r="E29" s="1"/>
      <c r="F29" s="1"/>
    </row>
    <row r="30" spans="1:33" ht="10.050000000000001" customHeight="1" x14ac:dyDescent="0.25">
      <c r="A30" s="1"/>
      <c r="B30" s="1"/>
      <c r="C30" s="1"/>
      <c r="D30" s="29"/>
      <c r="E30" s="1"/>
      <c r="F30" s="1"/>
    </row>
    <row r="31" spans="1:33" ht="18" x14ac:dyDescent="0.3">
      <c r="A31" s="1"/>
      <c r="B31" s="26" t="s">
        <v>20</v>
      </c>
      <c r="C31" s="1"/>
      <c r="D31" s="29"/>
      <c r="E31" s="1"/>
      <c r="F31" s="1"/>
    </row>
    <row r="32" spans="1:33" ht="4.95" customHeight="1" thickBot="1" x14ac:dyDescent="0.3">
      <c r="A32" s="1"/>
      <c r="B32" s="1"/>
      <c r="C32" s="1"/>
      <c r="D32" s="1"/>
      <c r="E32" s="1"/>
      <c r="F32" s="1"/>
    </row>
    <row r="33" spans="1:62" ht="400.05" customHeight="1" thickTop="1" thickBot="1" x14ac:dyDescent="0.3">
      <c r="A33" s="1"/>
      <c r="B33" s="507" t="str">
        <f>IF(B871="",AG33,B871)</f>
        <v>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
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
A neighborhood child drew curious, peeping into Janet’s window to gawk at what she called the "man with lipstick." When caught not being home on time, the child leveled bizarre claims of sex abuse unbecoming from a child. Exposed to porn?
The child then dragged Steph into her transphobic-indoctrinated accusations. The child claimed Steph posed with her as if she, the young child, was stabbing Steph in the chest with a jelly stained butter knife. She claimed this was to scare her from talking to police, that we would say she was the aggressor. Unbelievable? Not if you already believe trans people are subhuman.
Child testimonies back then were often coached. Trans people were easily vilified. Since no corroborating evidence was necessary back then to convict for sexual misconduct, both transwomen were wrongly convicted and sentenced to long terms in men’s prisons, where Steph’s codefendant transgender sibling died in 2001.
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v>
      </c>
      <c r="C33" s="508"/>
      <c r="D33" s="509"/>
      <c r="E33" s="1"/>
      <c r="F33" s="1"/>
      <c r="AG33" s="28" t="s">
        <v>21</v>
      </c>
    </row>
    <row r="34" spans="1:62" ht="30" customHeight="1" thickTop="1" x14ac:dyDescent="0.25">
      <c r="A34" s="1"/>
      <c r="B34" s="30">
        <f ca="1">IF(AD208=0,0,AD208)</f>
        <v>600000</v>
      </c>
      <c r="C34" s="31" t="str">
        <f ca="1">IF(B34="","","estimated eligible compensation under state law")</f>
        <v>estimated eligible compensation under state law</v>
      </c>
      <c r="D34" s="1"/>
      <c r="E34" s="1"/>
      <c r="F34" s="1"/>
    </row>
    <row r="35" spans="1:62" ht="4.95" customHeight="1" x14ac:dyDescent="0.25">
      <c r="A35" s="1"/>
      <c r="B35" s="30"/>
      <c r="C35" s="31"/>
      <c r="D35" s="1"/>
      <c r="E35" s="1"/>
      <c r="F35" s="1"/>
    </row>
    <row r="36" spans="1:62" x14ac:dyDescent="0.25">
      <c r="A36" s="1"/>
      <c r="B36" s="1"/>
      <c r="C36" s="1"/>
      <c r="D36" s="1"/>
      <c r="E36" s="1"/>
      <c r="F36" s="1"/>
    </row>
    <row r="37" spans="1:62" ht="30" customHeight="1" x14ac:dyDescent="0.25">
      <c r="A37" s="1"/>
      <c r="B37" s="33"/>
      <c r="C37" s="33"/>
      <c r="D37" s="33"/>
      <c r="E37" s="1"/>
      <c r="F37" s="1"/>
    </row>
    <row r="38" spans="1:62" ht="30" customHeight="1" x14ac:dyDescent="0.25">
      <c r="A38" s="1"/>
      <c r="B38" s="33"/>
      <c r="C38" s="33"/>
      <c r="D38" s="33"/>
      <c r="E38" s="1"/>
      <c r="F38" s="1"/>
    </row>
    <row r="39" spans="1:62" ht="30" customHeight="1" x14ac:dyDescent="0.25">
      <c r="A39" s="1"/>
      <c r="B39" s="33"/>
      <c r="C39" s="33"/>
      <c r="D39" s="33"/>
      <c r="E39" s="1"/>
      <c r="F39" s="1"/>
    </row>
    <row r="40" spans="1:62" ht="30" customHeight="1" x14ac:dyDescent="0.25">
      <c r="A40" s="1"/>
      <c r="B40" s="33"/>
      <c r="C40" s="33"/>
      <c r="D40" s="33"/>
      <c r="E40" s="1"/>
      <c r="F40" s="1"/>
    </row>
    <row r="41" spans="1:62" ht="30" customHeight="1" x14ac:dyDescent="0.25">
      <c r="A41" s="1"/>
      <c r="B41" s="33"/>
      <c r="C41" s="33"/>
      <c r="D41" s="33"/>
      <c r="E41" s="1"/>
      <c r="F41" s="1"/>
    </row>
    <row r="42" spans="1:62" ht="30" customHeight="1" x14ac:dyDescent="0.25">
      <c r="A42" s="1"/>
      <c r="B42" s="33"/>
      <c r="C42" s="33"/>
      <c r="D42" s="33"/>
      <c r="E42" s="1"/>
      <c r="F42" s="1"/>
    </row>
    <row r="43" spans="1:62" ht="30" customHeight="1" x14ac:dyDescent="0.25">
      <c r="A43" s="1"/>
      <c r="B43" s="510" t="s">
        <v>22</v>
      </c>
      <c r="C43" s="510"/>
      <c r="D43" s="510"/>
      <c r="E43" s="1"/>
      <c r="F43" s="1"/>
    </row>
    <row r="44" spans="1:62" ht="15" customHeight="1" x14ac:dyDescent="0.25">
      <c r="A44" s="1"/>
      <c r="B44" s="30"/>
      <c r="C44" s="31"/>
      <c r="D44" s="1"/>
      <c r="E44" s="1"/>
      <c r="F44" s="1"/>
    </row>
    <row r="45" spans="1:62" ht="19.95" customHeight="1" x14ac:dyDescent="0.25">
      <c r="A45" s="1"/>
      <c r="B45" s="511" t="s">
        <v>23</v>
      </c>
      <c r="C45" s="511"/>
      <c r="D45" s="511"/>
      <c r="E45" s="1"/>
      <c r="F45" s="1"/>
    </row>
    <row r="46" spans="1:62" ht="72" customHeight="1" x14ac:dyDescent="0.25">
      <c r="A46" s="1"/>
      <c r="B46" s="512" t="str">
        <f>AC792</f>
        <v>Collateral consequences create second-class citizens, often without measurable outcomes to test if meeting their intended purpose. Consequently, they can have the opposite effect, like enabling recidivism--even among the wrongly convicted. this claimant reports enduring so many of these consequences to the point of being cut off from opportunities to live independently. You can help change this.</v>
      </c>
      <c r="C46" s="512"/>
      <c r="D46" s="512"/>
      <c r="E46" s="1"/>
      <c r="F46" s="1"/>
      <c r="BH46" s="30" t="s">
        <v>24</v>
      </c>
      <c r="BJ46" s="34" t="s">
        <v>25</v>
      </c>
    </row>
    <row r="47" spans="1:62" ht="4.95" customHeight="1" x14ac:dyDescent="0.25">
      <c r="A47" s="1"/>
      <c r="B47" s="30"/>
      <c r="C47" s="31"/>
      <c r="D47" s="1"/>
      <c r="E47" s="1"/>
      <c r="F47" s="1"/>
      <c r="BH47" s="30"/>
      <c r="BJ47" s="34"/>
    </row>
    <row r="48" spans="1:62" ht="19.95" customHeight="1" x14ac:dyDescent="0.25">
      <c r="A48" s="1"/>
      <c r="B48" s="511" t="s">
        <v>26</v>
      </c>
      <c r="C48" s="511"/>
      <c r="D48" s="511"/>
      <c r="E48" s="1"/>
      <c r="F48" s="1"/>
      <c r="BH48" s="30" t="s">
        <v>27</v>
      </c>
    </row>
    <row r="49" spans="1:60" ht="60" customHeight="1" x14ac:dyDescent="0.25">
      <c r="A49" s="1"/>
      <c r="B49" s="512" t="str">
        <f>AC811</f>
        <v>Collateral consequences also impact others in Steph Turner's life. Steph Turner shares how family members have suffered from anxiety, depression, divorce, housing instability, poverty, stigma, among other things. You can help improve their lives too!</v>
      </c>
      <c r="C49" s="512"/>
      <c r="D49" s="512"/>
      <c r="E49" s="1"/>
      <c r="F49" s="1"/>
      <c r="BH49" s="30"/>
    </row>
    <row r="50" spans="1:60" ht="4.95" customHeight="1" x14ac:dyDescent="0.25">
      <c r="A50" s="1"/>
      <c r="B50" s="30"/>
      <c r="C50" s="31"/>
      <c r="D50" s="1"/>
      <c r="E50" s="1"/>
      <c r="F50" s="1"/>
      <c r="BH50" s="30"/>
    </row>
    <row r="51" spans="1:60" ht="19.95" customHeight="1" x14ac:dyDescent="0.25">
      <c r="A51" s="1"/>
      <c r="B51" s="511" t="s">
        <v>28</v>
      </c>
      <c r="C51" s="511"/>
      <c r="D51" s="511"/>
      <c r="E51" s="1"/>
      <c r="F51" s="1"/>
      <c r="BH51" s="30" t="s">
        <v>29</v>
      </c>
    </row>
    <row r="52" spans="1:60" ht="60" customHeight="1" x14ac:dyDescent="0.25">
      <c r="A52" s="1"/>
      <c r="B52" s="512" t="str">
        <f>AC836</f>
        <v xml:space="preserve">Despite challenging economic needs, mental health needs, relationships needs, and other needs, this claimant aspires toward income independence, maintaining healthy lifestyle, and other life improvements. Removing illicit discrimination will go a long way toward improving this claimant's life. </v>
      </c>
      <c r="C52" s="512"/>
      <c r="D52" s="512"/>
      <c r="E52" s="1"/>
      <c r="F52" s="1"/>
      <c r="BH52" s="30"/>
    </row>
    <row r="53" spans="1:60" ht="4.95" customHeight="1" x14ac:dyDescent="0.25">
      <c r="A53" s="1"/>
      <c r="B53" s="30"/>
      <c r="C53" s="31"/>
      <c r="D53" s="1"/>
      <c r="E53" s="1"/>
      <c r="F53" s="1"/>
      <c r="BH53" s="30"/>
    </row>
    <row r="54" spans="1:60" ht="15" customHeight="1" x14ac:dyDescent="0.25">
      <c r="A54" s="1"/>
      <c r="B54" s="30"/>
      <c r="C54" s="31"/>
      <c r="D54" s="1"/>
      <c r="E54" s="1"/>
      <c r="F54" s="1"/>
      <c r="AD54" s="35" t="str">
        <f>B208</f>
        <v>Michigan</v>
      </c>
      <c r="AE54" s="36"/>
      <c r="AF54" s="36"/>
      <c r="AG54" s="36"/>
      <c r="AH54" s="37"/>
      <c r="AI54" s="56" t="str">
        <f>D272</f>
        <v>yes</v>
      </c>
      <c r="BH54" s="30"/>
    </row>
    <row r="55" spans="1:60" ht="19.95" customHeight="1" x14ac:dyDescent="0.25">
      <c r="A55" s="1"/>
      <c r="B55" s="511" t="s">
        <v>30</v>
      </c>
      <c r="C55" s="511"/>
      <c r="D55" s="511"/>
      <c r="E55" s="1"/>
      <c r="F55" s="1"/>
      <c r="AD55" s="56" t="s">
        <v>31</v>
      </c>
      <c r="BH55" s="30" t="s">
        <v>32</v>
      </c>
    </row>
    <row r="56" spans="1:60" ht="60" customHeight="1" x14ac:dyDescent="0.25">
      <c r="A56" s="1"/>
      <c r="B56" s="512" t="str">
        <f>IF(AD54="",AD55,AC2157)</f>
        <v xml:space="preserve">Unfortunately, Michigan does not limit how far back and employer can run a background check. Background screeners must rely on indiscriminate records that fail to distinguish between "reliable evidence-based convictions" and "non-exonerated wrongful convictions"--permitting illicit discrimination. </v>
      </c>
      <c r="C56" s="512"/>
      <c r="D56" s="512"/>
      <c r="E56" s="1"/>
      <c r="F56" s="1"/>
      <c r="AD56" s="56" t="str">
        <f>IF(AND($AD$54=$B2167,$AI$54=$B$2163),AC2167,"")</f>
        <v/>
      </c>
    </row>
    <row r="57" spans="1:60" ht="15" customHeight="1" x14ac:dyDescent="0.25">
      <c r="A57" s="1"/>
      <c r="B57" s="30"/>
      <c r="C57" s="31"/>
      <c r="D57" s="1"/>
      <c r="E57" s="1"/>
      <c r="F57" s="1"/>
    </row>
    <row r="58" spans="1:60" ht="19.95" customHeight="1" x14ac:dyDescent="0.25">
      <c r="A58" s="1"/>
      <c r="B58" s="511" t="s">
        <v>33</v>
      </c>
      <c r="C58" s="511"/>
      <c r="D58" s="511"/>
      <c r="E58" s="1"/>
      <c r="F58" s="1"/>
    </row>
    <row r="59" spans="1:60" ht="49.95" customHeight="1" x14ac:dyDescent="0.25">
      <c r="A59" s="1"/>
      <c r="B59" s="513" t="str">
        <f>AD920</f>
        <v>Steph understandably experiences some anxiety from the wrongful conviction. Once hired, much of that should clear up. If not, Value Relating can help.</v>
      </c>
      <c r="C59" s="513"/>
      <c r="D59" s="513"/>
      <c r="E59" s="1"/>
      <c r="F59" s="1"/>
    </row>
    <row r="60" spans="1:60" ht="49.95" customHeight="1" x14ac:dyDescent="0.25">
      <c r="A60" s="1"/>
      <c r="B60" s="513" t="str">
        <f>AD1043</f>
        <v>Steph understandably experiences some depression from the wrongful conviction. The wrongful conviction produces plenty of depressing economic conditions. Once hired, much of that should clear up. If not, Value Relating can help.</v>
      </c>
      <c r="C60" s="513"/>
      <c r="D60" s="513"/>
      <c r="E60" s="1"/>
      <c r="F60" s="1"/>
      <c r="AD60" s="56" t="str">
        <f>CONCATENATE(AG61,AO62,AG63)</f>
        <v>You need those you trust to be trustworthy. Right? You need them to make informed decisions about you, so they don’t waste your precious time. Likewise, Steph needs those they trust, like you, to be trustworthy. They need those like you to be better informed in their decisions regarding them. Acknowledging the widespread problem of wrongful convictions is a start. Using this estimate of innocence can help you make better decisions.</v>
      </c>
    </row>
    <row r="61" spans="1:60" ht="15" customHeight="1" x14ac:dyDescent="0.25">
      <c r="A61" s="1"/>
      <c r="B61" s="30"/>
      <c r="C61" s="31"/>
      <c r="D61" s="1"/>
      <c r="E61" s="1"/>
      <c r="F61" s="1"/>
      <c r="AG61" s="56" t="s">
        <v>34</v>
      </c>
    </row>
    <row r="62" spans="1:60" ht="15" customHeight="1" x14ac:dyDescent="0.25">
      <c r="A62" s="1"/>
      <c r="B62" s="511" t="s">
        <v>35</v>
      </c>
      <c r="C62" s="511"/>
      <c r="D62" s="511"/>
      <c r="E62" s="1"/>
      <c r="F62" s="1"/>
      <c r="AG62" s="56" t="s">
        <v>36</v>
      </c>
      <c r="AI62" s="56" t="str">
        <f>C152</f>
        <v>Steph</v>
      </c>
      <c r="AO62" s="56" t="str">
        <f>IF(OR(AI62=AD152,AI62=""),AG62,AI62)</f>
        <v>Steph</v>
      </c>
    </row>
    <row r="63" spans="1:60" ht="85.05" customHeight="1" x14ac:dyDescent="0.25">
      <c r="A63" s="1"/>
      <c r="B63" s="512" t="str">
        <f>AD60</f>
        <v>You need those you trust to be trustworthy. Right? You need them to make informed decisions about you, so they don’t waste your precious time. Likewise, Steph needs those they trust, like you, to be trustworthy. They need those like you to be better informed in their decisions regarding them. Acknowledging the widespread problem of wrongful convictions is a start. Using this estimate of innocence can help you make better decisions.</v>
      </c>
      <c r="C63" s="512"/>
      <c r="D63" s="512"/>
      <c r="E63" s="1"/>
      <c r="F63" s="1"/>
      <c r="AG63" s="56" t="s">
        <v>37</v>
      </c>
    </row>
    <row r="64" spans="1:60" ht="15" customHeight="1" x14ac:dyDescent="0.25">
      <c r="A64" s="1"/>
      <c r="B64" s="30"/>
      <c r="C64" s="31"/>
      <c r="D64" s="1"/>
      <c r="E64" s="1"/>
      <c r="F64" s="1"/>
    </row>
    <row r="65" spans="1:6" ht="30" customHeight="1" x14ac:dyDescent="0.35">
      <c r="A65" s="38" t="s">
        <v>38</v>
      </c>
      <c r="B65" s="1"/>
      <c r="C65" s="1"/>
      <c r="D65" s="1"/>
      <c r="E65" s="1"/>
      <c r="F65" s="1"/>
    </row>
    <row r="66" spans="1:6" ht="15" customHeight="1" x14ac:dyDescent="0.25">
      <c r="A66" s="1"/>
      <c r="B66" s="30"/>
      <c r="C66" s="31"/>
      <c r="D66" s="1"/>
      <c r="E66" s="1"/>
      <c r="F66" s="1"/>
    </row>
    <row r="67" spans="1:6" ht="15" customHeight="1" x14ac:dyDescent="0.25">
      <c r="A67" s="1"/>
      <c r="B67" s="30"/>
      <c r="C67" s="31"/>
      <c r="D67" s="1"/>
      <c r="E67" s="1"/>
      <c r="F67" s="1"/>
    </row>
    <row r="68" spans="1:6" ht="15" customHeight="1" x14ac:dyDescent="0.25">
      <c r="A68" s="1"/>
      <c r="B68" s="30"/>
      <c r="C68" s="31"/>
      <c r="D68" s="1"/>
      <c r="E68" s="1"/>
      <c r="F68" s="1"/>
    </row>
    <row r="69" spans="1:6" ht="15" customHeight="1" x14ac:dyDescent="0.25">
      <c r="A69" s="1"/>
      <c r="B69" s="30"/>
      <c r="C69" s="31"/>
      <c r="D69" s="1"/>
      <c r="E69" s="1"/>
      <c r="F69" s="1"/>
    </row>
    <row r="70" spans="1:6" ht="15" customHeight="1" x14ac:dyDescent="0.25">
      <c r="A70" s="1"/>
      <c r="B70" s="30"/>
      <c r="C70" s="31"/>
      <c r="D70" s="1"/>
      <c r="E70" s="1"/>
      <c r="F70" s="1"/>
    </row>
    <row r="71" spans="1:6" ht="15" customHeight="1" x14ac:dyDescent="0.25">
      <c r="A71" s="1"/>
      <c r="B71" s="1"/>
      <c r="C71" s="31"/>
      <c r="D71" s="1"/>
      <c r="E71" s="1"/>
      <c r="F71" s="1"/>
    </row>
    <row r="72" spans="1:6" ht="30" customHeight="1" x14ac:dyDescent="0.25">
      <c r="A72" s="1"/>
      <c r="B72" s="1"/>
      <c r="C72" s="31"/>
      <c r="D72" s="1"/>
      <c r="E72" s="1"/>
      <c r="F72" s="1"/>
    </row>
    <row r="73" spans="1:6" ht="15" customHeight="1" x14ac:dyDescent="0.25">
      <c r="A73" s="1"/>
      <c r="B73" s="1"/>
      <c r="C73" s="31"/>
      <c r="D73" s="1"/>
      <c r="E73" s="1"/>
      <c r="F73" s="1"/>
    </row>
    <row r="74" spans="1:6" ht="15" customHeight="1" x14ac:dyDescent="0.25">
      <c r="A74" s="1"/>
      <c r="B74" s="1"/>
      <c r="C74" s="31"/>
      <c r="D74" s="1"/>
      <c r="E74" s="1"/>
      <c r="F74" s="1"/>
    </row>
    <row r="75" spans="1:6" ht="15" customHeight="1" x14ac:dyDescent="0.25">
      <c r="A75" s="1"/>
      <c r="B75" s="30"/>
      <c r="C75" s="31"/>
      <c r="D75" s="1"/>
      <c r="E75" s="1"/>
      <c r="F75" s="1"/>
    </row>
    <row r="76" spans="1:6" ht="15" customHeight="1" x14ac:dyDescent="0.25">
      <c r="A76" s="1"/>
      <c r="B76" s="30"/>
      <c r="C76" s="31"/>
      <c r="D76" s="1"/>
      <c r="E76" s="1"/>
      <c r="F76" s="1"/>
    </row>
    <row r="77" spans="1:6" ht="15" customHeight="1" x14ac:dyDescent="0.25">
      <c r="A77" s="1"/>
      <c r="B77" s="30"/>
      <c r="C77" s="31"/>
      <c r="D77" s="1"/>
      <c r="E77" s="1"/>
      <c r="F77" s="1"/>
    </row>
    <row r="78" spans="1:6" ht="15" customHeight="1" x14ac:dyDescent="0.25">
      <c r="A78" s="1"/>
      <c r="B78" s="30"/>
      <c r="C78" s="31"/>
      <c r="D78" s="1"/>
      <c r="E78" s="1"/>
      <c r="F78" s="1"/>
    </row>
    <row r="79" spans="1:6" ht="15" customHeight="1" x14ac:dyDescent="0.25">
      <c r="A79" s="1"/>
      <c r="B79" s="30"/>
      <c r="C79" s="31"/>
      <c r="D79" s="1"/>
      <c r="E79" s="1"/>
      <c r="F79" s="1"/>
    </row>
    <row r="80" spans="1:6" ht="15" customHeight="1" x14ac:dyDescent="0.25">
      <c r="A80" s="1"/>
      <c r="B80" s="30"/>
      <c r="C80" s="31"/>
      <c r="D80" s="1"/>
      <c r="E80" s="1"/>
      <c r="F80" s="1"/>
    </row>
    <row r="81" spans="1:77" ht="15" customHeight="1" x14ac:dyDescent="0.25">
      <c r="A81" s="1"/>
      <c r="B81" s="30"/>
      <c r="C81" s="31"/>
      <c r="D81" s="1"/>
      <c r="E81" s="1"/>
      <c r="F81" s="1"/>
    </row>
    <row r="82" spans="1:77" ht="15" customHeight="1" x14ac:dyDescent="0.25">
      <c r="A82" s="1"/>
      <c r="B82" s="30"/>
      <c r="C82" s="31"/>
      <c r="D82" s="1"/>
      <c r="E82" s="1"/>
      <c r="F82" s="1"/>
    </row>
    <row r="83" spans="1:77" ht="15" customHeight="1" x14ac:dyDescent="0.25">
      <c r="A83" s="1"/>
      <c r="B83" s="30"/>
      <c r="C83" s="31"/>
      <c r="D83" s="1"/>
      <c r="E83" s="1"/>
      <c r="F83" s="1"/>
    </row>
    <row r="84" spans="1:77" ht="15" customHeight="1" x14ac:dyDescent="0.25">
      <c r="A84" s="1"/>
      <c r="B84" s="30"/>
      <c r="C84" s="518" t="s">
        <v>39</v>
      </c>
      <c r="D84" s="519" t="s">
        <v>40</v>
      </c>
      <c r="E84" s="519"/>
      <c r="F84" s="1"/>
    </row>
    <row r="85" spans="1:77" ht="15" customHeight="1" thickBot="1" x14ac:dyDescent="0.3">
      <c r="A85" s="1"/>
      <c r="B85" s="30"/>
      <c r="C85" s="518"/>
      <c r="D85" s="519"/>
      <c r="E85" s="519"/>
      <c r="F85" s="1"/>
    </row>
    <row r="86" spans="1:77" ht="15" customHeight="1" x14ac:dyDescent="0.25">
      <c r="A86" s="1"/>
      <c r="B86" s="514" t="s">
        <v>41</v>
      </c>
      <c r="C86" s="520" t="s">
        <v>42</v>
      </c>
      <c r="D86" s="521" t="s">
        <v>43</v>
      </c>
      <c r="E86" s="522"/>
      <c r="F86" s="1"/>
    </row>
    <row r="87" spans="1:77" ht="15" customHeight="1" x14ac:dyDescent="0.25">
      <c r="A87" s="1"/>
      <c r="B87" s="514"/>
      <c r="C87" s="515"/>
      <c r="D87" s="516"/>
      <c r="E87" s="517"/>
      <c r="F87" s="1"/>
    </row>
    <row r="88" spans="1:77" ht="15" customHeight="1" x14ac:dyDescent="0.25">
      <c r="A88" s="1"/>
      <c r="B88" s="514" t="s">
        <v>44</v>
      </c>
      <c r="C88" s="515" t="s">
        <v>45</v>
      </c>
      <c r="D88" s="516" t="s">
        <v>46</v>
      </c>
      <c r="E88" s="517"/>
      <c r="F88" s="1"/>
    </row>
    <row r="89" spans="1:77" ht="15" customHeight="1" x14ac:dyDescent="0.25">
      <c r="A89" s="1"/>
      <c r="B89" s="514"/>
      <c r="C89" s="515"/>
      <c r="D89" s="516"/>
      <c r="E89" s="517"/>
      <c r="F89" s="1"/>
    </row>
    <row r="90" spans="1:77" ht="15" customHeight="1" x14ac:dyDescent="0.25">
      <c r="A90" s="1"/>
      <c r="B90" s="514" t="s">
        <v>47</v>
      </c>
      <c r="C90" s="515" t="s">
        <v>48</v>
      </c>
      <c r="D90" s="516" t="s">
        <v>49</v>
      </c>
      <c r="E90" s="517"/>
      <c r="F90" s="1"/>
    </row>
    <row r="91" spans="1:77" ht="15" customHeight="1" x14ac:dyDescent="0.25">
      <c r="A91" s="1"/>
      <c r="B91" s="514"/>
      <c r="C91" s="515"/>
      <c r="D91" s="516"/>
      <c r="E91" s="517"/>
      <c r="F91" s="1"/>
    </row>
    <row r="92" spans="1:77" ht="15" customHeight="1" x14ac:dyDescent="0.25">
      <c r="A92" s="1"/>
      <c r="B92" s="514" t="s">
        <v>50</v>
      </c>
      <c r="C92" s="515" t="s">
        <v>51</v>
      </c>
      <c r="D92" s="516" t="s">
        <v>52</v>
      </c>
      <c r="E92" s="517"/>
      <c r="F92" s="1"/>
    </row>
    <row r="93" spans="1:77" ht="15" customHeight="1" x14ac:dyDescent="0.25">
      <c r="A93" s="1"/>
      <c r="B93" s="514"/>
      <c r="C93" s="515"/>
      <c r="D93" s="516"/>
      <c r="E93" s="517"/>
      <c r="F93" s="1"/>
    </row>
    <row r="94" spans="1:77" ht="15" customHeight="1" x14ac:dyDescent="0.25">
      <c r="A94" s="1"/>
      <c r="B94" s="514" t="s">
        <v>53</v>
      </c>
      <c r="C94" s="515" t="s">
        <v>54</v>
      </c>
      <c r="D94" s="516" t="s">
        <v>55</v>
      </c>
      <c r="E94" s="517"/>
      <c r="F94" s="1"/>
    </row>
    <row r="95" spans="1:77" ht="15" customHeight="1" x14ac:dyDescent="0.25">
      <c r="A95" s="1"/>
      <c r="B95" s="514"/>
      <c r="C95" s="515"/>
      <c r="D95" s="516"/>
      <c r="E95" s="517"/>
      <c r="F95" s="1"/>
    </row>
    <row r="96" spans="1:77" ht="15" customHeight="1" x14ac:dyDescent="0.25">
      <c r="A96" s="1"/>
      <c r="B96" s="514" t="s">
        <v>56</v>
      </c>
      <c r="C96" s="515" t="s">
        <v>57</v>
      </c>
      <c r="D96" s="516" t="s">
        <v>58</v>
      </c>
      <c r="E96" s="517"/>
      <c r="F96" s="1"/>
      <c r="BY96" s="34" t="s">
        <v>25</v>
      </c>
    </row>
    <row r="97" spans="1:77" ht="15" customHeight="1" x14ac:dyDescent="0.25">
      <c r="A97" s="1"/>
      <c r="B97" s="514"/>
      <c r="C97" s="515"/>
      <c r="D97" s="516"/>
      <c r="E97" s="517"/>
      <c r="F97" s="1"/>
      <c r="BY97" s="34" t="s">
        <v>59</v>
      </c>
    </row>
    <row r="98" spans="1:77" ht="15" customHeight="1" x14ac:dyDescent="0.25">
      <c r="A98" s="1"/>
      <c r="B98" s="514" t="s">
        <v>60</v>
      </c>
      <c r="C98" s="515" t="s">
        <v>61</v>
      </c>
      <c r="D98" s="516" t="s">
        <v>62</v>
      </c>
      <c r="E98" s="517"/>
      <c r="F98" s="1"/>
      <c r="BY98" s="34" t="s">
        <v>63</v>
      </c>
    </row>
    <row r="99" spans="1:77" ht="15" customHeight="1" x14ac:dyDescent="0.25">
      <c r="A99" s="1"/>
      <c r="B99" s="514"/>
      <c r="C99" s="515"/>
      <c r="D99" s="516"/>
      <c r="E99" s="517"/>
      <c r="F99" s="1"/>
      <c r="BY99" s="34" t="s">
        <v>64</v>
      </c>
    </row>
    <row r="100" spans="1:77" ht="15" customHeight="1" x14ac:dyDescent="0.25">
      <c r="A100" s="1"/>
      <c r="B100" s="514" t="s">
        <v>65</v>
      </c>
      <c r="C100" s="515" t="s">
        <v>66</v>
      </c>
      <c r="D100" s="516" t="s">
        <v>67</v>
      </c>
      <c r="E100" s="517"/>
      <c r="F100" s="1"/>
    </row>
    <row r="101" spans="1:77" ht="15" customHeight="1" thickBot="1" x14ac:dyDescent="0.3">
      <c r="A101" s="1"/>
      <c r="B101" s="514"/>
      <c r="C101" s="523"/>
      <c r="D101" s="524"/>
      <c r="E101" s="525"/>
      <c r="F101" s="1"/>
    </row>
    <row r="102" spans="1:77" ht="15" customHeight="1" x14ac:dyDescent="0.3">
      <c r="A102" s="1"/>
      <c r="B102" s="30"/>
      <c r="C102" s="31"/>
      <c r="D102" s="1"/>
      <c r="E102" s="1"/>
      <c r="F102" s="1"/>
      <c r="AL102" s="80"/>
    </row>
    <row r="103" spans="1:77" ht="15" customHeight="1" x14ac:dyDescent="0.25">
      <c r="A103" s="1"/>
      <c r="B103" s="30"/>
      <c r="C103" s="31"/>
      <c r="D103" s="1"/>
      <c r="E103" s="1"/>
      <c r="F103" s="1"/>
    </row>
    <row r="104" spans="1:77" ht="49.95" customHeight="1" x14ac:dyDescent="0.25">
      <c r="A104" s="1"/>
      <c r="B104" s="30"/>
      <c r="C104" s="31"/>
      <c r="D104" s="1"/>
      <c r="E104" s="1"/>
      <c r="F104" s="1"/>
    </row>
    <row r="105" spans="1:77" ht="10.050000000000001" customHeight="1" x14ac:dyDescent="0.25">
      <c r="A105" s="1"/>
      <c r="B105" s="30"/>
      <c r="C105" s="31"/>
      <c r="D105" s="1"/>
      <c r="E105" s="1"/>
      <c r="F105" s="1"/>
    </row>
    <row r="106" spans="1:77" ht="25.05" customHeight="1" x14ac:dyDescent="0.35">
      <c r="A106" s="39" t="s">
        <v>68</v>
      </c>
      <c r="B106" s="1"/>
      <c r="C106" s="1"/>
      <c r="D106" s="1"/>
      <c r="E106" s="1"/>
      <c r="F106" s="1"/>
    </row>
    <row r="107" spans="1:77" ht="4.95" customHeight="1" x14ac:dyDescent="0.35">
      <c r="A107" s="39"/>
      <c r="B107" s="1"/>
      <c r="C107" s="1"/>
      <c r="D107" s="1"/>
      <c r="E107" s="1"/>
      <c r="F107" s="1"/>
    </row>
    <row r="108" spans="1:77" ht="18" customHeight="1" x14ac:dyDescent="0.5">
      <c r="A108" s="40" t="s">
        <v>69</v>
      </c>
      <c r="B108" s="40" t="str">
        <f>B149</f>
        <v>Case information</v>
      </c>
      <c r="C108" s="1"/>
      <c r="D108" s="1"/>
      <c r="E108" s="1"/>
      <c r="F108" s="1"/>
    </row>
    <row r="109" spans="1:77" ht="13.95" customHeight="1" x14ac:dyDescent="0.25">
      <c r="A109" s="41"/>
      <c r="B109" s="44" t="s">
        <v>70</v>
      </c>
      <c r="C109" s="41"/>
      <c r="D109" s="41"/>
      <c r="E109" s="1"/>
      <c r="F109" s="1"/>
    </row>
    <row r="110" spans="1:77" ht="18" customHeight="1" x14ac:dyDescent="0.5">
      <c r="A110" s="40" t="s">
        <v>71</v>
      </c>
      <c r="B110" s="40" t="str">
        <f>B296</f>
        <v>Documentation for verification</v>
      </c>
      <c r="C110" s="1"/>
      <c r="D110" s="1"/>
      <c r="E110" s="1"/>
      <c r="F110" s="1"/>
    </row>
    <row r="111" spans="1:77" ht="13.95" customHeight="1" x14ac:dyDescent="0.25">
      <c r="A111" s="41"/>
      <c r="B111" s="44" t="s">
        <v>72</v>
      </c>
      <c r="C111" s="41"/>
      <c r="D111" s="41"/>
      <c r="E111" s="1"/>
      <c r="F111" s="1"/>
    </row>
    <row r="112" spans="1:77" ht="18" customHeight="1" x14ac:dyDescent="0.5">
      <c r="A112" s="42" t="s">
        <v>73</v>
      </c>
      <c r="B112" s="43" t="str">
        <f>B462</f>
        <v>Common factors in wrongful convictions</v>
      </c>
      <c r="C112" s="1"/>
      <c r="D112" s="1"/>
      <c r="E112" s="1"/>
      <c r="F112" s="1"/>
    </row>
    <row r="113" spans="1:47" ht="13.95" customHeight="1" x14ac:dyDescent="0.4">
      <c r="A113" s="42"/>
      <c r="B113" s="484" t="s">
        <v>74</v>
      </c>
      <c r="C113" s="41"/>
      <c r="D113" s="41"/>
      <c r="E113" s="1"/>
      <c r="F113" s="1"/>
    </row>
    <row r="114" spans="1:47" ht="18" customHeight="1" x14ac:dyDescent="0.5">
      <c r="A114" s="42" t="s">
        <v>75</v>
      </c>
      <c r="B114" s="43" t="str">
        <f>B497</f>
        <v>Evidentiary factors</v>
      </c>
      <c r="C114" s="1"/>
      <c r="D114" s="1"/>
      <c r="E114" s="1"/>
      <c r="F114" s="1"/>
    </row>
    <row r="115" spans="1:47" ht="13.95" customHeight="1" x14ac:dyDescent="0.4">
      <c r="A115" s="42"/>
      <c r="B115" s="484" t="s">
        <v>76</v>
      </c>
      <c r="C115" s="41"/>
      <c r="D115" s="41"/>
      <c r="E115" s="1"/>
      <c r="F115" s="1"/>
    </row>
    <row r="116" spans="1:47" ht="18" customHeight="1" x14ac:dyDescent="0.5">
      <c r="A116" s="42" t="s">
        <v>77</v>
      </c>
      <c r="B116" s="43" t="str">
        <f>B531</f>
        <v>Investigative factors</v>
      </c>
      <c r="C116" s="1"/>
      <c r="D116" s="1"/>
      <c r="E116" s="1"/>
      <c r="F116" s="1"/>
    </row>
    <row r="117" spans="1:47" ht="13.95" customHeight="1" x14ac:dyDescent="0.4">
      <c r="A117" s="42"/>
      <c r="B117" s="484" t="s">
        <v>78</v>
      </c>
      <c r="C117" s="41"/>
      <c r="D117" s="41"/>
      <c r="E117" s="1"/>
      <c r="F117" s="1"/>
    </row>
    <row r="118" spans="1:47" ht="18" customHeight="1" x14ac:dyDescent="0.5">
      <c r="A118" s="42" t="s">
        <v>79</v>
      </c>
      <c r="B118" s="43" t="str">
        <f>B565</f>
        <v>Complicating factors</v>
      </c>
      <c r="C118" s="1"/>
      <c r="D118" s="1"/>
      <c r="E118" s="1"/>
      <c r="F118" s="1"/>
    </row>
    <row r="119" spans="1:47" ht="13.95" customHeight="1" x14ac:dyDescent="0.4">
      <c r="A119" s="42"/>
      <c r="B119" s="484" t="s">
        <v>80</v>
      </c>
      <c r="C119" s="41"/>
      <c r="D119" s="41"/>
      <c r="E119" s="1"/>
      <c r="F119" s="1"/>
    </row>
    <row r="120" spans="1:47" ht="18" customHeight="1" x14ac:dyDescent="0.5">
      <c r="A120" s="42" t="s">
        <v>81</v>
      </c>
      <c r="B120" s="43" t="str">
        <f>B599</f>
        <v>Claimant’s demonstratable innocence</v>
      </c>
      <c r="C120" s="1"/>
      <c r="D120" s="1"/>
      <c r="E120" s="1"/>
      <c r="F120" s="1"/>
    </row>
    <row r="121" spans="1:47" ht="13.95" customHeight="1" x14ac:dyDescent="0.4">
      <c r="A121" s="42"/>
      <c r="B121" s="484" t="s">
        <v>82</v>
      </c>
      <c r="C121" s="41"/>
      <c r="D121" s="41"/>
      <c r="E121" s="1"/>
      <c r="F121" s="1"/>
    </row>
    <row r="122" spans="1:47" ht="18" customHeight="1" x14ac:dyDescent="0.5">
      <c r="A122" s="42" t="s">
        <v>83</v>
      </c>
      <c r="B122" s="43" t="str">
        <f>B642</f>
        <v>Claimant’s innocence recognized by others</v>
      </c>
      <c r="C122" s="1"/>
      <c r="D122" s="1"/>
      <c r="E122" s="1"/>
      <c r="F122" s="1"/>
    </row>
    <row r="123" spans="1:47" ht="13.95" customHeight="1" x14ac:dyDescent="0.4">
      <c r="A123" s="42"/>
      <c r="B123" s="484" t="s">
        <v>84</v>
      </c>
      <c r="C123" s="41"/>
      <c r="D123" s="41"/>
      <c r="E123" s="1"/>
      <c r="F123" s="1"/>
    </row>
    <row r="124" spans="1:47" ht="18" customHeight="1" x14ac:dyDescent="0.5">
      <c r="A124" s="42" t="s">
        <v>85</v>
      </c>
      <c r="B124" s="43" t="str">
        <f>B681</f>
        <v>Other</v>
      </c>
      <c r="C124" s="1"/>
      <c r="D124" s="1"/>
      <c r="E124" s="1"/>
      <c r="F124" s="1"/>
      <c r="AP124" s="56" t="str">
        <f>_Toc525862528</f>
        <v>Notifying</v>
      </c>
    </row>
    <row r="125" spans="1:47" ht="13.95" customHeight="1" x14ac:dyDescent="0.4">
      <c r="A125" s="42"/>
      <c r="B125" s="484" t="s">
        <v>86</v>
      </c>
      <c r="C125" s="41"/>
      <c r="D125" s="41"/>
      <c r="E125" s="1"/>
      <c r="F125" s="1"/>
    </row>
    <row r="126" spans="1:47" ht="18" customHeight="1" x14ac:dyDescent="0.5">
      <c r="A126" s="42" t="s">
        <v>87</v>
      </c>
      <c r="B126" s="43" t="str">
        <f>B691</f>
        <v>Process</v>
      </c>
      <c r="C126" s="1"/>
      <c r="D126" s="1"/>
      <c r="E126" s="1"/>
      <c r="F126" s="1"/>
    </row>
    <row r="127" spans="1:47" ht="13.95" customHeight="1" x14ac:dyDescent="0.4">
      <c r="A127" s="42"/>
      <c r="B127" s="484" t="s">
        <v>88</v>
      </c>
      <c r="C127" s="41"/>
      <c r="D127" s="41"/>
      <c r="E127" s="1"/>
      <c r="F127" s="1"/>
    </row>
    <row r="128" spans="1:47" ht="18" customHeight="1" x14ac:dyDescent="0.5">
      <c r="A128" s="40" t="s">
        <v>89</v>
      </c>
      <c r="B128" s="40" t="str">
        <f>B719</f>
        <v>Requests and responses for exoneration help</v>
      </c>
      <c r="C128" s="1"/>
      <c r="D128" s="1"/>
      <c r="E128" s="1"/>
      <c r="F128" s="1"/>
      <c r="AU128" s="80"/>
    </row>
    <row r="129" spans="1:28" ht="13.95" customHeight="1" x14ac:dyDescent="0.5">
      <c r="A129" s="40"/>
      <c r="B129" s="44" t="s">
        <v>90</v>
      </c>
      <c r="C129" s="41"/>
      <c r="D129" s="41"/>
      <c r="E129" s="1"/>
      <c r="F129" s="1"/>
    </row>
    <row r="130" spans="1:28" ht="18" customHeight="1" x14ac:dyDescent="0.5">
      <c r="A130" s="40" t="s">
        <v>91</v>
      </c>
      <c r="B130" s="40" t="str">
        <f>B762</f>
        <v>Collateral consequences of wrongful conviction</v>
      </c>
      <c r="C130" s="1"/>
      <c r="D130" s="1"/>
      <c r="E130" s="1"/>
      <c r="F130" s="1"/>
      <c r="AB130" s="80"/>
    </row>
    <row r="131" spans="1:28" ht="13.95" customHeight="1" x14ac:dyDescent="0.25">
      <c r="A131" s="41"/>
      <c r="B131" s="44" t="s">
        <v>92</v>
      </c>
      <c r="C131" s="41"/>
      <c r="D131" s="41"/>
      <c r="E131" s="1"/>
      <c r="F131" s="1"/>
    </row>
    <row r="132" spans="1:28" ht="18" customHeight="1" x14ac:dyDescent="0.5">
      <c r="A132" s="40" t="s">
        <v>93</v>
      </c>
      <c r="B132" s="40" t="str">
        <f>B839</f>
        <v>Claimant narrative</v>
      </c>
      <c r="C132" s="1"/>
      <c r="D132" s="1"/>
      <c r="E132" s="1"/>
      <c r="F132" s="1"/>
    </row>
    <row r="133" spans="1:28" ht="13.95" customHeight="1" x14ac:dyDescent="0.25">
      <c r="A133" s="41"/>
      <c r="B133" s="44" t="s">
        <v>94</v>
      </c>
      <c r="C133" s="41"/>
      <c r="D133" s="41"/>
      <c r="E133" s="1"/>
      <c r="F133" s="1"/>
    </row>
    <row r="134" spans="1:28" ht="18" customHeight="1" x14ac:dyDescent="0.5">
      <c r="A134" s="40" t="str">
        <f>A1062</f>
        <v>G.</v>
      </c>
      <c r="B134" s="40" t="str">
        <f>B1062</f>
        <v>Compensation</v>
      </c>
      <c r="C134" s="1"/>
      <c r="D134" s="1"/>
      <c r="E134" s="1"/>
      <c r="F134" s="1"/>
    </row>
    <row r="135" spans="1:28" ht="13.95" customHeight="1" x14ac:dyDescent="0.25">
      <c r="A135" s="1"/>
      <c r="B135" s="44" t="s">
        <v>97</v>
      </c>
      <c r="C135" s="1"/>
      <c r="D135" s="1"/>
      <c r="E135" s="1"/>
      <c r="F135" s="1"/>
    </row>
    <row r="136" spans="1:28" ht="18" customHeight="1" x14ac:dyDescent="0.5">
      <c r="A136" s="40" t="str">
        <f>A1597</f>
        <v>H.</v>
      </c>
      <c r="B136" s="40" t="str">
        <f>B1597</f>
        <v>You're not alone</v>
      </c>
      <c r="C136" s="1"/>
      <c r="D136" s="1"/>
      <c r="E136" s="1"/>
      <c r="F136" s="1"/>
    </row>
    <row r="137" spans="1:28" ht="13.95" customHeight="1" x14ac:dyDescent="0.25">
      <c r="A137" s="1"/>
      <c r="B137" s="44" t="s">
        <v>100</v>
      </c>
      <c r="C137" s="1"/>
      <c r="D137" s="1"/>
      <c r="E137" s="1"/>
      <c r="F137" s="1"/>
    </row>
    <row r="138" spans="1:28" ht="18" customHeight="1" x14ac:dyDescent="0.5">
      <c r="A138" s="476"/>
      <c r="B138" s="476"/>
      <c r="C138" s="1"/>
      <c r="D138" s="1"/>
      <c r="E138" s="1"/>
      <c r="F138" s="1"/>
    </row>
    <row r="139" spans="1:28" ht="13.95" customHeight="1" x14ac:dyDescent="0.25">
      <c r="A139" s="477"/>
      <c r="B139" s="478"/>
      <c r="C139" s="1"/>
      <c r="D139" s="1"/>
      <c r="E139" s="1"/>
      <c r="F139" s="1"/>
    </row>
    <row r="140" spans="1:28" ht="18" customHeight="1" x14ac:dyDescent="0.5">
      <c r="A140" s="476"/>
      <c r="B140" s="476"/>
      <c r="C140" s="1"/>
      <c r="D140" s="1"/>
      <c r="E140" s="1"/>
      <c r="F140" s="1"/>
      <c r="AB140" s="80"/>
    </row>
    <row r="141" spans="1:28" ht="13.95" customHeight="1" x14ac:dyDescent="0.25">
      <c r="A141" s="477"/>
      <c r="B141" s="478"/>
      <c r="C141" s="1"/>
      <c r="D141" s="1"/>
      <c r="E141" s="1"/>
      <c r="F141" s="1"/>
    </row>
    <row r="142" spans="1:28" ht="18" customHeight="1" x14ac:dyDescent="0.5">
      <c r="A142" s="476"/>
      <c r="B142" s="476"/>
      <c r="C142" s="1"/>
      <c r="D142" s="1"/>
      <c r="E142" s="1"/>
      <c r="F142" s="1"/>
    </row>
    <row r="143" spans="1:28" ht="13.95" customHeight="1" x14ac:dyDescent="0.25">
      <c r="A143" s="477"/>
      <c r="B143" s="478"/>
      <c r="C143" s="1"/>
      <c r="D143" s="1"/>
      <c r="E143" s="1"/>
      <c r="F143" s="1"/>
    </row>
    <row r="144" spans="1:28" ht="18" customHeight="1" x14ac:dyDescent="0.5">
      <c r="A144" s="476"/>
      <c r="B144" s="476"/>
      <c r="C144" s="1"/>
      <c r="D144" s="1"/>
      <c r="E144" s="1"/>
      <c r="F144" s="1"/>
    </row>
    <row r="145" spans="1:54" ht="13.95" customHeight="1" x14ac:dyDescent="0.25">
      <c r="A145" s="477"/>
      <c r="B145" s="478"/>
      <c r="C145" s="1"/>
      <c r="D145" s="1"/>
      <c r="E145" s="1"/>
      <c r="F145" s="1"/>
    </row>
    <row r="146" spans="1:54" ht="18" customHeight="1" x14ac:dyDescent="0.25">
      <c r="A146" s="1"/>
      <c r="B146" s="1"/>
      <c r="C146" s="1"/>
      <c r="D146" s="1"/>
      <c r="E146" s="1"/>
      <c r="F146" s="1"/>
    </row>
    <row r="147" spans="1:54" ht="13.95" customHeight="1" x14ac:dyDescent="0.25">
      <c r="A147" s="1"/>
      <c r="B147" s="1"/>
      <c r="C147" s="1"/>
      <c r="D147" s="1"/>
      <c r="E147" s="1"/>
      <c r="F147" s="1"/>
    </row>
    <row r="148" spans="1:54" ht="7.95" customHeight="1" x14ac:dyDescent="0.25">
      <c r="A148" s="1"/>
      <c r="B148" s="1"/>
      <c r="C148" s="1"/>
      <c r="D148" s="1"/>
      <c r="E148" s="1"/>
      <c r="F148" s="1"/>
    </row>
    <row r="149" spans="1:54" ht="30" customHeight="1" x14ac:dyDescent="0.25">
      <c r="A149" s="46" t="s">
        <v>101</v>
      </c>
      <c r="B149" s="46" t="s">
        <v>102</v>
      </c>
      <c r="C149" s="46"/>
      <c r="D149" s="46"/>
      <c r="E149" s="47"/>
      <c r="F149" s="475" t="s">
        <v>949</v>
      </c>
    </row>
    <row r="150" spans="1:54" ht="17.399999999999999" x14ac:dyDescent="0.3">
      <c r="A150" s="48"/>
      <c r="B150" s="531" t="s">
        <v>103</v>
      </c>
      <c r="C150" s="531"/>
      <c r="D150" s="531"/>
      <c r="E150" s="49"/>
      <c r="F150" s="49"/>
      <c r="AP150" s="80"/>
    </row>
    <row r="151" spans="1:54" ht="10.050000000000001" customHeight="1" thickBot="1" x14ac:dyDescent="0.3">
      <c r="A151" s="105"/>
      <c r="B151" s="105"/>
      <c r="C151" s="105"/>
      <c r="D151" s="105"/>
      <c r="E151" s="105"/>
      <c r="F151" s="1"/>
    </row>
    <row r="152" spans="1:54" ht="25.05" customHeight="1" thickTop="1" thickBot="1" x14ac:dyDescent="0.45">
      <c r="A152" s="105"/>
      <c r="B152" s="51" t="s">
        <v>104</v>
      </c>
      <c r="C152" s="52" t="s">
        <v>105</v>
      </c>
      <c r="D152" s="52" t="s">
        <v>106</v>
      </c>
      <c r="E152" s="105"/>
      <c r="F152" s="1"/>
      <c r="AD152" s="56" t="str">
        <f>"FIRST NAME"</f>
        <v>FIRST NAME</v>
      </c>
      <c r="AH152" s="56" t="s">
        <v>107</v>
      </c>
      <c r="AN152" s="35" t="str">
        <f>IF(NOT(C152=AD152),C152,"Claimant")</f>
        <v>Steph</v>
      </c>
      <c r="AO152" s="36"/>
      <c r="AP152" s="36"/>
      <c r="AQ152" s="36"/>
      <c r="AR152" s="36"/>
      <c r="AS152" s="36"/>
      <c r="AT152" s="37"/>
    </row>
    <row r="153" spans="1:54" ht="15" thickTop="1" thickBot="1" x14ac:dyDescent="0.3">
      <c r="A153" s="105"/>
      <c r="B153" s="105"/>
      <c r="C153" s="53" t="s">
        <v>108</v>
      </c>
      <c r="D153" s="53" t="s">
        <v>109</v>
      </c>
      <c r="E153" s="105"/>
      <c r="F153" s="1"/>
    </row>
    <row r="154" spans="1:54" ht="15" thickTop="1" thickBot="1" x14ac:dyDescent="0.3">
      <c r="A154" s="105"/>
      <c r="B154" s="105"/>
      <c r="C154" s="54" t="s">
        <v>110</v>
      </c>
      <c r="D154" s="55"/>
      <c r="E154" s="105"/>
      <c r="F154" s="1"/>
    </row>
    <row r="155" spans="1:54" ht="15" thickTop="1" thickBot="1" x14ac:dyDescent="0.3">
      <c r="A155" s="105"/>
      <c r="B155" s="105"/>
      <c r="C155" s="53" t="s">
        <v>111</v>
      </c>
      <c r="D155" s="53" t="s">
        <v>112</v>
      </c>
      <c r="E155" s="105"/>
      <c r="F155" s="1"/>
      <c r="AJ155" s="526">
        <v>37798</v>
      </c>
      <c r="AK155" s="526"/>
      <c r="AL155" s="526"/>
      <c r="AM155" s="56" t="s">
        <v>113</v>
      </c>
      <c r="AQ155" s="532"/>
      <c r="AR155" s="532"/>
    </row>
    <row r="156" spans="1:54" ht="15" thickTop="1" thickBot="1" x14ac:dyDescent="0.3">
      <c r="A156" s="105"/>
      <c r="B156" s="105"/>
      <c r="C156" s="54">
        <v>23000</v>
      </c>
      <c r="D156" s="54" t="s">
        <v>114</v>
      </c>
      <c r="E156" s="105"/>
      <c r="F156" s="1"/>
      <c r="AB156" s="57"/>
      <c r="AD156" s="56" t="str">
        <f>C2425</f>
        <v>other (explain in box)</v>
      </c>
      <c r="AJ156" s="58">
        <f>IF(AND(D202&lt;AJ155,D156=AD156),2,1)</f>
        <v>2</v>
      </c>
      <c r="AK156" s="58" t="s">
        <v>115</v>
      </c>
      <c r="AM156" s="58">
        <f>IF($AF$587&gt;2,1.12,1)</f>
        <v>1.1200000000000001</v>
      </c>
      <c r="AO156" s="58">
        <f>IF($AF$592&gt;2,1.12,1)</f>
        <v>1.1200000000000001</v>
      </c>
      <c r="BB156" s="59">
        <f>ROUND(AJ156*AM156*AO156,1)</f>
        <v>2.5</v>
      </c>
    </row>
    <row r="157" spans="1:54" ht="15" thickTop="1" thickBot="1" x14ac:dyDescent="0.3">
      <c r="A157" s="105"/>
      <c r="B157" s="105"/>
      <c r="C157" s="53" t="s">
        <v>116</v>
      </c>
      <c r="D157" s="53" t="s">
        <v>117</v>
      </c>
      <c r="E157" s="105"/>
      <c r="F157" s="1"/>
    </row>
    <row r="158" spans="1:54" ht="15" thickTop="1" thickBot="1" x14ac:dyDescent="0.3">
      <c r="A158" s="105"/>
      <c r="B158" s="105"/>
      <c r="C158" s="54" t="s">
        <v>118</v>
      </c>
      <c r="D158" s="54" t="s">
        <v>119</v>
      </c>
      <c r="E158" s="105"/>
      <c r="F158" s="1"/>
      <c r="AB158" s="57"/>
      <c r="AD158" s="56" t="str">
        <f>C2428</f>
        <v>primarily white</v>
      </c>
      <c r="AH158" s="56" t="str">
        <f>C2429</f>
        <v>primarily black</v>
      </c>
      <c r="AL158" s="56" t="str">
        <f>C2430</f>
        <v>nonwhite hispanic</v>
      </c>
      <c r="AQ158" s="56" t="str">
        <f>C2431</f>
        <v>other (explain in box)</v>
      </c>
    </row>
    <row r="159" spans="1:54" ht="15" thickTop="1" thickBot="1" x14ac:dyDescent="0.3">
      <c r="A159" s="105"/>
      <c r="B159" s="105"/>
      <c r="C159" s="53" t="s">
        <v>120</v>
      </c>
      <c r="D159" s="105"/>
      <c r="E159" s="105"/>
      <c r="F159" s="1"/>
      <c r="AD159" s="56">
        <f>IF($C158=AD158,1,0)</f>
        <v>1</v>
      </c>
      <c r="AE159" s="56">
        <f>IF($AF$587&gt;2,1.5,1)</f>
        <v>1.5</v>
      </c>
      <c r="AF159" s="56">
        <f>IF($AF$592&gt;2,1.5,1)</f>
        <v>1.5</v>
      </c>
      <c r="AG159" s="58">
        <f>AD159*AE159*AF159</f>
        <v>2.25</v>
      </c>
      <c r="AH159" s="56">
        <f>IF($C158=AH158,3,0)</f>
        <v>0</v>
      </c>
      <c r="AI159" s="56">
        <f>IF($AF$587&gt;2,1.5,0)</f>
        <v>1.5</v>
      </c>
      <c r="AJ159" s="56">
        <f>IF($AF$592&gt;2,1.5,0)</f>
        <v>1.5</v>
      </c>
      <c r="AK159" s="58">
        <f>AH159*AI159*AJ159</f>
        <v>0</v>
      </c>
      <c r="AL159" s="56">
        <f>IF($C158=AL158,2,0)</f>
        <v>0</v>
      </c>
      <c r="AM159" s="56">
        <f>IF($AF$587&gt;2,1.5,1)</f>
        <v>1.5</v>
      </c>
      <c r="AN159" s="56">
        <f>IF($AF$592&gt;2,1.5,1)</f>
        <v>1.5</v>
      </c>
      <c r="AO159" s="58">
        <f>AL159*AM159*AN159</f>
        <v>0</v>
      </c>
      <c r="AQ159" s="56">
        <f>IF($C158=AQ158,1.5,0)</f>
        <v>0</v>
      </c>
      <c r="AR159" s="56">
        <f>IF($AF$587&gt;2,1.5,1)</f>
        <v>1.5</v>
      </c>
      <c r="AS159" s="56">
        <f>IF($AF$592&gt;2,1.5,1)</f>
        <v>1.5</v>
      </c>
      <c r="AT159" s="58">
        <f>AQ159*AR159*AS159</f>
        <v>0</v>
      </c>
      <c r="AV159" s="60">
        <f>(MAX(AG159,AK159,AO159,AT159))-2.25</f>
        <v>0</v>
      </c>
      <c r="BB159" s="61">
        <f>IF(AV159=-2.25,0,AV159)</f>
        <v>0</v>
      </c>
    </row>
    <row r="160" spans="1:54" ht="45" customHeight="1" thickTop="1" thickBot="1" x14ac:dyDescent="0.3">
      <c r="A160" s="105"/>
      <c r="B160" s="105"/>
      <c r="C160" s="528" t="s">
        <v>121</v>
      </c>
      <c r="D160" s="530"/>
      <c r="E160" s="105"/>
      <c r="F160" s="1"/>
    </row>
    <row r="161" spans="1:54" ht="4.95" customHeight="1" thickTop="1" thickBot="1" x14ac:dyDescent="0.3">
      <c r="A161" s="105"/>
      <c r="B161" s="105"/>
      <c r="C161" s="105"/>
      <c r="D161" s="105"/>
      <c r="E161" s="105"/>
      <c r="F161" s="1"/>
    </row>
    <row r="162" spans="1:54" ht="25.05" customHeight="1" thickTop="1" thickBot="1" x14ac:dyDescent="0.45">
      <c r="A162" s="105"/>
      <c r="B162" s="51" t="s">
        <v>122</v>
      </c>
      <c r="C162" s="52" t="s">
        <v>123</v>
      </c>
      <c r="D162" s="52" t="s">
        <v>106</v>
      </c>
      <c r="E162" s="105"/>
      <c r="F162" s="1"/>
      <c r="AD162" s="56" t="str">
        <f>"FIRST NAME"</f>
        <v>FIRST NAME</v>
      </c>
      <c r="AH162" s="56" t="s">
        <v>107</v>
      </c>
      <c r="AN162" s="35" t="str">
        <f>IF(NOT(C162=AD162),C162,"Proxy")</f>
        <v>Alisha</v>
      </c>
      <c r="AO162" s="36"/>
      <c r="AP162" s="36"/>
      <c r="AQ162" s="36"/>
      <c r="AR162" s="36"/>
      <c r="AS162" s="36"/>
      <c r="AT162" s="37"/>
    </row>
    <row r="163" spans="1:54" ht="15" thickTop="1" thickBot="1" x14ac:dyDescent="0.3">
      <c r="A163" s="105"/>
      <c r="B163" s="105"/>
      <c r="C163" s="53" t="s">
        <v>124</v>
      </c>
      <c r="D163" s="53" t="s">
        <v>109</v>
      </c>
      <c r="E163" s="105"/>
      <c r="F163" s="1"/>
    </row>
    <row r="164" spans="1:54" ht="15" thickTop="1" thickBot="1" x14ac:dyDescent="0.3">
      <c r="A164" s="105"/>
      <c r="B164" s="105"/>
      <c r="C164" s="54"/>
      <c r="D164" s="55"/>
      <c r="E164" s="105"/>
      <c r="F164" s="1"/>
    </row>
    <row r="165" spans="1:54" ht="15" thickTop="1" thickBot="1" x14ac:dyDescent="0.3">
      <c r="A165" s="105"/>
      <c r="B165" s="105"/>
      <c r="C165" s="53" t="s">
        <v>125</v>
      </c>
      <c r="D165" s="53" t="s">
        <v>126</v>
      </c>
      <c r="E165" s="105"/>
      <c r="F165" s="1"/>
    </row>
    <row r="166" spans="1:54" ht="15" thickTop="1" thickBot="1" x14ac:dyDescent="0.3">
      <c r="A166" s="105"/>
      <c r="B166" s="105"/>
      <c r="C166" s="62" t="s">
        <v>127</v>
      </c>
      <c r="D166" s="55" t="s">
        <v>128</v>
      </c>
      <c r="E166" s="105"/>
      <c r="F166" s="1"/>
    </row>
    <row r="167" spans="1:54" ht="10.050000000000001" customHeight="1" thickTop="1" thickBot="1" x14ac:dyDescent="0.3">
      <c r="A167" s="105"/>
      <c r="B167" s="105"/>
      <c r="C167" s="105"/>
      <c r="D167" s="105"/>
      <c r="E167" s="105"/>
      <c r="F167" s="1"/>
    </row>
    <row r="168" spans="1:54" ht="15" thickTop="1" thickBot="1" x14ac:dyDescent="0.3">
      <c r="A168" s="63" t="s">
        <v>129</v>
      </c>
      <c r="B168" s="64"/>
      <c r="C168" s="105"/>
      <c r="D168" s="105"/>
      <c r="E168" s="105"/>
      <c r="F168" s="1"/>
    </row>
    <row r="169" spans="1:54" ht="19.95" customHeight="1" thickTop="1" thickBot="1" x14ac:dyDescent="0.3">
      <c r="A169" s="105"/>
      <c r="B169" s="65" t="s">
        <v>130</v>
      </c>
      <c r="C169" s="65" t="s">
        <v>131</v>
      </c>
      <c r="D169" s="65" t="s">
        <v>132</v>
      </c>
      <c r="E169" s="105"/>
      <c r="F169" s="1"/>
    </row>
    <row r="170" spans="1:54" s="71" customFormat="1" ht="30" customHeight="1" thickTop="1" thickBot="1" x14ac:dyDescent="0.3">
      <c r="A170" s="66">
        <f>IF(B170="","",1)</f>
        <v>1</v>
      </c>
      <c r="B170" s="67" t="s">
        <v>133</v>
      </c>
      <c r="C170" s="67" t="s">
        <v>134</v>
      </c>
      <c r="D170" s="68" t="s">
        <v>135</v>
      </c>
      <c r="E170" s="66"/>
      <c r="F170" s="69"/>
      <c r="G170" s="70"/>
      <c r="H170" s="70"/>
      <c r="I170" s="70"/>
      <c r="J170" s="70"/>
      <c r="K170" s="70"/>
      <c r="L170" s="70"/>
      <c r="M170" s="70"/>
      <c r="N170" s="70"/>
      <c r="O170" s="70"/>
      <c r="P170" s="70"/>
      <c r="Q170" s="70"/>
      <c r="R170" s="70"/>
      <c r="S170" s="70"/>
      <c r="T170" s="70"/>
      <c r="U170" s="70"/>
      <c r="V170" s="70"/>
      <c r="W170" s="70"/>
      <c r="X170" s="70"/>
      <c r="Y170" s="70"/>
      <c r="Z170" s="70"/>
      <c r="AA170" s="56"/>
      <c r="BB170" s="72"/>
    </row>
    <row r="171" spans="1:54" s="71" customFormat="1" ht="30" customHeight="1" thickTop="1" thickBot="1" x14ac:dyDescent="0.3">
      <c r="A171" s="66">
        <f>IF(B171="","",1+A170)</f>
        <v>2</v>
      </c>
      <c r="B171" s="67" t="s">
        <v>133</v>
      </c>
      <c r="C171" s="67" t="s">
        <v>134</v>
      </c>
      <c r="D171" s="68" t="s">
        <v>135</v>
      </c>
      <c r="E171" s="66"/>
      <c r="F171" s="69"/>
      <c r="G171" s="70"/>
      <c r="H171" s="70"/>
      <c r="I171" s="70"/>
      <c r="J171" s="70"/>
      <c r="K171" s="70"/>
      <c r="L171" s="70"/>
      <c r="M171" s="70"/>
      <c r="N171" s="70"/>
      <c r="O171" s="70"/>
      <c r="P171" s="70"/>
      <c r="Q171" s="70"/>
      <c r="R171" s="70"/>
      <c r="S171" s="70"/>
      <c r="T171" s="70"/>
      <c r="U171" s="70"/>
      <c r="V171" s="70"/>
      <c r="W171" s="70"/>
      <c r="X171" s="70"/>
      <c r="Y171" s="70"/>
      <c r="Z171" s="70"/>
      <c r="AA171" s="56"/>
      <c r="BB171" s="72"/>
    </row>
    <row r="172" spans="1:54" s="71" customFormat="1" ht="30" customHeight="1" thickTop="1" thickBot="1" x14ac:dyDescent="0.3">
      <c r="A172" s="66" t="str">
        <f t="shared" ref="A172:A179" si="2">IF(B172="","",1+A171)</f>
        <v/>
      </c>
      <c r="B172" s="67"/>
      <c r="C172" s="67"/>
      <c r="D172" s="68"/>
      <c r="E172" s="66"/>
      <c r="F172" s="69"/>
      <c r="G172" s="70"/>
      <c r="H172" s="70"/>
      <c r="I172" s="70"/>
      <c r="J172" s="70"/>
      <c r="K172" s="70"/>
      <c r="L172" s="70"/>
      <c r="M172" s="70"/>
      <c r="N172" s="70"/>
      <c r="O172" s="70"/>
      <c r="P172" s="70"/>
      <c r="Q172" s="70"/>
      <c r="R172" s="70"/>
      <c r="S172" s="70"/>
      <c r="T172" s="70"/>
      <c r="U172" s="70"/>
      <c r="V172" s="70"/>
      <c r="W172" s="70"/>
      <c r="X172" s="70"/>
      <c r="Y172" s="70"/>
      <c r="Z172" s="70"/>
      <c r="AA172" s="56"/>
      <c r="BB172" s="72"/>
    </row>
    <row r="173" spans="1:54" s="71" customFormat="1" ht="30" customHeight="1" thickTop="1" thickBot="1" x14ac:dyDescent="0.3">
      <c r="A173" s="66" t="str">
        <f t="shared" si="2"/>
        <v/>
      </c>
      <c r="B173" s="67"/>
      <c r="C173" s="67"/>
      <c r="D173" s="68"/>
      <c r="E173" s="66"/>
      <c r="F173" s="69"/>
      <c r="G173" s="70"/>
      <c r="H173" s="70"/>
      <c r="I173" s="70"/>
      <c r="J173" s="70"/>
      <c r="K173" s="70"/>
      <c r="L173" s="70"/>
      <c r="M173" s="70"/>
      <c r="N173" s="70"/>
      <c r="O173" s="70"/>
      <c r="P173" s="70"/>
      <c r="Q173" s="70"/>
      <c r="R173" s="70"/>
      <c r="S173" s="70"/>
      <c r="T173" s="70"/>
      <c r="U173" s="70"/>
      <c r="V173" s="70"/>
      <c r="W173" s="70"/>
      <c r="X173" s="70"/>
      <c r="Y173" s="70"/>
      <c r="Z173" s="70"/>
      <c r="AA173" s="56"/>
      <c r="BB173" s="72"/>
    </row>
    <row r="174" spans="1:54" s="71" customFormat="1" ht="30" customHeight="1" thickTop="1" thickBot="1" x14ac:dyDescent="0.3">
      <c r="A174" s="66" t="str">
        <f t="shared" si="2"/>
        <v/>
      </c>
      <c r="B174" s="67"/>
      <c r="C174" s="67"/>
      <c r="D174" s="68"/>
      <c r="E174" s="66"/>
      <c r="F174" s="69"/>
      <c r="G174" s="70"/>
      <c r="H174" s="70"/>
      <c r="I174" s="70"/>
      <c r="J174" s="70"/>
      <c r="K174" s="70"/>
      <c r="L174" s="70"/>
      <c r="M174" s="70"/>
      <c r="N174" s="70"/>
      <c r="O174" s="70"/>
      <c r="P174" s="70"/>
      <c r="Q174" s="70"/>
      <c r="R174" s="70"/>
      <c r="S174" s="70"/>
      <c r="T174" s="70"/>
      <c r="U174" s="70"/>
      <c r="V174" s="70"/>
      <c r="W174" s="70"/>
      <c r="X174" s="70"/>
      <c r="Y174" s="70"/>
      <c r="Z174" s="70"/>
      <c r="AA174" s="56"/>
      <c r="BB174" s="72"/>
    </row>
    <row r="175" spans="1:54" s="71" customFormat="1" ht="30" customHeight="1" thickTop="1" thickBot="1" x14ac:dyDescent="0.3">
      <c r="A175" s="66" t="str">
        <f t="shared" si="2"/>
        <v/>
      </c>
      <c r="B175" s="67"/>
      <c r="C175" s="67"/>
      <c r="D175" s="68"/>
      <c r="E175" s="66"/>
      <c r="F175" s="69"/>
      <c r="G175" s="70"/>
      <c r="H175" s="70"/>
      <c r="I175" s="70"/>
      <c r="J175" s="70"/>
      <c r="K175" s="70"/>
      <c r="L175" s="70"/>
      <c r="M175" s="70"/>
      <c r="N175" s="70"/>
      <c r="O175" s="70"/>
      <c r="P175" s="70"/>
      <c r="Q175" s="70"/>
      <c r="R175" s="70"/>
      <c r="S175" s="70"/>
      <c r="T175" s="70"/>
      <c r="U175" s="70"/>
      <c r="V175" s="70"/>
      <c r="W175" s="70"/>
      <c r="X175" s="70"/>
      <c r="Y175" s="70"/>
      <c r="Z175" s="70"/>
      <c r="AA175" s="56"/>
      <c r="BB175" s="72"/>
    </row>
    <row r="176" spans="1:54" s="71" customFormat="1" ht="30" customHeight="1" thickTop="1" thickBot="1" x14ac:dyDescent="0.3">
      <c r="A176" s="66" t="str">
        <f t="shared" si="2"/>
        <v/>
      </c>
      <c r="B176" s="67"/>
      <c r="C176" s="67"/>
      <c r="D176" s="68"/>
      <c r="E176" s="66"/>
      <c r="F176" s="69"/>
      <c r="G176" s="70"/>
      <c r="H176" s="70"/>
      <c r="I176" s="70"/>
      <c r="J176" s="70"/>
      <c r="K176" s="70"/>
      <c r="L176" s="70"/>
      <c r="M176" s="70"/>
      <c r="N176" s="70"/>
      <c r="O176" s="70"/>
      <c r="P176" s="70"/>
      <c r="Q176" s="70"/>
      <c r="R176" s="70"/>
      <c r="S176" s="70"/>
      <c r="T176" s="70"/>
      <c r="U176" s="70"/>
      <c r="V176" s="70"/>
      <c r="W176" s="70"/>
      <c r="X176" s="70"/>
      <c r="Y176" s="70"/>
      <c r="Z176" s="70"/>
      <c r="AA176" s="56"/>
      <c r="BB176" s="72"/>
    </row>
    <row r="177" spans="1:54" s="71" customFormat="1" ht="30" customHeight="1" thickTop="1" thickBot="1" x14ac:dyDescent="0.3">
      <c r="A177" s="66" t="str">
        <f t="shared" si="2"/>
        <v/>
      </c>
      <c r="B177" s="67"/>
      <c r="C177" s="67"/>
      <c r="D177" s="68"/>
      <c r="E177" s="66"/>
      <c r="F177" s="69"/>
      <c r="G177" s="70"/>
      <c r="H177" s="70"/>
      <c r="I177" s="70"/>
      <c r="J177" s="70"/>
      <c r="K177" s="70"/>
      <c r="L177" s="70"/>
      <c r="M177" s="70"/>
      <c r="N177" s="70"/>
      <c r="O177" s="70"/>
      <c r="P177" s="70"/>
      <c r="Q177" s="70"/>
      <c r="R177" s="70"/>
      <c r="S177" s="70"/>
      <c r="T177" s="70"/>
      <c r="U177" s="70"/>
      <c r="V177" s="70"/>
      <c r="W177" s="70"/>
      <c r="X177" s="70"/>
      <c r="Y177" s="70"/>
      <c r="Z177" s="70"/>
      <c r="AA177" s="56"/>
      <c r="BB177" s="72"/>
    </row>
    <row r="178" spans="1:54" s="71" customFormat="1" ht="30" customHeight="1" thickTop="1" thickBot="1" x14ac:dyDescent="0.3">
      <c r="A178" s="66" t="str">
        <f t="shared" si="2"/>
        <v/>
      </c>
      <c r="B178" s="67"/>
      <c r="C178" s="67"/>
      <c r="D178" s="68"/>
      <c r="E178" s="66"/>
      <c r="F178" s="69"/>
      <c r="G178" s="70"/>
      <c r="H178" s="70"/>
      <c r="I178" s="70"/>
      <c r="J178" s="70"/>
      <c r="K178" s="70"/>
      <c r="L178" s="70"/>
      <c r="M178" s="70"/>
      <c r="N178" s="70"/>
      <c r="O178" s="70"/>
      <c r="P178" s="70"/>
      <c r="Q178" s="70"/>
      <c r="R178" s="70"/>
      <c r="S178" s="70"/>
      <c r="T178" s="70"/>
      <c r="U178" s="70"/>
      <c r="V178" s="70"/>
      <c r="W178" s="70"/>
      <c r="X178" s="70"/>
      <c r="Y178" s="70"/>
      <c r="Z178" s="70"/>
      <c r="AA178" s="56"/>
      <c r="BB178" s="72"/>
    </row>
    <row r="179" spans="1:54" s="71" customFormat="1" ht="30" customHeight="1" thickTop="1" thickBot="1" x14ac:dyDescent="0.3">
      <c r="A179" s="66" t="str">
        <f t="shared" si="2"/>
        <v/>
      </c>
      <c r="B179" s="67"/>
      <c r="C179" s="67"/>
      <c r="D179" s="68"/>
      <c r="E179" s="66"/>
      <c r="F179" s="69"/>
      <c r="G179" s="70"/>
      <c r="H179" s="70"/>
      <c r="I179" s="70"/>
      <c r="J179" s="70"/>
      <c r="K179" s="70"/>
      <c r="L179" s="70"/>
      <c r="M179" s="70"/>
      <c r="N179" s="70"/>
      <c r="O179" s="70"/>
      <c r="P179" s="70"/>
      <c r="Q179" s="70"/>
      <c r="R179" s="70"/>
      <c r="S179" s="70"/>
      <c r="T179" s="70"/>
      <c r="U179" s="70"/>
      <c r="V179" s="70"/>
      <c r="W179" s="70"/>
      <c r="X179" s="70"/>
      <c r="Y179" s="70"/>
      <c r="Z179" s="70"/>
      <c r="AA179" s="56"/>
      <c r="BB179" s="72"/>
    </row>
    <row r="180" spans="1:54" ht="10.050000000000001" customHeight="1" thickTop="1" x14ac:dyDescent="0.25">
      <c r="A180" s="105"/>
      <c r="B180" s="73"/>
      <c r="C180" s="53"/>
      <c r="D180" s="53"/>
      <c r="E180" s="105"/>
      <c r="F180" s="1"/>
    </row>
    <row r="181" spans="1:54" ht="15" customHeight="1" thickBot="1" x14ac:dyDescent="0.3">
      <c r="A181" s="105"/>
      <c r="B181" s="73" t="str">
        <f>IF(B171="","", "If more than ten charges, explain in this box")</f>
        <v>If more than ten charges, explain in this box</v>
      </c>
      <c r="C181" s="53"/>
      <c r="D181" s="53"/>
      <c r="E181" s="105"/>
      <c r="F181" s="1"/>
    </row>
    <row r="182" spans="1:54" ht="45" customHeight="1" thickTop="1" thickBot="1" x14ac:dyDescent="0.3">
      <c r="A182" s="105"/>
      <c r="B182" s="528"/>
      <c r="C182" s="529"/>
      <c r="D182" s="530"/>
      <c r="E182" s="105"/>
      <c r="F182" s="1"/>
    </row>
    <row r="183" spans="1:54" ht="15" customHeight="1" thickTop="1" thickBot="1" x14ac:dyDescent="0.3">
      <c r="A183" s="105"/>
      <c r="B183" s="73" t="str">
        <f>IF(B170="","", "Provide any helpful information about any charge in this box:")</f>
        <v>Provide any helpful information about any charge in this box:</v>
      </c>
      <c r="C183" s="53"/>
      <c r="D183" s="53"/>
      <c r="E183" s="105"/>
      <c r="F183" s="1"/>
    </row>
    <row r="184" spans="1:54" ht="45" customHeight="1" thickTop="1" thickBot="1" x14ac:dyDescent="0.3">
      <c r="A184" s="105"/>
      <c r="B184" s="528"/>
      <c r="C184" s="529"/>
      <c r="D184" s="530"/>
      <c r="E184" s="105"/>
      <c r="F184" s="1"/>
    </row>
    <row r="185" spans="1:54" ht="7.05" customHeight="1" thickTop="1" thickBot="1" x14ac:dyDescent="0.3">
      <c r="A185" s="63"/>
      <c r="B185" s="53"/>
      <c r="C185" s="53"/>
      <c r="D185" s="53"/>
      <c r="E185" s="105"/>
      <c r="F185" s="1"/>
    </row>
    <row r="186" spans="1:54" ht="15.6" thickTop="1" thickBot="1" x14ac:dyDescent="0.3">
      <c r="A186" s="63" t="s">
        <v>136</v>
      </c>
      <c r="B186" s="64"/>
      <c r="C186" s="53"/>
      <c r="D186" s="53"/>
      <c r="E186" s="105"/>
      <c r="F186" s="1"/>
      <c r="AD186" s="74">
        <f>SUM(AD187:AD199)</f>
        <v>3</v>
      </c>
    </row>
    <row r="187" spans="1:54" ht="15" thickTop="1" thickBot="1" x14ac:dyDescent="0.3">
      <c r="A187" s="105"/>
      <c r="B187" s="53" t="s">
        <v>137</v>
      </c>
      <c r="C187" s="53"/>
      <c r="D187" s="62" t="s">
        <v>138</v>
      </c>
      <c r="E187" s="105"/>
      <c r="F187" s="1"/>
      <c r="AB187" s="57"/>
      <c r="AD187" s="56">
        <f>IF(D187="no, I pled not guilty",1,0)</f>
        <v>1</v>
      </c>
    </row>
    <row r="188" spans="1:54" ht="45" customHeight="1" thickTop="1" thickBot="1" x14ac:dyDescent="0.3">
      <c r="A188" s="105"/>
      <c r="B188" s="528"/>
      <c r="C188" s="529"/>
      <c r="D188" s="530"/>
      <c r="E188" s="105"/>
      <c r="F188" s="1"/>
    </row>
    <row r="189" spans="1:54" ht="15" thickTop="1" thickBot="1" x14ac:dyDescent="0.3">
      <c r="A189" s="105"/>
      <c r="B189" s="53" t="str">
        <f>IF(NOT(D187=B1847),"Did you try withdrawing your plea? (If not, why not?)","")</f>
        <v/>
      </c>
      <c r="C189" s="53"/>
      <c r="D189" s="62"/>
      <c r="E189" s="105"/>
      <c r="F189" s="105"/>
    </row>
    <row r="190" spans="1:54" ht="45" customHeight="1" thickTop="1" thickBot="1" x14ac:dyDescent="0.3">
      <c r="A190" s="105"/>
      <c r="B190" s="528"/>
      <c r="C190" s="529"/>
      <c r="D190" s="530"/>
      <c r="E190" s="105"/>
      <c r="F190" s="1"/>
    </row>
    <row r="191" spans="1:54" ht="15" customHeight="1" thickTop="1" thickBot="1" x14ac:dyDescent="0.3">
      <c r="A191" s="105"/>
      <c r="B191" s="53" t="str">
        <f>IF(D187&lt;&gt;"","Offered a plea deal?","")</f>
        <v>Offered a plea deal?</v>
      </c>
      <c r="C191" s="53"/>
      <c r="D191" s="75" t="s">
        <v>139</v>
      </c>
      <c r="E191" s="105"/>
      <c r="F191" s="1"/>
      <c r="AB191" s="57"/>
      <c r="AD191" s="56">
        <f>IF(D191="never open to any plea deal",1,0)</f>
        <v>1</v>
      </c>
    </row>
    <row r="192" spans="1:54" ht="45" customHeight="1" thickTop="1" thickBot="1" x14ac:dyDescent="0.3">
      <c r="A192" s="105"/>
      <c r="B192" s="528"/>
      <c r="C192" s="529"/>
      <c r="D192" s="530"/>
      <c r="E192" s="105"/>
      <c r="F192" s="1"/>
      <c r="AC192" s="28"/>
    </row>
    <row r="193" spans="1:39" ht="15" customHeight="1" thickTop="1" thickBot="1" x14ac:dyDescent="0.35">
      <c r="A193" s="105"/>
      <c r="B193" s="53" t="s">
        <v>140</v>
      </c>
      <c r="C193" s="105"/>
      <c r="D193" s="75" t="s">
        <v>141</v>
      </c>
      <c r="E193" s="105"/>
      <c r="F193" s="1"/>
      <c r="AB193" s="57"/>
      <c r="AC193" s="28"/>
      <c r="AD193" s="56">
        <f>MAX(AE193:AG193)</f>
        <v>1</v>
      </c>
      <c r="AE193" s="56">
        <f>IF($D$193=D2473,1,0)</f>
        <v>1</v>
      </c>
      <c r="AF193" s="56">
        <f>IF($D$193=D2474,1,0)</f>
        <v>0</v>
      </c>
      <c r="AG193" s="56">
        <f>IF($D$193=D2475,1,0)</f>
        <v>0</v>
      </c>
      <c r="AL193" s="60">
        <f>SUM(AL194:AL199)</f>
        <v>1</v>
      </c>
      <c r="AM193" s="76" t="s">
        <v>142</v>
      </c>
    </row>
    <row r="194" spans="1:39" ht="10.050000000000001" customHeight="1" thickTop="1" x14ac:dyDescent="0.3">
      <c r="A194" s="105"/>
      <c r="B194" s="105"/>
      <c r="C194" s="105"/>
      <c r="D194" s="105"/>
      <c r="E194" s="105"/>
      <c r="F194" s="1"/>
      <c r="AC194" s="28"/>
      <c r="AL194" s="56">
        <v>0</v>
      </c>
      <c r="AM194" s="77" t="s">
        <v>143</v>
      </c>
    </row>
    <row r="195" spans="1:39" ht="15" customHeight="1" thickBot="1" x14ac:dyDescent="0.35">
      <c r="A195" s="105"/>
      <c r="B195" s="78" t="s">
        <v>144</v>
      </c>
      <c r="C195" s="78" t="s">
        <v>145</v>
      </c>
      <c r="D195" s="78" t="s">
        <v>146</v>
      </c>
      <c r="E195" s="105"/>
      <c r="F195" s="1"/>
      <c r="AC195" s="28"/>
      <c r="AL195" s="56">
        <v>0</v>
      </c>
      <c r="AM195" s="77" t="s">
        <v>147</v>
      </c>
    </row>
    <row r="196" spans="1:39" ht="15" customHeight="1" thickTop="1" thickBot="1" x14ac:dyDescent="0.35">
      <c r="A196" s="105"/>
      <c r="B196" s="79">
        <f>C250</f>
        <v>34157</v>
      </c>
      <c r="C196" s="79">
        <f>C250</f>
        <v>34157</v>
      </c>
      <c r="D196" s="79">
        <f>C196+2</f>
        <v>34159</v>
      </c>
      <c r="E196" s="105"/>
      <c r="F196" s="1"/>
      <c r="AC196" s="28"/>
      <c r="AI196" s="526">
        <f>C196+3</f>
        <v>34160</v>
      </c>
      <c r="AJ196" s="527"/>
      <c r="AK196" s="527"/>
      <c r="AL196" s="56">
        <f>IF($D$199=AM196,1,0)</f>
        <v>0</v>
      </c>
      <c r="AM196" s="77" t="s">
        <v>148</v>
      </c>
    </row>
    <row r="197" spans="1:39" ht="4.95" customHeight="1" thickTop="1" thickBot="1" x14ac:dyDescent="0.35">
      <c r="A197" s="105"/>
      <c r="B197" s="53"/>
      <c r="C197" s="53"/>
      <c r="D197" s="53"/>
      <c r="E197" s="105"/>
      <c r="F197" s="1"/>
      <c r="AC197" s="28"/>
      <c r="AL197" s="56">
        <f>IF($D$199=AM197,1,0)</f>
        <v>1</v>
      </c>
      <c r="AM197" s="77" t="s">
        <v>149</v>
      </c>
    </row>
    <row r="198" spans="1:39" ht="15.6" thickTop="1" thickBot="1" x14ac:dyDescent="0.35">
      <c r="A198" s="63" t="s">
        <v>150</v>
      </c>
      <c r="B198" s="53"/>
      <c r="C198" s="53"/>
      <c r="D198" s="53"/>
      <c r="E198" s="105"/>
      <c r="F198" s="1"/>
      <c r="AL198" s="56">
        <f>IF($D$199=AM198,1,0)</f>
        <v>0</v>
      </c>
      <c r="AM198" s="77" t="s">
        <v>151</v>
      </c>
    </row>
    <row r="199" spans="1:39" ht="15.6" customHeight="1" thickTop="1" thickBot="1" x14ac:dyDescent="0.35">
      <c r="A199" s="105"/>
      <c r="B199" s="53" t="s">
        <v>152</v>
      </c>
      <c r="C199" s="53"/>
      <c r="D199" s="75" t="s">
        <v>149</v>
      </c>
      <c r="E199" s="105"/>
      <c r="F199" s="1"/>
      <c r="AB199" s="57"/>
      <c r="AL199" s="56">
        <f>IF($D$199=AM199,1,0)</f>
        <v>0</v>
      </c>
      <c r="AM199" s="77" t="s">
        <v>114</v>
      </c>
    </row>
    <row r="200" spans="1:39" ht="30" customHeight="1" thickTop="1" thickBot="1" x14ac:dyDescent="0.3">
      <c r="A200" s="105"/>
      <c r="B200" s="528"/>
      <c r="C200" s="529"/>
      <c r="D200" s="530"/>
      <c r="E200" s="105"/>
      <c r="F200" s="1"/>
    </row>
    <row r="201" spans="1:39" ht="15" thickTop="1" thickBot="1" x14ac:dyDescent="0.3">
      <c r="A201" s="105"/>
      <c r="B201" s="78" t="s">
        <v>153</v>
      </c>
      <c r="C201" s="78" t="str">
        <f>IF(AL193=1,AM201,"")</f>
        <v>Jury selection date</v>
      </c>
      <c r="D201" s="78" t="s">
        <v>154</v>
      </c>
      <c r="E201" s="105"/>
      <c r="F201" s="1"/>
      <c r="AM201" s="60" t="s">
        <v>155</v>
      </c>
    </row>
    <row r="202" spans="1:39" ht="15" thickTop="1" thickBot="1" x14ac:dyDescent="0.3">
      <c r="A202" s="105"/>
      <c r="B202" s="79">
        <v>34170</v>
      </c>
      <c r="C202" s="79">
        <v>34303</v>
      </c>
      <c r="D202" s="79">
        <v>34316</v>
      </c>
      <c r="E202" s="105"/>
      <c r="F202" s="1"/>
    </row>
    <row r="203" spans="1:39" ht="15" thickTop="1" thickBot="1" x14ac:dyDescent="0.3">
      <c r="A203" s="105"/>
      <c r="B203" s="81" t="str">
        <f>IF(D199&lt;&gt;"","Anything else about the conviction you can add?","")</f>
        <v>Anything else about the conviction you can add?</v>
      </c>
      <c r="C203" s="53"/>
      <c r="D203" s="53"/>
      <c r="E203" s="105"/>
      <c r="F203" s="1"/>
    </row>
    <row r="204" spans="1:39" ht="25.05" customHeight="1" thickTop="1" thickBot="1" x14ac:dyDescent="0.3">
      <c r="A204" s="105"/>
      <c r="B204" s="528"/>
      <c r="C204" s="529"/>
      <c r="D204" s="530"/>
      <c r="E204" s="105"/>
      <c r="F204" s="1"/>
    </row>
    <row r="205" spans="1:39" ht="4.95" customHeight="1" thickTop="1" thickBot="1" x14ac:dyDescent="0.3">
      <c r="A205" s="105"/>
      <c r="B205" s="105"/>
      <c r="C205" s="105"/>
      <c r="D205" s="105"/>
      <c r="E205" s="105"/>
      <c r="F205" s="1"/>
    </row>
    <row r="206" spans="1:39" ht="25.05" customHeight="1" thickTop="1" thickBot="1" x14ac:dyDescent="0.3">
      <c r="A206" s="105"/>
      <c r="B206" s="64" t="s">
        <v>156</v>
      </c>
      <c r="C206" s="105"/>
      <c r="D206" s="105"/>
      <c r="E206" s="105"/>
      <c r="F206" s="1"/>
    </row>
    <row r="207" spans="1:39" ht="15" thickTop="1" x14ac:dyDescent="0.3">
      <c r="A207" s="105"/>
      <c r="B207" s="82" t="s">
        <v>157</v>
      </c>
      <c r="C207" s="82" t="s">
        <v>158</v>
      </c>
      <c r="D207" s="82" t="s">
        <v>159</v>
      </c>
      <c r="E207" s="105"/>
      <c r="F207" s="1"/>
      <c r="AC207" s="83"/>
      <c r="AD207" s="83"/>
      <c r="AE207" s="83"/>
      <c r="AF207" s="83"/>
      <c r="AG207" s="83"/>
      <c r="AI207" s="80"/>
      <c r="AJ207" s="80"/>
      <c r="AK207" s="80"/>
    </row>
    <row r="208" spans="1:39" ht="14.4" x14ac:dyDescent="0.3">
      <c r="A208" s="105"/>
      <c r="B208" s="84" t="s">
        <v>160</v>
      </c>
      <c r="C208" s="84" t="s">
        <v>161</v>
      </c>
      <c r="D208" s="84" t="s">
        <v>162</v>
      </c>
      <c r="E208" s="105"/>
      <c r="F208" s="1"/>
      <c r="AD208" s="533">
        <f ca="1">IF(AND($B$208=B2242,$D$272="yes"),BB2242,IF(AND($B$208=B2243,$D$272="yes"),BB2243,IF(AND($B$208=B2244,$D$272="yes"),BB2244,IF(AND($B$208=B2245,$D$272="yes"),BB2245,IF(AND($B$208=B2246,$D$272="yes"),BB2246,IF(AND($B$208=B2247,$D$272="yes"),BB2247,IF(AND($B$208=B2248,$D$272="yes"),BB2248,IF(AND($B$208=B2249,$D$272="yes"),BB2249,IF(AND($B$208=B2250,$D$272="yes"),BB2250,IF(AND($B$208=B2251,$D$272="yes"),BB2251,IF(AND($B$208=B2252,$D$272="yes"),BB2252,IF(AND($B$208=B2253,$D$272="yes"),BB2253,IF(AND($B$208=B2254,$D$272="yes"),BB2254,IF(AND($B$208=B2255,$D$272="yes"),BB2255,IF(AND($B$208=B2256,$D$272="yes"),BB2256,IF(AND($B$208=B2257,$D$272="yes"),BB2257,IF(AND($B$208=B2258,$D$272="yes"),BB2258,IF(AND($B$208=B2259,$D$272="yes"),BB2259,IF(AND($B$208=B2260,$D$272="yes"),BB2260,IF(AND($B$208=B2261,$D$272="yes"),BB2261,IF(AND($B$208=B2262,$D$272="yes"),BB2262,IF(AND($B$208=B2263,$D$272="yes"),BB2263,IF(AND($B$208=B2264,$D$272="yes"),BB2264,IF(AND($B$208=B2265,$D$272="yes"),BB2265,IF(AND($B$208=B2266,$D$272="yes"),BB2266,IF(AND($B$208=B2267,$D$272="yes"),BB2267,IF(AND($B$208=B2268,$D$272="yes"),BB2268,IF(AND($B$208=B2269,$D$272="yes"),BB2269,IF(AND($B$208=B2270,$D$272="yes"),BB2270,IF(AND($B$208=B2271,$D$272="yes"),BB2271,IF(AND($B$208=B2272,$D$272="yes"),BB2272,IF(AND($B$208=B2273,$D$272="yes"),BB2273,IF(AND($B$208=B2274,$D$272="yes"),BB2274,IF(AND($B$208=B2275,$D$272="yes"),BB2275,IF(AND($B$208=B2276,$D$272="yes"),BB2276,IF(AND($B$208=B2277,$D$272="yes"),BB2277,IF(AND($B$208=B2278,$D$272="yes"),BB2278,IF(AND($B$208=B2279,$D$272="yes"),BB2279,IF(AND($B$208=B2280,$D$272="yes"),BB2280,IF(AND($B$208=B2281,$D$272="yes"),BB2281,IF(AND($B$208=B2282,$D$272="yes"),BB2282,IF(AND($B$208=B2283,$D$272="yes"),BB2283,IF(AND($B$208=B2284,$D$272="yes"),BB2284,IF(AND($B$208=B2285,$D$272="yes"),BB2285,IF(AND($B$208=B2286,$D$272="yes"),BB2286,IF(AND($B$208=B2287,$D$272="yes"),BB2287,IF(AND($B$208=B2288,$D$272="yes"),BB2288,IF(AND($B$208=B2289,$D$272="yes"),BB2289,IF(AND($B$208=B2290,$D$272="yes"),BB2290,IF(AND($B$208=B2291,$D$272="yes"),BB2291,IF(AND($B$208=B2292,$D$272="yes"),BB2292,IF(AND($B$208=B2293,$D$272="yes"),BB2293,0))))))))))))))))))))))))))))))))))))))))))))))))))))</f>
        <v>600000</v>
      </c>
      <c r="AE208" s="533"/>
      <c r="AF208" s="533"/>
      <c r="AG208" s="533"/>
      <c r="AH208" s="533"/>
      <c r="AJ208" s="80"/>
      <c r="AK208" s="80"/>
    </row>
    <row r="209" spans="1:48" ht="10.050000000000001" customHeight="1" thickBot="1" x14ac:dyDescent="0.35">
      <c r="A209" s="105"/>
      <c r="B209" s="105"/>
      <c r="C209" s="105"/>
      <c r="D209" s="105"/>
      <c r="E209" s="105"/>
      <c r="F209" s="1"/>
      <c r="AC209" s="83"/>
      <c r="AD209" s="83"/>
      <c r="AE209" s="83"/>
      <c r="AF209" s="83"/>
      <c r="AG209" s="83"/>
      <c r="AI209" s="80"/>
      <c r="AJ209" s="80"/>
      <c r="AK209" s="80"/>
    </row>
    <row r="210" spans="1:48" ht="15" thickTop="1" thickBot="1" x14ac:dyDescent="0.3">
      <c r="A210" s="105"/>
      <c r="B210" s="53" t="s">
        <v>163</v>
      </c>
      <c r="C210" s="105"/>
      <c r="D210" s="55"/>
      <c r="E210" s="105"/>
      <c r="F210" s="1"/>
      <c r="AP210" s="56" t="s">
        <v>164</v>
      </c>
      <c r="AV210" s="56" t="s">
        <v>165</v>
      </c>
    </row>
    <row r="211" spans="1:48" ht="15" thickTop="1" thickBot="1" x14ac:dyDescent="0.3">
      <c r="A211" s="105"/>
      <c r="B211" s="53" t="s">
        <v>166</v>
      </c>
      <c r="C211" s="85" t="s">
        <v>1543</v>
      </c>
      <c r="D211" s="85" t="s">
        <v>168</v>
      </c>
      <c r="E211" s="105"/>
      <c r="F211" s="1"/>
      <c r="AP211" s="56" t="s">
        <v>169</v>
      </c>
      <c r="AV211" s="56" t="s">
        <v>170</v>
      </c>
    </row>
    <row r="212" spans="1:48" ht="15" thickTop="1" thickBot="1" x14ac:dyDescent="0.3">
      <c r="A212" s="105"/>
      <c r="B212" s="55"/>
      <c r="C212" s="55"/>
      <c r="D212" s="55"/>
      <c r="E212" s="105"/>
      <c r="F212" s="1"/>
      <c r="AP212" s="56" t="s">
        <v>171</v>
      </c>
      <c r="AV212" s="56" t="s">
        <v>172</v>
      </c>
    </row>
    <row r="213" spans="1:48" ht="15" thickTop="1" thickBot="1" x14ac:dyDescent="0.3">
      <c r="A213" s="105"/>
      <c r="B213" s="53" t="s">
        <v>173</v>
      </c>
      <c r="C213" s="85" t="s">
        <v>174</v>
      </c>
      <c r="D213" s="85" t="s">
        <v>175</v>
      </c>
      <c r="E213" s="105"/>
      <c r="F213" s="1"/>
      <c r="AP213" s="56" t="s">
        <v>176</v>
      </c>
      <c r="AV213" s="56" t="s">
        <v>177</v>
      </c>
    </row>
    <row r="214" spans="1:48" ht="15" thickTop="1" thickBot="1" x14ac:dyDescent="0.3">
      <c r="A214" s="105"/>
      <c r="B214" s="55"/>
      <c r="C214" s="55"/>
      <c r="D214" s="55"/>
      <c r="E214" s="105"/>
      <c r="F214" s="1"/>
      <c r="AP214" s="56" t="s">
        <v>178</v>
      </c>
    </row>
    <row r="215" spans="1:48" ht="4.95" customHeight="1" thickTop="1" x14ac:dyDescent="0.25">
      <c r="A215" s="105"/>
      <c r="B215" s="105"/>
      <c r="C215" s="105"/>
      <c r="D215" s="105"/>
      <c r="E215" s="105"/>
      <c r="F215" s="1"/>
    </row>
    <row r="216" spans="1:48" ht="14.4" thickBot="1" x14ac:dyDescent="0.3">
      <c r="A216" s="105"/>
      <c r="B216" s="105"/>
      <c r="C216" s="105"/>
      <c r="D216" s="105"/>
      <c r="E216" s="105"/>
      <c r="F216" s="1"/>
      <c r="AP216" s="56" t="s">
        <v>179</v>
      </c>
      <c r="AV216" s="56" t="s">
        <v>179</v>
      </c>
    </row>
    <row r="217" spans="1:48" ht="15.6" customHeight="1" thickTop="1" thickBot="1" x14ac:dyDescent="0.3">
      <c r="A217" s="105"/>
      <c r="B217" s="53" t="s">
        <v>180</v>
      </c>
      <c r="C217" s="534" t="s">
        <v>181</v>
      </c>
      <c r="D217" s="535"/>
      <c r="E217" s="105"/>
      <c r="F217" s="1"/>
    </row>
    <row r="218" spans="1:48" ht="15.6" thickTop="1" thickBot="1" x14ac:dyDescent="0.35">
      <c r="A218" s="105"/>
      <c r="B218" s="53" t="s">
        <v>182</v>
      </c>
      <c r="C218" s="62" t="s">
        <v>183</v>
      </c>
      <c r="D218" s="55" t="s">
        <v>184</v>
      </c>
      <c r="E218" s="105"/>
      <c r="F218" s="1"/>
      <c r="AC218" s="56" t="s">
        <v>185</v>
      </c>
      <c r="AE218" s="56" t="s">
        <v>185</v>
      </c>
      <c r="AG218" s="56" t="s">
        <v>185</v>
      </c>
      <c r="AP218" s="77" t="s">
        <v>186</v>
      </c>
    </row>
    <row r="219" spans="1:48" ht="15.6" thickTop="1" thickBot="1" x14ac:dyDescent="0.35">
      <c r="A219" s="105"/>
      <c r="B219" s="105"/>
      <c r="C219" s="105"/>
      <c r="D219" s="105"/>
      <c r="E219" s="105"/>
      <c r="F219" s="1"/>
      <c r="AC219" s="56" t="s">
        <v>187</v>
      </c>
      <c r="AE219" s="56" t="s">
        <v>188</v>
      </c>
      <c r="AG219" s="56" t="s">
        <v>189</v>
      </c>
      <c r="AP219" s="77" t="s">
        <v>190</v>
      </c>
    </row>
    <row r="220" spans="1:48" ht="15.6" thickTop="1" thickBot="1" x14ac:dyDescent="0.35">
      <c r="A220" s="105"/>
      <c r="B220" s="53" t="s">
        <v>191</v>
      </c>
      <c r="C220" s="105"/>
      <c r="D220" s="86">
        <v>1</v>
      </c>
      <c r="E220" s="105"/>
      <c r="F220" s="1"/>
      <c r="AC220" s="56" t="s">
        <v>188</v>
      </c>
      <c r="AG220" s="56" t="s">
        <v>188</v>
      </c>
      <c r="AP220" s="77" t="s">
        <v>192</v>
      </c>
    </row>
    <row r="221" spans="1:48" ht="15.6" thickTop="1" thickBot="1" x14ac:dyDescent="0.35">
      <c r="A221" s="105"/>
      <c r="B221" s="536" t="str">
        <f>IF(D220&gt;0,"Codefendant(s) information","")</f>
        <v>Codefendant(s) information</v>
      </c>
      <c r="C221" s="536"/>
      <c r="D221" s="536"/>
      <c r="E221" s="105"/>
      <c r="F221" s="1"/>
      <c r="AH221" s="56" t="s">
        <v>193</v>
      </c>
      <c r="AL221" s="56" t="s">
        <v>194</v>
      </c>
      <c r="AP221" s="77" t="s">
        <v>195</v>
      </c>
    </row>
    <row r="222" spans="1:48" ht="15.6" thickTop="1" thickBot="1" x14ac:dyDescent="0.35">
      <c r="A222" s="105">
        <f>IF(D$220&gt;0,1,"")</f>
        <v>1</v>
      </c>
      <c r="B222" s="87" t="s">
        <v>196</v>
      </c>
      <c r="C222" s="87" t="s">
        <v>193</v>
      </c>
      <c r="D222" s="87" t="s">
        <v>197</v>
      </c>
      <c r="E222" s="105"/>
      <c r="F222" s="1"/>
      <c r="AC222" s="56" t="s">
        <v>198</v>
      </c>
      <c r="AH222" s="56" t="s">
        <v>134</v>
      </c>
      <c r="AL222" s="56" t="s">
        <v>197</v>
      </c>
      <c r="AP222" s="77" t="s">
        <v>199</v>
      </c>
    </row>
    <row r="223" spans="1:48" ht="15.6" thickTop="1" thickBot="1" x14ac:dyDescent="0.35">
      <c r="A223" s="105"/>
      <c r="B223" s="87" t="s">
        <v>190</v>
      </c>
      <c r="C223" s="87" t="s">
        <v>193</v>
      </c>
      <c r="D223" s="87" t="s">
        <v>200</v>
      </c>
      <c r="E223" s="105"/>
      <c r="F223" s="1"/>
      <c r="AC223" s="56" t="s">
        <v>164</v>
      </c>
      <c r="AH223" s="56" t="s">
        <v>201</v>
      </c>
      <c r="AL223" s="56" t="s">
        <v>202</v>
      </c>
      <c r="AP223" s="77" t="s">
        <v>203</v>
      </c>
    </row>
    <row r="224" spans="1:48" ht="15.6" thickTop="1" thickBot="1" x14ac:dyDescent="0.35">
      <c r="A224" s="105"/>
      <c r="B224" s="87" t="str">
        <f>IF($D$220&gt;0,"know location?","")</f>
        <v>know location?</v>
      </c>
      <c r="C224" s="87" t="str">
        <f>IF($D$220&gt;0,"claims to know real culprit?","")</f>
        <v>claims to know real culprit?</v>
      </c>
      <c r="D224" s="87" t="s">
        <v>185</v>
      </c>
      <c r="E224" s="105"/>
      <c r="F224" s="1"/>
      <c r="AD224" s="56" t="s">
        <v>204</v>
      </c>
      <c r="AL224" s="56" t="s">
        <v>205</v>
      </c>
      <c r="AP224" s="77"/>
    </row>
    <row r="225" spans="1:30" ht="4.95" customHeight="1" thickTop="1" thickBot="1" x14ac:dyDescent="0.3">
      <c r="A225" s="105"/>
      <c r="B225" s="105"/>
      <c r="C225" s="105"/>
      <c r="D225" s="105"/>
      <c r="E225" s="105"/>
      <c r="F225" s="1"/>
    </row>
    <row r="226" spans="1:30" ht="15" thickTop="1" thickBot="1" x14ac:dyDescent="0.3">
      <c r="A226" s="105" t="str">
        <f>IF(D$220&gt;1,2,"")</f>
        <v/>
      </c>
      <c r="B226" s="87" t="str">
        <f>IF(D$220&gt;1,"NAME ","")</f>
        <v/>
      </c>
      <c r="C226" s="87" t="str">
        <f>IF($D$220&gt;1,"charged as?","")</f>
        <v/>
      </c>
      <c r="D226" s="87" t="str">
        <f>IF($D$220&gt;1,"how adjudicated?","")</f>
        <v/>
      </c>
      <c r="E226" s="105"/>
      <c r="F226" s="1"/>
      <c r="AD226" s="56" t="s">
        <v>164</v>
      </c>
    </row>
    <row r="227" spans="1:30" ht="15" thickTop="1" thickBot="1" x14ac:dyDescent="0.3">
      <c r="A227" s="105"/>
      <c r="B227" s="87" t="str">
        <f>IF($D$220&gt;1,"relation?","")</f>
        <v/>
      </c>
      <c r="C227" s="87" t="str">
        <f>IF($D$220&gt;1,"convicted as?","")</f>
        <v/>
      </c>
      <c r="D227" s="87" t="str">
        <f>IF($D$220&gt;1,"verdict?","")</f>
        <v/>
      </c>
      <c r="E227" s="105"/>
      <c r="F227" s="1"/>
      <c r="AD227" s="56" t="s">
        <v>200</v>
      </c>
    </row>
    <row r="228" spans="1:30" ht="15" thickTop="1" thickBot="1" x14ac:dyDescent="0.3">
      <c r="A228" s="105"/>
      <c r="B228" s="87" t="str">
        <f>IF($D$220&gt;1,"know location?","")</f>
        <v/>
      </c>
      <c r="C228" s="87" t="str">
        <f>IF($D$220&gt;1,"claims to know real culprit?","")</f>
        <v/>
      </c>
      <c r="D228" s="87" t="str">
        <f>IF($D$220&gt;1,"also claims innocence?","")</f>
        <v/>
      </c>
      <c r="E228" s="105"/>
      <c r="F228" s="1"/>
      <c r="AD228" s="56" t="s">
        <v>206</v>
      </c>
    </row>
    <row r="229" spans="1:30" ht="4.95" customHeight="1" thickTop="1" thickBot="1" x14ac:dyDescent="0.3">
      <c r="A229" s="105"/>
      <c r="B229" s="105"/>
      <c r="C229" s="105"/>
      <c r="D229" s="105"/>
      <c r="E229" s="105"/>
      <c r="F229" s="1"/>
    </row>
    <row r="230" spans="1:30" ht="15" thickTop="1" thickBot="1" x14ac:dyDescent="0.3">
      <c r="A230" s="105" t="str">
        <f>IF(D$220&gt;2,3,"")</f>
        <v/>
      </c>
      <c r="B230" s="87" t="str">
        <f>IF(D$220&gt;2,"NAME ","")</f>
        <v/>
      </c>
      <c r="C230" s="87" t="str">
        <f>IF($D$220&gt;2,"charged as?","")</f>
        <v/>
      </c>
      <c r="D230" s="87" t="str">
        <f>IF($D$220&gt;2,"how adjudicated?","")</f>
        <v/>
      </c>
      <c r="E230" s="105"/>
      <c r="F230" s="1"/>
    </row>
    <row r="231" spans="1:30" ht="15" thickTop="1" thickBot="1" x14ac:dyDescent="0.3">
      <c r="A231" s="105"/>
      <c r="B231" s="87" t="str">
        <f>IF($D$220&gt;2,"relation?","")</f>
        <v/>
      </c>
      <c r="C231" s="87" t="str">
        <f>IF($D$220&gt;2,"convicted as?","")</f>
        <v/>
      </c>
      <c r="D231" s="87" t="str">
        <f>IF($D$220&gt;2,"verdict?","")</f>
        <v/>
      </c>
      <c r="E231" s="105"/>
      <c r="F231" s="1"/>
    </row>
    <row r="232" spans="1:30" ht="15" thickTop="1" thickBot="1" x14ac:dyDescent="0.3">
      <c r="A232" s="105"/>
      <c r="B232" s="87" t="str">
        <f>IF($D$220&gt;2,"know location?","")</f>
        <v/>
      </c>
      <c r="C232" s="87" t="str">
        <f>IF($D$220&gt;2,"claims to know real culprit?","")</f>
        <v/>
      </c>
      <c r="D232" s="87" t="str">
        <f>IF($D$220&gt;2,"also claims innocence?","")</f>
        <v/>
      </c>
      <c r="E232" s="105"/>
      <c r="F232" s="1"/>
    </row>
    <row r="233" spans="1:30" ht="4.95" customHeight="1" thickTop="1" thickBot="1" x14ac:dyDescent="0.3">
      <c r="A233" s="105"/>
      <c r="B233" s="105"/>
      <c r="C233" s="105"/>
      <c r="D233" s="105"/>
      <c r="E233" s="105"/>
      <c r="F233" s="1"/>
    </row>
    <row r="234" spans="1:30" ht="15" thickTop="1" thickBot="1" x14ac:dyDescent="0.3">
      <c r="A234" s="105" t="str">
        <f>IF(D$220&gt;3,4,"")</f>
        <v/>
      </c>
      <c r="B234" s="87" t="str">
        <f>IF(D$220&gt;3,"NAME ","")</f>
        <v/>
      </c>
      <c r="C234" s="87" t="str">
        <f>IF($D$220&gt;3,"charged as?","")</f>
        <v/>
      </c>
      <c r="D234" s="87" t="str">
        <f>IF($D$220&gt;3,"how adjudicated?","")</f>
        <v/>
      </c>
      <c r="E234" s="105"/>
      <c r="F234" s="1"/>
    </row>
    <row r="235" spans="1:30" ht="15" thickTop="1" thickBot="1" x14ac:dyDescent="0.3">
      <c r="A235" s="105"/>
      <c r="B235" s="87" t="str">
        <f>IF($D$220&gt;3,"relation?","")</f>
        <v/>
      </c>
      <c r="C235" s="87" t="str">
        <f>IF($D$220&gt;3,"convicted as?","")</f>
        <v/>
      </c>
      <c r="D235" s="87" t="str">
        <f>IF($D$220&gt;3,"verdict?","")</f>
        <v/>
      </c>
      <c r="E235" s="105"/>
      <c r="F235" s="1"/>
    </row>
    <row r="236" spans="1:30" ht="15" thickTop="1" thickBot="1" x14ac:dyDescent="0.3">
      <c r="A236" s="105"/>
      <c r="B236" s="87" t="str">
        <f>IF($D$220&gt;3,"know location?","")</f>
        <v/>
      </c>
      <c r="C236" s="87" t="str">
        <f>IF($D$220&gt;3,"claims to know real culprit?","")</f>
        <v/>
      </c>
      <c r="D236" s="87" t="str">
        <f>IF($D$220&gt;3,"also claims innocence?","")</f>
        <v/>
      </c>
      <c r="E236" s="105"/>
      <c r="F236" s="1"/>
    </row>
    <row r="237" spans="1:30" ht="4.95" customHeight="1" thickTop="1" thickBot="1" x14ac:dyDescent="0.3">
      <c r="A237" s="105"/>
      <c r="B237" s="105"/>
      <c r="C237" s="105"/>
      <c r="D237" s="105"/>
      <c r="E237" s="105"/>
      <c r="F237" s="1"/>
    </row>
    <row r="238" spans="1:30" ht="15" thickTop="1" thickBot="1" x14ac:dyDescent="0.3">
      <c r="A238" s="105" t="str">
        <f>IF(D$220&gt;4,5,"")</f>
        <v/>
      </c>
      <c r="B238" s="87" t="str">
        <f>IF(D$220&gt;4,"NAME ","")</f>
        <v/>
      </c>
      <c r="C238" s="87" t="str">
        <f>IF($D$220&gt;4,"charged as?","")</f>
        <v/>
      </c>
      <c r="D238" s="87" t="str">
        <f>IF($D$220&gt;4,"how adjudicated?","")</f>
        <v/>
      </c>
      <c r="E238" s="105"/>
      <c r="F238" s="1"/>
    </row>
    <row r="239" spans="1:30" ht="15" thickTop="1" thickBot="1" x14ac:dyDescent="0.3">
      <c r="A239" s="105"/>
      <c r="B239" s="87" t="str">
        <f>IF($D$220&gt;4,"relation?","")</f>
        <v/>
      </c>
      <c r="C239" s="87" t="str">
        <f>IF($D$220&gt;4,"convicted as?","")</f>
        <v/>
      </c>
      <c r="D239" s="87" t="str">
        <f>IF($D$220&gt;4,"verdict?","")</f>
        <v/>
      </c>
      <c r="E239" s="105"/>
      <c r="F239" s="1"/>
    </row>
    <row r="240" spans="1:30" ht="15" thickTop="1" thickBot="1" x14ac:dyDescent="0.3">
      <c r="A240" s="105"/>
      <c r="B240" s="87" t="str">
        <f>IF($D$220&gt;4,"know location?","")</f>
        <v/>
      </c>
      <c r="C240" s="87" t="str">
        <f>IF($D$220&gt;4,"claims to know real culprit?","")</f>
        <v/>
      </c>
      <c r="D240" s="87" t="str">
        <f>IF($D$220&gt;4,"also claims innocence?","")</f>
        <v/>
      </c>
      <c r="E240" s="105"/>
      <c r="F240" s="1"/>
    </row>
    <row r="241" spans="1:49" ht="4.95" customHeight="1" thickTop="1" thickBot="1" x14ac:dyDescent="0.3">
      <c r="A241" s="105"/>
      <c r="B241" s="105"/>
      <c r="C241" s="105"/>
      <c r="D241" s="105"/>
      <c r="E241" s="105"/>
      <c r="F241" s="1"/>
    </row>
    <row r="242" spans="1:49" ht="15" thickTop="1" thickBot="1" x14ac:dyDescent="0.3">
      <c r="A242" s="105" t="str">
        <f>IF(D$220&gt;5,6,"")</f>
        <v/>
      </c>
      <c r="B242" s="87" t="str">
        <f>IF(D$220&gt;5,"NAME ","")</f>
        <v/>
      </c>
      <c r="C242" s="87" t="str">
        <f>IF($D$220&gt;5,"charged as?","")</f>
        <v/>
      </c>
      <c r="D242" s="87" t="str">
        <f>IF($D$220&gt;5,"how adjudicated?","")</f>
        <v/>
      </c>
      <c r="E242" s="105"/>
      <c r="F242" s="1"/>
    </row>
    <row r="243" spans="1:49" ht="15" thickTop="1" thickBot="1" x14ac:dyDescent="0.3">
      <c r="A243" s="105"/>
      <c r="B243" s="87" t="str">
        <f>IF($D$220&gt;5,"relation?","")</f>
        <v/>
      </c>
      <c r="C243" s="87" t="str">
        <f>IF($D$220&gt;5,"convicted as?","")</f>
        <v/>
      </c>
      <c r="D243" s="87" t="str">
        <f>IF($D$220&gt;5,"verdict?","")</f>
        <v/>
      </c>
      <c r="E243" s="105"/>
      <c r="F243" s="1"/>
    </row>
    <row r="244" spans="1:49" ht="15" thickTop="1" thickBot="1" x14ac:dyDescent="0.3">
      <c r="A244" s="105"/>
      <c r="B244" s="87" t="str">
        <f>IF($D$220&gt;5,"know location?","")</f>
        <v/>
      </c>
      <c r="C244" s="87" t="str">
        <f>IF($D$220&gt;5,"claims to know real culprit?","")</f>
        <v/>
      </c>
      <c r="D244" s="87" t="str">
        <f>IF($D$220&gt;5,"also claims innocence?","")</f>
        <v/>
      </c>
      <c r="E244" s="105"/>
      <c r="F244" s="1"/>
    </row>
    <row r="245" spans="1:49" ht="4.95" customHeight="1" thickTop="1" x14ac:dyDescent="0.25">
      <c r="A245" s="105"/>
      <c r="B245" s="105"/>
      <c r="C245" s="105"/>
      <c r="D245" s="105"/>
      <c r="E245" s="105"/>
      <c r="F245" s="1"/>
    </row>
    <row r="246" spans="1:49" ht="15" customHeight="1" thickBot="1" x14ac:dyDescent="0.3">
      <c r="A246" s="105"/>
      <c r="B246" s="53" t="s">
        <v>207</v>
      </c>
      <c r="C246" s="105"/>
      <c r="D246" s="53"/>
      <c r="E246" s="105"/>
      <c r="F246" s="1"/>
    </row>
    <row r="247" spans="1:49" ht="60" customHeight="1" thickTop="1" thickBot="1" x14ac:dyDescent="0.3">
      <c r="A247" s="105"/>
      <c r="B247" s="537" t="s">
        <v>208</v>
      </c>
      <c r="C247" s="538"/>
      <c r="D247" s="539"/>
      <c r="E247" s="105"/>
      <c r="F247" s="1"/>
      <c r="AN247" s="88" t="s">
        <v>209</v>
      </c>
    </row>
    <row r="248" spans="1:49" ht="14.4" thickTop="1" x14ac:dyDescent="0.25">
      <c r="A248" s="105"/>
      <c r="B248" s="53"/>
      <c r="C248" s="53"/>
      <c r="D248" s="53"/>
      <c r="E248" s="53"/>
      <c r="F248" s="1"/>
      <c r="AN248" s="88" t="s">
        <v>210</v>
      </c>
    </row>
    <row r="249" spans="1:49" ht="15" thickBot="1" x14ac:dyDescent="0.35">
      <c r="A249" s="105"/>
      <c r="B249" s="78" t="s">
        <v>211</v>
      </c>
      <c r="C249" s="78" t="s">
        <v>212</v>
      </c>
      <c r="D249" s="78" t="s">
        <v>213</v>
      </c>
      <c r="E249" s="105"/>
      <c r="F249" s="1"/>
      <c r="AC249" s="77" t="s">
        <v>214</v>
      </c>
      <c r="AN249" s="88" t="s">
        <v>215</v>
      </c>
    </row>
    <row r="250" spans="1:49" ht="15.6" thickTop="1" thickBot="1" x14ac:dyDescent="0.35">
      <c r="A250" s="105"/>
      <c r="B250" s="79">
        <v>34367</v>
      </c>
      <c r="C250" s="79">
        <v>34157</v>
      </c>
      <c r="D250" s="86" t="s">
        <v>214</v>
      </c>
      <c r="E250" s="105"/>
      <c r="F250" s="1"/>
      <c r="AC250" s="77" t="s">
        <v>216</v>
      </c>
      <c r="AN250" s="88" t="s">
        <v>217</v>
      </c>
      <c r="AW250" s="89"/>
    </row>
    <row r="251" spans="1:49" ht="15" thickTop="1" thickBot="1" x14ac:dyDescent="0.3">
      <c r="A251" s="105"/>
      <c r="B251" s="53"/>
      <c r="C251" s="53"/>
      <c r="D251" s="53"/>
      <c r="E251" s="105"/>
      <c r="F251" s="1"/>
      <c r="AW251" s="89"/>
    </row>
    <row r="252" spans="1:49" ht="15" thickTop="1" thickBot="1" x14ac:dyDescent="0.3">
      <c r="A252" s="105"/>
      <c r="B252" s="78" t="s">
        <v>218</v>
      </c>
      <c r="C252" s="78" t="s">
        <v>219</v>
      </c>
      <c r="D252" s="78" t="s">
        <v>220</v>
      </c>
      <c r="E252" s="105"/>
      <c r="F252" s="1"/>
      <c r="AW252" s="89"/>
    </row>
    <row r="253" spans="1:49" ht="15" thickTop="1" thickBot="1" x14ac:dyDescent="0.3">
      <c r="A253" s="105"/>
      <c r="B253" s="79">
        <v>35060</v>
      </c>
      <c r="C253" s="79">
        <v>35803</v>
      </c>
      <c r="D253" s="90" t="s">
        <v>221</v>
      </c>
      <c r="E253" s="105"/>
      <c r="F253" s="1"/>
    </row>
    <row r="254" spans="1:49" ht="15" thickTop="1" thickBot="1" x14ac:dyDescent="0.3">
      <c r="A254" s="105"/>
      <c r="B254" s="53" t="s">
        <v>222</v>
      </c>
      <c r="C254" s="105"/>
      <c r="D254" s="105"/>
      <c r="E254" s="105"/>
      <c r="F254" s="1"/>
    </row>
    <row r="255" spans="1:49" ht="45" customHeight="1" thickTop="1" thickBot="1" x14ac:dyDescent="0.3">
      <c r="A255" s="105"/>
      <c r="B255" s="537"/>
      <c r="C255" s="538"/>
      <c r="D255" s="539"/>
      <c r="E255" s="105"/>
      <c r="F255" s="1"/>
    </row>
    <row r="256" spans="1:49" ht="7.05" customHeight="1" thickTop="1" thickBot="1" x14ac:dyDescent="0.3">
      <c r="A256" s="105"/>
      <c r="B256" s="105"/>
      <c r="C256" s="105"/>
      <c r="D256" s="105"/>
      <c r="E256" s="105"/>
      <c r="F256" s="1"/>
    </row>
    <row r="257" spans="1:52" ht="15.6" thickTop="1" thickBot="1" x14ac:dyDescent="0.35">
      <c r="A257" s="105"/>
      <c r="B257" s="53" t="s">
        <v>223</v>
      </c>
      <c r="C257" s="105"/>
      <c r="D257" s="91" t="s">
        <v>224</v>
      </c>
      <c r="E257" s="105"/>
      <c r="F257" s="1"/>
      <c r="AC257" s="60">
        <f>SUM(AD257:AK257)</f>
        <v>0</v>
      </c>
      <c r="AD257" s="56">
        <f>IF(D257=C2018,1,0)</f>
        <v>0</v>
      </c>
      <c r="AE257" s="56">
        <f>IF(D257=C2019,1,0)</f>
        <v>0</v>
      </c>
      <c r="AF257" s="56">
        <f>IF(D257=C2020,1,0)</f>
        <v>0</v>
      </c>
      <c r="AG257" s="56">
        <f>IF(D257=C2021,1,0)</f>
        <v>0</v>
      </c>
      <c r="AH257" s="56">
        <f>IF(D257=C2022,1,0)</f>
        <v>0</v>
      </c>
      <c r="AI257" s="56">
        <f>IF(D257=C2023,1,0)</f>
        <v>0</v>
      </c>
      <c r="AJ257" s="56">
        <f>IF(D257=C2024,1,0)</f>
        <v>0</v>
      </c>
      <c r="AK257" s="56">
        <f>IF(D257=C2026,1,0)</f>
        <v>0</v>
      </c>
      <c r="AM257" s="92">
        <f>IF(AC257=1,0,1)</f>
        <v>1</v>
      </c>
      <c r="AN257" s="92">
        <f>IF(D$257=C2035,1,0)</f>
        <v>0</v>
      </c>
      <c r="AO257" s="92">
        <f>IF(D$257=C2036,1,0)</f>
        <v>0</v>
      </c>
      <c r="AP257" s="92">
        <f>IF(D$257=C2037,1,0)</f>
        <v>0</v>
      </c>
      <c r="AQ257" s="93">
        <f>MAX(AN257:AP257)</f>
        <v>0</v>
      </c>
      <c r="AR257" s="92"/>
      <c r="AS257" s="92"/>
      <c r="AT257" s="92"/>
      <c r="AU257" s="92" t="str">
        <f>IF(OR(AC257&gt;0,AQ257&gt;0),AV258,AV259)</f>
        <v>no new charges</v>
      </c>
      <c r="AV257" s="92"/>
      <c r="AW257" s="92"/>
      <c r="AX257" s="92"/>
      <c r="AY257" s="92"/>
      <c r="AZ257" s="94" t="s">
        <v>225</v>
      </c>
    </row>
    <row r="258" spans="1:52" ht="14.4" thickTop="1" x14ac:dyDescent="0.25">
      <c r="A258" s="105"/>
      <c r="B258" s="95" t="str">
        <f>IF($AC$257=1,"Inmate #","")</f>
        <v/>
      </c>
      <c r="C258" s="95" t="str">
        <f>IF($AC$257=1,"Current correctional facility","")</f>
        <v/>
      </c>
      <c r="D258" s="95" t="str">
        <f>IF($AC$257=1,"City, ST zipcode","")</f>
        <v/>
      </c>
      <c r="E258" s="105"/>
      <c r="F258" s="1"/>
      <c r="AM258" s="92"/>
      <c r="AN258" s="92"/>
      <c r="AO258" s="92"/>
      <c r="AP258" s="92"/>
      <c r="AQ258" s="92"/>
      <c r="AR258" s="92"/>
      <c r="AS258" s="92"/>
      <c r="AT258" s="92"/>
      <c r="AU258" s="92"/>
      <c r="AV258" s="92" t="s">
        <v>226</v>
      </c>
      <c r="AW258" s="92"/>
      <c r="AX258" s="92"/>
      <c r="AY258" s="92"/>
      <c r="AZ258" s="92"/>
    </row>
    <row r="259" spans="1:52" x14ac:dyDescent="0.25">
      <c r="A259" s="105"/>
      <c r="B259" s="96"/>
      <c r="C259" s="96"/>
      <c r="D259" s="96"/>
      <c r="E259" s="105"/>
      <c r="F259" s="1"/>
      <c r="AM259" s="92"/>
      <c r="AN259" s="92" t="str">
        <f>IF(AQ257&gt;0,AV258,AV259)</f>
        <v>no new charges</v>
      </c>
      <c r="AO259" s="92"/>
      <c r="AP259" s="92"/>
      <c r="AQ259" s="92"/>
      <c r="AR259" s="92"/>
      <c r="AS259" s="92"/>
      <c r="AT259" s="92"/>
      <c r="AU259" s="92"/>
      <c r="AV259" s="92" t="s">
        <v>227</v>
      </c>
      <c r="AW259" s="92"/>
      <c r="AX259" s="92"/>
      <c r="AY259" s="92"/>
      <c r="AZ259" s="92"/>
    </row>
    <row r="260" spans="1:52" ht="4.95" customHeight="1" x14ac:dyDescent="0.25">
      <c r="A260" s="105"/>
      <c r="B260" s="96"/>
      <c r="C260" s="96"/>
      <c r="D260" s="96"/>
      <c r="E260" s="105"/>
      <c r="F260" s="1"/>
    </row>
    <row r="261" spans="1:52" ht="4.95" customHeight="1" x14ac:dyDescent="0.25">
      <c r="A261" s="105"/>
      <c r="B261" s="96"/>
      <c r="C261" s="96"/>
      <c r="D261" s="96"/>
      <c r="E261" s="105"/>
      <c r="F261" s="1"/>
    </row>
    <row r="262" spans="1:52" ht="14.4" thickBot="1" x14ac:dyDescent="0.3">
      <c r="A262" s="105"/>
      <c r="B262" s="97" t="s">
        <v>228</v>
      </c>
      <c r="C262" s="53"/>
      <c r="D262" s="53"/>
      <c r="E262" s="105"/>
      <c r="F262" s="1"/>
    </row>
    <row r="263" spans="1:52" ht="15" thickTop="1" thickBot="1" x14ac:dyDescent="0.3">
      <c r="A263" s="105"/>
      <c r="B263" s="53" t="s">
        <v>229</v>
      </c>
      <c r="C263" s="105"/>
      <c r="D263" s="89">
        <f>B196</f>
        <v>34157</v>
      </c>
      <c r="E263" s="53"/>
      <c r="F263" s="1"/>
    </row>
    <row r="264" spans="1:52" ht="15" thickTop="1" thickBot="1" x14ac:dyDescent="0.3">
      <c r="A264" s="105"/>
      <c r="B264" s="53" t="str">
        <f>IF($AC$257=0,"Date released from prison:","Earliest release date (if applicable):")</f>
        <v>Date released from prison:</v>
      </c>
      <c r="C264" s="105"/>
      <c r="D264" s="89">
        <v>38617</v>
      </c>
      <c r="E264" s="105"/>
      <c r="F264" s="1"/>
      <c r="AB264" s="532">
        <f>D264-C250</f>
        <v>4460</v>
      </c>
      <c r="AC264" s="532"/>
      <c r="AE264" s="98">
        <f>ROUNDDOWN((AB264/365.25),0)</f>
        <v>12</v>
      </c>
    </row>
    <row r="265" spans="1:52" ht="15" thickTop="1" thickBot="1" x14ac:dyDescent="0.3">
      <c r="A265" s="105"/>
      <c r="B265" s="53" t="str">
        <f>IF($D$257="on parole","Date expected to end parole:","Date released from parole (if applicable):")</f>
        <v>Date released from parole (if applicable):</v>
      </c>
      <c r="C265" s="105"/>
      <c r="D265" s="89"/>
      <c r="E265" s="105"/>
      <c r="F265" s="1"/>
      <c r="AB265" s="532">
        <f>IF(D265="",0,D265-D264)</f>
        <v>0</v>
      </c>
      <c r="AC265" s="532">
        <f>D264-D264</f>
        <v>0</v>
      </c>
      <c r="AE265" s="98">
        <f>ROUND((AB265/365.25),1)</f>
        <v>0</v>
      </c>
    </row>
    <row r="266" spans="1:52" ht="15" thickTop="1" thickBot="1" x14ac:dyDescent="0.3">
      <c r="A266" s="105"/>
      <c r="B266" s="53" t="str">
        <f>IF($D$257="on probation","Date expected to end probation:","Date released from probation (if applicable):")</f>
        <v>Date released from probation (if applicable):</v>
      </c>
      <c r="C266" s="105"/>
      <c r="D266" s="55"/>
      <c r="E266" s="105"/>
      <c r="F266" s="1"/>
    </row>
    <row r="267" spans="1:52" ht="15" thickTop="1" thickBot="1" x14ac:dyDescent="0.3">
      <c r="A267" s="105"/>
      <c r="B267" s="541" t="s">
        <v>230</v>
      </c>
      <c r="C267" s="542"/>
      <c r="D267" s="99" t="s">
        <v>231</v>
      </c>
      <c r="E267" s="105"/>
      <c r="F267" s="1"/>
    </row>
    <row r="268" spans="1:52" ht="15" thickTop="1" thickBot="1" x14ac:dyDescent="0.3">
      <c r="A268" s="105"/>
      <c r="B268" s="53" t="s">
        <v>232</v>
      </c>
      <c r="C268" s="105"/>
      <c r="D268" s="55">
        <v>3</v>
      </c>
      <c r="E268" s="105"/>
      <c r="F268" s="1"/>
      <c r="AB268" s="57"/>
    </row>
    <row r="269" spans="1:52" ht="15" thickTop="1" thickBot="1" x14ac:dyDescent="0.3">
      <c r="A269" s="105"/>
      <c r="B269" s="541" t="str">
        <f>IF(AC257=0,"Discharged from max sentence due to innocence claim?","Expect to serve full sentence due to innocence claim?")</f>
        <v>Discharged from max sentence due to innocence claim?</v>
      </c>
      <c r="C269" s="542"/>
      <c r="D269" s="100" t="s">
        <v>185</v>
      </c>
      <c r="E269" s="105"/>
      <c r="F269" s="1"/>
      <c r="AB269" s="57"/>
    </row>
    <row r="270" spans="1:52" ht="15" thickTop="1" thickBot="1" x14ac:dyDescent="0.3">
      <c r="A270" s="105"/>
      <c r="B270" s="541" t="s">
        <v>233</v>
      </c>
      <c r="C270" s="542"/>
      <c r="D270" s="100" t="s">
        <v>234</v>
      </c>
      <c r="E270" s="105"/>
      <c r="F270" s="1"/>
      <c r="AM270" s="101" t="str">
        <f>IF(AND(AO270&gt;0,AO270&lt;3),"Sex offender registry end date:",IF(AND(AO270&gt;2,AO270&lt;4),"Sex offender registry as of today:",""))</f>
        <v>Sex offender registry as of today:</v>
      </c>
      <c r="AO270" s="60">
        <f>MAX(AP270:AS270)</f>
        <v>3</v>
      </c>
      <c r="AP270" s="56">
        <f>IF($D$270=B1988,D1988,-1)</f>
        <v>-1</v>
      </c>
      <c r="AQ270" s="56">
        <f>IF($D$270=B1989,D1989,-1)</f>
        <v>-1</v>
      </c>
      <c r="AR270" s="56">
        <f>IF($D$270=B1990,D1990,-1)</f>
        <v>-1</v>
      </c>
      <c r="AS270" s="56">
        <f>IF($D$270=B1991,D1991,-1)</f>
        <v>3</v>
      </c>
    </row>
    <row r="271" spans="1:52" ht="15.6" customHeight="1" thickTop="1" thickBot="1" x14ac:dyDescent="0.3">
      <c r="A271" s="105"/>
      <c r="B271" s="541" t="str">
        <f>AM270</f>
        <v>Sex offender registry as of today:</v>
      </c>
      <c r="C271" s="542"/>
      <c r="D271" s="89">
        <f ca="1">IF(AO270=3,TODAY(),"")</f>
        <v>44336</v>
      </c>
      <c r="E271" s="105"/>
      <c r="F271" s="1"/>
      <c r="AB271" s="532">
        <f ca="1">D271-D264</f>
        <v>5719</v>
      </c>
      <c r="AC271" s="532"/>
      <c r="AD271" s="98">
        <f ca="1">ROUND((AB271/365.25),0)</f>
        <v>16</v>
      </c>
      <c r="AE271" s="98">
        <f ca="1">MAX(AE265,AD271)</f>
        <v>16</v>
      </c>
      <c r="AF271" s="540">
        <f ca="1">TODAY()</f>
        <v>44336</v>
      </c>
      <c r="AG271" s="540"/>
    </row>
    <row r="272" spans="1:52" ht="15" thickTop="1" thickBot="1" x14ac:dyDescent="0.3">
      <c r="A272" s="105"/>
      <c r="B272" s="541" t="s">
        <v>235</v>
      </c>
      <c r="C272" s="542"/>
      <c r="D272" s="102" t="s">
        <v>185</v>
      </c>
      <c r="E272" s="105"/>
      <c r="F272" s="1"/>
    </row>
    <row r="273" spans="1:56" ht="14.4" thickTop="1" x14ac:dyDescent="0.25">
      <c r="A273" s="105"/>
      <c r="B273" s="53"/>
      <c r="C273" s="105"/>
      <c r="D273" s="105"/>
      <c r="E273" s="105"/>
      <c r="F273" s="1"/>
    </row>
    <row r="274" spans="1:56" x14ac:dyDescent="0.25">
      <c r="A274" s="105"/>
      <c r="B274" s="53" t="s">
        <v>236</v>
      </c>
      <c r="C274" s="105"/>
      <c r="D274" s="105"/>
      <c r="E274" s="105"/>
      <c r="F274" s="1"/>
    </row>
    <row r="275" spans="1:56" ht="14.4" thickBot="1" x14ac:dyDescent="0.3">
      <c r="A275" s="105"/>
      <c r="B275" s="105" t="s">
        <v>237</v>
      </c>
      <c r="C275" s="105" t="s">
        <v>238</v>
      </c>
      <c r="D275" s="105" t="s">
        <v>239</v>
      </c>
      <c r="E275" s="105"/>
      <c r="F275" s="1"/>
    </row>
    <row r="276" spans="1:56" ht="15" thickTop="1" thickBot="1" x14ac:dyDescent="0.3">
      <c r="A276" s="105"/>
      <c r="B276" s="103" t="s">
        <v>185</v>
      </c>
      <c r="C276" s="86" t="s">
        <v>185</v>
      </c>
      <c r="D276" s="86" t="s">
        <v>240</v>
      </c>
      <c r="E276" s="105"/>
      <c r="F276" s="1"/>
    </row>
    <row r="277" spans="1:56" ht="15" thickTop="1" thickBot="1" x14ac:dyDescent="0.3">
      <c r="A277" s="105"/>
      <c r="B277" s="53"/>
      <c r="C277" s="105"/>
      <c r="D277" s="105"/>
      <c r="E277" s="105"/>
      <c r="F277" s="1"/>
    </row>
    <row r="278" spans="1:56" ht="15" thickTop="1" thickBot="1" x14ac:dyDescent="0.3">
      <c r="A278" s="105"/>
      <c r="B278" s="543" t="s">
        <v>241</v>
      </c>
      <c r="C278" s="544"/>
      <c r="D278" s="100" t="s">
        <v>185</v>
      </c>
      <c r="E278" s="105"/>
      <c r="F278" s="1"/>
      <c r="AB278" s="57"/>
      <c r="AC278" s="57"/>
      <c r="AT278" s="543"/>
      <c r="AU278" s="544"/>
    </row>
    <row r="279" spans="1:56" ht="15" thickTop="1" thickBot="1" x14ac:dyDescent="0.3">
      <c r="A279" s="105"/>
      <c r="B279" s="53" t="str">
        <f>IF(D278=AE218,"What was the response? Explain further below.","Please explain why not in box below.")</f>
        <v>What was the response? Explain further below.</v>
      </c>
      <c r="C279" s="105"/>
      <c r="D279" s="104" t="s">
        <v>242</v>
      </c>
      <c r="E279" s="105"/>
      <c r="F279" s="1"/>
      <c r="AB279" s="57"/>
      <c r="BD279" s="56" t="s">
        <v>243</v>
      </c>
    </row>
    <row r="280" spans="1:56" ht="15" thickTop="1" thickBot="1" x14ac:dyDescent="0.3">
      <c r="A280" s="105"/>
      <c r="B280" s="545" t="str">
        <f>IF(D279=B1862,D1862,"")</f>
        <v>but had to prioritize their resources for others whose liberty was more in jeopardy.</v>
      </c>
      <c r="C280" s="545"/>
      <c r="D280" s="545"/>
      <c r="E280" s="105"/>
      <c r="F280" s="1"/>
      <c r="BD280" s="56" t="s">
        <v>244</v>
      </c>
    </row>
    <row r="281" spans="1:56" ht="45" customHeight="1" thickTop="1" thickBot="1" x14ac:dyDescent="0.3">
      <c r="A281" s="105"/>
      <c r="B281" s="537" t="s">
        <v>245</v>
      </c>
      <c r="C281" s="538"/>
      <c r="D281" s="539"/>
      <c r="E281" s="105"/>
      <c r="F281" s="1"/>
    </row>
    <row r="282" spans="1:56" ht="7.95" customHeight="1" thickTop="1" x14ac:dyDescent="0.25">
      <c r="A282" s="105"/>
      <c r="B282" s="53"/>
      <c r="C282" s="105"/>
      <c r="D282" s="105"/>
      <c r="E282" s="105"/>
      <c r="F282" s="1"/>
    </row>
    <row r="283" spans="1:56" ht="14.4" thickBot="1" x14ac:dyDescent="0.3">
      <c r="A283" s="105"/>
      <c r="B283" s="53" t="s">
        <v>246</v>
      </c>
      <c r="C283" s="105"/>
      <c r="D283" s="53" t="s">
        <v>247</v>
      </c>
      <c r="E283" s="105"/>
      <c r="F283" s="1"/>
    </row>
    <row r="284" spans="1:56" ht="15" thickTop="1" thickBot="1" x14ac:dyDescent="0.3">
      <c r="A284" s="105"/>
      <c r="B284" s="559" t="s">
        <v>248</v>
      </c>
      <c r="C284" s="560"/>
      <c r="D284" s="89"/>
      <c r="E284" s="105"/>
      <c r="F284" s="1"/>
      <c r="AB284" s="57"/>
      <c r="AD284" s="106" t="str">
        <f>IF(B284=B2473,"No other criminal history","")</f>
        <v>No other criminal history</v>
      </c>
      <c r="AE284" s="107"/>
      <c r="AF284" s="107"/>
      <c r="AG284" s="107"/>
      <c r="AH284" s="107"/>
      <c r="AI284" s="107"/>
    </row>
    <row r="285" spans="1:56" ht="15" thickTop="1" thickBot="1" x14ac:dyDescent="0.3">
      <c r="A285" s="105"/>
      <c r="B285" s="53" t="s">
        <v>249</v>
      </c>
      <c r="C285" s="53"/>
      <c r="D285" s="53"/>
      <c r="E285" s="105"/>
      <c r="F285" s="1"/>
    </row>
    <row r="286" spans="1:56" ht="45" customHeight="1" thickTop="1" thickBot="1" x14ac:dyDescent="0.3">
      <c r="A286" s="105"/>
      <c r="B286" s="537"/>
      <c r="C286" s="538"/>
      <c r="D286" s="539"/>
      <c r="E286" s="105"/>
      <c r="F286" s="1"/>
    </row>
    <row r="287" spans="1:56" ht="7.95" customHeight="1" thickTop="1" x14ac:dyDescent="0.25">
      <c r="A287" s="105"/>
      <c r="B287" s="105"/>
      <c r="C287" s="105"/>
      <c r="D287" s="105"/>
      <c r="E287" s="105"/>
      <c r="F287" s="1"/>
    </row>
    <row r="288" spans="1:56" ht="14.4" thickBot="1" x14ac:dyDescent="0.3">
      <c r="A288" s="105"/>
      <c r="B288" s="53" t="s">
        <v>250</v>
      </c>
      <c r="C288" s="105"/>
      <c r="D288" s="105"/>
      <c r="E288" s="105"/>
      <c r="F288" s="1"/>
    </row>
    <row r="289" spans="1:62" ht="60" customHeight="1" thickTop="1" thickBot="1" x14ac:dyDescent="0.3">
      <c r="A289" s="105"/>
      <c r="B289" s="537" t="str">
        <f>AE289</f>
        <v>My 3 young daughters never accused me since I never touched them inappropriately. An Olan Mills professional portrait of them was taken in the search warrant as "child pornagraphy".</v>
      </c>
      <c r="C289" s="538"/>
      <c r="D289" s="539"/>
      <c r="E289" s="105"/>
      <c r="F289" s="1"/>
      <c r="AE289" s="28" t="s">
        <v>251</v>
      </c>
    </row>
    <row r="290" spans="1:62" ht="7.95" customHeight="1" thickTop="1" x14ac:dyDescent="0.25">
      <c r="A290" s="105"/>
      <c r="B290" s="53"/>
      <c r="C290" s="105"/>
      <c r="D290" s="105"/>
      <c r="E290" s="105"/>
      <c r="F290" s="1"/>
    </row>
    <row r="291" spans="1:62" ht="30" customHeight="1" thickBot="1" x14ac:dyDescent="0.3">
      <c r="A291" s="105"/>
      <c r="B291" s="561" t="s">
        <v>252</v>
      </c>
      <c r="C291" s="561"/>
      <c r="D291" s="561"/>
      <c r="E291" s="105"/>
      <c r="F291" s="1"/>
    </row>
    <row r="292" spans="1:62" ht="60" customHeight="1" thickTop="1" thickBot="1" x14ac:dyDescent="0.3">
      <c r="A292" s="105"/>
      <c r="B292" s="537" t="str">
        <f>AE292</f>
        <v xml:space="preserve">Codefendant had a long rap sheet, but no history of sexual vioence. Seems to have overcome previous criminality and shame by accepting being transgender. At the time I struggled with codependency and by appearances prone to appease codefendant's requests than stand up for myself. At the time, I was in bankruptcy. </v>
      </c>
      <c r="C292" s="538"/>
      <c r="D292" s="539"/>
      <c r="E292" s="105"/>
      <c r="F292" s="1"/>
      <c r="AE292" s="28" t="s">
        <v>253</v>
      </c>
    </row>
    <row r="293" spans="1:62" ht="7.95" customHeight="1" thickTop="1" x14ac:dyDescent="0.25">
      <c r="A293" s="105"/>
      <c r="B293" s="105"/>
      <c r="C293" s="105"/>
      <c r="D293" s="105"/>
      <c r="E293" s="105"/>
      <c r="F293" s="1"/>
    </row>
    <row r="294" spans="1:62" ht="45" customHeight="1" x14ac:dyDescent="0.25">
      <c r="A294" s="105"/>
      <c r="B294" s="562" t="str">
        <f>IF(AB294&lt;&gt;"","Thanks for answering all those questions. They understandably bring up a lot of painful stuff. Together, let's give your pain some purpose by bringing this injustice to an end. And next provide documentation to help verify your innocence claim.","Please review your answers and fill any unfinished items. You've come this far, and we trust you can do it. You deserve to bring this injustice to an end.")</f>
        <v>Thanks for answering all those questions. They understandably bring up a lot of painful stuff. Together, let's give your pain some purpose by bringing this injustice to an end. And next provide documentation to help verify your innocence claim.</v>
      </c>
      <c r="C294" s="562"/>
      <c r="D294" s="562"/>
      <c r="E294" s="105"/>
      <c r="F294" s="1"/>
      <c r="AB294" s="56">
        <v>1</v>
      </c>
    </row>
    <row r="295" spans="1:62" ht="7.95" customHeight="1" x14ac:dyDescent="0.25">
      <c r="A295" s="105"/>
      <c r="B295" s="53"/>
      <c r="C295" s="105"/>
      <c r="D295" s="105"/>
      <c r="E295" s="105"/>
      <c r="F295" s="1"/>
    </row>
    <row r="296" spans="1:62" ht="30" customHeight="1" x14ac:dyDescent="0.25">
      <c r="A296" s="46" t="s">
        <v>254</v>
      </c>
      <c r="B296" s="46" t="s">
        <v>255</v>
      </c>
      <c r="C296" s="46"/>
      <c r="D296" s="46"/>
      <c r="E296" s="46"/>
      <c r="F296" s="475" t="s">
        <v>949</v>
      </c>
    </row>
    <row r="297" spans="1:62" ht="17.399999999999999" x14ac:dyDescent="0.3">
      <c r="A297" s="108" t="s">
        <v>256</v>
      </c>
      <c r="B297" s="109"/>
      <c r="C297" s="109"/>
      <c r="D297" s="109"/>
      <c r="E297" s="110"/>
      <c r="F297" s="108"/>
      <c r="AC297" s="56" t="s">
        <v>257</v>
      </c>
      <c r="AK297" s="56">
        <v>9.9999999999999998E-13</v>
      </c>
      <c r="AL297" s="7">
        <f>COUNT(AK300,AK310,AK320,AK330,AK340,AK350,AK360,AK370,AK380,AK390,AK400,AK410,AK420,AK430)</f>
        <v>7</v>
      </c>
      <c r="AN297" s="111">
        <f>MAX(AK297:AL297)</f>
        <v>7</v>
      </c>
      <c r="AP297" s="112">
        <f>AQ297-0.25</f>
        <v>0</v>
      </c>
      <c r="AQ297" s="112">
        <f>AR297-0.25</f>
        <v>0.25</v>
      </c>
      <c r="AR297" s="112">
        <f>AS297-0.25</f>
        <v>0.5</v>
      </c>
      <c r="AS297" s="112">
        <f>AT297-0.25</f>
        <v>0.75</v>
      </c>
      <c r="AT297" s="112">
        <v>1</v>
      </c>
      <c r="BF297" s="113">
        <v>0.05</v>
      </c>
      <c r="BH297" s="113">
        <v>0.1</v>
      </c>
    </row>
    <row r="298" spans="1:62" ht="19.95" customHeight="1" x14ac:dyDescent="0.25">
      <c r="A298" s="114">
        <v>1</v>
      </c>
      <c r="B298" s="114" t="s">
        <v>258</v>
      </c>
      <c r="C298" s="114"/>
      <c r="D298" s="115">
        <f>IF(AN300&gt;0,AN300,0)</f>
        <v>7.1428571428571425E-2</v>
      </c>
      <c r="E298" s="116"/>
      <c r="F298" s="1"/>
    </row>
    <row r="299" spans="1:62" s="120" customFormat="1" ht="18" customHeight="1" thickBot="1" x14ac:dyDescent="0.3">
      <c r="A299" s="117"/>
      <c r="B299" s="546" t="s">
        <v>259</v>
      </c>
      <c r="C299" s="546"/>
      <c r="D299" s="546"/>
      <c r="E299" s="118"/>
      <c r="F299" s="1"/>
      <c r="G299" s="119"/>
      <c r="H299" s="119"/>
      <c r="I299" s="119"/>
      <c r="J299" s="119"/>
      <c r="K299" s="119"/>
      <c r="L299" s="119"/>
      <c r="M299" s="119"/>
      <c r="N299" s="119"/>
      <c r="O299" s="119"/>
      <c r="P299" s="119"/>
      <c r="Q299" s="119"/>
      <c r="R299" s="119"/>
      <c r="S299" s="119"/>
      <c r="T299" s="119"/>
      <c r="U299" s="119"/>
      <c r="V299" s="119"/>
      <c r="W299" s="119"/>
      <c r="X299" s="119"/>
      <c r="Y299" s="119"/>
      <c r="Z299" s="119"/>
      <c r="AC299" s="121">
        <v>1</v>
      </c>
      <c r="AD299" s="122">
        <f>AC299-($AC299/5)</f>
        <v>0.8</v>
      </c>
      <c r="AE299" s="123">
        <f>AD299-($AC299/5)</f>
        <v>0.60000000000000009</v>
      </c>
      <c r="AF299" s="124">
        <f>AE299-($AC299/5)</f>
        <v>0.40000000000000008</v>
      </c>
      <c r="AG299" s="125">
        <f>AF299-($AC299/5)</f>
        <v>0.20000000000000007</v>
      </c>
      <c r="AH299" s="126">
        <f>AG299-($AC299/5)</f>
        <v>0</v>
      </c>
      <c r="BB299" s="127" t="s">
        <v>260</v>
      </c>
      <c r="BC299" s="56"/>
      <c r="BD299" s="127" t="s">
        <v>261</v>
      </c>
      <c r="BG299" s="128" t="s">
        <v>262</v>
      </c>
      <c r="BH299" s="129"/>
      <c r="BI299" s="130" t="s">
        <v>263</v>
      </c>
      <c r="BJ299" s="131"/>
    </row>
    <row r="300" spans="1:62" ht="15.6" thickTop="1" thickBot="1" x14ac:dyDescent="0.35">
      <c r="A300" s="117"/>
      <c r="B300" s="547" t="s">
        <v>264</v>
      </c>
      <c r="C300" s="548"/>
      <c r="D300" s="549"/>
      <c r="E300" s="132"/>
      <c r="F300" s="1"/>
      <c r="AC300" s="112">
        <f t="shared" ref="AC300:AH300" si="3">IF($B300=AC$1896,AC299,0)</f>
        <v>1</v>
      </c>
      <c r="AD300" s="112">
        <f t="shared" si="3"/>
        <v>0</v>
      </c>
      <c r="AE300" s="112">
        <f t="shared" si="3"/>
        <v>0</v>
      </c>
      <c r="AF300" s="112">
        <f t="shared" si="3"/>
        <v>0</v>
      </c>
      <c r="AG300" s="112">
        <f t="shared" si="3"/>
        <v>0</v>
      </c>
      <c r="AH300" s="112">
        <f t="shared" si="3"/>
        <v>0</v>
      </c>
      <c r="AI300" s="133">
        <f>SUM(AC300:AH300)</f>
        <v>1</v>
      </c>
      <c r="AK300" s="550">
        <f>IF(AI300&gt;0,AI300,"")</f>
        <v>1</v>
      </c>
      <c r="AL300" s="527"/>
      <c r="AN300" s="551">
        <f>(AI300/$AN$297)/2</f>
        <v>7.1428571428571425E-2</v>
      </c>
      <c r="AO300" s="552"/>
      <c r="BB300" s="127" t="s">
        <v>265</v>
      </c>
      <c r="BD300" s="127" t="s">
        <v>265</v>
      </c>
      <c r="BG300" s="128" t="s">
        <v>266</v>
      </c>
      <c r="BH300" s="134">
        <f>BH297</f>
        <v>0.1</v>
      </c>
      <c r="BI300" s="130" t="s">
        <v>266</v>
      </c>
      <c r="BJ300" s="135">
        <f>1-BH300</f>
        <v>0.9</v>
      </c>
    </row>
    <row r="301" spans="1:62" ht="15.6" thickTop="1" thickBot="1" x14ac:dyDescent="0.3">
      <c r="A301" s="117"/>
      <c r="B301" s="553" t="s">
        <v>267</v>
      </c>
      <c r="C301" s="554"/>
      <c r="D301" s="555"/>
      <c r="E301" s="132"/>
      <c r="F301" s="1"/>
      <c r="AC301" s="120"/>
      <c r="BB301" s="170">
        <f>$AC$1556</f>
        <v>10</v>
      </c>
      <c r="BD301" s="170">
        <f>$AC$1557</f>
        <v>25</v>
      </c>
      <c r="BG301" s="137" t="str">
        <f>BB299</f>
        <v>low</v>
      </c>
      <c r="BH301" s="137" t="str">
        <f>BD299</f>
        <v>high</v>
      </c>
      <c r="BI301" s="137" t="str">
        <f>BB299</f>
        <v>low</v>
      </c>
      <c r="BJ301" s="137" t="str">
        <f>BD299</f>
        <v>high</v>
      </c>
    </row>
    <row r="302" spans="1:62" ht="15" thickTop="1" thickBot="1" x14ac:dyDescent="0.3">
      <c r="A302" s="117"/>
      <c r="B302" s="118" t="str">
        <f>IF(B300="","","Add any relevant info in box below to help us help you with your trial transcripts.")</f>
        <v>Add any relevant info in box below to help us help you with your trial transcripts.</v>
      </c>
      <c r="C302" s="117"/>
      <c r="D302" s="117"/>
      <c r="E302" s="132"/>
      <c r="F302" s="1"/>
      <c r="AC302" s="120"/>
      <c r="BB302" s="170">
        <f>IF(AK306=$AC$297,0,(BB301*AK306))</f>
        <v>5545.2</v>
      </c>
      <c r="BD302" s="170">
        <f>IF(AK306=$AC$297,0,(BD301*AK306))</f>
        <v>13863</v>
      </c>
      <c r="BG302" s="170">
        <f>BB302*BH300</f>
        <v>554.52</v>
      </c>
      <c r="BH302" s="170">
        <f>BD302*BH300</f>
        <v>1386.3000000000002</v>
      </c>
      <c r="BI302" s="170">
        <f>BB302*BJ300</f>
        <v>4990.68</v>
      </c>
      <c r="BJ302" s="170">
        <f>BD302*BJ300</f>
        <v>12476.7</v>
      </c>
    </row>
    <row r="303" spans="1:62" ht="67.05" customHeight="1" thickTop="1" thickBot="1" x14ac:dyDescent="0.3">
      <c r="A303" s="117"/>
      <c r="B303" s="556" t="s">
        <v>268</v>
      </c>
      <c r="C303" s="557"/>
      <c r="D303" s="558"/>
      <c r="E303" s="132"/>
      <c r="F303" s="1"/>
      <c r="AC303" s="120"/>
      <c r="BJ303" s="138">
        <f>MIN(BJ302,($D$1330*10))</f>
        <v>0</v>
      </c>
    </row>
    <row r="304" spans="1:62" ht="19.95" customHeight="1" thickTop="1" thickBot="1" x14ac:dyDescent="0.3">
      <c r="A304" s="117"/>
      <c r="B304" s="139" t="str">
        <f>IF(B300="","","SUPPORTER REVIEW: Prepare for Independent Verifier")</f>
        <v>SUPPORTER REVIEW: Prepare for Independent Verifier</v>
      </c>
      <c r="C304" s="117"/>
      <c r="D304" s="117"/>
      <c r="E304" s="132"/>
      <c r="F304" s="1"/>
      <c r="AC304" s="120"/>
      <c r="BJ304" s="140"/>
    </row>
    <row r="305" spans="1:63" ht="14.4" thickTop="1" x14ac:dyDescent="0.25">
      <c r="A305" s="117"/>
      <c r="B305" s="141" t="str">
        <f>IF(B300="","","How many pages?")</f>
        <v>How many pages?</v>
      </c>
      <c r="C305" s="142" t="str">
        <f>IF(AJ306&gt;30,"check if URL works, report from list below","")</f>
        <v>check if URL works, report from list below</v>
      </c>
      <c r="D305" s="143" t="str">
        <f>IF(B300="","","Estimated time to verify")</f>
        <v>Estimated time to verify</v>
      </c>
      <c r="E305" s="132"/>
      <c r="F305" s="1"/>
      <c r="AP305" s="56" t="s">
        <v>269</v>
      </c>
      <c r="AT305" s="144" t="str">
        <f>IF(AND(AJ306&gt;30,B306&gt;0),"ready","not ready")</f>
        <v>ready</v>
      </c>
      <c r="AU305" s="144"/>
      <c r="AV305" s="144"/>
      <c r="BB305" s="56"/>
      <c r="BF305" s="113">
        <f>BF297</f>
        <v>0.05</v>
      </c>
      <c r="BG305" s="170">
        <f>BG302*$BF305</f>
        <v>27.725999999999999</v>
      </c>
      <c r="BH305" s="170">
        <f>BH302*$BF305</f>
        <v>69.315000000000012</v>
      </c>
      <c r="BI305" s="170">
        <f>BI302*$BF305</f>
        <v>249.53400000000002</v>
      </c>
      <c r="BJ305" s="170">
        <f>BJ302*$BF305</f>
        <v>623.83500000000004</v>
      </c>
    </row>
    <row r="306" spans="1:63" ht="14.4" thickBot="1" x14ac:dyDescent="0.3">
      <c r="A306" s="117"/>
      <c r="B306" s="145">
        <f>64+172+251+424+592+690+694+800+903+31</f>
        <v>4621</v>
      </c>
      <c r="C306" s="146" t="s">
        <v>270</v>
      </c>
      <c r="D306" s="147" t="str">
        <f>CONCATENATE(AK306,AL306)</f>
        <v>554.52 hours</v>
      </c>
      <c r="E306" s="148"/>
      <c r="F306" s="1"/>
      <c r="AD306" s="149">
        <f>IF(B300=B$1896,G$1896,AC305)</f>
        <v>0.12</v>
      </c>
      <c r="AE306" s="150">
        <f>IF(B300=B$1897,G$1897,AD305)</f>
        <v>0</v>
      </c>
      <c r="AF306" s="151">
        <f>IF(B300=B$1898,G$1898,AE305)</f>
        <v>0</v>
      </c>
      <c r="AG306" s="152">
        <f>IF(B300=B$1899,G$1899,AF305)</f>
        <v>0</v>
      </c>
      <c r="AH306" s="9"/>
      <c r="AI306" s="153">
        <f>MAX(AD306:AG306)</f>
        <v>0.12</v>
      </c>
      <c r="AJ306" s="56">
        <f>LEN(B300)</f>
        <v>37</v>
      </c>
      <c r="AK306" s="154">
        <f>IF(B306="",$AC$297,B306*AI306)</f>
        <v>554.52</v>
      </c>
      <c r="AL306" s="56" t="s">
        <v>271</v>
      </c>
      <c r="AN306" s="56">
        <f>B306*AI306</f>
        <v>554.52</v>
      </c>
      <c r="AP306" s="155" t="str">
        <f>IF($C306=$D$1896,AP$297,"")</f>
        <v/>
      </c>
      <c r="AQ306" s="156" t="str">
        <f>IF($C306=$D$1897,AQ$297,"")</f>
        <v/>
      </c>
      <c r="AR306" s="157" t="str">
        <f>IF($C306=$D$1898,AR$297,"")</f>
        <v/>
      </c>
      <c r="AS306" s="158" t="str">
        <f>IF($C306=$D$1899,AS$297,"")</f>
        <v/>
      </c>
      <c r="AT306" s="159">
        <f>IF($C306=$D$1900,AT$297,"")</f>
        <v>1</v>
      </c>
      <c r="AU306" s="160">
        <f>MAX(AP306:AS306)</f>
        <v>0</v>
      </c>
      <c r="AV306" s="154"/>
      <c r="AX306" s="56">
        <f>IF(AK306=$AC$297,0,AK306)</f>
        <v>554.52</v>
      </c>
      <c r="BB306" s="56"/>
      <c r="BG306" s="161">
        <f>BG302*0.95</f>
        <v>526.79399999999998</v>
      </c>
      <c r="BH306" s="161">
        <f>BH302*0.95</f>
        <v>1316.9850000000001</v>
      </c>
      <c r="BI306" s="161">
        <f>BI302*0.95</f>
        <v>4741.1459999999997</v>
      </c>
      <c r="BJ306" s="161">
        <f>BJ302*0.95</f>
        <v>11852.865</v>
      </c>
    </row>
    <row r="307" spans="1:63" ht="14.4" thickTop="1" x14ac:dyDescent="0.25">
      <c r="A307" s="117"/>
      <c r="B307" s="117"/>
      <c r="C307" s="117"/>
      <c r="D307" s="117"/>
      <c r="E307" s="132"/>
      <c r="F307" s="1"/>
      <c r="BK307" s="389"/>
    </row>
    <row r="308" spans="1:63" ht="19.95" customHeight="1" x14ac:dyDescent="0.25">
      <c r="A308" s="114">
        <f>A298+1</f>
        <v>2</v>
      </c>
      <c r="B308" s="114" t="s">
        <v>272</v>
      </c>
      <c r="C308" s="114"/>
      <c r="D308" s="115">
        <f>IF(AN310&gt;0,AN310,0)</f>
        <v>7.1428571428571425E-2</v>
      </c>
      <c r="E308" s="132"/>
      <c r="F308" s="1"/>
      <c r="BK308" s="389"/>
    </row>
    <row r="309" spans="1:63" ht="18" customHeight="1" x14ac:dyDescent="0.25">
      <c r="A309" s="114"/>
      <c r="B309" s="563" t="s">
        <v>273</v>
      </c>
      <c r="C309" s="563"/>
      <c r="D309" s="563"/>
      <c r="E309" s="132"/>
      <c r="F309" s="1"/>
      <c r="AC309" s="121">
        <v>1</v>
      </c>
      <c r="AD309" s="122">
        <f>AC309-($AC309/5)</f>
        <v>0.8</v>
      </c>
      <c r="AE309" s="123">
        <f>AD309-($AC309/5)</f>
        <v>0.60000000000000009</v>
      </c>
      <c r="AF309" s="124">
        <f>AE309-($AC309/5)</f>
        <v>0.40000000000000008</v>
      </c>
      <c r="AG309" s="125">
        <f>AF309-($AC309/5)</f>
        <v>0.20000000000000007</v>
      </c>
      <c r="AH309" s="126">
        <f>AG309-($AC309/5)</f>
        <v>0</v>
      </c>
      <c r="AI309" s="120"/>
      <c r="AP309" s="120"/>
      <c r="AQ309" s="120"/>
      <c r="AR309" s="120"/>
      <c r="AS309" s="120"/>
      <c r="AT309" s="120"/>
      <c r="AU309" s="120"/>
      <c r="AV309" s="120"/>
      <c r="AW309" s="120"/>
      <c r="AX309" s="120"/>
      <c r="AY309" s="120"/>
      <c r="AZ309" s="120"/>
      <c r="BA309" s="120"/>
      <c r="BB309" s="127" t="s">
        <v>260</v>
      </c>
      <c r="BD309" s="127" t="s">
        <v>261</v>
      </c>
      <c r="BE309" s="120"/>
      <c r="BF309" s="120"/>
      <c r="BG309" s="128" t="s">
        <v>262</v>
      </c>
      <c r="BH309" s="129"/>
      <c r="BI309" s="130" t="s">
        <v>263</v>
      </c>
      <c r="BJ309" s="131"/>
    </row>
    <row r="310" spans="1:63" ht="14.4" x14ac:dyDescent="0.3">
      <c r="A310" s="117"/>
      <c r="B310" s="564" t="s">
        <v>264</v>
      </c>
      <c r="C310" s="564"/>
      <c r="D310" s="564"/>
      <c r="E310" s="132"/>
      <c r="F310" s="1"/>
      <c r="AC310" s="112">
        <f t="shared" ref="AC310:AH310" si="4">IF($B310=AC$1896,AC309,0)</f>
        <v>1</v>
      </c>
      <c r="AD310" s="112">
        <f t="shared" si="4"/>
        <v>0</v>
      </c>
      <c r="AE310" s="112">
        <f t="shared" si="4"/>
        <v>0</v>
      </c>
      <c r="AF310" s="112">
        <f t="shared" si="4"/>
        <v>0</v>
      </c>
      <c r="AG310" s="112">
        <f t="shared" si="4"/>
        <v>0</v>
      </c>
      <c r="AH310" s="112">
        <f t="shared" si="4"/>
        <v>0</v>
      </c>
      <c r="AI310" s="133">
        <f>SUM(AC310:AH310)</f>
        <v>1</v>
      </c>
      <c r="AK310" s="550">
        <f>IF(AI310&gt;0,AI310,"")</f>
        <v>1</v>
      </c>
      <c r="AL310" s="527"/>
      <c r="AN310" s="551">
        <f>(AI310/$AN$297)/2</f>
        <v>7.1428571428571425E-2</v>
      </c>
      <c r="AO310" s="552"/>
      <c r="BB310" s="127" t="s">
        <v>265</v>
      </c>
      <c r="BD310" s="127" t="s">
        <v>265</v>
      </c>
      <c r="BG310" s="128" t="s">
        <v>266</v>
      </c>
      <c r="BH310" s="134">
        <f>BH300</f>
        <v>0.1</v>
      </c>
      <c r="BI310" s="130" t="s">
        <v>266</v>
      </c>
      <c r="BJ310" s="135">
        <f>1-BH310</f>
        <v>0.9</v>
      </c>
    </row>
    <row r="311" spans="1:63" ht="14.4" x14ac:dyDescent="0.25">
      <c r="A311" s="117"/>
      <c r="B311" s="565" t="s">
        <v>267</v>
      </c>
      <c r="C311" s="565"/>
      <c r="D311" s="565"/>
      <c r="E311" s="132"/>
      <c r="F311" s="1"/>
      <c r="BB311" s="170">
        <f>$AC$1556</f>
        <v>10</v>
      </c>
      <c r="BD311" s="170">
        <f>$AC$1557</f>
        <v>25</v>
      </c>
      <c r="BG311" s="137" t="str">
        <f>BB309</f>
        <v>low</v>
      </c>
      <c r="BH311" s="137" t="str">
        <f>BD309</f>
        <v>high</v>
      </c>
      <c r="BI311" s="137" t="str">
        <f>BB309</f>
        <v>low</v>
      </c>
      <c r="BJ311" s="137" t="str">
        <f>BD309</f>
        <v>high</v>
      </c>
    </row>
    <row r="312" spans="1:63" ht="14.4" thickBot="1" x14ac:dyDescent="0.3">
      <c r="A312" s="117"/>
      <c r="B312" s="118" t="str">
        <f>IF(B310="","","Add any relevant info in box below to help us help you with your discovery documents.")</f>
        <v>Add any relevant info in box below to help us help you with your discovery documents.</v>
      </c>
      <c r="C312" s="117"/>
      <c r="D312" s="117"/>
      <c r="E312" s="132"/>
      <c r="F312" s="1"/>
      <c r="BB312" s="170">
        <f>IF(AK316=$AC$297,0,(BB311*AK316))</f>
        <v>43.2</v>
      </c>
      <c r="BD312" s="170">
        <f>IF(AK316=$AC$297,0,(BD311*AK316))</f>
        <v>108</v>
      </c>
      <c r="BG312" s="170">
        <f>BB312*BH310</f>
        <v>4.32</v>
      </c>
      <c r="BH312" s="170">
        <f>BD312*BH310</f>
        <v>10.8</v>
      </c>
      <c r="BI312" s="170">
        <f>BB312*BJ310</f>
        <v>38.880000000000003</v>
      </c>
      <c r="BJ312" s="170">
        <f>BD312*BJ310</f>
        <v>97.2</v>
      </c>
    </row>
    <row r="313" spans="1:63" ht="67.05" customHeight="1" thickTop="1" thickBot="1" x14ac:dyDescent="0.3">
      <c r="A313" s="117"/>
      <c r="B313" s="556"/>
      <c r="C313" s="557"/>
      <c r="D313" s="558"/>
      <c r="E313" s="132"/>
      <c r="F313" s="1"/>
      <c r="BJ313" s="138">
        <f>MIN(BJ312,($D$1330*10))</f>
        <v>0</v>
      </c>
    </row>
    <row r="314" spans="1:63" ht="16.8" thickTop="1" thickBot="1" x14ac:dyDescent="0.3">
      <c r="A314" s="117"/>
      <c r="B314" s="139" t="str">
        <f>IF(B310="","","SUPPORTER REVIEW: Prepare for Independent Verifier")</f>
        <v>SUPPORTER REVIEW: Prepare for Independent Verifier</v>
      </c>
      <c r="C314" s="117"/>
      <c r="D314" s="117"/>
      <c r="E314" s="132"/>
      <c r="F314" s="1"/>
      <c r="BJ314" s="140"/>
    </row>
    <row r="315" spans="1:63" ht="14.4" thickTop="1" x14ac:dyDescent="0.25">
      <c r="A315" s="117"/>
      <c r="B315" s="141" t="str">
        <f>IF(B310="","","How many pages?")</f>
        <v>How many pages?</v>
      </c>
      <c r="C315" s="142" t="str">
        <f>IF(AJ316&gt;30,"check if URL works, report from list below","")</f>
        <v>check if URL works, report from list below</v>
      </c>
      <c r="D315" s="143" t="str">
        <f>IF(B310="","","Estimated time to verify")</f>
        <v>Estimated time to verify</v>
      </c>
      <c r="E315" s="132"/>
      <c r="F315" s="1"/>
      <c r="AP315" s="56" t="s">
        <v>269</v>
      </c>
      <c r="AT315" s="144" t="str">
        <f>IF(AND(AJ316&gt;30,B316&gt;0),"ready","not ready")</f>
        <v>ready</v>
      </c>
      <c r="AU315" s="144"/>
      <c r="AV315" s="144"/>
      <c r="BB315" s="56"/>
      <c r="BF315" s="113">
        <f>BF305</f>
        <v>0.05</v>
      </c>
      <c r="BG315" s="170">
        <f>BG312*$BF315</f>
        <v>0.21600000000000003</v>
      </c>
      <c r="BH315" s="170">
        <f>BH312*$BF315</f>
        <v>0.54</v>
      </c>
      <c r="BI315" s="170">
        <f>BI312*$BF315</f>
        <v>1.9440000000000002</v>
      </c>
      <c r="BJ315" s="170">
        <f>BJ312*$BF315</f>
        <v>4.8600000000000003</v>
      </c>
    </row>
    <row r="316" spans="1:63" ht="14.4" thickBot="1" x14ac:dyDescent="0.3">
      <c r="A316" s="117"/>
      <c r="B316" s="163">
        <v>36</v>
      </c>
      <c r="C316" s="146"/>
      <c r="D316" s="147" t="str">
        <f>CONCATENATE(AK316,AL316)</f>
        <v>4.32 hours</v>
      </c>
      <c r="E316" s="132"/>
      <c r="F316" s="1"/>
      <c r="AD316" s="149">
        <f>IF(B310=B$1896,G$1896,AC315)</f>
        <v>0.12</v>
      </c>
      <c r="AE316" s="150">
        <f>IF(B310=B$1897,G$1897,AD315)</f>
        <v>0</v>
      </c>
      <c r="AF316" s="151">
        <f>IF(B310=B$1898,G$1898,AE315)</f>
        <v>0</v>
      </c>
      <c r="AG316" s="152">
        <f>IF(B310=B$1899,G$1899,AF315)</f>
        <v>0</v>
      </c>
      <c r="AH316" s="9"/>
      <c r="AI316" s="153">
        <f>MAX(AD316:AG316)</f>
        <v>0.12</v>
      </c>
      <c r="AJ316" s="56">
        <f>LEN(B310)</f>
        <v>37</v>
      </c>
      <c r="AK316" s="154">
        <f>IF(B316="",$AC$297,B316*AI316)</f>
        <v>4.32</v>
      </c>
      <c r="AL316" s="56" t="s">
        <v>271</v>
      </c>
      <c r="AN316" s="56">
        <f>B316*AI316</f>
        <v>4.32</v>
      </c>
      <c r="AP316" s="155" t="str">
        <f>IF($C316=$D$1896,AP$297,"")</f>
        <v/>
      </c>
      <c r="AQ316" s="156" t="str">
        <f>IF($C316=$D$1897,AQ$297,"")</f>
        <v/>
      </c>
      <c r="AR316" s="157" t="str">
        <f>IF($C316=$D$1898,AR$297,"")</f>
        <v/>
      </c>
      <c r="AS316" s="158" t="str">
        <f>IF($C316=$D$1899,AS$297,"")</f>
        <v/>
      </c>
      <c r="AT316" s="159" t="str">
        <f>IF($C316=$D$1900,AT$297,"")</f>
        <v/>
      </c>
      <c r="AU316" s="160">
        <f>MAX(AP316:AS316)</f>
        <v>0</v>
      </c>
      <c r="AV316" s="154"/>
      <c r="AX316" s="112">
        <f>IF(AK316=$AC$297,0,AK316)</f>
        <v>4.32</v>
      </c>
      <c r="BB316" s="56"/>
      <c r="BG316" s="161">
        <f>BG312*0.95</f>
        <v>4.1040000000000001</v>
      </c>
      <c r="BH316" s="161">
        <f>BH312*0.95</f>
        <v>10.26</v>
      </c>
      <c r="BI316" s="161">
        <f>BI312*0.95</f>
        <v>36.936</v>
      </c>
      <c r="BJ316" s="161">
        <f>BJ312*0.95</f>
        <v>92.34</v>
      </c>
    </row>
    <row r="317" spans="1:63" ht="14.4" thickTop="1" x14ac:dyDescent="0.25">
      <c r="A317" s="117"/>
      <c r="B317" s="117"/>
      <c r="C317" s="117"/>
      <c r="D317" s="117"/>
      <c r="E317" s="132"/>
      <c r="F317" s="1"/>
    </row>
    <row r="318" spans="1:63" ht="19.95" customHeight="1" x14ac:dyDescent="0.25">
      <c r="A318" s="114">
        <f>A308+1</f>
        <v>3</v>
      </c>
      <c r="B318" s="114" t="s">
        <v>274</v>
      </c>
      <c r="C318" s="114"/>
      <c r="D318" s="115">
        <f>IF(AN320&gt;0,AN320,0)</f>
        <v>4.2857142857142864E-2</v>
      </c>
      <c r="E318" s="132"/>
      <c r="F318" s="1"/>
    </row>
    <row r="319" spans="1:63" ht="18" customHeight="1" x14ac:dyDescent="0.25">
      <c r="A319" s="114"/>
      <c r="B319" s="563" t="s">
        <v>275</v>
      </c>
      <c r="C319" s="563"/>
      <c r="D319" s="563"/>
      <c r="E319" s="132"/>
      <c r="F319" s="1"/>
      <c r="AC319" s="121">
        <v>1</v>
      </c>
      <c r="AD319" s="122">
        <f>AC319-($AC319/5)</f>
        <v>0.8</v>
      </c>
      <c r="AE319" s="123">
        <f>AD319-($AC319/5)</f>
        <v>0.60000000000000009</v>
      </c>
      <c r="AF319" s="124">
        <f>AE319-($AC319/5)</f>
        <v>0.40000000000000008</v>
      </c>
      <c r="AG319" s="125">
        <f>AF319-($AC319/5)</f>
        <v>0.20000000000000007</v>
      </c>
      <c r="AH319" s="126">
        <f>AG319-($AC319/5)</f>
        <v>0</v>
      </c>
      <c r="AI319" s="120"/>
      <c r="AP319" s="120"/>
      <c r="AQ319" s="120"/>
      <c r="AR319" s="120"/>
      <c r="AS319" s="120"/>
      <c r="AT319" s="120"/>
      <c r="AU319" s="120"/>
      <c r="AV319" s="120"/>
      <c r="AW319" s="120"/>
      <c r="AX319" s="120"/>
      <c r="AY319" s="120"/>
      <c r="AZ319" s="120"/>
      <c r="BA319" s="120"/>
      <c r="BB319" s="127" t="s">
        <v>260</v>
      </c>
      <c r="BD319" s="127" t="s">
        <v>261</v>
      </c>
      <c r="BE319" s="120"/>
      <c r="BF319" s="120"/>
      <c r="BG319" s="128" t="s">
        <v>262</v>
      </c>
      <c r="BH319" s="129"/>
      <c r="BI319" s="130" t="s">
        <v>263</v>
      </c>
      <c r="BJ319" s="131"/>
    </row>
    <row r="320" spans="1:63" ht="14.4" x14ac:dyDescent="0.3">
      <c r="A320" s="117"/>
      <c r="B320" s="564" t="s">
        <v>276</v>
      </c>
      <c r="C320" s="564"/>
      <c r="D320" s="564"/>
      <c r="E320" s="132"/>
      <c r="F320" s="1"/>
      <c r="AC320" s="112">
        <f t="shared" ref="AC320:AH320" si="5">IF($B320=AC$1896,AC319,0)</f>
        <v>0</v>
      </c>
      <c r="AD320" s="112">
        <f t="shared" si="5"/>
        <v>0</v>
      </c>
      <c r="AE320" s="112">
        <f t="shared" si="5"/>
        <v>0.60000000000000009</v>
      </c>
      <c r="AF320" s="112">
        <f t="shared" si="5"/>
        <v>0</v>
      </c>
      <c r="AG320" s="112">
        <f t="shared" si="5"/>
        <v>0</v>
      </c>
      <c r="AH320" s="112">
        <f t="shared" si="5"/>
        <v>0</v>
      </c>
      <c r="AI320" s="133">
        <f>SUM(AC320:AH320)</f>
        <v>0.60000000000000009</v>
      </c>
      <c r="AK320" s="550">
        <f>IF(AI320&gt;0,AI320,"")</f>
        <v>0.60000000000000009</v>
      </c>
      <c r="AL320" s="527"/>
      <c r="AN320" s="551">
        <f>(AI320/$AN$297)/2</f>
        <v>4.2857142857142864E-2</v>
      </c>
      <c r="AO320" s="552"/>
      <c r="BB320" s="127" t="s">
        <v>265</v>
      </c>
      <c r="BD320" s="127" t="s">
        <v>265</v>
      </c>
      <c r="BG320" s="128" t="s">
        <v>266</v>
      </c>
      <c r="BH320" s="134">
        <f>BH310</f>
        <v>0.1</v>
      </c>
      <c r="BI320" s="130" t="s">
        <v>266</v>
      </c>
      <c r="BJ320" s="135">
        <f>1-BH320</f>
        <v>0.9</v>
      </c>
    </row>
    <row r="321" spans="1:62" ht="14.4" x14ac:dyDescent="0.25">
      <c r="A321" s="117"/>
      <c r="B321" s="565" t="s">
        <v>267</v>
      </c>
      <c r="C321" s="565"/>
      <c r="D321" s="565"/>
      <c r="E321" s="132"/>
      <c r="F321" s="1"/>
      <c r="BB321" s="170">
        <f>$AC$1556</f>
        <v>10</v>
      </c>
      <c r="BD321" s="170">
        <f>$AC$1557</f>
        <v>25</v>
      </c>
      <c r="BG321" s="137" t="str">
        <f>BB319</f>
        <v>low</v>
      </c>
      <c r="BH321" s="137" t="str">
        <f>BD319</f>
        <v>high</v>
      </c>
      <c r="BI321" s="137" t="str">
        <f>BB319</f>
        <v>low</v>
      </c>
      <c r="BJ321" s="137" t="str">
        <f>BD319</f>
        <v>high</v>
      </c>
    </row>
    <row r="322" spans="1:62" ht="14.4" thickBot="1" x14ac:dyDescent="0.3">
      <c r="A322" s="117"/>
      <c r="B322" s="118" t="str">
        <f>IF(B320="","","Add any relevant info in box below to help us help you with your other trial documents.")</f>
        <v>Add any relevant info in box below to help us help you with your other trial documents.</v>
      </c>
      <c r="C322" s="117"/>
      <c r="D322" s="117"/>
      <c r="E322" s="132"/>
      <c r="F322" s="1"/>
      <c r="BB322" s="170">
        <f>IF(AK326=$AC$297,0,(BB321*AK326))</f>
        <v>20</v>
      </c>
      <c r="BD322" s="170">
        <f>IF(AK326=$AC$297,0,(BD321*AK326))</f>
        <v>50</v>
      </c>
      <c r="BG322" s="170">
        <f>BB322*BH320</f>
        <v>2</v>
      </c>
      <c r="BH322" s="170">
        <f>BD322*BH320</f>
        <v>5</v>
      </c>
      <c r="BI322" s="170">
        <f>BB322*BJ320</f>
        <v>18</v>
      </c>
      <c r="BJ322" s="170">
        <f>BD322*BJ320</f>
        <v>45</v>
      </c>
    </row>
    <row r="323" spans="1:62" ht="67.05" customHeight="1" thickTop="1" thickBot="1" x14ac:dyDescent="0.3">
      <c r="A323" s="117"/>
      <c r="B323" s="556"/>
      <c r="C323" s="557"/>
      <c r="D323" s="558"/>
      <c r="E323" s="132"/>
      <c r="F323" s="1"/>
      <c r="BJ323" s="138">
        <f>MIN(BJ322,($D$1330*10))</f>
        <v>0</v>
      </c>
    </row>
    <row r="324" spans="1:62" ht="16.8" thickTop="1" thickBot="1" x14ac:dyDescent="0.3">
      <c r="A324" s="117"/>
      <c r="B324" s="139" t="str">
        <f>IF(B320="","","SUPPORTER REVIEW: Prepare for Independent Verifier")</f>
        <v>SUPPORTER REVIEW: Prepare for Independent Verifier</v>
      </c>
      <c r="C324" s="117"/>
      <c r="D324" s="117"/>
      <c r="E324" s="132"/>
      <c r="F324" s="1"/>
      <c r="BJ324" s="140"/>
    </row>
    <row r="325" spans="1:62" ht="14.4" thickTop="1" x14ac:dyDescent="0.25">
      <c r="A325" s="117"/>
      <c r="B325" s="141" t="str">
        <f>IF(B320="","","How many pages?")</f>
        <v>How many pages?</v>
      </c>
      <c r="C325" s="142" t="str">
        <f>IF(AJ326&gt;30,"check if URL works, report from list below","")</f>
        <v>check if URL works, report from list below</v>
      </c>
      <c r="D325" s="143" t="str">
        <f>IF(B320="","","Estimated time to verify")</f>
        <v>Estimated time to verify</v>
      </c>
      <c r="E325" s="132"/>
      <c r="F325" s="1"/>
      <c r="AP325" s="56" t="s">
        <v>269</v>
      </c>
      <c r="AT325" s="144" t="str">
        <f>IF(AND(AJ326&gt;30,B326&gt;0),"ready","not ready")</f>
        <v>ready</v>
      </c>
      <c r="AU325" s="144"/>
      <c r="AV325" s="144"/>
      <c r="BB325" s="56"/>
      <c r="BF325" s="113">
        <f>BF315</f>
        <v>0.05</v>
      </c>
      <c r="BG325" s="170">
        <f>BG322*$BF325</f>
        <v>0.1</v>
      </c>
      <c r="BH325" s="170">
        <f>BH322*$BF325</f>
        <v>0.25</v>
      </c>
      <c r="BI325" s="170">
        <f>BI322*$BF325</f>
        <v>0.9</v>
      </c>
      <c r="BJ325" s="170">
        <f>BJ322*$BF325</f>
        <v>2.25</v>
      </c>
    </row>
    <row r="326" spans="1:62" ht="14.4" thickBot="1" x14ac:dyDescent="0.3">
      <c r="A326" s="117"/>
      <c r="B326" s="163">
        <v>4</v>
      </c>
      <c r="C326" s="146"/>
      <c r="D326" s="147" t="str">
        <f>CONCATENATE(AK326,AL326)</f>
        <v>2 hours</v>
      </c>
      <c r="E326" s="132"/>
      <c r="F326" s="1"/>
      <c r="AD326" s="149">
        <f>IF(B320=B$1896,G$1896,AC325)</f>
        <v>0</v>
      </c>
      <c r="AE326" s="150">
        <f>IF(B320=B$1897,G$1897,AD325)</f>
        <v>0</v>
      </c>
      <c r="AF326" s="151">
        <f>IF(B320=B$1898,G$1898,AE325)</f>
        <v>0.5</v>
      </c>
      <c r="AG326" s="152">
        <f>IF(B320=B$1899,G$1899,AF325)</f>
        <v>0</v>
      </c>
      <c r="AH326" s="9"/>
      <c r="AI326" s="153">
        <f>MAX(AD326:AG326)</f>
        <v>0.5</v>
      </c>
      <c r="AJ326" s="56">
        <f>LEN(B320)</f>
        <v>32</v>
      </c>
      <c r="AK326" s="154">
        <f>IF(B326="",$AC$297,B326*AI326)</f>
        <v>2</v>
      </c>
      <c r="AL326" s="56" t="s">
        <v>271</v>
      </c>
      <c r="AN326" s="56">
        <f>B326*AI326</f>
        <v>2</v>
      </c>
      <c r="AP326" s="155" t="str">
        <f>IF($C326=$D$1896,AP$297,"")</f>
        <v/>
      </c>
      <c r="AQ326" s="156" t="str">
        <f>IF($C326=$D$1897,AQ$297,"")</f>
        <v/>
      </c>
      <c r="AR326" s="157" t="str">
        <f>IF($C326=$D$1898,AR$297,"")</f>
        <v/>
      </c>
      <c r="AS326" s="158" t="str">
        <f>IF($C326=$D$1899,AS$297,"")</f>
        <v/>
      </c>
      <c r="AT326" s="159" t="str">
        <f>IF($C326=$D$1900,AT$297,"")</f>
        <v/>
      </c>
      <c r="AU326" s="160">
        <f>MAX(AP326:AS326)</f>
        <v>0</v>
      </c>
      <c r="AV326" s="154"/>
      <c r="AX326" s="112">
        <f>IF(AK326=$AC$297,0,AK326)</f>
        <v>2</v>
      </c>
      <c r="BB326" s="56"/>
      <c r="BG326" s="161">
        <f>BG322*0.95</f>
        <v>1.9</v>
      </c>
      <c r="BH326" s="161">
        <f>BH322*0.95</f>
        <v>4.75</v>
      </c>
      <c r="BI326" s="161">
        <f>BI322*0.95</f>
        <v>17.099999999999998</v>
      </c>
      <c r="BJ326" s="161">
        <f>BJ322*0.95</f>
        <v>42.75</v>
      </c>
    </row>
    <row r="327" spans="1:62" ht="13.05" customHeight="1" thickTop="1" x14ac:dyDescent="0.25">
      <c r="A327" s="117"/>
      <c r="B327" s="117"/>
      <c r="C327" s="117"/>
      <c r="D327" s="117"/>
      <c r="E327" s="132"/>
      <c r="F327" s="1"/>
    </row>
    <row r="328" spans="1:62" ht="19.95" customHeight="1" x14ac:dyDescent="0.25">
      <c r="A328" s="114">
        <f>A318+1</f>
        <v>4</v>
      </c>
      <c r="B328" s="114" t="s">
        <v>277</v>
      </c>
      <c r="C328" s="114"/>
      <c r="D328" s="115">
        <f>IF(AN330&gt;0,AN330,0)</f>
        <v>0</v>
      </c>
      <c r="E328" s="132"/>
      <c r="F328" s="1"/>
    </row>
    <row r="329" spans="1:62" ht="18" customHeight="1" x14ac:dyDescent="0.25">
      <c r="A329" s="114"/>
      <c r="B329" s="563" t="s">
        <v>278</v>
      </c>
      <c r="C329" s="563"/>
      <c r="D329" s="563"/>
      <c r="E329" s="132"/>
      <c r="F329" s="1"/>
      <c r="AC329" s="121">
        <v>1</v>
      </c>
      <c r="AD329" s="122">
        <f>AC329-($AC329/5)</f>
        <v>0.8</v>
      </c>
      <c r="AE329" s="123">
        <f>AD329-($AC329/5)</f>
        <v>0.60000000000000009</v>
      </c>
      <c r="AF329" s="124">
        <f>AE329-($AC329/5)</f>
        <v>0.40000000000000008</v>
      </c>
      <c r="AG329" s="125">
        <f>AF329-($AC329/5)</f>
        <v>0.20000000000000007</v>
      </c>
      <c r="AP329" s="120"/>
      <c r="AQ329" s="120"/>
      <c r="AR329" s="120"/>
      <c r="AS329" s="120"/>
      <c r="AT329" s="120"/>
      <c r="AU329" s="120"/>
      <c r="AV329" s="120"/>
      <c r="AW329" s="120"/>
      <c r="AX329" s="120"/>
      <c r="AY329" s="120"/>
      <c r="AZ329" s="120"/>
      <c r="BA329" s="120"/>
      <c r="BB329" s="127" t="s">
        <v>260</v>
      </c>
      <c r="BD329" s="127" t="s">
        <v>261</v>
      </c>
      <c r="BE329" s="120"/>
      <c r="BF329" s="120"/>
      <c r="BG329" s="128" t="s">
        <v>262</v>
      </c>
      <c r="BH329" s="129"/>
      <c r="BI329" s="130" t="s">
        <v>263</v>
      </c>
      <c r="BJ329" s="131"/>
    </row>
    <row r="330" spans="1:62" ht="14.4" x14ac:dyDescent="0.3">
      <c r="A330" s="117"/>
      <c r="B330" s="564"/>
      <c r="C330" s="564"/>
      <c r="D330" s="564"/>
      <c r="E330" s="132"/>
      <c r="F330" s="1"/>
      <c r="AC330" s="112">
        <f t="shared" ref="AC330:AH330" si="6">IF($B330=AC$1896,AC329,0)</f>
        <v>0</v>
      </c>
      <c r="AD330" s="112">
        <f t="shared" si="6"/>
        <v>0</v>
      </c>
      <c r="AE330" s="112">
        <f t="shared" si="6"/>
        <v>0</v>
      </c>
      <c r="AF330" s="112">
        <f t="shared" si="6"/>
        <v>0</v>
      </c>
      <c r="AG330" s="112">
        <f t="shared" si="6"/>
        <v>0</v>
      </c>
      <c r="AH330" s="112">
        <f t="shared" si="6"/>
        <v>0</v>
      </c>
      <c r="AI330" s="164">
        <f>SUM(AC330:AH330)</f>
        <v>0</v>
      </c>
      <c r="AK330" s="550" t="str">
        <f>IF(AI330&gt;0,AI330,"")</f>
        <v/>
      </c>
      <c r="AL330" s="527"/>
      <c r="AN330" s="551">
        <f>(AI330/$AN$297)/2</f>
        <v>0</v>
      </c>
      <c r="AO330" s="552"/>
      <c r="BB330" s="127" t="s">
        <v>265</v>
      </c>
      <c r="BD330" s="127" t="s">
        <v>265</v>
      </c>
      <c r="BG330" s="128" t="s">
        <v>266</v>
      </c>
      <c r="BH330" s="134">
        <f>BH320</f>
        <v>0.1</v>
      </c>
      <c r="BI330" s="130" t="s">
        <v>266</v>
      </c>
      <c r="BJ330" s="135">
        <f>1-BH330</f>
        <v>0.9</v>
      </c>
    </row>
    <row r="331" spans="1:62" ht="14.4" x14ac:dyDescent="0.25">
      <c r="A331" s="117"/>
      <c r="B331" s="565"/>
      <c r="C331" s="565"/>
      <c r="D331" s="565"/>
      <c r="E331" s="132"/>
      <c r="F331" s="1"/>
      <c r="BB331" s="170">
        <f>$AC$1556</f>
        <v>10</v>
      </c>
      <c r="BD331" s="170">
        <f>$AC$1557</f>
        <v>25</v>
      </c>
      <c r="BG331" s="137" t="str">
        <f>BB329</f>
        <v>low</v>
      </c>
      <c r="BH331" s="137" t="str">
        <f>BD329</f>
        <v>high</v>
      </c>
      <c r="BI331" s="137" t="str">
        <f>BB329</f>
        <v>low</v>
      </c>
      <c r="BJ331" s="137" t="str">
        <f>BD329</f>
        <v>high</v>
      </c>
    </row>
    <row r="332" spans="1:62" ht="14.4" thickBot="1" x14ac:dyDescent="0.3">
      <c r="A332" s="117"/>
      <c r="B332" s="118" t="str">
        <f>IF(B330="","","Add any relevant info in box below to help us help you with your interrogation transcripts.")</f>
        <v/>
      </c>
      <c r="C332" s="165"/>
      <c r="D332" s="165"/>
      <c r="E332" s="132"/>
      <c r="F332" s="1"/>
      <c r="BB332" s="170">
        <f>IF(AK336=$AC$297,0,(BB331*AK336))</f>
        <v>0</v>
      </c>
      <c r="BD332" s="170">
        <f>IF(AK336=$AC$297,0,(BD331*AK336))</f>
        <v>0</v>
      </c>
      <c r="BG332" s="170">
        <f>BB332*BH330</f>
        <v>0</v>
      </c>
      <c r="BH332" s="170">
        <f>BD332*BH330</f>
        <v>0</v>
      </c>
      <c r="BI332" s="170">
        <f>BB332*BJ330</f>
        <v>0</v>
      </c>
      <c r="BJ332" s="170">
        <f>BD332*BJ330</f>
        <v>0</v>
      </c>
    </row>
    <row r="333" spans="1:62" ht="85.05" customHeight="1" thickTop="1" thickBot="1" x14ac:dyDescent="0.3">
      <c r="A333" s="117"/>
      <c r="B333" s="556"/>
      <c r="C333" s="557"/>
      <c r="D333" s="558"/>
      <c r="E333" s="148"/>
      <c r="F333" s="1"/>
      <c r="BJ333" s="138">
        <f>MIN(BJ332,($D$1330*10))</f>
        <v>0</v>
      </c>
    </row>
    <row r="334" spans="1:62" ht="16.8" thickTop="1" thickBot="1" x14ac:dyDescent="0.3">
      <c r="A334" s="117"/>
      <c r="B334" s="139" t="str">
        <f>IF(B330="","","SUPPORTER REVIEW: Prepare for Independent Verifier")</f>
        <v/>
      </c>
      <c r="C334" s="117"/>
      <c r="D334" s="117"/>
      <c r="E334" s="148"/>
      <c r="F334" s="1"/>
      <c r="BJ334" s="140"/>
    </row>
    <row r="335" spans="1:62" ht="14.4" thickTop="1" x14ac:dyDescent="0.25">
      <c r="A335" s="117"/>
      <c r="B335" s="141" t="str">
        <f>IF(B330="","","How many pages?")</f>
        <v/>
      </c>
      <c r="C335" s="142" t="str">
        <f>IF(AJ336&gt;30,"check if URL works, report from list below","")</f>
        <v/>
      </c>
      <c r="D335" s="143" t="str">
        <f>IF(B330="","","Estimated time to verify")</f>
        <v/>
      </c>
      <c r="E335" s="117"/>
      <c r="F335" s="1"/>
      <c r="AP335" s="56" t="s">
        <v>269</v>
      </c>
      <c r="AT335" s="144" t="str">
        <f>IF(AND(AJ336&gt;30,B336&gt;0),"ready","not ready")</f>
        <v>not ready</v>
      </c>
      <c r="AU335" s="144"/>
      <c r="AV335" s="144"/>
      <c r="BB335" s="56"/>
      <c r="BF335" s="113">
        <f>BF325</f>
        <v>0.05</v>
      </c>
      <c r="BG335" s="170">
        <f>BG332*$BF335</f>
        <v>0</v>
      </c>
      <c r="BH335" s="170">
        <f>BH332*$BF335</f>
        <v>0</v>
      </c>
      <c r="BI335" s="170">
        <f>BI332*$BF335</f>
        <v>0</v>
      </c>
      <c r="BJ335" s="170">
        <f>BJ332*$BF335</f>
        <v>0</v>
      </c>
    </row>
    <row r="336" spans="1:62" ht="14.4" thickBot="1" x14ac:dyDescent="0.3">
      <c r="A336" s="117"/>
      <c r="B336" s="163"/>
      <c r="C336" s="146"/>
      <c r="D336" s="147" t="str">
        <f>CONCATENATE(AK336,AL336)</f>
        <v>in estimated hours</v>
      </c>
      <c r="E336" s="117"/>
      <c r="F336" s="1"/>
      <c r="AD336" s="149">
        <f>IF(B330=B$1896,G$1896,AC335)</f>
        <v>0</v>
      </c>
      <c r="AE336" s="150">
        <f>IF(B330=B$1897,G$1897,AD335)</f>
        <v>0</v>
      </c>
      <c r="AF336" s="151">
        <f>IF(B330=B$1898,G$1898,AE335)</f>
        <v>0</v>
      </c>
      <c r="AG336" s="152">
        <f>IF(B330=B$1899,G$1899,AF335)</f>
        <v>0</v>
      </c>
      <c r="AH336" s="9"/>
      <c r="AI336" s="153">
        <f>MAX(AD336:AG336)</f>
        <v>0</v>
      </c>
      <c r="AJ336" s="56">
        <f>LEN(B330)</f>
        <v>0</v>
      </c>
      <c r="AK336" s="154" t="str">
        <f>IF(B336="",$AC$297,B336*AI336)</f>
        <v>in estimated</v>
      </c>
      <c r="AL336" s="56" t="s">
        <v>271</v>
      </c>
      <c r="AN336" s="56">
        <f>B336*AI336</f>
        <v>0</v>
      </c>
      <c r="AP336" s="155" t="str">
        <f>IF($C336=$D$1896,AP$297,"")</f>
        <v/>
      </c>
      <c r="AQ336" s="156" t="str">
        <f>IF($C336=$D$1897,AQ$297,"")</f>
        <v/>
      </c>
      <c r="AR336" s="157" t="str">
        <f>IF($C336=$D$1898,AR$297,"")</f>
        <v/>
      </c>
      <c r="AS336" s="158" t="str">
        <f>IF($C336=$D$1899,AS$297,"")</f>
        <v/>
      </c>
      <c r="AT336" s="159" t="str">
        <f>IF($C336=$D$1900,AT$297,"")</f>
        <v/>
      </c>
      <c r="AU336" s="160">
        <f>MAX(AP336:AS336)</f>
        <v>0</v>
      </c>
      <c r="AV336" s="154"/>
      <c r="AX336" s="112">
        <f>IF(AK336=$AC$297,0,AK336)</f>
        <v>0</v>
      </c>
      <c r="BB336" s="56"/>
      <c r="BG336" s="161">
        <f>BG332*0.95</f>
        <v>0</v>
      </c>
      <c r="BH336" s="161">
        <f>BH332*0.95</f>
        <v>0</v>
      </c>
      <c r="BI336" s="161">
        <f>BI332*0.95</f>
        <v>0</v>
      </c>
      <c r="BJ336" s="161">
        <f>BJ332*0.95</f>
        <v>0</v>
      </c>
    </row>
    <row r="337" spans="1:62" ht="14.4" thickTop="1" x14ac:dyDescent="0.25">
      <c r="A337" s="117"/>
      <c r="B337" s="117"/>
      <c r="C337" s="117"/>
      <c r="D337" s="117"/>
      <c r="E337" s="117"/>
      <c r="F337" s="1"/>
    </row>
    <row r="338" spans="1:62" ht="19.95" customHeight="1" x14ac:dyDescent="0.25">
      <c r="A338" s="114">
        <f>A328+1</f>
        <v>5</v>
      </c>
      <c r="B338" s="114" t="s">
        <v>279</v>
      </c>
      <c r="C338" s="114"/>
      <c r="D338" s="115">
        <f>IF(AN340&gt;0,AN340,0)</f>
        <v>7.1428571428571425E-2</v>
      </c>
      <c r="E338" s="132"/>
      <c r="F338" s="1"/>
    </row>
    <row r="339" spans="1:62" ht="18" customHeight="1" x14ac:dyDescent="0.25">
      <c r="A339" s="114"/>
      <c r="B339" s="166"/>
      <c r="C339" s="166"/>
      <c r="D339" s="166"/>
      <c r="E339" s="132"/>
      <c r="F339" s="1"/>
      <c r="AC339" s="121">
        <v>1</v>
      </c>
      <c r="AD339" s="122">
        <f>AC339-($AC339/5)</f>
        <v>0.8</v>
      </c>
      <c r="AE339" s="123">
        <f>AD339-($AC339/5)</f>
        <v>0.60000000000000009</v>
      </c>
      <c r="AF339" s="124">
        <f>AE339-($AC339/5)</f>
        <v>0.40000000000000008</v>
      </c>
      <c r="AG339" s="125">
        <f>AF339-($AC339/5)</f>
        <v>0.20000000000000007</v>
      </c>
      <c r="AH339" s="126">
        <f>AG339-($AC339/5)</f>
        <v>0</v>
      </c>
      <c r="AI339" s="120"/>
      <c r="AP339" s="120"/>
      <c r="AQ339" s="120"/>
      <c r="AR339" s="120"/>
      <c r="AS339" s="120"/>
      <c r="AT339" s="120"/>
      <c r="AU339" s="120"/>
      <c r="AV339" s="120"/>
      <c r="AW339" s="120"/>
      <c r="AX339" s="120"/>
      <c r="AY339" s="120"/>
      <c r="AZ339" s="120"/>
      <c r="BA339" s="120"/>
      <c r="BB339" s="127" t="s">
        <v>260</v>
      </c>
      <c r="BD339" s="127" t="s">
        <v>261</v>
      </c>
      <c r="BE339" s="120"/>
      <c r="BF339" s="120"/>
      <c r="BG339" s="128" t="s">
        <v>262</v>
      </c>
      <c r="BH339" s="129"/>
      <c r="BI339" s="130" t="s">
        <v>263</v>
      </c>
      <c r="BJ339" s="131"/>
    </row>
    <row r="340" spans="1:62" ht="14.4" x14ac:dyDescent="0.3">
      <c r="A340" s="117"/>
      <c r="B340" s="564" t="s">
        <v>264</v>
      </c>
      <c r="C340" s="564"/>
      <c r="D340" s="564"/>
      <c r="E340" s="132"/>
      <c r="F340" s="1"/>
      <c r="AC340" s="112">
        <f t="shared" ref="AC340:AH340" si="7">IF($B340=AC$1896,AC339,0)</f>
        <v>1</v>
      </c>
      <c r="AD340" s="112">
        <f t="shared" si="7"/>
        <v>0</v>
      </c>
      <c r="AE340" s="112">
        <f t="shared" si="7"/>
        <v>0</v>
      </c>
      <c r="AF340" s="112">
        <f t="shared" si="7"/>
        <v>0</v>
      </c>
      <c r="AG340" s="112">
        <f t="shared" si="7"/>
        <v>0</v>
      </c>
      <c r="AH340" s="112">
        <f t="shared" si="7"/>
        <v>0</v>
      </c>
      <c r="AI340" s="164">
        <f>SUM(AC340:AH340)</f>
        <v>1</v>
      </c>
      <c r="AK340" s="550">
        <f>IF(AI340&gt;0,AI340,"")</f>
        <v>1</v>
      </c>
      <c r="AL340" s="527"/>
      <c r="AN340" s="551">
        <f>(AI340/$AN$297)/2</f>
        <v>7.1428571428571425E-2</v>
      </c>
      <c r="AO340" s="552"/>
      <c r="BB340" s="127" t="s">
        <v>265</v>
      </c>
      <c r="BD340" s="127" t="s">
        <v>265</v>
      </c>
      <c r="BG340" s="128" t="s">
        <v>266</v>
      </c>
      <c r="BH340" s="134">
        <f>BH330</f>
        <v>0.1</v>
      </c>
      <c r="BI340" s="130" t="s">
        <v>266</v>
      </c>
      <c r="BJ340" s="135">
        <f>1-BH340</f>
        <v>0.9</v>
      </c>
    </row>
    <row r="341" spans="1:62" ht="14.4" x14ac:dyDescent="0.25">
      <c r="A341" s="117"/>
      <c r="B341" s="565" t="s">
        <v>280</v>
      </c>
      <c r="C341" s="565"/>
      <c r="D341" s="565"/>
      <c r="E341" s="132"/>
      <c r="F341" s="1"/>
      <c r="BB341" s="170">
        <f>$AC$1556</f>
        <v>10</v>
      </c>
      <c r="BD341" s="170">
        <f>$AC$1557</f>
        <v>25</v>
      </c>
      <c r="BG341" s="137" t="str">
        <f>BB339</f>
        <v>low</v>
      </c>
      <c r="BH341" s="137" t="str">
        <f>BD339</f>
        <v>high</v>
      </c>
      <c r="BI341" s="137" t="str">
        <f>BB339</f>
        <v>low</v>
      </c>
      <c r="BJ341" s="137" t="str">
        <f>BD339</f>
        <v>high</v>
      </c>
    </row>
    <row r="342" spans="1:62" ht="14.4" thickBot="1" x14ac:dyDescent="0.3">
      <c r="A342" s="117"/>
      <c r="B342" s="165"/>
      <c r="C342" s="165"/>
      <c r="D342" s="165"/>
      <c r="E342" s="132"/>
      <c r="F342" s="1"/>
      <c r="BB342" s="170">
        <f>IF(AK346=$AC$297,0,(BB341*AK346))</f>
        <v>15.600000000000001</v>
      </c>
      <c r="BD342" s="170">
        <f>IF(AK346=$AC$297,0,(BD341*AK346))</f>
        <v>39</v>
      </c>
      <c r="BG342" s="170">
        <f>BB342*BH340</f>
        <v>1.5600000000000003</v>
      </c>
      <c r="BH342" s="170">
        <f>BD342*BH340</f>
        <v>3.9000000000000004</v>
      </c>
      <c r="BI342" s="170">
        <f>BB342*BJ340</f>
        <v>14.040000000000001</v>
      </c>
      <c r="BJ342" s="170">
        <f>BD342*BJ340</f>
        <v>35.1</v>
      </c>
    </row>
    <row r="343" spans="1:62" ht="85.05" customHeight="1" thickTop="1" thickBot="1" x14ac:dyDescent="0.3">
      <c r="A343" s="117"/>
      <c r="B343" s="556"/>
      <c r="C343" s="557"/>
      <c r="D343" s="558"/>
      <c r="E343" s="132"/>
      <c r="F343" s="1"/>
      <c r="BJ343" s="138">
        <f>MIN(BJ342,($D$1330*10))</f>
        <v>0</v>
      </c>
    </row>
    <row r="344" spans="1:62" ht="16.8" thickTop="1" thickBot="1" x14ac:dyDescent="0.3">
      <c r="A344" s="117"/>
      <c r="B344" s="139" t="str">
        <f>IF(B340="","","SUPPORTER REVIEW: Prepare for Independent Verifier")</f>
        <v>SUPPORTER REVIEW: Prepare for Independent Verifier</v>
      </c>
      <c r="C344" s="117"/>
      <c r="D344" s="117"/>
      <c r="E344" s="132"/>
      <c r="F344" s="1"/>
      <c r="BJ344" s="140"/>
    </row>
    <row r="345" spans="1:62" ht="14.4" thickTop="1" x14ac:dyDescent="0.25">
      <c r="A345" s="117"/>
      <c r="B345" s="141" t="str">
        <f>IF(B340="","","How many pages?")</f>
        <v>How many pages?</v>
      </c>
      <c r="C345" s="142" t="str">
        <f>IF(AJ346&gt;30,"check if URL works, report from list below","")</f>
        <v>check if URL works, report from list below</v>
      </c>
      <c r="D345" s="143" t="str">
        <f>IF(B340="","","Estimated time to verify")</f>
        <v>Estimated time to verify</v>
      </c>
      <c r="E345" s="132"/>
      <c r="F345" s="1"/>
      <c r="AP345" s="56" t="s">
        <v>269</v>
      </c>
      <c r="AT345" s="144" t="str">
        <f>IF(AND(AJ346&gt;30,B346&gt;0),"ready","not ready")</f>
        <v>ready</v>
      </c>
      <c r="AU345" s="144"/>
      <c r="AV345" s="144"/>
      <c r="BB345" s="56"/>
      <c r="BF345" s="113">
        <f>BF335</f>
        <v>0.05</v>
      </c>
      <c r="BG345" s="170">
        <f>BG342*$BF345</f>
        <v>7.8000000000000014E-2</v>
      </c>
      <c r="BH345" s="170">
        <f>BH342*$BF345</f>
        <v>0.19500000000000003</v>
      </c>
      <c r="BI345" s="170">
        <f>BI342*$BF345</f>
        <v>0.70200000000000007</v>
      </c>
      <c r="BJ345" s="170">
        <f>BJ342*$BF345</f>
        <v>1.7550000000000001</v>
      </c>
    </row>
    <row r="346" spans="1:62" ht="14.4" thickBot="1" x14ac:dyDescent="0.3">
      <c r="A346" s="117"/>
      <c r="B346" s="163">
        <v>13</v>
      </c>
      <c r="C346" s="146" t="s">
        <v>270</v>
      </c>
      <c r="D346" s="147" t="str">
        <f>CONCATENATE(AK346,AL346)</f>
        <v>1.56 hours</v>
      </c>
      <c r="E346" s="132"/>
      <c r="F346" s="1"/>
      <c r="AD346" s="149">
        <f>IF(B340=B$1896,G$1896,AC345)</f>
        <v>0.12</v>
      </c>
      <c r="AE346" s="150">
        <f>IF(B340=B$1897,G$1897,AD345)</f>
        <v>0</v>
      </c>
      <c r="AF346" s="151">
        <f>IF(B340=B$1898,G$1898,AE345)</f>
        <v>0</v>
      </c>
      <c r="AG346" s="152">
        <f>IF(B340=B$1899,G$1899,AF345)</f>
        <v>0</v>
      </c>
      <c r="AH346" s="9"/>
      <c r="AI346" s="153">
        <f>MAX(AD346:AG346)</f>
        <v>0.12</v>
      </c>
      <c r="AJ346" s="56">
        <f>LEN(B340)</f>
        <v>37</v>
      </c>
      <c r="AK346" s="154">
        <f>IF(B346="",$AC$297,B346*AI346)</f>
        <v>1.56</v>
      </c>
      <c r="AL346" s="56" t="s">
        <v>271</v>
      </c>
      <c r="AN346" s="56">
        <f>B346*AI346</f>
        <v>1.56</v>
      </c>
      <c r="AP346" s="155" t="str">
        <f>IF($C346=$D$1896,AP$297,"")</f>
        <v/>
      </c>
      <c r="AQ346" s="156" t="str">
        <f>IF($C346=$D$1897,AQ$297,"")</f>
        <v/>
      </c>
      <c r="AR346" s="157" t="str">
        <f>IF($C346=$D$1898,AR$297,"")</f>
        <v/>
      </c>
      <c r="AS346" s="158" t="str">
        <f>IF($C346=$D$1899,AS$297,"")</f>
        <v/>
      </c>
      <c r="AT346" s="159">
        <f>IF($C346=$D$1900,AT$297,"")</f>
        <v>1</v>
      </c>
      <c r="AU346" s="160">
        <f>MAX(AP346:AS346)</f>
        <v>0</v>
      </c>
      <c r="AV346" s="154"/>
      <c r="AX346" s="112">
        <f>IF(AK346=$AC$297,0,AK346)</f>
        <v>1.56</v>
      </c>
      <c r="BB346" s="56"/>
      <c r="BG346" s="161">
        <f>BG342*0.95</f>
        <v>1.4820000000000002</v>
      </c>
      <c r="BH346" s="161">
        <f>BH342*0.95</f>
        <v>3.7050000000000001</v>
      </c>
      <c r="BI346" s="161">
        <f>BI342*0.95</f>
        <v>13.338000000000001</v>
      </c>
      <c r="BJ346" s="161">
        <f>BJ342*0.95</f>
        <v>33.344999999999999</v>
      </c>
    </row>
    <row r="347" spans="1:62" ht="14.4" thickTop="1" x14ac:dyDescent="0.25">
      <c r="A347" s="117"/>
      <c r="B347" s="117"/>
      <c r="C347" s="117"/>
      <c r="D347" s="117"/>
      <c r="E347" s="132"/>
      <c r="F347" s="1"/>
    </row>
    <row r="348" spans="1:62" ht="19.95" customHeight="1" x14ac:dyDescent="0.25">
      <c r="A348" s="114">
        <f>A338+1</f>
        <v>6</v>
      </c>
      <c r="B348" s="114" t="s">
        <v>281</v>
      </c>
      <c r="C348" s="114"/>
      <c r="D348" s="115">
        <f>IF(AN350&gt;0,AN350,0)</f>
        <v>7.1428571428571425E-2</v>
      </c>
      <c r="E348" s="132"/>
      <c r="F348" s="1"/>
    </row>
    <row r="349" spans="1:62" ht="18" customHeight="1" x14ac:dyDescent="0.25">
      <c r="A349" s="114"/>
      <c r="B349" s="563"/>
      <c r="C349" s="563"/>
      <c r="D349" s="563"/>
      <c r="E349" s="132"/>
      <c r="F349" s="1"/>
      <c r="AC349" s="121">
        <v>1</v>
      </c>
      <c r="AD349" s="122">
        <f>AC349-($AC349/5)</f>
        <v>0.8</v>
      </c>
      <c r="AE349" s="123">
        <f>AD349-($AC349/5)</f>
        <v>0.60000000000000009</v>
      </c>
      <c r="AF349" s="124">
        <f>AE349-($AC349/5)</f>
        <v>0.40000000000000008</v>
      </c>
      <c r="AG349" s="125">
        <f>AF349-($AC349/5)</f>
        <v>0.20000000000000007</v>
      </c>
      <c r="AH349" s="126">
        <f>AG349-($AC349/5)</f>
        <v>0</v>
      </c>
      <c r="AI349" s="120"/>
      <c r="AP349" s="120"/>
      <c r="AQ349" s="120"/>
      <c r="AR349" s="120"/>
      <c r="AS349" s="120"/>
      <c r="AT349" s="120"/>
      <c r="AU349" s="120"/>
      <c r="AV349" s="120"/>
      <c r="AW349" s="120"/>
      <c r="AX349" s="120"/>
      <c r="AY349" s="120"/>
      <c r="AZ349" s="120"/>
      <c r="BA349" s="120"/>
      <c r="BB349" s="127" t="s">
        <v>260</v>
      </c>
      <c r="BD349" s="127" t="s">
        <v>261</v>
      </c>
      <c r="BE349" s="120"/>
      <c r="BF349" s="120"/>
      <c r="BG349" s="128" t="s">
        <v>262</v>
      </c>
      <c r="BH349" s="129"/>
      <c r="BI349" s="130" t="s">
        <v>263</v>
      </c>
      <c r="BJ349" s="131"/>
    </row>
    <row r="350" spans="1:62" ht="14.4" x14ac:dyDescent="0.3">
      <c r="A350" s="117"/>
      <c r="B350" s="564" t="s">
        <v>264</v>
      </c>
      <c r="C350" s="564"/>
      <c r="D350" s="564"/>
      <c r="E350" s="132"/>
      <c r="F350" s="1"/>
      <c r="AC350" s="112">
        <f t="shared" ref="AC350:AH350" si="8">IF($B350=AC$1896,AC349,0)</f>
        <v>1</v>
      </c>
      <c r="AD350" s="112">
        <f t="shared" si="8"/>
        <v>0</v>
      </c>
      <c r="AE350" s="112">
        <f t="shared" si="8"/>
        <v>0</v>
      </c>
      <c r="AF350" s="112">
        <f t="shared" si="8"/>
        <v>0</v>
      </c>
      <c r="AG350" s="112">
        <f t="shared" si="8"/>
        <v>0</v>
      </c>
      <c r="AH350" s="112">
        <f t="shared" si="8"/>
        <v>0</v>
      </c>
      <c r="AI350" s="164">
        <f>SUM(AC350:AH350)</f>
        <v>1</v>
      </c>
      <c r="AK350" s="550">
        <f>IF(AI350&gt;0,AI350,"")</f>
        <v>1</v>
      </c>
      <c r="AL350" s="527"/>
      <c r="AN350" s="551">
        <f>(AI350/$AN$297)/2</f>
        <v>7.1428571428571425E-2</v>
      </c>
      <c r="AO350" s="552"/>
      <c r="BB350" s="127" t="s">
        <v>265</v>
      </c>
      <c r="BD350" s="127" t="s">
        <v>265</v>
      </c>
      <c r="BG350" s="128" t="s">
        <v>266</v>
      </c>
      <c r="BH350" s="134">
        <f>BH340</f>
        <v>0.1</v>
      </c>
      <c r="BI350" s="130" t="s">
        <v>266</v>
      </c>
      <c r="BJ350" s="135">
        <f>1-BH350</f>
        <v>0.9</v>
      </c>
    </row>
    <row r="351" spans="1:62" ht="14.4" x14ac:dyDescent="0.25">
      <c r="A351" s="117"/>
      <c r="B351" s="565" t="s">
        <v>282</v>
      </c>
      <c r="C351" s="565"/>
      <c r="D351" s="565"/>
      <c r="E351" s="132"/>
      <c r="F351" s="1"/>
      <c r="BB351" s="170">
        <f>$AC$1556</f>
        <v>10</v>
      </c>
      <c r="BD351" s="170">
        <f>$AC$1557</f>
        <v>25</v>
      </c>
      <c r="BG351" s="137" t="str">
        <f>BB349</f>
        <v>low</v>
      </c>
      <c r="BH351" s="137" t="str">
        <f>BD349</f>
        <v>high</v>
      </c>
      <c r="BI351" s="137" t="str">
        <f>BB349</f>
        <v>low</v>
      </c>
      <c r="BJ351" s="137" t="str">
        <f>BD349</f>
        <v>high</v>
      </c>
    </row>
    <row r="352" spans="1:62" ht="14.4" thickBot="1" x14ac:dyDescent="0.3">
      <c r="A352" s="117"/>
      <c r="B352" s="165"/>
      <c r="C352" s="165"/>
      <c r="D352" s="165"/>
      <c r="E352" s="132"/>
      <c r="F352" s="1"/>
      <c r="BB352" s="170">
        <f>IF(AK356=$AC$297,0,(BB351*AK356))</f>
        <v>9.6</v>
      </c>
      <c r="BD352" s="170">
        <f>IF(AK356=$AC$297,0,(BD351*AK356))</f>
        <v>24</v>
      </c>
      <c r="BG352" s="170">
        <f>BB352*BH350</f>
        <v>0.96</v>
      </c>
      <c r="BH352" s="170">
        <f>BD352*BH350</f>
        <v>2.4000000000000004</v>
      </c>
      <c r="BI352" s="170">
        <f>BB352*BJ350</f>
        <v>8.64</v>
      </c>
      <c r="BJ352" s="170">
        <f>BD352*BJ350</f>
        <v>21.6</v>
      </c>
    </row>
    <row r="353" spans="1:62" ht="85.05" customHeight="1" thickTop="1" thickBot="1" x14ac:dyDescent="0.3">
      <c r="A353" s="117"/>
      <c r="B353" s="556"/>
      <c r="C353" s="557"/>
      <c r="D353" s="558"/>
      <c r="E353" s="132"/>
      <c r="F353" s="1"/>
      <c r="BJ353" s="138">
        <f>MIN(BJ352,($D$1330*10))</f>
        <v>0</v>
      </c>
    </row>
    <row r="354" spans="1:62" ht="16.8" thickTop="1" thickBot="1" x14ac:dyDescent="0.3">
      <c r="A354" s="117"/>
      <c r="B354" s="139" t="str">
        <f>IF(B350="","","SUPPORTER REVIEW: Prepare for Independent Verifier")</f>
        <v>SUPPORTER REVIEW: Prepare for Independent Verifier</v>
      </c>
      <c r="C354" s="117"/>
      <c r="D354" s="117"/>
      <c r="E354" s="132"/>
      <c r="F354" s="1"/>
      <c r="BJ354" s="140"/>
    </row>
    <row r="355" spans="1:62" ht="14.4" thickTop="1" x14ac:dyDescent="0.25">
      <c r="A355" s="117"/>
      <c r="B355" s="141" t="str">
        <f>IF(B350="","","How many pages?")</f>
        <v>How many pages?</v>
      </c>
      <c r="C355" s="142" t="str">
        <f>IF(AJ356&gt;30,"check if URL works, report from list below","")</f>
        <v>check if URL works, report from list below</v>
      </c>
      <c r="D355" s="143" t="str">
        <f>IF(B350="","","Estimated time to verify")</f>
        <v>Estimated time to verify</v>
      </c>
      <c r="E355" s="132"/>
      <c r="F355" s="1"/>
      <c r="AP355" s="56" t="s">
        <v>269</v>
      </c>
      <c r="AT355" s="144" t="str">
        <f>IF(AND(AJ356&gt;30,B356&gt;0),"ready","not ready")</f>
        <v>ready</v>
      </c>
      <c r="AU355" s="144"/>
      <c r="AV355" s="144"/>
      <c r="BB355" s="56"/>
      <c r="BF355" s="113">
        <f>BF345</f>
        <v>0.05</v>
      </c>
      <c r="BG355" s="170">
        <f>BG352*$BF355</f>
        <v>4.8000000000000001E-2</v>
      </c>
      <c r="BH355" s="170">
        <f>BH352*$BF355</f>
        <v>0.12000000000000002</v>
      </c>
      <c r="BI355" s="170">
        <f>BI352*$BF355</f>
        <v>0.43200000000000005</v>
      </c>
      <c r="BJ355" s="170">
        <f>BJ352*$BF355</f>
        <v>1.08</v>
      </c>
    </row>
    <row r="356" spans="1:62" ht="14.4" thickBot="1" x14ac:dyDescent="0.3">
      <c r="A356" s="117"/>
      <c r="B356" s="163">
        <v>8</v>
      </c>
      <c r="C356" s="146" t="s">
        <v>270</v>
      </c>
      <c r="D356" s="147" t="str">
        <f>CONCATENATE(AK356,AL356)</f>
        <v>0.96 hours</v>
      </c>
      <c r="E356" s="132"/>
      <c r="F356" s="1"/>
      <c r="AD356" s="149">
        <f>IF(B350=B$1896,G$1896,AC355)</f>
        <v>0.12</v>
      </c>
      <c r="AE356" s="150">
        <f>IF(B350=B$1897,G$1897,AD355)</f>
        <v>0</v>
      </c>
      <c r="AF356" s="151">
        <f>IF(B350=B$1898,G$1898,AE355)</f>
        <v>0</v>
      </c>
      <c r="AG356" s="152">
        <f>IF(B350=B$1899,G$1899,AF355)</f>
        <v>0</v>
      </c>
      <c r="AH356" s="9"/>
      <c r="AI356" s="153">
        <f>MAX(AD356:AG356)</f>
        <v>0.12</v>
      </c>
      <c r="AJ356" s="56">
        <f>LEN(B350)</f>
        <v>37</v>
      </c>
      <c r="AK356" s="154">
        <f>IF(B356="",$AC$297,B356*AI356)</f>
        <v>0.96</v>
      </c>
      <c r="AL356" s="56" t="s">
        <v>271</v>
      </c>
      <c r="AN356" s="56">
        <f>B356*AI356</f>
        <v>0.96</v>
      </c>
      <c r="AP356" s="155" t="str">
        <f>IF($C356=$D$1896,AP$297,"")</f>
        <v/>
      </c>
      <c r="AQ356" s="156" t="str">
        <f>IF($C356=$D$1897,AQ$297,"")</f>
        <v/>
      </c>
      <c r="AR356" s="157" t="str">
        <f>IF($C356=$D$1898,AR$297,"")</f>
        <v/>
      </c>
      <c r="AS356" s="158" t="str">
        <f>IF($C356=$D$1899,AS$297,"")</f>
        <v/>
      </c>
      <c r="AT356" s="159">
        <f>IF($C356=$D$1900,AT$297,"")</f>
        <v>1</v>
      </c>
      <c r="AU356" s="160">
        <f>MAX(AP356:AS356)</f>
        <v>0</v>
      </c>
      <c r="AV356" s="154"/>
      <c r="AX356" s="112">
        <f>IF(AK356=$AC$297,0,AK356)</f>
        <v>0.96</v>
      </c>
      <c r="BB356" s="56"/>
      <c r="BG356" s="161">
        <f>BG352*0.95</f>
        <v>0.91199999999999992</v>
      </c>
      <c r="BH356" s="161">
        <f>BH352*0.95</f>
        <v>2.2800000000000002</v>
      </c>
      <c r="BI356" s="161">
        <f>BI352*0.95</f>
        <v>8.2080000000000002</v>
      </c>
      <c r="BJ356" s="161">
        <f>BJ352*0.95</f>
        <v>20.52</v>
      </c>
    </row>
    <row r="357" spans="1:62" ht="13.05" customHeight="1" thickTop="1" x14ac:dyDescent="0.25">
      <c r="A357" s="117"/>
      <c r="B357" s="117"/>
      <c r="C357" s="117"/>
      <c r="D357" s="117"/>
      <c r="E357" s="132"/>
      <c r="F357" s="1"/>
    </row>
    <row r="358" spans="1:62" ht="19.95" customHeight="1" x14ac:dyDescent="0.25">
      <c r="A358" s="114">
        <f>A348+1</f>
        <v>7</v>
      </c>
      <c r="B358" s="114" t="s">
        <v>283</v>
      </c>
      <c r="C358" s="114"/>
      <c r="D358" s="115">
        <f>IF(AN360&gt;0,AN360,0)</f>
        <v>7.1428571428571425E-2</v>
      </c>
      <c r="E358" s="132"/>
      <c r="F358" s="1"/>
    </row>
    <row r="359" spans="1:62" ht="18" customHeight="1" x14ac:dyDescent="0.25">
      <c r="A359" s="114"/>
      <c r="B359" s="563"/>
      <c r="C359" s="563"/>
      <c r="D359" s="563"/>
      <c r="E359" s="132"/>
      <c r="F359" s="1"/>
      <c r="AC359" s="121">
        <v>1</v>
      </c>
      <c r="AD359" s="122">
        <f>AC359-($AC359/5)</f>
        <v>0.8</v>
      </c>
      <c r="AE359" s="123">
        <f>AD359-($AC359/5)</f>
        <v>0.60000000000000009</v>
      </c>
      <c r="AF359" s="124">
        <f>AE359-($AC359/5)</f>
        <v>0.40000000000000008</v>
      </c>
      <c r="AG359" s="125">
        <f>AF359-($AC359/5)</f>
        <v>0.20000000000000007</v>
      </c>
      <c r="AH359" s="126">
        <f>AG359-($AC359/5)</f>
        <v>0</v>
      </c>
      <c r="AI359" s="120"/>
      <c r="AP359" s="120"/>
      <c r="AQ359" s="120"/>
      <c r="AR359" s="120"/>
      <c r="AS359" s="120"/>
      <c r="AT359" s="120"/>
      <c r="AU359" s="120"/>
      <c r="AV359" s="120"/>
      <c r="AW359" s="120"/>
      <c r="AX359" s="120"/>
      <c r="AY359" s="120"/>
      <c r="AZ359" s="120"/>
      <c r="BA359" s="120"/>
      <c r="BB359" s="127" t="s">
        <v>260</v>
      </c>
      <c r="BD359" s="127" t="s">
        <v>261</v>
      </c>
      <c r="BE359" s="120"/>
      <c r="BF359" s="120"/>
      <c r="BG359" s="128" t="s">
        <v>262</v>
      </c>
      <c r="BH359" s="129"/>
      <c r="BI359" s="130" t="s">
        <v>263</v>
      </c>
      <c r="BJ359" s="131"/>
    </row>
    <row r="360" spans="1:62" ht="14.4" x14ac:dyDescent="0.3">
      <c r="A360" s="117"/>
      <c r="B360" s="564" t="s">
        <v>264</v>
      </c>
      <c r="C360" s="564"/>
      <c r="D360" s="564"/>
      <c r="E360" s="132"/>
      <c r="F360" s="1"/>
      <c r="AC360" s="112">
        <f t="shared" ref="AC360:AH360" si="9">IF($B360=AC$1896,AC359,0)</f>
        <v>1</v>
      </c>
      <c r="AD360" s="112">
        <f t="shared" si="9"/>
        <v>0</v>
      </c>
      <c r="AE360" s="112">
        <f t="shared" si="9"/>
        <v>0</v>
      </c>
      <c r="AF360" s="112">
        <f t="shared" si="9"/>
        <v>0</v>
      </c>
      <c r="AG360" s="112">
        <f t="shared" si="9"/>
        <v>0</v>
      </c>
      <c r="AH360" s="112">
        <f t="shared" si="9"/>
        <v>0</v>
      </c>
      <c r="AI360" s="164">
        <f>SUM(AC360:AH360)</f>
        <v>1</v>
      </c>
      <c r="AK360" s="550">
        <f>IF(AI360&gt;0,AI360,"")</f>
        <v>1</v>
      </c>
      <c r="AL360" s="527"/>
      <c r="AN360" s="551">
        <f>(AI360/$AN$297)/2</f>
        <v>7.1428571428571425E-2</v>
      </c>
      <c r="AO360" s="552"/>
      <c r="BB360" s="127" t="s">
        <v>265</v>
      </c>
      <c r="BD360" s="127" t="s">
        <v>265</v>
      </c>
      <c r="BG360" s="128" t="s">
        <v>266</v>
      </c>
      <c r="BH360" s="134">
        <f>BH350</f>
        <v>0.1</v>
      </c>
      <c r="BI360" s="130" t="s">
        <v>266</v>
      </c>
      <c r="BJ360" s="135">
        <f>1-BH360</f>
        <v>0.9</v>
      </c>
    </row>
    <row r="361" spans="1:62" ht="14.4" x14ac:dyDescent="0.25">
      <c r="A361" s="117"/>
      <c r="B361" s="565" t="s">
        <v>284</v>
      </c>
      <c r="C361" s="565"/>
      <c r="D361" s="565"/>
      <c r="E361" s="132"/>
      <c r="F361" s="1"/>
      <c r="BB361" s="170">
        <f>$AC$1556</f>
        <v>10</v>
      </c>
      <c r="BD361" s="170">
        <f>$AC$1557</f>
        <v>25</v>
      </c>
      <c r="BG361" s="137" t="str">
        <f>BB359</f>
        <v>low</v>
      </c>
      <c r="BH361" s="137" t="str">
        <f>BD359</f>
        <v>high</v>
      </c>
      <c r="BI361" s="137" t="str">
        <f>BB359</f>
        <v>low</v>
      </c>
      <c r="BJ361" s="137" t="str">
        <f>BD359</f>
        <v>high</v>
      </c>
    </row>
    <row r="362" spans="1:62" ht="14.4" thickBot="1" x14ac:dyDescent="0.3">
      <c r="A362" s="117"/>
      <c r="B362" s="165"/>
      <c r="C362" s="165"/>
      <c r="D362" s="165"/>
      <c r="E362" s="132"/>
      <c r="F362" s="1"/>
      <c r="BB362" s="170">
        <f>IF(AK366=$AC$297,0,(BB361*AK366))</f>
        <v>72</v>
      </c>
      <c r="BD362" s="170">
        <f>IF(AK366=$AC$297,0,(BD361*AK366))</f>
        <v>179.99999999999997</v>
      </c>
      <c r="BG362" s="170">
        <f>BB362*BH360</f>
        <v>7.2</v>
      </c>
      <c r="BH362" s="170">
        <f>BD362*BH360</f>
        <v>17.999999999999996</v>
      </c>
      <c r="BI362" s="170">
        <f>BB362*BJ360</f>
        <v>64.8</v>
      </c>
      <c r="BJ362" s="170">
        <f>BD362*BJ360</f>
        <v>161.99999999999997</v>
      </c>
    </row>
    <row r="363" spans="1:62" ht="85.05" customHeight="1" thickTop="1" thickBot="1" x14ac:dyDescent="0.3">
      <c r="A363" s="117"/>
      <c r="B363" s="556"/>
      <c r="C363" s="557"/>
      <c r="D363" s="558"/>
      <c r="E363" s="132"/>
      <c r="F363" s="1"/>
      <c r="BJ363" s="138">
        <f>MIN(BJ362,($D$1330*10))</f>
        <v>0</v>
      </c>
    </row>
    <row r="364" spans="1:62" ht="16.8" thickTop="1" thickBot="1" x14ac:dyDescent="0.3">
      <c r="A364" s="117"/>
      <c r="B364" s="139" t="str">
        <f>IF(B360="","","SUPPORTER REVIEW: Prepare for Independent Verifier")</f>
        <v>SUPPORTER REVIEW: Prepare for Independent Verifier</v>
      </c>
      <c r="C364" s="117"/>
      <c r="D364" s="117"/>
      <c r="E364" s="132"/>
      <c r="F364" s="1"/>
      <c r="BJ364" s="140"/>
    </row>
    <row r="365" spans="1:62" ht="14.4" thickTop="1" x14ac:dyDescent="0.25">
      <c r="A365" s="117"/>
      <c r="B365" s="141" t="str">
        <f>IF(B360="","","How many pages?")</f>
        <v>How many pages?</v>
      </c>
      <c r="C365" s="142" t="str">
        <f>IF(AJ366&gt;30,"check if URL works, report from list below","")</f>
        <v>check if URL works, report from list below</v>
      </c>
      <c r="D365" s="143" t="str">
        <f>IF(B360="","","Estimated time to verify")</f>
        <v>Estimated time to verify</v>
      </c>
      <c r="E365" s="132"/>
      <c r="F365" s="1"/>
      <c r="AP365" s="56" t="s">
        <v>269</v>
      </c>
      <c r="AT365" s="144" t="str">
        <f>IF(AND(AJ366&gt;30,B366&gt;0),"ready","not ready")</f>
        <v>ready</v>
      </c>
      <c r="AU365" s="144"/>
      <c r="AV365" s="144"/>
      <c r="BB365" s="56"/>
      <c r="BF365" s="113">
        <f>BF355</f>
        <v>0.05</v>
      </c>
      <c r="BG365" s="170">
        <f>BG362*$BF365</f>
        <v>0.36000000000000004</v>
      </c>
      <c r="BH365" s="170">
        <f>BH362*$BF365</f>
        <v>0.89999999999999991</v>
      </c>
      <c r="BI365" s="170">
        <f>BI362*$BF365</f>
        <v>3.24</v>
      </c>
      <c r="BJ365" s="170">
        <f>BJ362*$BF365</f>
        <v>8.1</v>
      </c>
    </row>
    <row r="366" spans="1:62" ht="14.4" thickBot="1" x14ac:dyDescent="0.3">
      <c r="A366" s="117"/>
      <c r="B366" s="163">
        <v>60</v>
      </c>
      <c r="C366" s="146" t="s">
        <v>270</v>
      </c>
      <c r="D366" s="147" t="str">
        <f>CONCATENATE(AK366,AL366)</f>
        <v>7.2 hours</v>
      </c>
      <c r="E366" s="132"/>
      <c r="F366" s="1"/>
      <c r="AD366" s="149">
        <f>IF(B360=B$1896,G$1896,AC365)</f>
        <v>0.12</v>
      </c>
      <c r="AE366" s="150">
        <f>IF(B360=B$1897,G$1897,AD365)</f>
        <v>0</v>
      </c>
      <c r="AF366" s="151">
        <f>IF(B360=B$1898,G$1898,AE365)</f>
        <v>0</v>
      </c>
      <c r="AG366" s="152">
        <f>IF(B360=B$1899,G$1899,AF365)</f>
        <v>0</v>
      </c>
      <c r="AH366" s="9"/>
      <c r="AI366" s="153">
        <f>MAX(AD366:AG366)</f>
        <v>0.12</v>
      </c>
      <c r="AJ366" s="56">
        <f>LEN(B360)</f>
        <v>37</v>
      </c>
      <c r="AK366" s="154">
        <f>IF(B366="",$AC$297,B366*AI366)</f>
        <v>7.1999999999999993</v>
      </c>
      <c r="AL366" s="56" t="s">
        <v>271</v>
      </c>
      <c r="AN366" s="56">
        <f>B366*AI366</f>
        <v>7.1999999999999993</v>
      </c>
      <c r="AP366" s="155" t="str">
        <f>IF($C366=$D$1896,AP$297,"")</f>
        <v/>
      </c>
      <c r="AQ366" s="156" t="str">
        <f>IF($C366=$D$1897,AQ$297,"")</f>
        <v/>
      </c>
      <c r="AR366" s="157" t="str">
        <f>IF($C366=$D$1898,AR$297,"")</f>
        <v/>
      </c>
      <c r="AS366" s="158" t="str">
        <f>IF($C366=$D$1899,AS$297,"")</f>
        <v/>
      </c>
      <c r="AT366" s="159">
        <f>IF($C366=$D$1900,AT$297,"")</f>
        <v>1</v>
      </c>
      <c r="AU366" s="160">
        <f>MAX(AP366:AS366)</f>
        <v>0</v>
      </c>
      <c r="AV366" s="154"/>
      <c r="AX366" s="112">
        <f>IF(AK366=$AC$297,0,AK366)</f>
        <v>7.1999999999999993</v>
      </c>
      <c r="BB366" s="56"/>
      <c r="BG366" s="161">
        <f>BG362*0.95</f>
        <v>6.84</v>
      </c>
      <c r="BH366" s="161">
        <f>BH362*0.95</f>
        <v>17.099999999999994</v>
      </c>
      <c r="BI366" s="161">
        <f>BI362*0.95</f>
        <v>61.559999999999995</v>
      </c>
      <c r="BJ366" s="161">
        <f>BJ362*0.95</f>
        <v>153.89999999999998</v>
      </c>
    </row>
    <row r="367" spans="1:62" ht="14.4" thickTop="1" x14ac:dyDescent="0.25">
      <c r="A367" s="117"/>
      <c r="B367" s="117"/>
      <c r="C367" s="117"/>
      <c r="D367" s="117"/>
      <c r="E367" s="132"/>
      <c r="F367" s="1"/>
    </row>
    <row r="368" spans="1:62" ht="19.95" customHeight="1" x14ac:dyDescent="0.25">
      <c r="A368" s="114">
        <f>A358+1</f>
        <v>8</v>
      </c>
      <c r="B368" s="114" t="s">
        <v>285</v>
      </c>
      <c r="C368" s="114"/>
      <c r="D368" s="115">
        <f>IF(AN370&gt;0,AN370,0)</f>
        <v>7.1428571428571425E-2</v>
      </c>
      <c r="E368" s="132"/>
      <c r="F368" s="1"/>
    </row>
    <row r="369" spans="1:62" ht="18" customHeight="1" x14ac:dyDescent="0.25">
      <c r="A369" s="114"/>
      <c r="B369" s="563"/>
      <c r="C369" s="563"/>
      <c r="D369" s="563"/>
      <c r="E369" s="132"/>
      <c r="F369" s="1"/>
      <c r="AC369" s="121">
        <v>1</v>
      </c>
      <c r="AD369" s="122">
        <f>AC369-($AC369/5)</f>
        <v>0.8</v>
      </c>
      <c r="AE369" s="123">
        <f>AD369-($AC369/5)</f>
        <v>0.60000000000000009</v>
      </c>
      <c r="AF369" s="124">
        <f>AE369-($AC369/5)</f>
        <v>0.40000000000000008</v>
      </c>
      <c r="AG369" s="125">
        <f>AF369-($AC369/5)</f>
        <v>0.20000000000000007</v>
      </c>
      <c r="AH369" s="126">
        <f>AG369-($AC369/5)</f>
        <v>0</v>
      </c>
      <c r="AI369" s="120"/>
      <c r="AP369" s="120"/>
      <c r="AQ369" s="120"/>
      <c r="AR369" s="120"/>
      <c r="AS369" s="120"/>
      <c r="AT369" s="120"/>
      <c r="AU369" s="120"/>
      <c r="AV369" s="120"/>
      <c r="AW369" s="120"/>
      <c r="AX369" s="120"/>
      <c r="AY369" s="120"/>
      <c r="AZ369" s="120"/>
      <c r="BA369" s="120"/>
      <c r="BB369" s="127" t="s">
        <v>260</v>
      </c>
      <c r="BD369" s="127" t="s">
        <v>261</v>
      </c>
      <c r="BE369" s="120"/>
      <c r="BF369" s="120"/>
      <c r="BG369" s="128" t="s">
        <v>262</v>
      </c>
      <c r="BH369" s="129"/>
      <c r="BI369" s="130" t="s">
        <v>263</v>
      </c>
      <c r="BJ369" s="131"/>
    </row>
    <row r="370" spans="1:62" ht="14.4" x14ac:dyDescent="0.3">
      <c r="A370" s="117"/>
      <c r="B370" s="564" t="s">
        <v>264</v>
      </c>
      <c r="C370" s="564"/>
      <c r="D370" s="564"/>
      <c r="E370" s="132"/>
      <c r="F370" s="1"/>
      <c r="AC370" s="112">
        <f t="shared" ref="AC370:AH370" si="10">IF($B370=AC$1896,AC369,0)</f>
        <v>1</v>
      </c>
      <c r="AD370" s="112">
        <f t="shared" si="10"/>
        <v>0</v>
      </c>
      <c r="AE370" s="112">
        <f t="shared" si="10"/>
        <v>0</v>
      </c>
      <c r="AF370" s="112">
        <f t="shared" si="10"/>
        <v>0</v>
      </c>
      <c r="AG370" s="112">
        <f t="shared" si="10"/>
        <v>0</v>
      </c>
      <c r="AH370" s="112">
        <f t="shared" si="10"/>
        <v>0</v>
      </c>
      <c r="AI370" s="164">
        <f>SUM(AC370:AH370)</f>
        <v>1</v>
      </c>
      <c r="AK370" s="550">
        <f>IF(AI370&gt;0,AI370,"")</f>
        <v>1</v>
      </c>
      <c r="AL370" s="527"/>
      <c r="AN370" s="551">
        <f>(AI370/$AN$297)/2</f>
        <v>7.1428571428571425E-2</v>
      </c>
      <c r="AO370" s="552"/>
      <c r="BB370" s="127" t="s">
        <v>265</v>
      </c>
      <c r="BD370" s="127" t="s">
        <v>265</v>
      </c>
      <c r="BG370" s="128" t="s">
        <v>266</v>
      </c>
      <c r="BH370" s="134">
        <f>BH360</f>
        <v>0.1</v>
      </c>
      <c r="BI370" s="130" t="s">
        <v>266</v>
      </c>
      <c r="BJ370" s="135">
        <f>1-BH370</f>
        <v>0.9</v>
      </c>
    </row>
    <row r="371" spans="1:62" ht="14.4" x14ac:dyDescent="0.25">
      <c r="A371" s="117"/>
      <c r="B371" s="565" t="s">
        <v>286</v>
      </c>
      <c r="C371" s="565"/>
      <c r="D371" s="565"/>
      <c r="E371" s="132"/>
      <c r="F371" s="1"/>
      <c r="BB371" s="170">
        <f>$AC$1556</f>
        <v>10</v>
      </c>
      <c r="BD371" s="170">
        <f>$AC$1557</f>
        <v>25</v>
      </c>
      <c r="BG371" s="137" t="str">
        <f>BB369</f>
        <v>low</v>
      </c>
      <c r="BH371" s="137" t="str">
        <f>BD369</f>
        <v>high</v>
      </c>
      <c r="BI371" s="137" t="str">
        <f>BB369</f>
        <v>low</v>
      </c>
      <c r="BJ371" s="137" t="str">
        <f>BD369</f>
        <v>high</v>
      </c>
    </row>
    <row r="372" spans="1:62" ht="14.4" thickBot="1" x14ac:dyDescent="0.3">
      <c r="A372" s="117"/>
      <c r="B372" s="165"/>
      <c r="C372" s="165"/>
      <c r="D372" s="165"/>
      <c r="E372" s="132"/>
      <c r="F372" s="1"/>
      <c r="BB372" s="170">
        <f>IF(AK376=$AC$297,0,(BB371*AK376))</f>
        <v>10.8</v>
      </c>
      <c r="BD372" s="170">
        <f>IF(AK376=$AC$297,0,(BD371*AK376))</f>
        <v>27</v>
      </c>
      <c r="BG372" s="170">
        <f>BB372*BH370</f>
        <v>1.08</v>
      </c>
      <c r="BH372" s="170">
        <f>BD372*BH370</f>
        <v>2.7</v>
      </c>
      <c r="BI372" s="170">
        <f>BB372*BJ370</f>
        <v>9.7200000000000006</v>
      </c>
      <c r="BJ372" s="170">
        <f>BD372*BJ370</f>
        <v>24.3</v>
      </c>
    </row>
    <row r="373" spans="1:62" ht="85.05" customHeight="1" thickTop="1" thickBot="1" x14ac:dyDescent="0.3">
      <c r="A373" s="117"/>
      <c r="B373" s="556"/>
      <c r="C373" s="557"/>
      <c r="D373" s="558"/>
      <c r="E373" s="132"/>
      <c r="F373" s="1"/>
      <c r="BJ373" s="138">
        <f>MIN(BJ372,($D$1330*10))</f>
        <v>0</v>
      </c>
    </row>
    <row r="374" spans="1:62" ht="16.8" thickTop="1" thickBot="1" x14ac:dyDescent="0.3">
      <c r="A374" s="117"/>
      <c r="B374" s="139" t="str">
        <f>IF(B370="","","SUPPORTER REVIEW: Prepare for Independent Verifier")</f>
        <v>SUPPORTER REVIEW: Prepare for Independent Verifier</v>
      </c>
      <c r="C374" s="117"/>
      <c r="D374" s="117"/>
      <c r="E374" s="132"/>
      <c r="F374" s="1"/>
      <c r="BJ374" s="140"/>
    </row>
    <row r="375" spans="1:62" ht="14.4" thickTop="1" x14ac:dyDescent="0.25">
      <c r="A375" s="117"/>
      <c r="B375" s="141" t="str">
        <f>IF(B370="","","How many pages?")</f>
        <v>How many pages?</v>
      </c>
      <c r="C375" s="142" t="str">
        <f>IF(AJ376&gt;30,"check if URL works, report from list below","")</f>
        <v>check if URL works, report from list below</v>
      </c>
      <c r="D375" s="143" t="str">
        <f>IF(B370="","","Estimated time to verify")</f>
        <v>Estimated time to verify</v>
      </c>
      <c r="E375" s="132"/>
      <c r="F375" s="1"/>
      <c r="AP375" s="56" t="s">
        <v>269</v>
      </c>
      <c r="AT375" s="144" t="str">
        <f>IF(AND(AJ376&gt;30,B376&gt;0),"ready","not ready")</f>
        <v>ready</v>
      </c>
      <c r="AU375" s="144"/>
      <c r="AV375" s="144"/>
      <c r="BB375" s="56"/>
      <c r="BF375" s="113">
        <f>BF365</f>
        <v>0.05</v>
      </c>
      <c r="BG375" s="170">
        <f>BG372*$BF375</f>
        <v>5.4000000000000006E-2</v>
      </c>
      <c r="BH375" s="170">
        <f>BH372*$BF375</f>
        <v>0.13500000000000001</v>
      </c>
      <c r="BI375" s="170">
        <f>BI372*$BF375</f>
        <v>0.48600000000000004</v>
      </c>
      <c r="BJ375" s="170">
        <f>BJ372*$BF375</f>
        <v>1.2150000000000001</v>
      </c>
    </row>
    <row r="376" spans="1:62" ht="14.4" thickBot="1" x14ac:dyDescent="0.3">
      <c r="A376" s="117"/>
      <c r="B376" s="163">
        <v>9</v>
      </c>
      <c r="C376" s="146" t="s">
        <v>270</v>
      </c>
      <c r="D376" s="147" t="str">
        <f>CONCATENATE(AK376,AL376)</f>
        <v>1.08 hours</v>
      </c>
      <c r="E376" s="132"/>
      <c r="F376" s="1"/>
      <c r="AD376" s="149">
        <f>IF(B370=B$1896,G$1896,AC375)</f>
        <v>0.12</v>
      </c>
      <c r="AE376" s="150">
        <f>IF(B370=B$1897,G$1897,AD375)</f>
        <v>0</v>
      </c>
      <c r="AF376" s="151">
        <f>IF(B370=B$1898,G$1898,AE375)</f>
        <v>0</v>
      </c>
      <c r="AG376" s="152">
        <f>IF(B370=B$1899,G$1899,AF375)</f>
        <v>0</v>
      </c>
      <c r="AH376" s="9"/>
      <c r="AI376" s="153">
        <f>MAX(AD376:AG376)</f>
        <v>0.12</v>
      </c>
      <c r="AJ376" s="56">
        <f>LEN(B370)</f>
        <v>37</v>
      </c>
      <c r="AK376" s="154">
        <f>IF(B376="",$AC$297,B376*AI376)</f>
        <v>1.08</v>
      </c>
      <c r="AL376" s="56" t="s">
        <v>271</v>
      </c>
      <c r="AN376" s="56">
        <f>B376*AI376</f>
        <v>1.08</v>
      </c>
      <c r="AP376" s="155" t="str">
        <f>IF($C376=$D$1896,AP$297,"")</f>
        <v/>
      </c>
      <c r="AQ376" s="156" t="str">
        <f>IF($C376=$D$1897,AQ$297,"")</f>
        <v/>
      </c>
      <c r="AR376" s="157" t="str">
        <f>IF($C376=$D$1898,AR$297,"")</f>
        <v/>
      </c>
      <c r="AS376" s="158" t="str">
        <f>IF($C376=$D$1899,AS$297,"")</f>
        <v/>
      </c>
      <c r="AT376" s="159">
        <f>IF($C376=$D$1900,AT$297,"")</f>
        <v>1</v>
      </c>
      <c r="AU376" s="160">
        <f>MAX(AP376:AS376)</f>
        <v>0</v>
      </c>
      <c r="AV376" s="154"/>
      <c r="AX376" s="112">
        <f>IF(AK376=$AC$297,0,AK376)</f>
        <v>1.08</v>
      </c>
      <c r="BB376" s="56"/>
      <c r="BG376" s="161">
        <f>BG372*0.95</f>
        <v>1.026</v>
      </c>
      <c r="BH376" s="161">
        <f>BH372*0.95</f>
        <v>2.5649999999999999</v>
      </c>
      <c r="BI376" s="161">
        <f>BI372*0.95</f>
        <v>9.234</v>
      </c>
      <c r="BJ376" s="161">
        <f>BJ372*0.95</f>
        <v>23.085000000000001</v>
      </c>
    </row>
    <row r="377" spans="1:62" ht="14.4" thickTop="1" x14ac:dyDescent="0.25">
      <c r="A377" s="117"/>
      <c r="B377" s="117"/>
      <c r="C377" s="117"/>
      <c r="D377" s="117"/>
      <c r="E377" s="132"/>
      <c r="F377" s="1"/>
    </row>
    <row r="378" spans="1:62" ht="19.95" customHeight="1" x14ac:dyDescent="0.25">
      <c r="A378" s="114">
        <f>A368+1</f>
        <v>9</v>
      </c>
      <c r="B378" s="114" t="s">
        <v>287</v>
      </c>
      <c r="C378" s="114"/>
      <c r="D378" s="115">
        <f>IF(AN380&gt;0,AN380,0)</f>
        <v>0</v>
      </c>
      <c r="E378" s="132"/>
      <c r="F378" s="1"/>
    </row>
    <row r="379" spans="1:62" ht="18" customHeight="1" x14ac:dyDescent="0.25">
      <c r="A379" s="114"/>
      <c r="B379" s="563"/>
      <c r="C379" s="563"/>
      <c r="D379" s="563"/>
      <c r="E379" s="132"/>
      <c r="F379" s="1"/>
      <c r="AC379" s="121">
        <v>1</v>
      </c>
      <c r="AD379" s="122">
        <f>AC379-($AC379/5)</f>
        <v>0.8</v>
      </c>
      <c r="AE379" s="123">
        <f>AD379-($AC379/5)</f>
        <v>0.60000000000000009</v>
      </c>
      <c r="AF379" s="124">
        <f>AE379-($AC379/5)</f>
        <v>0.40000000000000008</v>
      </c>
      <c r="AG379" s="125">
        <f>AF379-($AC379/5)</f>
        <v>0.20000000000000007</v>
      </c>
      <c r="AH379" s="126">
        <f>AG379-($AC379/5)</f>
        <v>0</v>
      </c>
      <c r="AI379" s="120"/>
      <c r="AP379" s="120"/>
      <c r="AQ379" s="120"/>
      <c r="AR379" s="120"/>
      <c r="AS379" s="120"/>
      <c r="AT379" s="120"/>
      <c r="AU379" s="120"/>
      <c r="AV379" s="120"/>
      <c r="AW379" s="120"/>
      <c r="AX379" s="120"/>
      <c r="AY379" s="120"/>
      <c r="AZ379" s="120"/>
      <c r="BA379" s="120"/>
      <c r="BB379" s="127" t="s">
        <v>260</v>
      </c>
      <c r="BD379" s="127" t="s">
        <v>261</v>
      </c>
      <c r="BE379" s="120"/>
      <c r="BF379" s="120"/>
      <c r="BG379" s="128" t="s">
        <v>262</v>
      </c>
      <c r="BH379" s="129"/>
      <c r="BI379" s="130" t="s">
        <v>263</v>
      </c>
      <c r="BJ379" s="131"/>
    </row>
    <row r="380" spans="1:62" ht="14.4" x14ac:dyDescent="0.3">
      <c r="A380" s="117"/>
      <c r="B380" s="564"/>
      <c r="C380" s="564"/>
      <c r="D380" s="564"/>
      <c r="E380" s="132"/>
      <c r="F380" s="1"/>
      <c r="AC380" s="112">
        <f t="shared" ref="AC380:AH380" si="11">IF($B380=AC$1896,AC379,0)</f>
        <v>0</v>
      </c>
      <c r="AD380" s="112">
        <f t="shared" si="11"/>
        <v>0</v>
      </c>
      <c r="AE380" s="112">
        <f t="shared" si="11"/>
        <v>0</v>
      </c>
      <c r="AF380" s="112">
        <f t="shared" si="11"/>
        <v>0</v>
      </c>
      <c r="AG380" s="112">
        <f t="shared" si="11"/>
        <v>0</v>
      </c>
      <c r="AH380" s="112">
        <f t="shared" si="11"/>
        <v>0</v>
      </c>
      <c r="AI380" s="164">
        <f>SUM(AC380:AH380)</f>
        <v>0</v>
      </c>
      <c r="AK380" s="550" t="str">
        <f>IF(AI380&gt;0,AI380,"")</f>
        <v/>
      </c>
      <c r="AL380" s="527"/>
      <c r="AN380" s="551">
        <f>(AI380/$AN$297)/2</f>
        <v>0</v>
      </c>
      <c r="AO380" s="552"/>
      <c r="BB380" s="127" t="s">
        <v>265</v>
      </c>
      <c r="BD380" s="127" t="s">
        <v>265</v>
      </c>
      <c r="BG380" s="128" t="s">
        <v>266</v>
      </c>
      <c r="BH380" s="134">
        <f>BH370</f>
        <v>0.1</v>
      </c>
      <c r="BI380" s="130" t="s">
        <v>266</v>
      </c>
      <c r="BJ380" s="135">
        <f>1-BH380</f>
        <v>0.9</v>
      </c>
    </row>
    <row r="381" spans="1:62" ht="14.4" x14ac:dyDescent="0.25">
      <c r="A381" s="117"/>
      <c r="B381" s="565"/>
      <c r="C381" s="565"/>
      <c r="D381" s="565"/>
      <c r="E381" s="132"/>
      <c r="F381" s="1"/>
      <c r="BB381" s="170">
        <f>$AC$1556</f>
        <v>10</v>
      </c>
      <c r="BD381" s="170">
        <f>$AC$1557</f>
        <v>25</v>
      </c>
      <c r="BG381" s="137" t="str">
        <f>BB379</f>
        <v>low</v>
      </c>
      <c r="BH381" s="137" t="str">
        <f>BD379</f>
        <v>high</v>
      </c>
      <c r="BI381" s="137" t="str">
        <f>BB379</f>
        <v>low</v>
      </c>
      <c r="BJ381" s="137" t="str">
        <f>BD379</f>
        <v>high</v>
      </c>
    </row>
    <row r="382" spans="1:62" ht="14.4" thickBot="1" x14ac:dyDescent="0.3">
      <c r="A382" s="117"/>
      <c r="B382" s="165"/>
      <c r="C382" s="165"/>
      <c r="D382" s="165"/>
      <c r="E382" s="132"/>
      <c r="F382" s="1"/>
      <c r="BB382" s="170">
        <f>IF(AK386=$AC$297,0,(BB381*AK386))</f>
        <v>0</v>
      </c>
      <c r="BD382" s="170">
        <f>IF(AK386=$AC$297,0,(BD381*AK386))</f>
        <v>0</v>
      </c>
      <c r="BG382" s="170">
        <f>BB382*BH380</f>
        <v>0</v>
      </c>
      <c r="BH382" s="170">
        <f>BD382*BH380</f>
        <v>0</v>
      </c>
      <c r="BI382" s="170">
        <f>BB382*BJ380</f>
        <v>0</v>
      </c>
      <c r="BJ382" s="170">
        <f>BD382*BJ380</f>
        <v>0</v>
      </c>
    </row>
    <row r="383" spans="1:62" ht="85.05" customHeight="1" thickTop="1" thickBot="1" x14ac:dyDescent="0.3">
      <c r="A383" s="117"/>
      <c r="B383" s="556"/>
      <c r="C383" s="557"/>
      <c r="D383" s="558"/>
      <c r="E383" s="132"/>
      <c r="F383" s="1"/>
      <c r="BJ383" s="138">
        <f>MIN(BJ382,($D$1330*10))</f>
        <v>0</v>
      </c>
    </row>
    <row r="384" spans="1:62" ht="16.8" thickTop="1" thickBot="1" x14ac:dyDescent="0.3">
      <c r="A384" s="117"/>
      <c r="B384" s="139" t="str">
        <f>IF(B380="","","SUPPORTER REVIEW: Prepare for Independent Verifier")</f>
        <v/>
      </c>
      <c r="C384" s="117"/>
      <c r="D384" s="117"/>
      <c r="E384" s="132"/>
      <c r="F384" s="1"/>
      <c r="BJ384" s="140"/>
    </row>
    <row r="385" spans="1:62" ht="14.4" thickTop="1" x14ac:dyDescent="0.25">
      <c r="A385" s="117"/>
      <c r="B385" s="141" t="str">
        <f>IF(B380="","","How many pages?")</f>
        <v/>
      </c>
      <c r="C385" s="142" t="str">
        <f>IF(AJ386&gt;30,"check if URL works, report from list below","")</f>
        <v/>
      </c>
      <c r="D385" s="143" t="str">
        <f>IF(B380="","","Estimated time to verify")</f>
        <v/>
      </c>
      <c r="E385" s="132"/>
      <c r="F385" s="1"/>
      <c r="AP385" s="56" t="s">
        <v>269</v>
      </c>
      <c r="AT385" s="144" t="str">
        <f>IF(AND(AJ386&gt;30,B386&gt;0),"ready","not ready")</f>
        <v>not ready</v>
      </c>
      <c r="AU385" s="144"/>
      <c r="AV385" s="144"/>
      <c r="BB385" s="56"/>
      <c r="BF385" s="113">
        <f>BF375</f>
        <v>0.05</v>
      </c>
      <c r="BG385" s="170">
        <f>BG382*$BF385</f>
        <v>0</v>
      </c>
      <c r="BH385" s="170">
        <f>BH382*$BF385</f>
        <v>0</v>
      </c>
      <c r="BI385" s="170">
        <f>BI382*$BF385</f>
        <v>0</v>
      </c>
      <c r="BJ385" s="170">
        <f>BJ382*$BF385</f>
        <v>0</v>
      </c>
    </row>
    <row r="386" spans="1:62" ht="14.4" thickBot="1" x14ac:dyDescent="0.3">
      <c r="A386" s="117"/>
      <c r="B386" s="163"/>
      <c r="C386" s="146"/>
      <c r="D386" s="147" t="str">
        <f>CONCATENATE(AK386,AL386)</f>
        <v>in estimated hours</v>
      </c>
      <c r="E386" s="132"/>
      <c r="F386" s="1"/>
      <c r="AD386" s="149">
        <f>IF(B380=B$1896,G$1896,AC385)</f>
        <v>0</v>
      </c>
      <c r="AE386" s="150">
        <f>IF(B380=B$1897,G$1897,AD385)</f>
        <v>0</v>
      </c>
      <c r="AF386" s="151">
        <f>IF(B380=B$1898,G$1898,AE385)</f>
        <v>0</v>
      </c>
      <c r="AG386" s="152">
        <f>IF(B380=B$1899,G$1899,AF385)</f>
        <v>0</v>
      </c>
      <c r="AH386" s="9"/>
      <c r="AI386" s="153">
        <f>MAX(AD386:AG386)</f>
        <v>0</v>
      </c>
      <c r="AJ386" s="56">
        <f>LEN(B380)</f>
        <v>0</v>
      </c>
      <c r="AK386" s="154" t="str">
        <f>IF(B386="",$AC$297,B386*AI386)</f>
        <v>in estimated</v>
      </c>
      <c r="AL386" s="56" t="s">
        <v>271</v>
      </c>
      <c r="AN386" s="56">
        <f>B386*AI386</f>
        <v>0</v>
      </c>
      <c r="AP386" s="155" t="str">
        <f>IF($C386=$D$1896,AP$297,"")</f>
        <v/>
      </c>
      <c r="AQ386" s="156" t="str">
        <f>IF($C386=$D$1897,AQ$297,"")</f>
        <v/>
      </c>
      <c r="AR386" s="157" t="str">
        <f>IF($C386=$D$1898,AR$297,"")</f>
        <v/>
      </c>
      <c r="AS386" s="158" t="str">
        <f>IF($C386=$D$1899,AS$297,"")</f>
        <v/>
      </c>
      <c r="AT386" s="159" t="str">
        <f>IF($C386=$D$1900,AT$297,"")</f>
        <v/>
      </c>
      <c r="AU386" s="160">
        <f>MAX(AP386:AS386)</f>
        <v>0</v>
      </c>
      <c r="AV386" s="154"/>
      <c r="AX386" s="112">
        <f>IF(AK386=$AC$297,0,AK386)</f>
        <v>0</v>
      </c>
      <c r="BB386" s="56"/>
      <c r="BG386" s="161">
        <f>BG382*0.95</f>
        <v>0</v>
      </c>
      <c r="BH386" s="161">
        <f>BH382*0.95</f>
        <v>0</v>
      </c>
      <c r="BI386" s="161">
        <f>BI382*0.95</f>
        <v>0</v>
      </c>
      <c r="BJ386" s="161">
        <f>BJ382*0.95</f>
        <v>0</v>
      </c>
    </row>
    <row r="387" spans="1:62" ht="13.05" customHeight="1" thickTop="1" x14ac:dyDescent="0.25">
      <c r="A387" s="117"/>
      <c r="B387" s="117"/>
      <c r="C387" s="117"/>
      <c r="D387" s="117"/>
      <c r="E387" s="132"/>
      <c r="F387" s="1"/>
    </row>
    <row r="388" spans="1:62" ht="19.95" customHeight="1" x14ac:dyDescent="0.25">
      <c r="A388" s="114">
        <f>A378+1</f>
        <v>10</v>
      </c>
      <c r="B388" s="114" t="s">
        <v>288</v>
      </c>
      <c r="C388" s="114"/>
      <c r="D388" s="115">
        <f>IF(AN390&gt;0,AN390,0)</f>
        <v>0</v>
      </c>
      <c r="E388" s="132"/>
      <c r="F388" s="1"/>
    </row>
    <row r="389" spans="1:62" ht="18" customHeight="1" x14ac:dyDescent="0.25">
      <c r="A389" s="114"/>
      <c r="B389" s="563"/>
      <c r="C389" s="563"/>
      <c r="D389" s="563"/>
      <c r="E389" s="132"/>
      <c r="F389" s="1"/>
      <c r="AC389" s="121">
        <v>1</v>
      </c>
      <c r="AD389" s="122">
        <f>AC389-($AC389/5)</f>
        <v>0.8</v>
      </c>
      <c r="AE389" s="123">
        <f>AD389-($AC389/5)</f>
        <v>0.60000000000000009</v>
      </c>
      <c r="AF389" s="124">
        <f>AE389-($AC389/5)</f>
        <v>0.40000000000000008</v>
      </c>
      <c r="AG389" s="125">
        <f>AF389-($AC389/5)</f>
        <v>0.20000000000000007</v>
      </c>
      <c r="AH389" s="126">
        <f>AG389-($AC389/5)</f>
        <v>0</v>
      </c>
      <c r="AI389" s="120"/>
      <c r="AP389" s="120"/>
      <c r="AQ389" s="120"/>
      <c r="AR389" s="120"/>
      <c r="AS389" s="120"/>
      <c r="AT389" s="120"/>
      <c r="AU389" s="120"/>
      <c r="AV389" s="120"/>
      <c r="AW389" s="120"/>
      <c r="AX389" s="120"/>
      <c r="AY389" s="120"/>
      <c r="AZ389" s="120"/>
      <c r="BA389" s="120"/>
      <c r="BB389" s="127" t="s">
        <v>260</v>
      </c>
      <c r="BD389" s="127" t="s">
        <v>261</v>
      </c>
      <c r="BE389" s="120"/>
      <c r="BF389" s="120"/>
      <c r="BG389" s="128" t="s">
        <v>262</v>
      </c>
      <c r="BH389" s="129"/>
      <c r="BI389" s="130" t="s">
        <v>263</v>
      </c>
      <c r="BJ389" s="131"/>
    </row>
    <row r="390" spans="1:62" ht="14.4" x14ac:dyDescent="0.3">
      <c r="A390" s="117"/>
      <c r="B390" s="564"/>
      <c r="C390" s="564"/>
      <c r="D390" s="564"/>
      <c r="E390" s="132"/>
      <c r="F390" s="1"/>
      <c r="AC390" s="112">
        <f t="shared" ref="AC390:AH390" si="12">IF($B390=AC$1896,AC389,0)</f>
        <v>0</v>
      </c>
      <c r="AD390" s="112">
        <f t="shared" si="12"/>
        <v>0</v>
      </c>
      <c r="AE390" s="112">
        <f t="shared" si="12"/>
        <v>0</v>
      </c>
      <c r="AF390" s="112">
        <f t="shared" si="12"/>
        <v>0</v>
      </c>
      <c r="AG390" s="112">
        <f t="shared" si="12"/>
        <v>0</v>
      </c>
      <c r="AH390" s="112">
        <f t="shared" si="12"/>
        <v>0</v>
      </c>
      <c r="AI390" s="164">
        <f>SUM(AC390:AH390)</f>
        <v>0</v>
      </c>
      <c r="AK390" s="550" t="str">
        <f>IF(AI390&gt;0,AI390,"")</f>
        <v/>
      </c>
      <c r="AL390" s="527"/>
      <c r="AN390" s="551">
        <f>(AI390/$AN$297)/2</f>
        <v>0</v>
      </c>
      <c r="AO390" s="552"/>
      <c r="BB390" s="127" t="s">
        <v>265</v>
      </c>
      <c r="BD390" s="127" t="s">
        <v>265</v>
      </c>
      <c r="BG390" s="128" t="s">
        <v>266</v>
      </c>
      <c r="BH390" s="134">
        <f>BH380</f>
        <v>0.1</v>
      </c>
      <c r="BI390" s="130" t="s">
        <v>266</v>
      </c>
      <c r="BJ390" s="135">
        <f>1-BH390</f>
        <v>0.9</v>
      </c>
    </row>
    <row r="391" spans="1:62" ht="14.4" x14ac:dyDescent="0.25">
      <c r="A391" s="117"/>
      <c r="B391" s="565"/>
      <c r="C391" s="565"/>
      <c r="D391" s="565"/>
      <c r="E391" s="132"/>
      <c r="F391" s="1"/>
      <c r="BB391" s="170">
        <f>$AC$1556</f>
        <v>10</v>
      </c>
      <c r="BD391" s="170">
        <f>$AC$1557</f>
        <v>25</v>
      </c>
      <c r="BG391" s="137" t="str">
        <f>BB389</f>
        <v>low</v>
      </c>
      <c r="BH391" s="137" t="str">
        <f>BD389</f>
        <v>high</v>
      </c>
      <c r="BI391" s="137" t="str">
        <f>BB389</f>
        <v>low</v>
      </c>
      <c r="BJ391" s="137" t="str">
        <f>BD389</f>
        <v>high</v>
      </c>
    </row>
    <row r="392" spans="1:62" ht="14.4" thickBot="1" x14ac:dyDescent="0.3">
      <c r="A392" s="117"/>
      <c r="B392" s="165"/>
      <c r="C392" s="165"/>
      <c r="D392" s="165"/>
      <c r="E392" s="132"/>
      <c r="F392" s="1"/>
      <c r="BB392" s="170">
        <f>IF(AK396=$AC$297,0,(BB391*AK396))</f>
        <v>0</v>
      </c>
      <c r="BD392" s="170">
        <f>IF(AK396=$AC$297,0,(BD391*AK396))</f>
        <v>0</v>
      </c>
      <c r="BG392" s="170">
        <f>BB392*BH390</f>
        <v>0</v>
      </c>
      <c r="BH392" s="170">
        <f>BD392*BH390</f>
        <v>0</v>
      </c>
      <c r="BI392" s="170">
        <f>BB392*BJ390</f>
        <v>0</v>
      </c>
      <c r="BJ392" s="170">
        <f>BD392*BJ390</f>
        <v>0</v>
      </c>
    </row>
    <row r="393" spans="1:62" ht="85.05" customHeight="1" thickTop="1" thickBot="1" x14ac:dyDescent="0.3">
      <c r="A393" s="117"/>
      <c r="B393" s="556"/>
      <c r="C393" s="557"/>
      <c r="D393" s="558"/>
      <c r="E393" s="132"/>
      <c r="F393" s="1"/>
      <c r="BJ393" s="138">
        <f>MIN(BJ392,($D$1330*10))</f>
        <v>0</v>
      </c>
    </row>
    <row r="394" spans="1:62" ht="16.8" thickTop="1" thickBot="1" x14ac:dyDescent="0.3">
      <c r="A394" s="117"/>
      <c r="B394" s="139" t="str">
        <f>IF(B390="","","SUPPORTER REVIEW: Prepare for Independent Verifier")</f>
        <v/>
      </c>
      <c r="C394" s="117"/>
      <c r="D394" s="117"/>
      <c r="E394" s="132"/>
      <c r="F394" s="1"/>
      <c r="BJ394" s="140"/>
    </row>
    <row r="395" spans="1:62" ht="14.4" thickTop="1" x14ac:dyDescent="0.25">
      <c r="A395" s="117"/>
      <c r="B395" s="141" t="str">
        <f>IF(B390="","","How many pages?")</f>
        <v/>
      </c>
      <c r="C395" s="142" t="str">
        <f>IF(AJ396&gt;30,"check if URL works, report from list below","")</f>
        <v/>
      </c>
      <c r="D395" s="143" t="str">
        <f>IF(B390="","","Estimated time to verify")</f>
        <v/>
      </c>
      <c r="E395" s="132"/>
      <c r="F395" s="1"/>
      <c r="AP395" s="56" t="s">
        <v>269</v>
      </c>
      <c r="AT395" s="144" t="str">
        <f>IF(AND(AJ396&gt;30,B396&gt;0),"ready","not ready")</f>
        <v>not ready</v>
      </c>
      <c r="AU395" s="144"/>
      <c r="AV395" s="144"/>
      <c r="BB395" s="56"/>
      <c r="BF395" s="113">
        <f>BF385</f>
        <v>0.05</v>
      </c>
      <c r="BG395" s="170">
        <f>BG392*$BF395</f>
        <v>0</v>
      </c>
      <c r="BH395" s="170">
        <f>BH392*$BF395</f>
        <v>0</v>
      </c>
      <c r="BI395" s="170">
        <f>BI392*$BF395</f>
        <v>0</v>
      </c>
      <c r="BJ395" s="170">
        <f>BJ392*$BF395</f>
        <v>0</v>
      </c>
    </row>
    <row r="396" spans="1:62" ht="14.4" thickBot="1" x14ac:dyDescent="0.3">
      <c r="A396" s="117"/>
      <c r="B396" s="163"/>
      <c r="C396" s="146"/>
      <c r="D396" s="147" t="str">
        <f>CONCATENATE(AK396,AL396)</f>
        <v>in estimated hours</v>
      </c>
      <c r="E396" s="132"/>
      <c r="F396" s="1"/>
      <c r="AD396" s="149">
        <f>IF(B390=B$1896,G$1896,AC395)</f>
        <v>0</v>
      </c>
      <c r="AE396" s="150">
        <f>IF(B390=B$1897,G$1897,AD395)</f>
        <v>0</v>
      </c>
      <c r="AF396" s="151">
        <f>IF(B390=B$1898,G$1898,AE395)</f>
        <v>0</v>
      </c>
      <c r="AG396" s="152">
        <f>IF(B390=B$1899,G$1899,AF395)</f>
        <v>0</v>
      </c>
      <c r="AH396" s="9"/>
      <c r="AI396" s="153">
        <f>MAX(AD396:AG396)</f>
        <v>0</v>
      </c>
      <c r="AJ396" s="56">
        <f>LEN(B390)</f>
        <v>0</v>
      </c>
      <c r="AK396" s="154" t="str">
        <f>IF(B396="",$AC$297,B396*AI396)</f>
        <v>in estimated</v>
      </c>
      <c r="AL396" s="56" t="s">
        <v>271</v>
      </c>
      <c r="AN396" s="56">
        <f>B396*AI396</f>
        <v>0</v>
      </c>
      <c r="AP396" s="155" t="str">
        <f>IF($C396=$D$1896,AP$297,"")</f>
        <v/>
      </c>
      <c r="AQ396" s="156" t="str">
        <f>IF($C396=$D$1897,AQ$297,"")</f>
        <v/>
      </c>
      <c r="AR396" s="157" t="str">
        <f>IF($C396=$D$1898,AR$297,"")</f>
        <v/>
      </c>
      <c r="AS396" s="158" t="str">
        <f>IF($C396=$D$1899,AS$297,"")</f>
        <v/>
      </c>
      <c r="AT396" s="159" t="str">
        <f>IF($C396=$D$1900,AT$297,"")</f>
        <v/>
      </c>
      <c r="AU396" s="160">
        <f>MAX(AP396:AS396)</f>
        <v>0</v>
      </c>
      <c r="AV396" s="154"/>
      <c r="AX396" s="112">
        <f>IF(AK396=$AC$297,0,AK396)</f>
        <v>0</v>
      </c>
      <c r="BB396" s="56"/>
      <c r="BG396" s="161">
        <f>BG392*0.95</f>
        <v>0</v>
      </c>
      <c r="BH396" s="161">
        <f>BH392*0.95</f>
        <v>0</v>
      </c>
      <c r="BI396" s="161">
        <f>BI392*0.95</f>
        <v>0</v>
      </c>
      <c r="BJ396" s="161">
        <f>BJ392*0.95</f>
        <v>0</v>
      </c>
    </row>
    <row r="397" spans="1:62" ht="14.4" thickTop="1" x14ac:dyDescent="0.25">
      <c r="A397" s="117"/>
      <c r="B397" s="117"/>
      <c r="C397" s="117"/>
      <c r="D397" s="117"/>
      <c r="E397" s="132"/>
      <c r="F397" s="1"/>
    </row>
    <row r="398" spans="1:62" ht="19.95" customHeight="1" x14ac:dyDescent="0.25">
      <c r="A398" s="114">
        <f>A388+1</f>
        <v>11</v>
      </c>
      <c r="B398" s="114" t="s">
        <v>289</v>
      </c>
      <c r="C398" s="114"/>
      <c r="D398" s="115">
        <f>IF(AN400&gt;0,AN400,0)</f>
        <v>0</v>
      </c>
      <c r="E398" s="132"/>
      <c r="F398" s="1"/>
    </row>
    <row r="399" spans="1:62" ht="18" customHeight="1" x14ac:dyDescent="0.25">
      <c r="A399" s="114"/>
      <c r="B399" s="563" t="s">
        <v>290</v>
      </c>
      <c r="C399" s="563"/>
      <c r="D399" s="563"/>
      <c r="E399" s="132"/>
      <c r="F399" s="1"/>
      <c r="AC399" s="121">
        <v>1</v>
      </c>
      <c r="AD399" s="122">
        <f>AC399-($AC399/5)</f>
        <v>0.8</v>
      </c>
      <c r="AE399" s="123">
        <f>AD399-($AC399/5)</f>
        <v>0.60000000000000009</v>
      </c>
      <c r="AF399" s="124">
        <f>AE399-($AC399/5)</f>
        <v>0.40000000000000008</v>
      </c>
      <c r="AG399" s="125">
        <f>AF399-($AC399/5)</f>
        <v>0.20000000000000007</v>
      </c>
      <c r="AH399" s="126">
        <f>AG399-($AC399/5)</f>
        <v>0</v>
      </c>
      <c r="AI399" s="120"/>
      <c r="AP399" s="120"/>
      <c r="AQ399" s="120"/>
      <c r="AR399" s="120"/>
      <c r="AS399" s="120"/>
      <c r="AT399" s="120"/>
      <c r="AU399" s="120"/>
      <c r="AV399" s="120"/>
      <c r="AW399" s="120"/>
      <c r="AX399" s="120"/>
      <c r="AY399" s="120"/>
      <c r="AZ399" s="120"/>
      <c r="BA399" s="120"/>
      <c r="BB399" s="127" t="s">
        <v>260</v>
      </c>
      <c r="BD399" s="127" t="s">
        <v>261</v>
      </c>
      <c r="BE399" s="120"/>
      <c r="BF399" s="120"/>
      <c r="BG399" s="128" t="s">
        <v>262</v>
      </c>
      <c r="BH399" s="129"/>
      <c r="BI399" s="130" t="s">
        <v>263</v>
      </c>
      <c r="BJ399" s="131"/>
    </row>
    <row r="400" spans="1:62" ht="14.4" x14ac:dyDescent="0.3">
      <c r="A400" s="117"/>
      <c r="B400" s="564"/>
      <c r="C400" s="564"/>
      <c r="D400" s="564"/>
      <c r="E400" s="132"/>
      <c r="F400" s="1"/>
      <c r="AC400" s="112">
        <f t="shared" ref="AC400:AH400" si="13">IF($B400=AC$1896,AC399,0)</f>
        <v>0</v>
      </c>
      <c r="AD400" s="112">
        <f t="shared" si="13"/>
        <v>0</v>
      </c>
      <c r="AE400" s="112">
        <f t="shared" si="13"/>
        <v>0</v>
      </c>
      <c r="AF400" s="112">
        <f t="shared" si="13"/>
        <v>0</v>
      </c>
      <c r="AG400" s="112">
        <f t="shared" si="13"/>
        <v>0</v>
      </c>
      <c r="AH400" s="112">
        <f t="shared" si="13"/>
        <v>0</v>
      </c>
      <c r="AI400" s="164">
        <f>SUM(AC400:AH400)</f>
        <v>0</v>
      </c>
      <c r="AK400" s="550" t="str">
        <f>IF(AI400&gt;0,AI400,"")</f>
        <v/>
      </c>
      <c r="AL400" s="527"/>
      <c r="AN400" s="551">
        <f>(AI400/$AN$297)/2</f>
        <v>0</v>
      </c>
      <c r="AO400" s="552"/>
      <c r="BB400" s="127" t="s">
        <v>265</v>
      </c>
      <c r="BD400" s="127" t="s">
        <v>265</v>
      </c>
      <c r="BG400" s="128" t="s">
        <v>266</v>
      </c>
      <c r="BH400" s="134">
        <f>BH390</f>
        <v>0.1</v>
      </c>
      <c r="BI400" s="130" t="s">
        <v>266</v>
      </c>
      <c r="BJ400" s="135">
        <f>1-BH400</f>
        <v>0.9</v>
      </c>
    </row>
    <row r="401" spans="1:62" ht="14.4" x14ac:dyDescent="0.25">
      <c r="A401" s="117"/>
      <c r="B401" s="565"/>
      <c r="C401" s="565"/>
      <c r="D401" s="565"/>
      <c r="E401" s="132"/>
      <c r="F401" s="1"/>
      <c r="BB401" s="170">
        <f>$AC$1556</f>
        <v>10</v>
      </c>
      <c r="BD401" s="170">
        <f>$AC$1557</f>
        <v>25</v>
      </c>
      <c r="BG401" s="137" t="str">
        <f>BB399</f>
        <v>low</v>
      </c>
      <c r="BH401" s="137" t="str">
        <f>BD399</f>
        <v>high</v>
      </c>
      <c r="BI401" s="137" t="str">
        <f>BB399</f>
        <v>low</v>
      </c>
      <c r="BJ401" s="137" t="str">
        <f>BD399</f>
        <v>high</v>
      </c>
    </row>
    <row r="402" spans="1:62" ht="14.4" thickBot="1" x14ac:dyDescent="0.3">
      <c r="A402" s="117"/>
      <c r="B402" s="165"/>
      <c r="C402" s="165"/>
      <c r="D402" s="165"/>
      <c r="E402" s="132"/>
      <c r="F402" s="1"/>
      <c r="BB402" s="170">
        <f>IF(AK406=$AC$297,0,(BB401*AK406))</f>
        <v>0</v>
      </c>
      <c r="BD402" s="170">
        <f>IF(AK406=$AC$297,0,(BD401*AK406))</f>
        <v>0</v>
      </c>
      <c r="BG402" s="170">
        <f>BB402*BH400</f>
        <v>0</v>
      </c>
      <c r="BH402" s="170">
        <f>BD402*BH400</f>
        <v>0</v>
      </c>
      <c r="BI402" s="170">
        <f>BB402*BJ400</f>
        <v>0</v>
      </c>
      <c r="BJ402" s="170">
        <f>BD402*BJ400</f>
        <v>0</v>
      </c>
    </row>
    <row r="403" spans="1:62" ht="85.05" customHeight="1" thickTop="1" thickBot="1" x14ac:dyDescent="0.3">
      <c r="A403" s="117"/>
      <c r="B403" s="556"/>
      <c r="C403" s="557"/>
      <c r="D403" s="558"/>
      <c r="E403" s="132"/>
      <c r="F403" s="1"/>
      <c r="BJ403" s="138">
        <f>MIN(BJ402,($D$1330*10))</f>
        <v>0</v>
      </c>
    </row>
    <row r="404" spans="1:62" ht="16.8" thickTop="1" thickBot="1" x14ac:dyDescent="0.3">
      <c r="A404" s="117"/>
      <c r="B404" s="139" t="str">
        <f>IF(B400="","","SUPPORTER REVIEW: Prepare for Independent Verifier")</f>
        <v/>
      </c>
      <c r="C404" s="117"/>
      <c r="D404" s="117"/>
      <c r="E404" s="132"/>
      <c r="F404" s="1"/>
      <c r="BJ404" s="140"/>
    </row>
    <row r="405" spans="1:62" ht="14.4" thickTop="1" x14ac:dyDescent="0.25">
      <c r="A405" s="117"/>
      <c r="B405" s="141" t="str">
        <f>IF(B400="","","How many pages?")</f>
        <v/>
      </c>
      <c r="C405" s="142" t="str">
        <f>IF(AJ406&gt;30,"check if URL works, report from list below","")</f>
        <v/>
      </c>
      <c r="D405" s="143" t="str">
        <f>IF(B400="","","Estimated time to verify")</f>
        <v/>
      </c>
      <c r="E405" s="132"/>
      <c r="F405" s="1"/>
      <c r="AP405" s="56" t="s">
        <v>269</v>
      </c>
      <c r="AT405" s="144" t="str">
        <f>IF(AND(AJ406&gt;30,B406&gt;0),"ready","not ready")</f>
        <v>not ready</v>
      </c>
      <c r="AU405" s="144"/>
      <c r="AV405" s="144"/>
      <c r="BB405" s="56"/>
      <c r="BF405" s="113">
        <f>BF395</f>
        <v>0.05</v>
      </c>
      <c r="BG405" s="170">
        <f>BG402*$BF405</f>
        <v>0</v>
      </c>
      <c r="BH405" s="170">
        <f>BH402*$BF405</f>
        <v>0</v>
      </c>
      <c r="BI405" s="170">
        <f>BI402*$BF405</f>
        <v>0</v>
      </c>
      <c r="BJ405" s="170">
        <f>BJ402*$BF405</f>
        <v>0</v>
      </c>
    </row>
    <row r="406" spans="1:62" ht="14.4" thickBot="1" x14ac:dyDescent="0.3">
      <c r="A406" s="117"/>
      <c r="B406" s="163"/>
      <c r="C406" s="146"/>
      <c r="D406" s="147" t="str">
        <f>CONCATENATE(AK406,AL406)</f>
        <v>in estimated hours</v>
      </c>
      <c r="E406" s="132"/>
      <c r="F406" s="1"/>
      <c r="AD406" s="149">
        <f>IF(B400=B$1896,G$1896,AC405)</f>
        <v>0</v>
      </c>
      <c r="AE406" s="150">
        <f>IF(B400=B$1897,G$1897,AD405)</f>
        <v>0</v>
      </c>
      <c r="AF406" s="151">
        <f>IF(B400=B$1898,G$1898,AE405)</f>
        <v>0</v>
      </c>
      <c r="AG406" s="152">
        <f>IF(B400=B$1899,G$1899,AF405)</f>
        <v>0</v>
      </c>
      <c r="AH406" s="9"/>
      <c r="AI406" s="153">
        <f>MAX(AD406:AG406)</f>
        <v>0</v>
      </c>
      <c r="AJ406" s="56">
        <f>LEN(B400)</f>
        <v>0</v>
      </c>
      <c r="AK406" s="154" t="str">
        <f>IF(B406="",$AC$297,B406*AI406)</f>
        <v>in estimated</v>
      </c>
      <c r="AL406" s="56" t="s">
        <v>271</v>
      </c>
      <c r="AN406" s="56">
        <f>B406*AI406</f>
        <v>0</v>
      </c>
      <c r="AP406" s="155" t="str">
        <f>IF($C406=$D$1896,AP$297,"")</f>
        <v/>
      </c>
      <c r="AQ406" s="156" t="str">
        <f>IF($C406=$D$1897,AQ$297,"")</f>
        <v/>
      </c>
      <c r="AR406" s="157" t="str">
        <f>IF($C406=$D$1898,AR$297,"")</f>
        <v/>
      </c>
      <c r="AS406" s="158" t="str">
        <f>IF($C406=$D$1899,AS$297,"")</f>
        <v/>
      </c>
      <c r="AT406" s="159" t="str">
        <f>IF($C406=$D$1900,AT$297,"")</f>
        <v/>
      </c>
      <c r="AU406" s="160">
        <f>MAX(AP406:AS406)</f>
        <v>0</v>
      </c>
      <c r="AV406" s="154"/>
      <c r="AX406" s="112">
        <f>IF(AK406=$AC$297,0,AK406)</f>
        <v>0</v>
      </c>
      <c r="BB406" s="56"/>
      <c r="BG406" s="161">
        <f>BG402*0.95</f>
        <v>0</v>
      </c>
      <c r="BH406" s="161">
        <f>BH402*0.95</f>
        <v>0</v>
      </c>
      <c r="BI406" s="161">
        <f>BI402*0.95</f>
        <v>0</v>
      </c>
      <c r="BJ406" s="161">
        <f>BJ402*0.95</f>
        <v>0</v>
      </c>
    </row>
    <row r="407" spans="1:62" ht="14.4" thickTop="1" x14ac:dyDescent="0.25">
      <c r="A407" s="117"/>
      <c r="B407" s="117"/>
      <c r="C407" s="117"/>
      <c r="D407" s="117"/>
      <c r="E407" s="132"/>
      <c r="F407" s="1"/>
    </row>
    <row r="408" spans="1:62" ht="19.95" customHeight="1" x14ac:dyDescent="0.25">
      <c r="A408" s="114">
        <f>A398+1</f>
        <v>12</v>
      </c>
      <c r="B408" s="114" t="s">
        <v>291</v>
      </c>
      <c r="C408" s="114"/>
      <c r="D408" s="115">
        <f>IF(AN410&gt;0,AN410,0)</f>
        <v>0</v>
      </c>
      <c r="E408" s="132"/>
      <c r="F408" s="1"/>
    </row>
    <row r="409" spans="1:62" ht="18" customHeight="1" x14ac:dyDescent="0.25">
      <c r="A409" s="114"/>
      <c r="B409" s="563" t="s">
        <v>292</v>
      </c>
      <c r="C409" s="563"/>
      <c r="D409" s="563"/>
      <c r="E409" s="132"/>
      <c r="F409" s="1"/>
      <c r="AC409" s="121">
        <v>1</v>
      </c>
      <c r="AD409" s="122">
        <f>AC409-($AC409/5)</f>
        <v>0.8</v>
      </c>
      <c r="AE409" s="123">
        <f>AD409-($AC409/5)</f>
        <v>0.60000000000000009</v>
      </c>
      <c r="AF409" s="124">
        <f>AE409-($AC409/5)</f>
        <v>0.40000000000000008</v>
      </c>
      <c r="AG409" s="125">
        <f>AF409-($AC409/5)</f>
        <v>0.20000000000000007</v>
      </c>
      <c r="AH409" s="126">
        <f>AG409-($AC409/5)</f>
        <v>0</v>
      </c>
      <c r="AI409" s="120"/>
      <c r="AP409" s="120"/>
      <c r="AQ409" s="120"/>
      <c r="AR409" s="120"/>
      <c r="AS409" s="120"/>
      <c r="AT409" s="120"/>
      <c r="AU409" s="120"/>
      <c r="AV409" s="120"/>
      <c r="AW409" s="120"/>
      <c r="AX409" s="120"/>
      <c r="AY409" s="120"/>
      <c r="AZ409" s="120"/>
      <c r="BA409" s="120"/>
      <c r="BB409" s="127" t="s">
        <v>260</v>
      </c>
      <c r="BD409" s="127" t="s">
        <v>261</v>
      </c>
      <c r="BE409" s="120"/>
      <c r="BF409" s="120"/>
      <c r="BG409" s="128" t="s">
        <v>262</v>
      </c>
      <c r="BH409" s="129"/>
      <c r="BI409" s="130" t="s">
        <v>263</v>
      </c>
      <c r="BJ409" s="131"/>
    </row>
    <row r="410" spans="1:62" ht="14.4" x14ac:dyDescent="0.3">
      <c r="A410" s="117"/>
      <c r="B410" s="564"/>
      <c r="C410" s="564"/>
      <c r="D410" s="564"/>
      <c r="E410" s="132"/>
      <c r="F410" s="1"/>
      <c r="AC410" s="112">
        <f t="shared" ref="AC410:AH410" si="14">IF($B410=AC$1896,AC409,0)</f>
        <v>0</v>
      </c>
      <c r="AD410" s="112">
        <f t="shared" si="14"/>
        <v>0</v>
      </c>
      <c r="AE410" s="112">
        <f t="shared" si="14"/>
        <v>0</v>
      </c>
      <c r="AF410" s="112">
        <f t="shared" si="14"/>
        <v>0</v>
      </c>
      <c r="AG410" s="112">
        <f t="shared" si="14"/>
        <v>0</v>
      </c>
      <c r="AH410" s="112">
        <f t="shared" si="14"/>
        <v>0</v>
      </c>
      <c r="AI410" s="164">
        <f>SUM(AC410:AH410)</f>
        <v>0</v>
      </c>
      <c r="AK410" s="550" t="str">
        <f>IF(AI410&gt;0,AI410,"")</f>
        <v/>
      </c>
      <c r="AL410" s="527"/>
      <c r="AN410" s="551">
        <f>(AI410/$AN$297)/2</f>
        <v>0</v>
      </c>
      <c r="AO410" s="552"/>
      <c r="BB410" s="127" t="s">
        <v>265</v>
      </c>
      <c r="BD410" s="127" t="s">
        <v>265</v>
      </c>
      <c r="BG410" s="128" t="s">
        <v>266</v>
      </c>
      <c r="BH410" s="134">
        <f>BH400</f>
        <v>0.1</v>
      </c>
      <c r="BI410" s="130" t="s">
        <v>266</v>
      </c>
      <c r="BJ410" s="135">
        <f>1-BH410</f>
        <v>0.9</v>
      </c>
    </row>
    <row r="411" spans="1:62" ht="14.4" x14ac:dyDescent="0.25">
      <c r="A411" s="117"/>
      <c r="B411" s="565"/>
      <c r="C411" s="565"/>
      <c r="D411" s="565"/>
      <c r="E411" s="132"/>
      <c r="F411" s="1"/>
      <c r="BB411" s="170">
        <f>$AC$1556</f>
        <v>10</v>
      </c>
      <c r="BD411" s="170">
        <f>$AC$1557</f>
        <v>25</v>
      </c>
      <c r="BG411" s="137" t="str">
        <f>BB409</f>
        <v>low</v>
      </c>
      <c r="BH411" s="137" t="str">
        <f>BD409</f>
        <v>high</v>
      </c>
      <c r="BI411" s="137" t="str">
        <f>BB409</f>
        <v>low</v>
      </c>
      <c r="BJ411" s="137" t="str">
        <f>BD409</f>
        <v>high</v>
      </c>
    </row>
    <row r="412" spans="1:62" ht="14.4" thickBot="1" x14ac:dyDescent="0.3">
      <c r="A412" s="117"/>
      <c r="B412" s="165"/>
      <c r="C412" s="165"/>
      <c r="D412" s="165"/>
      <c r="E412" s="132"/>
      <c r="F412" s="1"/>
      <c r="BB412" s="170">
        <f>IF(AK416=$AC$297,0,(BB411*AK416))</f>
        <v>0</v>
      </c>
      <c r="BD412" s="170">
        <f>IF(AK416=$AC$297,0,(BD411*AK416))</f>
        <v>0</v>
      </c>
      <c r="BG412" s="170">
        <f>BB412*BH410</f>
        <v>0</v>
      </c>
      <c r="BH412" s="170">
        <f>BD412*BH410</f>
        <v>0</v>
      </c>
      <c r="BI412" s="170">
        <f>BB412*BJ410</f>
        <v>0</v>
      </c>
      <c r="BJ412" s="170">
        <f>BD412*BJ410</f>
        <v>0</v>
      </c>
    </row>
    <row r="413" spans="1:62" ht="85.05" customHeight="1" thickTop="1" thickBot="1" x14ac:dyDescent="0.3">
      <c r="A413" s="117"/>
      <c r="B413" s="556"/>
      <c r="C413" s="557"/>
      <c r="D413" s="558"/>
      <c r="E413" s="132"/>
      <c r="F413" s="1"/>
      <c r="BJ413" s="138">
        <f>MIN(BJ412,($D$1330*10))</f>
        <v>0</v>
      </c>
    </row>
    <row r="414" spans="1:62" ht="16.8" thickTop="1" thickBot="1" x14ac:dyDescent="0.3">
      <c r="A414" s="117"/>
      <c r="B414" s="139" t="str">
        <f>IF(B410="","","SUPPORTER REVIEW: Prepare for Independent Verifier")</f>
        <v/>
      </c>
      <c r="C414" s="117"/>
      <c r="D414" s="117"/>
      <c r="E414" s="132"/>
      <c r="F414" s="1"/>
      <c r="BJ414" s="140"/>
    </row>
    <row r="415" spans="1:62" ht="15" customHeight="1" thickTop="1" x14ac:dyDescent="0.25">
      <c r="A415" s="117"/>
      <c r="B415" s="141" t="str">
        <f>IF(B410="","","How many pages?")</f>
        <v/>
      </c>
      <c r="C415" s="142" t="str">
        <f>IF(AJ416&gt;30,"check if URL works, report from list below","")</f>
        <v/>
      </c>
      <c r="D415" s="143" t="str">
        <f>IF(B410="","","Estimated time to verify")</f>
        <v/>
      </c>
      <c r="E415" s="132"/>
      <c r="F415" s="1"/>
      <c r="AP415" s="56" t="s">
        <v>269</v>
      </c>
      <c r="AT415" s="144" t="str">
        <f>IF(AND(AJ416&gt;30,B416&gt;0),"ready","not ready")</f>
        <v>not ready</v>
      </c>
      <c r="AU415" s="144"/>
      <c r="AV415" s="144"/>
      <c r="BB415" s="56"/>
      <c r="BF415" s="113">
        <f>BF405</f>
        <v>0.05</v>
      </c>
      <c r="BG415" s="170">
        <f>BG412*$BF415</f>
        <v>0</v>
      </c>
      <c r="BH415" s="170">
        <f>BH412*$BF415</f>
        <v>0</v>
      </c>
      <c r="BI415" s="170">
        <f>BI412*$BF415</f>
        <v>0</v>
      </c>
      <c r="BJ415" s="170">
        <f>BJ412*$BF415</f>
        <v>0</v>
      </c>
    </row>
    <row r="416" spans="1:62" ht="15" customHeight="1" thickBot="1" x14ac:dyDescent="0.3">
      <c r="A416" s="117"/>
      <c r="B416" s="163"/>
      <c r="C416" s="146"/>
      <c r="D416" s="147" t="str">
        <f>CONCATENATE(AK416,AL416)</f>
        <v>in estimated hours</v>
      </c>
      <c r="E416" s="132"/>
      <c r="F416" s="1"/>
      <c r="AD416" s="149">
        <f>IF(B410=B$1896,G$1896,AC415)</f>
        <v>0</v>
      </c>
      <c r="AE416" s="150">
        <f>IF(B410=B$1897,G$1897,AD415)</f>
        <v>0</v>
      </c>
      <c r="AF416" s="151">
        <f>IF(B410=B$1898,G$1898,AE415)</f>
        <v>0</v>
      </c>
      <c r="AG416" s="152">
        <f>IF(B410=B$1899,G$1899,AF415)</f>
        <v>0</v>
      </c>
      <c r="AH416" s="9"/>
      <c r="AI416" s="153">
        <f>MAX(AD416:AG416)</f>
        <v>0</v>
      </c>
      <c r="AJ416" s="56">
        <f>LEN(B410)</f>
        <v>0</v>
      </c>
      <c r="AK416" s="154" t="str">
        <f>IF(B416="",$AC$297,B416*AI416)</f>
        <v>in estimated</v>
      </c>
      <c r="AL416" s="56" t="s">
        <v>271</v>
      </c>
      <c r="AN416" s="56">
        <f>B416*AI416</f>
        <v>0</v>
      </c>
      <c r="AP416" s="155" t="str">
        <f>IF($C416=$D$1896,AP$297,"")</f>
        <v/>
      </c>
      <c r="AQ416" s="156" t="str">
        <f>IF($C416=$D$1897,AQ$297,"")</f>
        <v/>
      </c>
      <c r="AR416" s="157" t="str">
        <f>IF($C416=$D$1898,AR$297,"")</f>
        <v/>
      </c>
      <c r="AS416" s="158" t="str">
        <f>IF($C416=$D$1899,AS$297,"")</f>
        <v/>
      </c>
      <c r="AT416" s="159" t="str">
        <f>IF($C416=$D$1900,AT$297,"")</f>
        <v/>
      </c>
      <c r="AU416" s="160">
        <f>MAX(AP416:AS416)</f>
        <v>0</v>
      </c>
      <c r="AV416" s="154"/>
      <c r="AX416" s="112">
        <f>IF(AK416=$AC$297,0,AK416)</f>
        <v>0</v>
      </c>
      <c r="BB416" s="56"/>
      <c r="BG416" s="161">
        <f>BG412*0.95</f>
        <v>0</v>
      </c>
      <c r="BH416" s="161">
        <f>BH412*0.95</f>
        <v>0</v>
      </c>
      <c r="BI416" s="161">
        <f>BI412*0.95</f>
        <v>0</v>
      </c>
      <c r="BJ416" s="161">
        <f>BJ412*0.95</f>
        <v>0</v>
      </c>
    </row>
    <row r="417" spans="1:62" ht="12" customHeight="1" thickTop="1" x14ac:dyDescent="0.25">
      <c r="A417" s="117"/>
      <c r="B417" s="117"/>
      <c r="C417" s="117"/>
      <c r="D417" s="117"/>
      <c r="E417" s="132"/>
      <c r="F417" s="1"/>
    </row>
    <row r="418" spans="1:62" ht="19.95" customHeight="1" x14ac:dyDescent="0.25">
      <c r="A418" s="114">
        <f>A408+1</f>
        <v>13</v>
      </c>
      <c r="B418" s="114" t="s">
        <v>293</v>
      </c>
      <c r="C418" s="114"/>
      <c r="D418" s="115">
        <f>IF(AN420&gt;0,AN420,0)</f>
        <v>0</v>
      </c>
      <c r="E418" s="132"/>
      <c r="F418" s="1"/>
    </row>
    <row r="419" spans="1:62" ht="18" customHeight="1" x14ac:dyDescent="0.25">
      <c r="A419" s="114"/>
      <c r="B419" s="563"/>
      <c r="C419" s="563"/>
      <c r="D419" s="563"/>
      <c r="E419" s="132"/>
      <c r="F419" s="1"/>
      <c r="AC419" s="121">
        <v>1</v>
      </c>
      <c r="AD419" s="122">
        <f>AC419-($AC419/5)</f>
        <v>0.8</v>
      </c>
      <c r="AE419" s="123">
        <f>AD419-($AC419/5)</f>
        <v>0.60000000000000009</v>
      </c>
      <c r="AF419" s="124">
        <f>AE419-($AC419/5)</f>
        <v>0.40000000000000008</v>
      </c>
      <c r="AG419" s="125">
        <f>AF419-($AC419/5)</f>
        <v>0.20000000000000007</v>
      </c>
      <c r="AH419" s="126">
        <f>AG419-($AC419/5)</f>
        <v>0</v>
      </c>
      <c r="AI419" s="120"/>
      <c r="AP419" s="120"/>
      <c r="AQ419" s="120"/>
      <c r="AR419" s="120"/>
      <c r="AS419" s="120"/>
      <c r="AT419" s="120"/>
      <c r="AU419" s="120"/>
      <c r="AV419" s="120"/>
      <c r="AW419" s="120"/>
      <c r="AX419" s="120"/>
      <c r="AY419" s="120"/>
      <c r="AZ419" s="120"/>
      <c r="BA419" s="120"/>
      <c r="BB419" s="127" t="s">
        <v>260</v>
      </c>
      <c r="BD419" s="127" t="s">
        <v>261</v>
      </c>
      <c r="BE419" s="120"/>
      <c r="BF419" s="120"/>
      <c r="BG419" s="128" t="s">
        <v>262</v>
      </c>
      <c r="BH419" s="129"/>
      <c r="BI419" s="130" t="s">
        <v>263</v>
      </c>
      <c r="BJ419" s="131"/>
    </row>
    <row r="420" spans="1:62" ht="14.4" x14ac:dyDescent="0.3">
      <c r="A420" s="117"/>
      <c r="B420" s="564"/>
      <c r="C420" s="564"/>
      <c r="D420" s="564"/>
      <c r="E420" s="132"/>
      <c r="F420" s="1"/>
      <c r="AC420" s="112">
        <f t="shared" ref="AC420:AH420" si="15">IF($B420=AC$1896,AC419,0)</f>
        <v>0</v>
      </c>
      <c r="AD420" s="112">
        <f t="shared" si="15"/>
        <v>0</v>
      </c>
      <c r="AE420" s="112">
        <f t="shared" si="15"/>
        <v>0</v>
      </c>
      <c r="AF420" s="112">
        <f t="shared" si="15"/>
        <v>0</v>
      </c>
      <c r="AG420" s="112">
        <f t="shared" si="15"/>
        <v>0</v>
      </c>
      <c r="AH420" s="112">
        <f t="shared" si="15"/>
        <v>0</v>
      </c>
      <c r="AI420" s="164">
        <f>SUM(AC420:AH420)</f>
        <v>0</v>
      </c>
      <c r="AK420" s="550" t="str">
        <f>IF(AI420&gt;0,AI420,"")</f>
        <v/>
      </c>
      <c r="AL420" s="527"/>
      <c r="AN420" s="551">
        <f>(AI420/$AN$297)/2</f>
        <v>0</v>
      </c>
      <c r="AO420" s="552"/>
      <c r="BB420" s="127" t="s">
        <v>265</v>
      </c>
      <c r="BD420" s="127" t="s">
        <v>265</v>
      </c>
      <c r="BG420" s="128" t="s">
        <v>266</v>
      </c>
      <c r="BH420" s="134">
        <f>BH410</f>
        <v>0.1</v>
      </c>
      <c r="BI420" s="130" t="s">
        <v>266</v>
      </c>
      <c r="BJ420" s="135">
        <f>1-BH420</f>
        <v>0.9</v>
      </c>
    </row>
    <row r="421" spans="1:62" ht="14.4" x14ac:dyDescent="0.25">
      <c r="A421" s="117"/>
      <c r="B421" s="565"/>
      <c r="C421" s="565"/>
      <c r="D421" s="565"/>
      <c r="E421" s="132"/>
      <c r="F421" s="1"/>
      <c r="BB421" s="170">
        <f>$AC$1556</f>
        <v>10</v>
      </c>
      <c r="BD421" s="170">
        <f>$AC$1557</f>
        <v>25</v>
      </c>
      <c r="BG421" s="137" t="str">
        <f>BB419</f>
        <v>low</v>
      </c>
      <c r="BH421" s="137" t="str">
        <f>BD419</f>
        <v>high</v>
      </c>
      <c r="BI421" s="137" t="str">
        <f>BB419</f>
        <v>low</v>
      </c>
      <c r="BJ421" s="137" t="str">
        <f>BD419</f>
        <v>high</v>
      </c>
    </row>
    <row r="422" spans="1:62" ht="14.4" customHeight="1" thickBot="1" x14ac:dyDescent="0.3">
      <c r="A422" s="117"/>
      <c r="B422" s="165"/>
      <c r="C422" s="165"/>
      <c r="D422" s="165"/>
      <c r="E422" s="132"/>
      <c r="F422" s="1"/>
      <c r="BB422" s="170">
        <f>IF(AK426=$AC$297,0,(BB421*AK426))</f>
        <v>0</v>
      </c>
      <c r="BD422" s="170">
        <f>IF(AK426=$AC$297,0,(BD421*AK426))</f>
        <v>0</v>
      </c>
      <c r="BG422" s="170">
        <f>BB422*BH420</f>
        <v>0</v>
      </c>
      <c r="BH422" s="170">
        <f>BD422*BH420</f>
        <v>0</v>
      </c>
      <c r="BI422" s="170">
        <f>BB422*BJ420</f>
        <v>0</v>
      </c>
      <c r="BJ422" s="170">
        <f>BD422*BJ420</f>
        <v>0</v>
      </c>
    </row>
    <row r="423" spans="1:62" ht="85.05" customHeight="1" thickTop="1" thickBot="1" x14ac:dyDescent="0.3">
      <c r="A423" s="117"/>
      <c r="B423" s="556"/>
      <c r="C423" s="557"/>
      <c r="D423" s="558"/>
      <c r="E423" s="132"/>
      <c r="F423" s="1"/>
      <c r="BJ423" s="138">
        <f>MIN(BJ422,($D$1330*10))</f>
        <v>0</v>
      </c>
    </row>
    <row r="424" spans="1:62" ht="16.8" customHeight="1" thickTop="1" thickBot="1" x14ac:dyDescent="0.3">
      <c r="A424" s="117"/>
      <c r="B424" s="139" t="str">
        <f>IF(B420="","","SUPPORTER REVIEW: Prepare for Independent Verifier")</f>
        <v/>
      </c>
      <c r="C424" s="117"/>
      <c r="D424" s="117"/>
      <c r="E424" s="132"/>
      <c r="F424" s="1"/>
      <c r="BJ424" s="140"/>
    </row>
    <row r="425" spans="1:62" ht="15" customHeight="1" thickTop="1" x14ac:dyDescent="0.25">
      <c r="A425" s="117"/>
      <c r="B425" s="141" t="str">
        <f>IF(B420="","","How many pages?")</f>
        <v/>
      </c>
      <c r="C425" s="142" t="str">
        <f>IF(AJ426&gt;30,"check if URL works, report from list below","")</f>
        <v/>
      </c>
      <c r="D425" s="143" t="str">
        <f>IF(B420="","","Estimated time to verify")</f>
        <v/>
      </c>
      <c r="E425" s="132"/>
      <c r="F425" s="1"/>
      <c r="AP425" s="56" t="s">
        <v>269</v>
      </c>
      <c r="AT425" s="144" t="str">
        <f>IF(AND(AJ426&gt;30,B426&gt;0),"ready","not ready")</f>
        <v>not ready</v>
      </c>
      <c r="AU425" s="144"/>
      <c r="AV425" s="144"/>
      <c r="BB425" s="56"/>
      <c r="BF425" s="113">
        <f>BF415</f>
        <v>0.05</v>
      </c>
      <c r="BG425" s="170">
        <f>BG422*$BF425</f>
        <v>0</v>
      </c>
      <c r="BH425" s="170">
        <f>BH422*$BF425</f>
        <v>0</v>
      </c>
      <c r="BI425" s="170">
        <f>BI422*$BF425</f>
        <v>0</v>
      </c>
      <c r="BJ425" s="170">
        <f>BJ422*$BF425</f>
        <v>0</v>
      </c>
    </row>
    <row r="426" spans="1:62" ht="15" customHeight="1" thickBot="1" x14ac:dyDescent="0.3">
      <c r="A426" s="117"/>
      <c r="B426" s="163">
        <v>5</v>
      </c>
      <c r="C426" s="146"/>
      <c r="D426" s="147" t="str">
        <f>CONCATENATE(AK426,AL426)</f>
        <v>0 hours</v>
      </c>
      <c r="E426" s="132"/>
      <c r="F426" s="1"/>
      <c r="AD426" s="149">
        <f>IF(B420=B$1896,G$1896,AC425)</f>
        <v>0</v>
      </c>
      <c r="AE426" s="150">
        <f>IF(B420=B$1897,G$1897,AD425)</f>
        <v>0</v>
      </c>
      <c r="AF426" s="151">
        <f>IF(B420=B$1898,G$1898,AE425)</f>
        <v>0</v>
      </c>
      <c r="AG426" s="152">
        <f>IF(B420=B$1899,G$1899,AF425)</f>
        <v>0</v>
      </c>
      <c r="AH426" s="9"/>
      <c r="AI426" s="153">
        <f>MAX(AD426:AG426)</f>
        <v>0</v>
      </c>
      <c r="AJ426" s="56">
        <f>LEN(B420)</f>
        <v>0</v>
      </c>
      <c r="AK426" s="154">
        <f>IF(B426="",$AC$297,B426*AI426)</f>
        <v>0</v>
      </c>
      <c r="AL426" s="56" t="s">
        <v>271</v>
      </c>
      <c r="AN426" s="56">
        <f>B426*AI426</f>
        <v>0</v>
      </c>
      <c r="AP426" s="155" t="str">
        <f>IF($C426=$D$1896,AP$297,"")</f>
        <v/>
      </c>
      <c r="AQ426" s="156" t="str">
        <f>IF($C426=$D$1897,AQ$297,"")</f>
        <v/>
      </c>
      <c r="AR426" s="157" t="str">
        <f>IF($C426=$D$1898,AR$297,"")</f>
        <v/>
      </c>
      <c r="AS426" s="158" t="str">
        <f>IF($C426=$D$1899,AS$297,"")</f>
        <v/>
      </c>
      <c r="AT426" s="159" t="str">
        <f>IF($C426=$D$1900,AT$297,"")</f>
        <v/>
      </c>
      <c r="AU426" s="160">
        <f>MAX(AP426:AS426)</f>
        <v>0</v>
      </c>
      <c r="AV426" s="154"/>
      <c r="AX426" s="112">
        <f>IF(AK426=$AC$297,0,AK426)</f>
        <v>0</v>
      </c>
      <c r="BB426" s="56"/>
      <c r="BG426" s="161">
        <f>BG422*0.95</f>
        <v>0</v>
      </c>
      <c r="BH426" s="161">
        <f>BH422*0.95</f>
        <v>0</v>
      </c>
      <c r="BI426" s="161">
        <f>BI422*0.95</f>
        <v>0</v>
      </c>
      <c r="BJ426" s="161">
        <f>BJ422*0.95</f>
        <v>0</v>
      </c>
    </row>
    <row r="427" spans="1:62" ht="14.4" customHeight="1" thickTop="1" x14ac:dyDescent="0.25">
      <c r="A427" s="117"/>
      <c r="B427" s="117"/>
      <c r="C427" s="117"/>
      <c r="D427" s="117"/>
      <c r="E427" s="132"/>
      <c r="F427" s="1"/>
    </row>
    <row r="428" spans="1:62" ht="19.95" customHeight="1" x14ac:dyDescent="0.25">
      <c r="A428" s="114">
        <f>A418+1</f>
        <v>14</v>
      </c>
      <c r="B428" s="114" t="s">
        <v>294</v>
      </c>
      <c r="C428" s="114"/>
      <c r="D428" s="115">
        <f>IF(AN430&gt;0,AN430,0)</f>
        <v>0</v>
      </c>
      <c r="E428" s="132"/>
      <c r="F428" s="1"/>
    </row>
    <row r="429" spans="1:62" ht="18" customHeight="1" x14ac:dyDescent="0.25">
      <c r="A429" s="114"/>
      <c r="B429" s="563" t="s">
        <v>295</v>
      </c>
      <c r="C429" s="563"/>
      <c r="D429" s="563"/>
      <c r="E429" s="132"/>
      <c r="F429" s="1"/>
      <c r="AC429" s="121">
        <v>1</v>
      </c>
      <c r="AD429" s="122">
        <f>AC429-($AC429/5)</f>
        <v>0.8</v>
      </c>
      <c r="AE429" s="123">
        <f>AD429-($AC429/5)</f>
        <v>0.60000000000000009</v>
      </c>
      <c r="AF429" s="124">
        <f>AE429-($AC429/5)</f>
        <v>0.40000000000000008</v>
      </c>
      <c r="AG429" s="125">
        <f>AF429-($AC429/5)</f>
        <v>0.20000000000000007</v>
      </c>
      <c r="AH429" s="126">
        <f>AG429-($AC429/5)</f>
        <v>0</v>
      </c>
      <c r="AI429" s="120"/>
      <c r="AP429" s="120"/>
      <c r="AQ429" s="120"/>
      <c r="AR429" s="120"/>
      <c r="AS429" s="120"/>
      <c r="AT429" s="120"/>
      <c r="AU429" s="120"/>
      <c r="AV429" s="120"/>
      <c r="AW429" s="120"/>
      <c r="AX429" s="120"/>
      <c r="AY429" s="120"/>
      <c r="AZ429" s="120"/>
      <c r="BA429" s="120"/>
      <c r="BB429" s="127" t="s">
        <v>260</v>
      </c>
      <c r="BD429" s="127" t="s">
        <v>261</v>
      </c>
      <c r="BE429" s="120"/>
      <c r="BF429" s="120"/>
      <c r="BG429" s="128" t="s">
        <v>262</v>
      </c>
      <c r="BH429" s="129"/>
      <c r="BI429" s="130" t="s">
        <v>263</v>
      </c>
      <c r="BJ429" s="131"/>
    </row>
    <row r="430" spans="1:62" ht="14.4" x14ac:dyDescent="0.3">
      <c r="A430" s="117"/>
      <c r="B430" s="564"/>
      <c r="C430" s="564"/>
      <c r="D430" s="564"/>
      <c r="E430" s="132"/>
      <c r="F430" s="1"/>
      <c r="AC430" s="112">
        <f t="shared" ref="AC430:AH430" si="16">IF($B430=AC$1896,AC429,0)</f>
        <v>0</v>
      </c>
      <c r="AD430" s="112">
        <f t="shared" si="16"/>
        <v>0</v>
      </c>
      <c r="AE430" s="112">
        <f t="shared" si="16"/>
        <v>0</v>
      </c>
      <c r="AF430" s="112">
        <f t="shared" si="16"/>
        <v>0</v>
      </c>
      <c r="AG430" s="112">
        <f t="shared" si="16"/>
        <v>0</v>
      </c>
      <c r="AH430" s="112">
        <f t="shared" si="16"/>
        <v>0</v>
      </c>
      <c r="AI430" s="164">
        <f>SUM(AC430:AH430)</f>
        <v>0</v>
      </c>
      <c r="AK430" s="550" t="str">
        <f>IF(AI430&gt;0,AI430,"")</f>
        <v/>
      </c>
      <c r="AL430" s="527"/>
      <c r="AN430" s="551">
        <f>(AI430/$AN$297)/2</f>
        <v>0</v>
      </c>
      <c r="AO430" s="552"/>
      <c r="BB430" s="127" t="s">
        <v>265</v>
      </c>
      <c r="BD430" s="127" t="s">
        <v>265</v>
      </c>
      <c r="BG430" s="128" t="s">
        <v>266</v>
      </c>
      <c r="BH430" s="134">
        <f>BH420</f>
        <v>0.1</v>
      </c>
      <c r="BI430" s="130" t="s">
        <v>266</v>
      </c>
      <c r="BJ430" s="135">
        <f>1-BH430</f>
        <v>0.9</v>
      </c>
    </row>
    <row r="431" spans="1:62" ht="14.4" x14ac:dyDescent="0.25">
      <c r="A431" s="117"/>
      <c r="B431" s="565"/>
      <c r="C431" s="565"/>
      <c r="D431" s="565"/>
      <c r="E431" s="132"/>
      <c r="F431" s="1"/>
      <c r="BB431" s="170">
        <f>$AC$1556</f>
        <v>10</v>
      </c>
      <c r="BD431" s="170">
        <f>$AC$1557</f>
        <v>25</v>
      </c>
      <c r="BG431" s="137" t="str">
        <f>BB429</f>
        <v>low</v>
      </c>
      <c r="BH431" s="137" t="str">
        <f>BD429</f>
        <v>high</v>
      </c>
      <c r="BI431" s="137" t="str">
        <f>BB429</f>
        <v>low</v>
      </c>
      <c r="BJ431" s="137" t="str">
        <f>BD429</f>
        <v>high</v>
      </c>
    </row>
    <row r="432" spans="1:62" ht="14.4" customHeight="1" thickBot="1" x14ac:dyDescent="0.3">
      <c r="A432" s="117"/>
      <c r="B432" s="165"/>
      <c r="C432" s="165"/>
      <c r="D432" s="165"/>
      <c r="E432" s="132"/>
      <c r="F432" s="1"/>
      <c r="BB432" s="170">
        <f>IF(AK436=$AC$297,0,(BB431*AK436))</f>
        <v>0</v>
      </c>
      <c r="BD432" s="170">
        <f>IF(AK436=$AC$297,0,(BD431*AK436))</f>
        <v>0</v>
      </c>
      <c r="BG432" s="170">
        <f>BB432*BH430</f>
        <v>0</v>
      </c>
      <c r="BH432" s="170">
        <f>BD432*BH430</f>
        <v>0</v>
      </c>
      <c r="BI432" s="170">
        <f>BB432*BJ430</f>
        <v>0</v>
      </c>
      <c r="BJ432" s="170">
        <f>BD432*BJ430</f>
        <v>0</v>
      </c>
    </row>
    <row r="433" spans="1:62" ht="85.05" customHeight="1" thickTop="1" thickBot="1" x14ac:dyDescent="0.3">
      <c r="A433" s="117"/>
      <c r="B433" s="556"/>
      <c r="C433" s="557"/>
      <c r="D433" s="558"/>
      <c r="E433" s="132"/>
      <c r="F433" s="1"/>
      <c r="BJ433" s="138">
        <f>MIN(BJ432,($D$1330*10))</f>
        <v>0</v>
      </c>
    </row>
    <row r="434" spans="1:62" ht="16.8" customHeight="1" thickTop="1" thickBot="1" x14ac:dyDescent="0.3">
      <c r="A434" s="117"/>
      <c r="B434" s="139" t="str">
        <f>IF(B430="","","SUPPORTER REVIEW: Prepare for Independent Verifier")</f>
        <v/>
      </c>
      <c r="C434" s="117"/>
      <c r="D434" s="117"/>
      <c r="E434" s="132"/>
      <c r="F434" s="1"/>
      <c r="BJ434" s="140"/>
    </row>
    <row r="435" spans="1:62" ht="14.4" thickTop="1" x14ac:dyDescent="0.25">
      <c r="A435" s="117"/>
      <c r="B435" s="141" t="str">
        <f>IF(B430="","","How many pages?")</f>
        <v/>
      </c>
      <c r="C435" s="142" t="str">
        <f>IF(AJ436&gt;30,"check if URL works, report from list below","")</f>
        <v/>
      </c>
      <c r="D435" s="143" t="str">
        <f>IF(B430="","","Estimated time to verify")</f>
        <v/>
      </c>
      <c r="E435" s="132"/>
      <c r="F435" s="1"/>
      <c r="AP435" s="56" t="s">
        <v>269</v>
      </c>
      <c r="AT435" s="144" t="str">
        <f>IF(AND(AJ436&gt;30,B436&gt;0),"ready","not ready")</f>
        <v>not ready</v>
      </c>
      <c r="AU435" s="144"/>
      <c r="AV435" s="144"/>
      <c r="BB435" s="56"/>
      <c r="BF435" s="113">
        <f>BF425</f>
        <v>0.05</v>
      </c>
      <c r="BG435" s="170">
        <f>BG432*$BF435</f>
        <v>0</v>
      </c>
      <c r="BH435" s="170">
        <f>BH432*$BF435</f>
        <v>0</v>
      </c>
      <c r="BI435" s="170">
        <f>BI432*$BF435</f>
        <v>0</v>
      </c>
      <c r="BJ435" s="170">
        <f>BJ432*$BF435</f>
        <v>0</v>
      </c>
    </row>
    <row r="436" spans="1:62" ht="14.4" thickBot="1" x14ac:dyDescent="0.3">
      <c r="A436" s="117"/>
      <c r="B436" s="163"/>
      <c r="C436" s="146"/>
      <c r="D436" s="147" t="str">
        <f>CONCATENATE(AK436,AL436)</f>
        <v>in estimated hours</v>
      </c>
      <c r="E436" s="132"/>
      <c r="F436" s="1"/>
      <c r="AD436" s="149">
        <f>IF(B430=B$1896,G$1896,AC435)</f>
        <v>0</v>
      </c>
      <c r="AE436" s="150">
        <f>IF(B430=B$1897,G$1897,AD435)</f>
        <v>0</v>
      </c>
      <c r="AF436" s="151">
        <f>IF(B430=B$1898,G$1898,AE435)</f>
        <v>0</v>
      </c>
      <c r="AG436" s="152">
        <f>IF(B430=B$1899,G$1899,AF435)</f>
        <v>0</v>
      </c>
      <c r="AH436" s="9"/>
      <c r="AI436" s="153">
        <f>MAX(AD436:AG436)</f>
        <v>0</v>
      </c>
      <c r="AJ436" s="56">
        <f>LEN(B430)</f>
        <v>0</v>
      </c>
      <c r="AK436" s="154" t="str">
        <f>IF(B436="",$AC$297,B436*AI436)</f>
        <v>in estimated</v>
      </c>
      <c r="AL436" s="56" t="s">
        <v>271</v>
      </c>
      <c r="AN436" s="56">
        <f>B436*AI436</f>
        <v>0</v>
      </c>
      <c r="AP436" s="155" t="str">
        <f>IF($C436=$D$1896,AP$297,"")</f>
        <v/>
      </c>
      <c r="AQ436" s="156" t="str">
        <f>IF($C436=$D$1897,AQ$297,"")</f>
        <v/>
      </c>
      <c r="AR436" s="157" t="str">
        <f>IF($C436=$D$1898,AR$297,"")</f>
        <v/>
      </c>
      <c r="AS436" s="158" t="str">
        <f>IF($C436=$D$1899,AS$297,"")</f>
        <v/>
      </c>
      <c r="AT436" s="159" t="str">
        <f>IF($C436=$D$1900,AT$297,"")</f>
        <v/>
      </c>
      <c r="AU436" s="160">
        <f>MAX(AP436:AS436)</f>
        <v>0</v>
      </c>
      <c r="AV436" s="154"/>
      <c r="AX436" s="112">
        <f>IF(AK436=$AC$297,0,AK436)</f>
        <v>0</v>
      </c>
      <c r="BB436" s="56"/>
      <c r="BG436" s="161">
        <f>BG432*0.95</f>
        <v>0</v>
      </c>
      <c r="BH436" s="161">
        <f>BH432*0.95</f>
        <v>0</v>
      </c>
      <c r="BI436" s="161">
        <f>BI432*0.95</f>
        <v>0</v>
      </c>
      <c r="BJ436" s="161">
        <f>BJ432*0.95</f>
        <v>0</v>
      </c>
    </row>
    <row r="437" spans="1:62" ht="14.4" thickTop="1" x14ac:dyDescent="0.25">
      <c r="A437" s="117"/>
      <c r="B437" s="117"/>
      <c r="C437" s="117"/>
      <c r="D437" s="117"/>
      <c r="E437" s="132"/>
      <c r="F437" s="1"/>
    </row>
    <row r="438" spans="1:62" x14ac:dyDescent="0.25">
      <c r="A438" s="117"/>
      <c r="B438" s="117"/>
      <c r="C438" s="117"/>
      <c r="D438" s="117"/>
      <c r="E438" s="132"/>
      <c r="F438" s="1"/>
    </row>
    <row r="439" spans="1:62" ht="25.05" customHeight="1" x14ac:dyDescent="0.25">
      <c r="A439" s="117"/>
      <c r="B439" s="167">
        <f>D298+D308+D318+D328+D338+D348+D358+D368+D378+D388+D398+D408+D418+D428</f>
        <v>0.47142857142857131</v>
      </c>
      <c r="C439" s="168" t="str">
        <f>IF(B439&gt;0,"Baseline score","")</f>
        <v>Baseline score</v>
      </c>
      <c r="D439" s="117"/>
      <c r="E439" s="132"/>
      <c r="F439" s="1"/>
      <c r="BG439" s="169">
        <f>BG302+BG312+BG322+BG332+BG342+BG352++BG362+BG372+BG382+BG392+BG402+BG412+BG422+BG432</f>
        <v>571.6400000000001</v>
      </c>
      <c r="BH439" s="169">
        <f>BH302+BH312+BH322+BH332+BH342+BH352++BH362+BH372+BH382+BH392+BH402+BH412+BH422+BH432</f>
        <v>1429.1000000000004</v>
      </c>
      <c r="BI439" s="169">
        <f>BI302+BI312+BI322+BI332+BI342+BI352++BI362+BI372+BI382+BI392+BI402+BI412+BI422+BI432</f>
        <v>5144.7600000000011</v>
      </c>
      <c r="BJ439" s="169">
        <f>BJ302+BJ312+BJ322+BJ332+BJ342+BJ352++BJ362+BJ372+BJ382+BJ392+BJ402+BJ412+BJ422+BJ432</f>
        <v>12861.900000000001</v>
      </c>
    </row>
    <row r="440" spans="1:62" ht="13.8" customHeight="1" x14ac:dyDescent="0.3">
      <c r="A440" s="117"/>
      <c r="B440" s="117"/>
      <c r="C440" s="117"/>
      <c r="D440" s="117"/>
      <c r="E440" s="132"/>
      <c r="F440" s="1"/>
      <c r="AK440" s="56">
        <f>SUM(AK306:AK436)</f>
        <v>577.24000000000012</v>
      </c>
      <c r="AL440" s="56" t="str">
        <f>AL436</f>
        <v xml:space="preserve"> hours</v>
      </c>
      <c r="AP440" s="56">
        <f>ROUNDUP(AX440,0)</f>
        <v>572</v>
      </c>
      <c r="AX440" s="56">
        <f>AX306+AX316+AX326+AX336+AX346+AX356+AX366+AX376+AX386+AX396+AX406+AX416+AX426+AX436</f>
        <v>571.6400000000001</v>
      </c>
      <c r="BB440" s="566">
        <f>BB302+BB312+BB322+BB332+BB342+BB352+BB362+BB372+BB382+BB392+BB402+BB412+BB422+BB432</f>
        <v>5716.4000000000005</v>
      </c>
      <c r="BC440" s="527"/>
      <c r="BD440" s="566">
        <f>BD302+BD312+BD322+BD332+BD342+BD352+BD362+BD372+BD382+BD392+BD402+BD412+BD422+BD432</f>
        <v>14291</v>
      </c>
      <c r="BE440" s="527"/>
      <c r="BF440" s="171">
        <f>BF435</f>
        <v>0.05</v>
      </c>
      <c r="BG440" s="172">
        <f t="shared" ref="BG440:BJ441" si="17">BG305+BG315++BG325+BG335+BG345+BG355+BG365+BG375+BG385+BG395+BG405+BG415+BG425+BG435</f>
        <v>28.581999999999997</v>
      </c>
      <c r="BH440" s="172">
        <f t="shared" si="17"/>
        <v>71.455000000000027</v>
      </c>
      <c r="BI440" s="172">
        <f t="shared" si="17"/>
        <v>257.238</v>
      </c>
      <c r="BJ440" s="172">
        <f t="shared" si="17"/>
        <v>643.09500000000014</v>
      </c>
    </row>
    <row r="441" spans="1:62" ht="13.8" customHeight="1" x14ac:dyDescent="0.3">
      <c r="A441" s="117"/>
      <c r="B441" s="173" t="s">
        <v>296</v>
      </c>
      <c r="C441" s="174"/>
      <c r="D441" s="174"/>
      <c r="E441" s="132"/>
      <c r="F441" s="1"/>
      <c r="BB441" s="170"/>
      <c r="BC441" s="80"/>
      <c r="BD441" s="170"/>
      <c r="BE441" s="80"/>
      <c r="BF441" s="175"/>
      <c r="BG441" s="176">
        <f t="shared" si="17"/>
        <v>543.05799999999999</v>
      </c>
      <c r="BH441" s="176">
        <f t="shared" si="17"/>
        <v>1357.645</v>
      </c>
      <c r="BI441" s="176">
        <f t="shared" si="17"/>
        <v>4887.5219999999999</v>
      </c>
      <c r="BJ441" s="176">
        <f>BJ306+BJ316++BJ326+BJ336+BJ346+BJ356+BJ366+BJ376+BJ386+BJ396+BJ406+BJ416+BJ426+BJ436</f>
        <v>12218.804999999998</v>
      </c>
    </row>
    <row r="442" spans="1:62" ht="13.8" customHeight="1" x14ac:dyDescent="0.3">
      <c r="A442" s="117"/>
      <c r="B442" s="117"/>
      <c r="C442" s="117"/>
      <c r="D442" s="117"/>
      <c r="E442" s="132"/>
      <c r="F442" s="1"/>
      <c r="BB442" s="170"/>
      <c r="BC442" s="80"/>
      <c r="BD442" s="170"/>
      <c r="BE442" s="80"/>
    </row>
    <row r="443" spans="1:62" ht="13.8" customHeight="1" x14ac:dyDescent="0.3">
      <c r="A443" s="117"/>
      <c r="B443" s="177" t="s">
        <v>297</v>
      </c>
      <c r="C443" s="117"/>
      <c r="D443" s="117"/>
      <c r="E443" s="132"/>
      <c r="F443" s="1"/>
      <c r="AI443" s="56">
        <v>2</v>
      </c>
      <c r="AJ443" s="56">
        <f>AI443+2</f>
        <v>4</v>
      </c>
      <c r="AK443" s="56" t="s">
        <v>298</v>
      </c>
      <c r="BB443" s="170"/>
      <c r="BC443" s="80"/>
      <c r="BD443" s="170"/>
      <c r="BE443" s="80"/>
    </row>
    <row r="444" spans="1:62" s="181" customFormat="1" ht="19.95" customHeight="1" thickBot="1" x14ac:dyDescent="0.3">
      <c r="A444" s="177"/>
      <c r="B444" s="178" t="str">
        <f>IF(AND(AD459&gt;=AI443,AD459&lt;AJ443),AK443,IF(AND(AD459&gt;=AI444,AD459&lt;AJ444),AK444,IF(AND(AD459&gt;=AI445,AD459&lt;AJ445),AK445,AK443)))</f>
        <v>Contact us if you need any help with this process. Let's see what we can do.</v>
      </c>
      <c r="C444" s="177"/>
      <c r="D444" s="177"/>
      <c r="E444" s="179"/>
      <c r="F444" s="1"/>
      <c r="G444" s="180"/>
      <c r="H444" s="180"/>
      <c r="I444" s="180"/>
      <c r="J444" s="180"/>
      <c r="K444" s="180"/>
      <c r="L444" s="180"/>
      <c r="M444" s="180"/>
      <c r="N444" s="180"/>
      <c r="O444" s="180"/>
      <c r="P444" s="180"/>
      <c r="Q444" s="180"/>
      <c r="R444" s="180"/>
      <c r="S444" s="180"/>
      <c r="T444" s="180"/>
      <c r="U444" s="180"/>
      <c r="V444" s="180"/>
      <c r="W444" s="180"/>
      <c r="X444" s="180"/>
      <c r="Y444" s="180"/>
      <c r="Z444" s="180"/>
      <c r="AI444" s="181">
        <f>AJ443</f>
        <v>4</v>
      </c>
      <c r="AJ444" s="56">
        <f>AI444+5</f>
        <v>9</v>
      </c>
      <c r="AK444" s="56" t="s">
        <v>299</v>
      </c>
      <c r="BB444" s="182"/>
      <c r="BD444" s="182"/>
    </row>
    <row r="445" spans="1:62" ht="13.8" customHeight="1" thickTop="1" thickBot="1" x14ac:dyDescent="0.35">
      <c r="A445" s="117"/>
      <c r="B445" s="183" t="s">
        <v>300</v>
      </c>
      <c r="C445" s="184" t="s">
        <v>301</v>
      </c>
      <c r="D445" s="118"/>
      <c r="E445" s="132"/>
      <c r="F445" s="1"/>
      <c r="AD445" s="60">
        <f>SUM(AE445:AG445)</f>
        <v>1</v>
      </c>
      <c r="AE445" s="56">
        <f>IF(B445=AK457,1,0)</f>
        <v>1</v>
      </c>
      <c r="AF445" s="56">
        <f>IF(B445=AK458,2,0)</f>
        <v>0</v>
      </c>
      <c r="AG445" s="56">
        <f>IF(B445=AK459,3,0)</f>
        <v>0</v>
      </c>
      <c r="AI445" s="181">
        <f>AJ444</f>
        <v>9</v>
      </c>
      <c r="AJ445" s="56">
        <f>AI445+3</f>
        <v>12</v>
      </c>
      <c r="AK445" s="56" t="s">
        <v>302</v>
      </c>
      <c r="BB445" s="170"/>
      <c r="BC445" s="80"/>
      <c r="BD445" s="170"/>
      <c r="BE445" s="80"/>
    </row>
    <row r="446" spans="1:62" ht="4.95" customHeight="1" thickTop="1" thickBot="1" x14ac:dyDescent="0.35">
      <c r="A446" s="118"/>
      <c r="B446" s="118"/>
      <c r="C446" s="184"/>
      <c r="D446" s="118"/>
      <c r="E446" s="132"/>
      <c r="F446" s="1"/>
      <c r="BB446" s="170"/>
      <c r="BC446" s="80"/>
      <c r="BD446" s="170"/>
      <c r="BE446" s="80"/>
    </row>
    <row r="447" spans="1:62" ht="13.8" customHeight="1" thickTop="1" thickBot="1" x14ac:dyDescent="0.35">
      <c r="A447" s="117"/>
      <c r="B447" s="183" t="s">
        <v>303</v>
      </c>
      <c r="C447" s="184" t="s">
        <v>304</v>
      </c>
      <c r="D447" s="118"/>
      <c r="E447" s="132"/>
      <c r="F447" s="1"/>
      <c r="AD447" s="60">
        <f>SUM(AE447:AG447)</f>
        <v>3</v>
      </c>
      <c r="AE447" s="56">
        <f>IF(B447=AK457,1,0)</f>
        <v>0</v>
      </c>
      <c r="AF447" s="56">
        <f>IF(B447=AK458,2,0)</f>
        <v>0</v>
      </c>
      <c r="AG447" s="56">
        <f>IF(B447=AK459,3,0)</f>
        <v>3</v>
      </c>
      <c r="BB447" s="170"/>
      <c r="BC447" s="80"/>
      <c r="BD447" s="170"/>
      <c r="BE447" s="80"/>
    </row>
    <row r="448" spans="1:62" ht="4.95" customHeight="1" thickTop="1" thickBot="1" x14ac:dyDescent="0.35">
      <c r="A448" s="118"/>
      <c r="B448" s="118"/>
      <c r="C448" s="184"/>
      <c r="D448" s="118"/>
      <c r="E448" s="132"/>
      <c r="F448" s="1"/>
      <c r="BB448" s="170"/>
      <c r="BC448" s="80"/>
      <c r="BD448" s="170"/>
      <c r="BE448" s="80"/>
    </row>
    <row r="449" spans="1:60" ht="13.8" hidden="1" customHeight="1" thickTop="1" thickBot="1" x14ac:dyDescent="0.35">
      <c r="A449" s="117"/>
      <c r="B449" s="185"/>
      <c r="C449" s="184"/>
      <c r="D449" s="118"/>
      <c r="E449" s="132"/>
      <c r="F449" s="1"/>
      <c r="AD449" s="60">
        <f>SUM(AE449:AG449)</f>
        <v>6</v>
      </c>
      <c r="AE449" s="56">
        <f>IF(B449=AK461,1,0)</f>
        <v>1</v>
      </c>
      <c r="AF449" s="56">
        <f>IF(B449=AK462,2,0)</f>
        <v>2</v>
      </c>
      <c r="AG449" s="56">
        <f>IF(B449=AK463,3,0)</f>
        <v>3</v>
      </c>
      <c r="BB449" s="170"/>
      <c r="BC449" s="80"/>
      <c r="BD449" s="170"/>
      <c r="BE449" s="80"/>
    </row>
    <row r="450" spans="1:60" ht="4.95" hidden="1" customHeight="1" thickTop="1" thickBot="1" x14ac:dyDescent="0.35">
      <c r="A450" s="118"/>
      <c r="B450" s="118"/>
      <c r="C450" s="184"/>
      <c r="D450" s="118"/>
      <c r="E450" s="132"/>
      <c r="F450" s="1"/>
      <c r="BB450" s="170"/>
      <c r="BC450" s="80"/>
      <c r="BD450" s="170"/>
      <c r="BE450" s="80"/>
    </row>
    <row r="451" spans="1:60" ht="13.8" hidden="1" customHeight="1" thickTop="1" thickBot="1" x14ac:dyDescent="0.35">
      <c r="A451" s="117"/>
      <c r="B451" s="185"/>
      <c r="C451" s="184"/>
      <c r="D451" s="118"/>
      <c r="E451" s="132"/>
      <c r="F451" s="1"/>
      <c r="AD451" s="60">
        <f>SUM(AE451:AG451)</f>
        <v>6</v>
      </c>
      <c r="AE451" s="56">
        <f>IF(B451=AK463,1,0)</f>
        <v>1</v>
      </c>
      <c r="AF451" s="56">
        <f>IF(B451=AK464,2,0)</f>
        <v>2</v>
      </c>
      <c r="AG451" s="56">
        <f>IF(B451=AK465,3,0)</f>
        <v>3</v>
      </c>
      <c r="BB451" s="170"/>
      <c r="BC451" s="80"/>
      <c r="BD451" s="170"/>
      <c r="BE451" s="80"/>
    </row>
    <row r="452" spans="1:60" ht="4.95" hidden="1" customHeight="1" thickTop="1" thickBot="1" x14ac:dyDescent="0.35">
      <c r="A452" s="118"/>
      <c r="B452" s="118"/>
      <c r="C452" s="184"/>
      <c r="D452" s="118"/>
      <c r="E452" s="132"/>
      <c r="F452" s="1"/>
      <c r="BB452" s="170"/>
      <c r="BC452" s="80"/>
      <c r="BD452" s="170"/>
      <c r="BE452" s="80"/>
    </row>
    <row r="453" spans="1:60" ht="13.8" hidden="1" customHeight="1" thickTop="1" thickBot="1" x14ac:dyDescent="0.35">
      <c r="A453" s="117"/>
      <c r="B453" s="185"/>
      <c r="C453" s="184"/>
      <c r="D453" s="118"/>
      <c r="E453" s="132"/>
      <c r="F453" s="1"/>
      <c r="AD453" s="60">
        <f>SUM(AE453:AG453)</f>
        <v>6</v>
      </c>
      <c r="AE453" s="56">
        <f>IF(B453=AK465,1,0)</f>
        <v>1</v>
      </c>
      <c r="AF453" s="56">
        <f>IF(B453=AK466,2,0)</f>
        <v>2</v>
      </c>
      <c r="AG453" s="56">
        <f>IF(B453=AK467,3,0)</f>
        <v>3</v>
      </c>
      <c r="BB453" s="170"/>
      <c r="BC453" s="80"/>
      <c r="BD453" s="170"/>
      <c r="BE453" s="80"/>
    </row>
    <row r="454" spans="1:60" ht="4.95" hidden="1" customHeight="1" thickTop="1" thickBot="1" x14ac:dyDescent="0.35">
      <c r="A454" s="118"/>
      <c r="B454" s="118"/>
      <c r="C454" s="184"/>
      <c r="D454" s="118"/>
      <c r="E454" s="132"/>
      <c r="F454" s="1"/>
      <c r="BB454" s="170"/>
      <c r="BC454" s="80"/>
      <c r="BD454" s="170"/>
      <c r="BE454" s="80"/>
    </row>
    <row r="455" spans="1:60" ht="13.8" hidden="1" customHeight="1" thickTop="1" thickBot="1" x14ac:dyDescent="0.35">
      <c r="A455" s="117"/>
      <c r="B455" s="185"/>
      <c r="C455" s="184"/>
      <c r="D455" s="118"/>
      <c r="E455" s="132"/>
      <c r="F455" s="1"/>
      <c r="AD455" s="60">
        <f>SUM(AE455:AG455)</f>
        <v>6</v>
      </c>
      <c r="AE455" s="56">
        <f>IF(B455=AK467,1,0)</f>
        <v>1</v>
      </c>
      <c r="AF455" s="56">
        <f>IF(B455=AK468,2,0)</f>
        <v>2</v>
      </c>
      <c r="AG455" s="56">
        <f>IF(B455=AK469,3,0)</f>
        <v>3</v>
      </c>
      <c r="BB455" s="170"/>
      <c r="BC455" s="80"/>
      <c r="BD455" s="170"/>
      <c r="BE455" s="80"/>
    </row>
    <row r="456" spans="1:60" ht="4.95" hidden="1" customHeight="1" thickTop="1" thickBot="1" x14ac:dyDescent="0.35">
      <c r="A456" s="118"/>
      <c r="B456" s="118"/>
      <c r="C456" s="184"/>
      <c r="D456" s="118"/>
      <c r="E456" s="132"/>
      <c r="F456" s="1"/>
      <c r="BB456" s="170"/>
      <c r="BC456" s="80"/>
      <c r="BD456" s="170"/>
      <c r="BE456" s="80"/>
    </row>
    <row r="457" spans="1:60" ht="13.8" customHeight="1" thickTop="1" thickBot="1" x14ac:dyDescent="0.35">
      <c r="A457" s="117"/>
      <c r="B457" s="183" t="s">
        <v>305</v>
      </c>
      <c r="C457" s="184" t="s">
        <v>306</v>
      </c>
      <c r="D457" s="118"/>
      <c r="E457" s="132"/>
      <c r="F457" s="1"/>
      <c r="AD457" s="60">
        <f>SUM(AE457:AG457)</f>
        <v>2</v>
      </c>
      <c r="AE457" s="56">
        <f>IF(B457=AK457,1,0)</f>
        <v>0</v>
      </c>
      <c r="AF457" s="56">
        <f>IF(B457=AK458,2,0)</f>
        <v>2</v>
      </c>
      <c r="AG457" s="56">
        <f>IF(B457=AK459,3,0)</f>
        <v>0</v>
      </c>
      <c r="AK457" s="56" t="s">
        <v>300</v>
      </c>
      <c r="BB457" s="170"/>
      <c r="BC457" s="80"/>
      <c r="BD457" s="170"/>
      <c r="BE457" s="80"/>
    </row>
    <row r="458" spans="1:60" ht="4.95" customHeight="1" thickTop="1" x14ac:dyDescent="0.3">
      <c r="A458" s="117"/>
      <c r="B458" s="117"/>
      <c r="C458" s="117"/>
      <c r="D458" s="118"/>
      <c r="E458" s="132"/>
      <c r="F458" s="1"/>
      <c r="AK458" s="56" t="s">
        <v>305</v>
      </c>
      <c r="BB458" s="170"/>
      <c r="BC458" s="80"/>
      <c r="BD458" s="170"/>
      <c r="BE458" s="80"/>
    </row>
    <row r="459" spans="1:60" ht="13.8" customHeight="1" x14ac:dyDescent="0.3">
      <c r="A459" s="117"/>
      <c r="B459" s="186" t="s">
        <v>307</v>
      </c>
      <c r="C459" s="118"/>
      <c r="D459" s="118"/>
      <c r="E459" s="132"/>
      <c r="F459" s="1"/>
      <c r="AD459" s="187">
        <f>AD445+AD447+AD457</f>
        <v>6</v>
      </c>
      <c r="AK459" s="56" t="s">
        <v>303</v>
      </c>
      <c r="BB459" s="170"/>
      <c r="BC459" s="80"/>
      <c r="BD459" s="170"/>
      <c r="BE459" s="80"/>
    </row>
    <row r="460" spans="1:60" ht="13.8" customHeight="1" x14ac:dyDescent="0.3">
      <c r="A460" s="117"/>
      <c r="B460" s="186" t="s">
        <v>308</v>
      </c>
      <c r="C460" s="117"/>
      <c r="D460" s="117"/>
      <c r="E460" s="132"/>
      <c r="F460" s="1"/>
      <c r="BB460" s="170"/>
      <c r="BC460" s="80"/>
      <c r="BD460" s="170"/>
      <c r="BE460" s="80"/>
    </row>
    <row r="461" spans="1:60" ht="13.95" customHeight="1" x14ac:dyDescent="0.25">
      <c r="A461" s="117"/>
      <c r="B461" s="117"/>
      <c r="C461" s="117"/>
      <c r="D461" s="117"/>
      <c r="E461" s="132"/>
      <c r="F461" s="1"/>
    </row>
    <row r="462" spans="1:60" ht="30" customHeight="1" x14ac:dyDescent="0.25">
      <c r="A462" s="188" t="s">
        <v>73</v>
      </c>
      <c r="B462" s="46" t="s">
        <v>309</v>
      </c>
      <c r="C462" s="46"/>
      <c r="D462" s="46"/>
      <c r="E462" s="46"/>
      <c r="F462" s="475" t="s">
        <v>949</v>
      </c>
    </row>
    <row r="463" spans="1:60" s="120" customFormat="1" ht="19.95" customHeight="1" x14ac:dyDescent="0.25">
      <c r="A463" s="108" t="s">
        <v>310</v>
      </c>
      <c r="B463" s="109"/>
      <c r="C463" s="109"/>
      <c r="D463" s="109"/>
      <c r="E463" s="189"/>
      <c r="F463" s="108"/>
      <c r="G463" s="119"/>
      <c r="H463" s="119"/>
      <c r="I463" s="119"/>
      <c r="J463" s="119"/>
      <c r="K463" s="119"/>
      <c r="L463" s="119"/>
      <c r="M463" s="119"/>
      <c r="N463" s="119"/>
      <c r="O463" s="119"/>
      <c r="P463" s="119"/>
      <c r="Q463" s="119"/>
      <c r="R463" s="119"/>
      <c r="S463" s="119"/>
      <c r="T463" s="119"/>
      <c r="U463" s="119"/>
      <c r="V463" s="119"/>
      <c r="W463" s="119"/>
      <c r="X463" s="119"/>
      <c r="Y463" s="119"/>
      <c r="Z463" s="119"/>
      <c r="AA463" s="56"/>
      <c r="AB463" s="190">
        <v>0</v>
      </c>
      <c r="AC463" s="191">
        <f>AD463/2</f>
        <v>1.25</v>
      </c>
      <c r="AD463" s="192">
        <f>AE463/2</f>
        <v>2.5</v>
      </c>
      <c r="AE463" s="193">
        <v>5</v>
      </c>
      <c r="AN463" s="194">
        <f>AE463*-2</f>
        <v>-10</v>
      </c>
      <c r="AO463" s="190">
        <f>AE463*-1</f>
        <v>-5</v>
      </c>
      <c r="AP463" s="190">
        <f>AD463*-1</f>
        <v>-2.5</v>
      </c>
      <c r="AQ463" s="195">
        <f>AE463*-0.1</f>
        <v>-0.5</v>
      </c>
      <c r="AR463" s="195">
        <v>0</v>
      </c>
      <c r="AS463" s="195">
        <f>AE463*0.1</f>
        <v>0.5</v>
      </c>
      <c r="AT463" s="192">
        <f>AD463</f>
        <v>2.5</v>
      </c>
      <c r="AU463" s="193">
        <f>AE463</f>
        <v>5</v>
      </c>
      <c r="AV463" s="196"/>
      <c r="BB463" s="197"/>
      <c r="BG463" s="198">
        <f>B439</f>
        <v>0.47142857142857131</v>
      </c>
      <c r="BH463" s="402"/>
    </row>
    <row r="464" spans="1:60" ht="19.95" customHeight="1" x14ac:dyDescent="0.25">
      <c r="A464" s="200">
        <f>A428+1</f>
        <v>15</v>
      </c>
      <c r="B464" s="200" t="s">
        <v>311</v>
      </c>
      <c r="C464" s="200"/>
      <c r="D464" s="201" t="str">
        <f>IF(B466="","If claimed, explain in white box below.","")</f>
        <v>If claimed, explain in white box below.</v>
      </c>
      <c r="E464" s="200"/>
      <c r="F464" s="1"/>
    </row>
    <row r="465" spans="1:62" ht="30" customHeight="1" x14ac:dyDescent="0.25">
      <c r="A465" s="202"/>
      <c r="B465" s="567" t="s">
        <v>312</v>
      </c>
      <c r="C465" s="568"/>
      <c r="D465" s="569"/>
      <c r="E465" s="203"/>
      <c r="F465" s="1"/>
    </row>
    <row r="466" spans="1:62" ht="220.05" customHeight="1" thickBot="1" x14ac:dyDescent="0.3">
      <c r="A466" s="202"/>
      <c r="B466" s="570"/>
      <c r="C466" s="571"/>
      <c r="D466" s="572"/>
      <c r="E466" s="203"/>
      <c r="F466" s="1"/>
      <c r="BG466" s="60" t="s">
        <v>313</v>
      </c>
    </row>
    <row r="467" spans="1:62" ht="15" customHeight="1" thickTop="1" thickBot="1" x14ac:dyDescent="0.3">
      <c r="A467" s="202"/>
      <c r="B467" s="204" t="str">
        <f>IF(B466="","","Claimed?")</f>
        <v/>
      </c>
      <c r="C467" s="204" t="str">
        <f>IF(B467="","","Verifiable?")</f>
        <v/>
      </c>
      <c r="D467" s="205" t="str">
        <f>IF(C468="","","Independent verification")</f>
        <v/>
      </c>
      <c r="E467" s="573">
        <f>BI468</f>
        <v>0.47142857142857131</v>
      </c>
      <c r="F467" s="574"/>
      <c r="AA467" s="60"/>
      <c r="AB467" s="60" t="s">
        <v>314</v>
      </c>
      <c r="AF467" s="164"/>
      <c r="AG467" s="60" t="s">
        <v>315</v>
      </c>
      <c r="AM467" s="164"/>
      <c r="AN467" s="60" t="s">
        <v>316</v>
      </c>
      <c r="AV467" s="206"/>
      <c r="AX467" s="207" t="s">
        <v>317</v>
      </c>
      <c r="AZ467" s="208" t="s">
        <v>318</v>
      </c>
      <c r="BB467" s="209" t="s">
        <v>319</v>
      </c>
      <c r="BD467" s="208" t="s">
        <v>320</v>
      </c>
      <c r="BG467" s="210" t="s">
        <v>317</v>
      </c>
      <c r="BH467" s="211" t="s">
        <v>318</v>
      </c>
      <c r="BI467" s="210" t="s">
        <v>321</v>
      </c>
      <c r="BJ467" s="211" t="s">
        <v>322</v>
      </c>
    </row>
    <row r="468" spans="1:62" ht="13.8" customHeight="1" thickTop="1" thickBot="1" x14ac:dyDescent="0.3">
      <c r="A468" s="202"/>
      <c r="B468" s="212" t="s">
        <v>323</v>
      </c>
      <c r="C468" s="213"/>
      <c r="D468" s="214"/>
      <c r="E468" s="573">
        <f>BJ468</f>
        <v>0.47142857142857131</v>
      </c>
      <c r="F468" s="574"/>
      <c r="AA468" s="112"/>
      <c r="AB468" s="112">
        <f>IF(B468=$B$1871,$AB$463,0)</f>
        <v>0</v>
      </c>
      <c r="AC468" s="112">
        <f>IF(B468=$B$1872,$AC$463,0)</f>
        <v>0</v>
      </c>
      <c r="AD468" s="112">
        <f>IF(B468=$B$1873,$AD$463,0)</f>
        <v>0</v>
      </c>
      <c r="AE468" s="112">
        <f>IF(B468=$B$1874,$AE$463,0)</f>
        <v>0</v>
      </c>
      <c r="AF468" s="133">
        <f>SUM(AB468:AE468)</f>
        <v>0</v>
      </c>
      <c r="AG468" s="112">
        <f>IF(C468=$B$1877,$E$1877,0)</f>
        <v>0</v>
      </c>
      <c r="AH468" s="112">
        <f>IF(C468=$B$1878,$E$1878,0)</f>
        <v>0</v>
      </c>
      <c r="AI468" s="112">
        <f>IF(C468=$B$1879,$E$1879,0)</f>
        <v>0</v>
      </c>
      <c r="AJ468" s="112">
        <f>IF(C468=$B$1880,$E$1880,0)</f>
        <v>0</v>
      </c>
      <c r="AK468" s="112">
        <f>IF(C468=$B$1881,$E$1881,0)</f>
        <v>0</v>
      </c>
      <c r="AL468" s="112">
        <f>IF(C468=$B$1882,$E$1882,0)</f>
        <v>0</v>
      </c>
      <c r="AM468" s="133">
        <f>SUM(AG468:AL468)</f>
        <v>0</v>
      </c>
      <c r="AN468" s="112">
        <f>IF($D468=$B$1885,AN$463,0)</f>
        <v>0</v>
      </c>
      <c r="AO468" s="112">
        <f>IF($D468=$B$1886,AO$463,0)</f>
        <v>0</v>
      </c>
      <c r="AP468" s="112">
        <f>IF($D468=$B$1887,AP$463,0)</f>
        <v>0</v>
      </c>
      <c r="AQ468" s="112">
        <f>IF($D468=$B$1888,AQ$463,0)</f>
        <v>0</v>
      </c>
      <c r="AR468" s="112">
        <f>IF($D468=$B$1889,AR$463,0)</f>
        <v>0</v>
      </c>
      <c r="AS468" s="112">
        <f>IF($D468=$B$1890,AS$463,0)</f>
        <v>0</v>
      </c>
      <c r="AT468" s="112">
        <f>IF($D468=$B$1891,AT$463,0)</f>
        <v>0</v>
      </c>
      <c r="AU468" s="112">
        <f>IF($D468=$B$1892,AU$463,0)</f>
        <v>0</v>
      </c>
      <c r="AV468" s="215">
        <f>SUM(AN468:AU468)</f>
        <v>0</v>
      </c>
      <c r="AX468" s="216">
        <f>AF468*AM468</f>
        <v>0</v>
      </c>
      <c r="AZ468" s="158">
        <f>AX468+(AV468*AM468)</f>
        <v>0</v>
      </c>
      <c r="BB468" s="217">
        <f>(AF468*AM468)*0.01</f>
        <v>0</v>
      </c>
      <c r="BD468" s="218">
        <f>AZ468*0.01</f>
        <v>0</v>
      </c>
      <c r="BE468" s="402"/>
      <c r="BG468" s="217">
        <f>IF(AF468&gt;0,BG463+BB468,BG463)</f>
        <v>0.47142857142857131</v>
      </c>
      <c r="BH468" s="218">
        <f>IF(AV468&gt;0,BG463+BD468,BG463)</f>
        <v>0.47142857142857131</v>
      </c>
      <c r="BI468" s="217">
        <f>IF(BG468&gt;0.99,0.99,BG468)</f>
        <v>0.47142857142857131</v>
      </c>
      <c r="BJ468" s="218">
        <f>IF(BH468&gt;0.99,0.99,BH468)</f>
        <v>0.47142857142857131</v>
      </c>
    </row>
    <row r="469" spans="1:62" ht="19.95" customHeight="1" thickTop="1" x14ac:dyDescent="0.25">
      <c r="A469" s="200">
        <f>A464+1</f>
        <v>16</v>
      </c>
      <c r="B469" s="200" t="s">
        <v>324</v>
      </c>
      <c r="C469" s="200"/>
      <c r="D469" s="201" t="str">
        <f>IF(B471="","If claimed, explain in white box below.","")</f>
        <v>If claimed, explain in white box below.</v>
      </c>
      <c r="E469" s="203"/>
      <c r="F469" s="1"/>
      <c r="AZ469" s="219">
        <f>IF(AV468=0,0,(AX468+(AV468*AM468)))</f>
        <v>0</v>
      </c>
    </row>
    <row r="470" spans="1:62" ht="45" customHeight="1" x14ac:dyDescent="0.25">
      <c r="A470" s="202"/>
      <c r="B470" s="567" t="s">
        <v>325</v>
      </c>
      <c r="C470" s="568"/>
      <c r="D470" s="569"/>
      <c r="E470" s="203"/>
      <c r="F470" s="1"/>
    </row>
    <row r="471" spans="1:62" ht="220.05" customHeight="1" thickBot="1" x14ac:dyDescent="0.3">
      <c r="A471" s="202"/>
      <c r="B471" s="570"/>
      <c r="C471" s="571"/>
      <c r="D471" s="572"/>
      <c r="E471" s="203"/>
      <c r="F471" s="1"/>
    </row>
    <row r="472" spans="1:62" ht="13.8" customHeight="1" thickTop="1" thickBot="1" x14ac:dyDescent="0.3">
      <c r="A472" s="202"/>
      <c r="B472" s="204" t="str">
        <f>IF(B471="","","Claimed?")</f>
        <v/>
      </c>
      <c r="C472" s="204" t="str">
        <f>IF(B472="","","Verifiable?")</f>
        <v/>
      </c>
      <c r="D472" s="205" t="str">
        <f>IF(C473="","","Independent verification")</f>
        <v/>
      </c>
      <c r="E472" s="573">
        <f>BI473</f>
        <v>0.47142857142857131</v>
      </c>
      <c r="F472" s="574"/>
      <c r="AA472" s="60"/>
      <c r="AB472" s="60" t="s">
        <v>314</v>
      </c>
      <c r="AF472" s="220"/>
      <c r="AG472" s="60" t="s">
        <v>315</v>
      </c>
      <c r="AM472" s="221"/>
      <c r="AN472" s="60" t="s">
        <v>316</v>
      </c>
      <c r="AV472" s="222"/>
      <c r="AX472" s="207" t="s">
        <v>317</v>
      </c>
      <c r="AZ472" s="208" t="s">
        <v>318</v>
      </c>
      <c r="BB472" s="209" t="s">
        <v>319</v>
      </c>
      <c r="BD472" s="208" t="s">
        <v>320</v>
      </c>
      <c r="BG472" s="210" t="s">
        <v>326</v>
      </c>
      <c r="BH472" s="211" t="s">
        <v>327</v>
      </c>
      <c r="BI472" s="210" t="s">
        <v>321</v>
      </c>
      <c r="BJ472" s="211" t="s">
        <v>322</v>
      </c>
    </row>
    <row r="473" spans="1:62" ht="15" thickTop="1" thickBot="1" x14ac:dyDescent="0.3">
      <c r="A473" s="202"/>
      <c r="B473" s="212" t="s">
        <v>323</v>
      </c>
      <c r="C473" s="213"/>
      <c r="D473" s="223"/>
      <c r="E473" s="573">
        <f>BJ473</f>
        <v>0.47142857142857131</v>
      </c>
      <c r="F473" s="574"/>
      <c r="AA473" s="112"/>
      <c r="AB473" s="112">
        <f>IF(B473=$B$1871,$AB$463,0)</f>
        <v>0</v>
      </c>
      <c r="AC473" s="112">
        <f>IF(B473=$B$1872,$AC$463,0)</f>
        <v>0</v>
      </c>
      <c r="AD473" s="112">
        <f>IF(B473=$B$1873,$AD$463,0)</f>
        <v>0</v>
      </c>
      <c r="AE473" s="112">
        <f>IF(B473=$B$1874,$AE$463,0)</f>
        <v>0</v>
      </c>
      <c r="AF473" s="224">
        <f>SUM(AB473:AE473)</f>
        <v>0</v>
      </c>
      <c r="AG473" s="112">
        <f>IF(C473=$B$1877,$E$1877,0)</f>
        <v>0</v>
      </c>
      <c r="AH473" s="112">
        <f>IF(C473=$B$1878,$E$1878,0)</f>
        <v>0</v>
      </c>
      <c r="AI473" s="112">
        <f>IF(C473=$B$1879,$E$1879,0)</f>
        <v>0</v>
      </c>
      <c r="AJ473" s="112">
        <f>IF(C473=$B$1880,$E$1880,0)</f>
        <v>0</v>
      </c>
      <c r="AK473" s="112">
        <f>IF(C473=$B$1881,$E$1881,0)</f>
        <v>0</v>
      </c>
      <c r="AL473" s="112">
        <f>IF(C473=$B$1882,$E$1882,0)</f>
        <v>0</v>
      </c>
      <c r="AM473" s="225">
        <f>SUM(AG473:AL473)</f>
        <v>0</v>
      </c>
      <c r="AN473" s="112">
        <f>IF($D473=$B$1885,AN$463,0)</f>
        <v>0</v>
      </c>
      <c r="AO473" s="112">
        <f>IF($D473=$B$1886,AO$463,0)</f>
        <v>0</v>
      </c>
      <c r="AP473" s="112">
        <f>IF($D473=$B$1887,AP$463,0)</f>
        <v>0</v>
      </c>
      <c r="AQ473" s="112">
        <f>IF($D473=$B$1888,AQ$463,0)</f>
        <v>0</v>
      </c>
      <c r="AR473" s="112">
        <f>IF($D473=$B$1889,AR$463,0)</f>
        <v>0</v>
      </c>
      <c r="AS473" s="112">
        <f>IF($D473=$B$1890,AS$463,0)</f>
        <v>0</v>
      </c>
      <c r="AT473" s="112">
        <f>IF($D473=$B$1891,AT$463,0)</f>
        <v>0</v>
      </c>
      <c r="AU473" s="112">
        <f>IF($D473=$B$1892,AU$463,0)</f>
        <v>0</v>
      </c>
      <c r="AV473" s="226">
        <f>SUM(AN473:AU473)</f>
        <v>0</v>
      </c>
      <c r="AX473" s="216">
        <f>AF473*AM473</f>
        <v>0</v>
      </c>
      <c r="AZ473" s="158">
        <f>AX473+(AV473*AM473)</f>
        <v>0</v>
      </c>
      <c r="BB473" s="217">
        <f>(AF473*AM473)*0.01</f>
        <v>0</v>
      </c>
      <c r="BD473" s="218">
        <f>AZ473*0.01</f>
        <v>0</v>
      </c>
      <c r="BE473" s="402"/>
      <c r="BG473" s="217">
        <f>IF(AF473&gt;0,BG468+BB473,BG468)</f>
        <v>0.47142857142857131</v>
      </c>
      <c r="BH473" s="218">
        <f>IF(AV473&gt;0,BH468+BD473,BH468)</f>
        <v>0.47142857142857131</v>
      </c>
      <c r="BI473" s="217">
        <f>IF(BG473&gt;0.99,0.99,BG473)</f>
        <v>0.47142857142857131</v>
      </c>
      <c r="BJ473" s="218">
        <f>IF(BH473&gt;0.99,0.99,BH473)</f>
        <v>0.47142857142857131</v>
      </c>
    </row>
    <row r="474" spans="1:62" ht="4.95" customHeight="1" thickTop="1" x14ac:dyDescent="0.25">
      <c r="A474" s="203"/>
      <c r="B474" s="203"/>
      <c r="C474" s="203"/>
      <c r="D474" s="203"/>
      <c r="E474" s="203"/>
      <c r="F474" s="1"/>
    </row>
    <row r="475" spans="1:62" ht="19.95" customHeight="1" x14ac:dyDescent="0.25">
      <c r="A475" s="200">
        <f>A469+1</f>
        <v>17</v>
      </c>
      <c r="B475" s="200" t="s">
        <v>328</v>
      </c>
      <c r="C475" s="200"/>
      <c r="D475" s="201" t="str">
        <f>IF(B477="","If claimed, explain in white box below.","")</f>
        <v/>
      </c>
      <c r="E475" s="203"/>
      <c r="F475" s="1"/>
    </row>
    <row r="476" spans="1:62" ht="45" customHeight="1" x14ac:dyDescent="0.25">
      <c r="A476" s="202"/>
      <c r="B476" s="567" t="s">
        <v>329</v>
      </c>
      <c r="C476" s="568"/>
      <c r="D476" s="569"/>
      <c r="E476" s="203"/>
      <c r="F476" s="1"/>
    </row>
    <row r="477" spans="1:62" ht="235.05" customHeight="1" thickBot="1" x14ac:dyDescent="0.3">
      <c r="A477" s="202"/>
      <c r="B477" s="570" t="s">
        <v>330</v>
      </c>
      <c r="C477" s="571"/>
      <c r="D477" s="572"/>
      <c r="E477" s="203"/>
      <c r="F477" s="1"/>
    </row>
    <row r="478" spans="1:62" ht="15" thickTop="1" thickBot="1" x14ac:dyDescent="0.3">
      <c r="A478" s="202"/>
      <c r="B478" s="204" t="str">
        <f>IF(B477="","","Claimed?")</f>
        <v>Claimed?</v>
      </c>
      <c r="C478" s="204" t="str">
        <f>IF(B478="","","Verifiable?")</f>
        <v>Verifiable?</v>
      </c>
      <c r="D478" s="205" t="str">
        <f>IF(C479="","","Independent verification")</f>
        <v>Independent verification</v>
      </c>
      <c r="E478" s="573">
        <f>BI479</f>
        <v>0.49642857142857133</v>
      </c>
      <c r="F478" s="574"/>
      <c r="AA478" s="60"/>
      <c r="AB478" s="60" t="s">
        <v>314</v>
      </c>
      <c r="AF478" s="220"/>
      <c r="AG478" s="60" t="s">
        <v>315</v>
      </c>
      <c r="AM478" s="221"/>
      <c r="AN478" s="60" t="s">
        <v>316</v>
      </c>
      <c r="AV478" s="222"/>
      <c r="AX478" s="207" t="s">
        <v>317</v>
      </c>
      <c r="AZ478" s="208" t="s">
        <v>318</v>
      </c>
      <c r="BB478" s="209" t="s">
        <v>319</v>
      </c>
      <c r="BD478" s="208" t="s">
        <v>320</v>
      </c>
      <c r="BG478" s="210" t="s">
        <v>326</v>
      </c>
      <c r="BH478" s="211" t="s">
        <v>327</v>
      </c>
      <c r="BI478" s="210" t="s">
        <v>321</v>
      </c>
      <c r="BJ478" s="211" t="s">
        <v>322</v>
      </c>
    </row>
    <row r="479" spans="1:62" ht="15" thickTop="1" thickBot="1" x14ac:dyDescent="0.3">
      <c r="A479" s="202"/>
      <c r="B479" s="212" t="s">
        <v>331</v>
      </c>
      <c r="C479" s="213" t="s">
        <v>332</v>
      </c>
      <c r="D479" s="227"/>
      <c r="E479" s="573">
        <f>BJ479</f>
        <v>0.47142857142857131</v>
      </c>
      <c r="F479" s="574"/>
      <c r="AA479" s="112"/>
      <c r="AB479" s="112">
        <f>IF(B479=$B$1871,$AB$463,0)</f>
        <v>0</v>
      </c>
      <c r="AC479" s="112">
        <f>IF(B479=$B$1872,$AC$463,0)</f>
        <v>0</v>
      </c>
      <c r="AD479" s="112">
        <f>IF(B479=$B$1873,$AD$463,0)</f>
        <v>0</v>
      </c>
      <c r="AE479" s="112">
        <f>IF(B479=$B$1874,$AE$463,0)</f>
        <v>5</v>
      </c>
      <c r="AF479" s="224">
        <f>SUM(AB479:AE479)</f>
        <v>5</v>
      </c>
      <c r="AG479" s="112">
        <f>IF(C479=$B$1877,$E$1877,0)</f>
        <v>0</v>
      </c>
      <c r="AH479" s="112">
        <f>IF(C479=$B$1878,$E$1878,0)</f>
        <v>0</v>
      </c>
      <c r="AI479" s="112">
        <f>IF(C479=$B$1879,$E$1879,0)</f>
        <v>0</v>
      </c>
      <c r="AJ479" s="112">
        <f>IF(C479=$B$1880,$E$1880,0)</f>
        <v>0</v>
      </c>
      <c r="AK479" s="112">
        <f>IF(C479=$B$1881,$E$1881,0)</f>
        <v>0</v>
      </c>
      <c r="AL479" s="112">
        <f>IF(C479=$B$1882,$E$1882,0)</f>
        <v>0.5</v>
      </c>
      <c r="AM479" s="225">
        <f>SUM(AG479:AL479)</f>
        <v>0.5</v>
      </c>
      <c r="AN479" s="112">
        <f>IF($D479=$B$1885,AN$463,0)</f>
        <v>0</v>
      </c>
      <c r="AO479" s="112">
        <f>IF($D479=$B$1886,AO$463,0)</f>
        <v>0</v>
      </c>
      <c r="AP479" s="112">
        <f>IF($D479=$B$1887,AP$463,0)</f>
        <v>0</v>
      </c>
      <c r="AQ479" s="112">
        <f>IF($D479=$B$1888,AQ$463,0)</f>
        <v>0</v>
      </c>
      <c r="AR479" s="112">
        <f>IF($D479=$B$1889,AR$463,0)</f>
        <v>0</v>
      </c>
      <c r="AS479" s="112">
        <f>IF($D479=$B$1890,AS$463,0)</f>
        <v>0</v>
      </c>
      <c r="AT479" s="112">
        <f>IF($D479=$B$1891,AT$463,0)</f>
        <v>0</v>
      </c>
      <c r="AU479" s="112">
        <f>IF($D479=$B$1892,AU$463,0)</f>
        <v>0</v>
      </c>
      <c r="AV479" s="226">
        <f>SUM(AN479:AU479)</f>
        <v>0</v>
      </c>
      <c r="AX479" s="216">
        <f>AF479*AM479</f>
        <v>2.5</v>
      </c>
      <c r="AZ479" s="158">
        <f>AX479+(AV479*AM479)</f>
        <v>2.5</v>
      </c>
      <c r="BB479" s="217">
        <f>(AF479*AM479)*0.01</f>
        <v>2.5000000000000001E-2</v>
      </c>
      <c r="BD479" s="218">
        <f>AZ479*0.01</f>
        <v>2.5000000000000001E-2</v>
      </c>
      <c r="BE479" s="402"/>
      <c r="BG479" s="217">
        <f>IF(AF479&gt;0,BG473+BB479,BG473)</f>
        <v>0.49642857142857133</v>
      </c>
      <c r="BH479" s="218">
        <f>IF(AV479&gt;0,BH473+BD479,BH473)</f>
        <v>0.47142857142857131</v>
      </c>
      <c r="BI479" s="217">
        <f>IF(BG479&gt;0.99,0.99,BG479)</f>
        <v>0.49642857142857133</v>
      </c>
      <c r="BJ479" s="218">
        <f>IF(BH479&gt;0.99,0.99,BH479)</f>
        <v>0.47142857142857131</v>
      </c>
    </row>
    <row r="480" spans="1:62" ht="19.95" customHeight="1" thickTop="1" x14ac:dyDescent="0.25">
      <c r="A480" s="200">
        <f>A475+1</f>
        <v>18</v>
      </c>
      <c r="B480" s="200" t="s">
        <v>333</v>
      </c>
      <c r="C480" s="200"/>
      <c r="D480" s="201" t="str">
        <f>IF(B482="","If claimed, explain in white box below.","")</f>
        <v/>
      </c>
      <c r="E480" s="228"/>
      <c r="F480" s="1"/>
    </row>
    <row r="481" spans="1:62" ht="55.05" customHeight="1" x14ac:dyDescent="0.25">
      <c r="A481" s="202"/>
      <c r="B481" s="567" t="s">
        <v>334</v>
      </c>
      <c r="C481" s="568"/>
      <c r="D481" s="569"/>
      <c r="E481" s="203"/>
      <c r="F481" s="1"/>
    </row>
    <row r="482" spans="1:62" ht="235.05" customHeight="1" thickBot="1" x14ac:dyDescent="0.3">
      <c r="A482" s="202"/>
      <c r="B482" s="570" t="s">
        <v>335</v>
      </c>
      <c r="C482" s="571"/>
      <c r="D482" s="572"/>
      <c r="E482" s="203"/>
      <c r="F482" s="1"/>
    </row>
    <row r="483" spans="1:62" ht="15" thickTop="1" thickBot="1" x14ac:dyDescent="0.3">
      <c r="A483" s="202"/>
      <c r="B483" s="204" t="str">
        <f>IF(B482="","","Claimed?")</f>
        <v>Claimed?</v>
      </c>
      <c r="C483" s="204" t="str">
        <f>IF(B483="","","Verifiable?")</f>
        <v>Verifiable?</v>
      </c>
      <c r="D483" s="205" t="str">
        <f>IF(C484="","","Independent verification")</f>
        <v>Independent verification</v>
      </c>
      <c r="E483" s="573">
        <f>BI484</f>
        <v>0.52142857142857135</v>
      </c>
      <c r="F483" s="574"/>
      <c r="AA483" s="60"/>
      <c r="AB483" s="60" t="s">
        <v>314</v>
      </c>
      <c r="AF483" s="220"/>
      <c r="AG483" s="60" t="s">
        <v>315</v>
      </c>
      <c r="AM483" s="221"/>
      <c r="AN483" s="60" t="s">
        <v>316</v>
      </c>
      <c r="AV483" s="222"/>
      <c r="AX483" s="207" t="s">
        <v>317</v>
      </c>
      <c r="AZ483" s="208" t="s">
        <v>318</v>
      </c>
      <c r="BB483" s="209" t="s">
        <v>319</v>
      </c>
      <c r="BD483" s="208" t="s">
        <v>320</v>
      </c>
      <c r="BG483" s="210" t="s">
        <v>326</v>
      </c>
      <c r="BH483" s="211" t="s">
        <v>327</v>
      </c>
      <c r="BI483" s="210" t="s">
        <v>321</v>
      </c>
      <c r="BJ483" s="211" t="s">
        <v>322</v>
      </c>
    </row>
    <row r="484" spans="1:62" ht="15" thickTop="1" thickBot="1" x14ac:dyDescent="0.3">
      <c r="A484" s="202"/>
      <c r="B484" s="212" t="s">
        <v>331</v>
      </c>
      <c r="C484" s="213" t="s">
        <v>332</v>
      </c>
      <c r="D484" s="223"/>
      <c r="E484" s="573">
        <f>BJ484</f>
        <v>0.47142857142857131</v>
      </c>
      <c r="F484" s="574"/>
      <c r="AA484" s="112"/>
      <c r="AB484" s="112">
        <f>IF(B484=$B$1871,$AB$463,0)</f>
        <v>0</v>
      </c>
      <c r="AC484" s="112">
        <f>IF(B484=$B$1872,$AC$463,0)</f>
        <v>0</v>
      </c>
      <c r="AD484" s="112">
        <f>IF(B484=$B$1873,$AD$463,0)</f>
        <v>0</v>
      </c>
      <c r="AE484" s="112">
        <f>IF(B484=$B$1874,$AE$463,0)</f>
        <v>5</v>
      </c>
      <c r="AF484" s="224">
        <f>SUM(AB484:AE484)</f>
        <v>5</v>
      </c>
      <c r="AG484" s="112">
        <f>IF(C484=$B$1877,$E$1877,0)</f>
        <v>0</v>
      </c>
      <c r="AH484" s="112">
        <f>IF(C484=$B$1878,$E$1878,0)</f>
        <v>0</v>
      </c>
      <c r="AI484" s="112">
        <f>IF(C484=$B$1879,$E$1879,0)</f>
        <v>0</v>
      </c>
      <c r="AJ484" s="112">
        <f>IF(C484=$B$1880,$E$1880,0)</f>
        <v>0</v>
      </c>
      <c r="AK484" s="112">
        <f>IF(C484=$B$1881,$E$1881,0)</f>
        <v>0</v>
      </c>
      <c r="AL484" s="112">
        <f>IF(C484=$B$1882,$E$1882,0)</f>
        <v>0.5</v>
      </c>
      <c r="AM484" s="225">
        <f>SUM(AG484:AL484)</f>
        <v>0.5</v>
      </c>
      <c r="AN484" s="112">
        <f>IF($D484=$B$1885,AN$463,0)</f>
        <v>0</v>
      </c>
      <c r="AO484" s="112">
        <f>IF($D484=$B$1886,AO$463,0)</f>
        <v>0</v>
      </c>
      <c r="AP484" s="112">
        <f>IF($D484=$B$1887,AP$463,0)</f>
        <v>0</v>
      </c>
      <c r="AQ484" s="112">
        <f>IF($D484=$B$1888,AQ$463,0)</f>
        <v>0</v>
      </c>
      <c r="AR484" s="112">
        <f>IF($D484=$B$1889,AR$463,0)</f>
        <v>0</v>
      </c>
      <c r="AS484" s="112">
        <f>IF($D484=$B$1890,AS$463,0)</f>
        <v>0</v>
      </c>
      <c r="AT484" s="112">
        <f>IF($D484=$B$1891,AT$463,0)</f>
        <v>0</v>
      </c>
      <c r="AU484" s="112">
        <f>IF($D484=$B$1892,AU$463,0)</f>
        <v>0</v>
      </c>
      <c r="AV484" s="226">
        <f>SUM(AN484:AU484)</f>
        <v>0</v>
      </c>
      <c r="AX484" s="216">
        <f>AF484*AM484</f>
        <v>2.5</v>
      </c>
      <c r="AZ484" s="158">
        <f>AX484+(AV484*AM484)</f>
        <v>2.5</v>
      </c>
      <c r="BB484" s="217">
        <f>(AF484*AM484)*0.01</f>
        <v>2.5000000000000001E-2</v>
      </c>
      <c r="BD484" s="218">
        <f>AZ484*0.01</f>
        <v>2.5000000000000001E-2</v>
      </c>
      <c r="BE484" s="402"/>
      <c r="BG484" s="217">
        <f>IF(AF484&gt;0,BG479+BB484,BG479)</f>
        <v>0.52142857142857135</v>
      </c>
      <c r="BH484" s="218">
        <f>IF(AV484&gt;0,BH479+BD484,BH479)</f>
        <v>0.47142857142857131</v>
      </c>
      <c r="BI484" s="217">
        <f>IF(BG484&gt;0.99,0.99,BG484)</f>
        <v>0.52142857142857135</v>
      </c>
      <c r="BJ484" s="218">
        <f>IF(BH484&gt;0.99,0.99,BH484)</f>
        <v>0.47142857142857131</v>
      </c>
    </row>
    <row r="485" spans="1:62" ht="4.95" customHeight="1" thickTop="1" x14ac:dyDescent="0.25">
      <c r="A485" s="203"/>
      <c r="B485" s="203"/>
      <c r="C485" s="203"/>
      <c r="D485" s="203"/>
      <c r="E485" s="203"/>
      <c r="F485" s="1"/>
    </row>
    <row r="486" spans="1:62" ht="19.95" customHeight="1" x14ac:dyDescent="0.25">
      <c r="A486" s="200">
        <f>A480+1</f>
        <v>19</v>
      </c>
      <c r="B486" s="200" t="s">
        <v>336</v>
      </c>
      <c r="C486" s="200"/>
      <c r="D486" s="201" t="str">
        <f>IF(B488="","If claimed, explain in white box below.","")</f>
        <v>If claimed, explain in white box below.</v>
      </c>
      <c r="E486" s="228"/>
      <c r="F486" s="1"/>
    </row>
    <row r="487" spans="1:62" ht="45" customHeight="1" x14ac:dyDescent="0.25">
      <c r="A487" s="202"/>
      <c r="B487" s="567" t="s">
        <v>337</v>
      </c>
      <c r="C487" s="568"/>
      <c r="D487" s="569"/>
      <c r="E487" s="203"/>
      <c r="F487" s="1"/>
    </row>
    <row r="488" spans="1:62" ht="235.05" customHeight="1" thickBot="1" x14ac:dyDescent="0.3">
      <c r="A488" s="202"/>
      <c r="B488" s="570"/>
      <c r="C488" s="571"/>
      <c r="D488" s="572"/>
      <c r="E488" s="203"/>
      <c r="F488" s="1"/>
    </row>
    <row r="489" spans="1:62" ht="15" thickTop="1" thickBot="1" x14ac:dyDescent="0.3">
      <c r="A489" s="202"/>
      <c r="B489" s="204" t="str">
        <f>IF(B488="","","Claimed?")</f>
        <v/>
      </c>
      <c r="C489" s="204" t="str">
        <f>IF(B489="","","Verifiable?")</f>
        <v/>
      </c>
      <c r="D489" s="205" t="str">
        <f>IF(C490="","","Independent verification")</f>
        <v/>
      </c>
      <c r="E489" s="573">
        <f>BI490</f>
        <v>0.52142857142857135</v>
      </c>
      <c r="F489" s="574"/>
      <c r="AA489" s="60"/>
      <c r="AB489" s="60" t="s">
        <v>314</v>
      </c>
      <c r="AF489" s="220"/>
      <c r="AG489" s="60" t="s">
        <v>315</v>
      </c>
      <c r="AM489" s="221"/>
      <c r="AN489" s="60" t="s">
        <v>316</v>
      </c>
      <c r="AV489" s="222"/>
      <c r="AX489" s="207" t="s">
        <v>317</v>
      </c>
      <c r="AZ489" s="208" t="s">
        <v>318</v>
      </c>
      <c r="BB489" s="209" t="s">
        <v>319</v>
      </c>
      <c r="BD489" s="208" t="s">
        <v>320</v>
      </c>
      <c r="BG489" s="210" t="s">
        <v>326</v>
      </c>
      <c r="BH489" s="211" t="s">
        <v>327</v>
      </c>
      <c r="BI489" s="210" t="s">
        <v>321</v>
      </c>
      <c r="BJ489" s="211" t="s">
        <v>322</v>
      </c>
    </row>
    <row r="490" spans="1:62" ht="15" thickTop="1" thickBot="1" x14ac:dyDescent="0.3">
      <c r="A490" s="202"/>
      <c r="B490" s="212" t="s">
        <v>323</v>
      </c>
      <c r="C490" s="213"/>
      <c r="D490" s="223"/>
      <c r="E490" s="573">
        <f>BJ490</f>
        <v>0.47142857142857131</v>
      </c>
      <c r="F490" s="574"/>
      <c r="AA490" s="112"/>
      <c r="AB490" s="112">
        <f>IF(B490=$B$1871,$AB$463,0)</f>
        <v>0</v>
      </c>
      <c r="AC490" s="112">
        <f>IF(B490=$B$1872,$AC$463,0)</f>
        <v>0</v>
      </c>
      <c r="AD490" s="112">
        <f>IF(B490=$B$1873,$AD$463,0)</f>
        <v>0</v>
      </c>
      <c r="AE490" s="112">
        <f>IF(B490=$B$1874,$AE$463,0)</f>
        <v>0</v>
      </c>
      <c r="AF490" s="224">
        <f>SUM(AB490:AE490)</f>
        <v>0</v>
      </c>
      <c r="AG490" s="112">
        <f>IF(C490=$B$1877,$E$1877,0)</f>
        <v>0</v>
      </c>
      <c r="AH490" s="112">
        <f>IF(C490=$B$1878,$E$1878,0)</f>
        <v>0</v>
      </c>
      <c r="AI490" s="112">
        <f>IF(C490=$B$1879,$E$1879,0)</f>
        <v>0</v>
      </c>
      <c r="AJ490" s="112">
        <f>IF(C490=$B$1880,$E$1880,0)</f>
        <v>0</v>
      </c>
      <c r="AK490" s="112">
        <f>IF(C490=$B$1881,$E$1881,0)</f>
        <v>0</v>
      </c>
      <c r="AL490" s="112">
        <f>IF(C490=$B$1882,$E$1882,0)</f>
        <v>0</v>
      </c>
      <c r="AM490" s="225">
        <f>SUM(AG490:AL490)</f>
        <v>0</v>
      </c>
      <c r="AN490" s="112">
        <f>IF($D490=$B$1885,AN$463,0)</f>
        <v>0</v>
      </c>
      <c r="AO490" s="112">
        <f>IF($D490=$B$1886,AO$463,0)</f>
        <v>0</v>
      </c>
      <c r="AP490" s="112">
        <f>IF($D490=$B$1887,AP$463,0)</f>
        <v>0</v>
      </c>
      <c r="AQ490" s="112">
        <f>IF($D490=$B$1888,AQ$463,0)</f>
        <v>0</v>
      </c>
      <c r="AR490" s="112">
        <f>IF($D490=$B$1889,AR$463,0)</f>
        <v>0</v>
      </c>
      <c r="AS490" s="112">
        <f>IF($D490=$B$1890,AS$463,0)</f>
        <v>0</v>
      </c>
      <c r="AT490" s="112">
        <f>IF($D490=$B$1891,AT$463,0)</f>
        <v>0</v>
      </c>
      <c r="AU490" s="112">
        <f>IF($D490=$B$1892,AU$463,0)</f>
        <v>0</v>
      </c>
      <c r="AV490" s="226">
        <f>SUM(AN490:AU490)</f>
        <v>0</v>
      </c>
      <c r="AX490" s="216">
        <f>AF490*AM490</f>
        <v>0</v>
      </c>
      <c r="AZ490" s="158">
        <f>AX490+(AV490*AM490)</f>
        <v>0</v>
      </c>
      <c r="BB490" s="217">
        <f>(AF490*AM490)*0.01</f>
        <v>0</v>
      </c>
      <c r="BD490" s="218">
        <f>AZ490*0.01</f>
        <v>0</v>
      </c>
      <c r="BE490" s="402"/>
      <c r="BG490" s="217">
        <f>IF(AF490&gt;0,BG484+BB490,BG484)</f>
        <v>0.52142857142857135</v>
      </c>
      <c r="BH490" s="218">
        <f>IF(AV490&gt;0,BH484+BD490,BH484)</f>
        <v>0.47142857142857131</v>
      </c>
      <c r="BI490" s="217">
        <f>IF(BG490&gt;0.99,0.99,BG490)</f>
        <v>0.52142857142857135</v>
      </c>
      <c r="BJ490" s="218">
        <f>IF(BH490&gt;0.99,0.99,BH490)</f>
        <v>0.47142857142857131</v>
      </c>
    </row>
    <row r="491" spans="1:62" ht="19.95" customHeight="1" thickTop="1" x14ac:dyDescent="0.25">
      <c r="A491" s="200">
        <f>A486+1</f>
        <v>20</v>
      </c>
      <c r="B491" s="200" t="s">
        <v>338</v>
      </c>
      <c r="C491" s="200"/>
      <c r="D491" s="201" t="str">
        <f>IF(B493="","If claimed, explain in white box below.","")</f>
        <v>If claimed, explain in white box below.</v>
      </c>
      <c r="E491" s="228"/>
      <c r="F491" s="1"/>
      <c r="BC491" s="16"/>
    </row>
    <row r="492" spans="1:62" ht="45" customHeight="1" x14ac:dyDescent="0.25">
      <c r="A492" s="202"/>
      <c r="B492" s="567" t="s">
        <v>339</v>
      </c>
      <c r="C492" s="568"/>
      <c r="D492" s="569"/>
      <c r="E492" s="203"/>
      <c r="F492" s="1"/>
    </row>
    <row r="493" spans="1:62" ht="235.05" customHeight="1" thickBot="1" x14ac:dyDescent="0.3">
      <c r="A493" s="202"/>
      <c r="B493" s="570"/>
      <c r="C493" s="571"/>
      <c r="D493" s="572"/>
      <c r="E493" s="203"/>
      <c r="F493" s="1"/>
    </row>
    <row r="494" spans="1:62" ht="15" thickTop="1" thickBot="1" x14ac:dyDescent="0.3">
      <c r="A494" s="202"/>
      <c r="B494" s="204" t="str">
        <f>IF(B493="","","Claimed?")</f>
        <v/>
      </c>
      <c r="C494" s="204" t="str">
        <f>IF(B494="","","Verifiable?")</f>
        <v/>
      </c>
      <c r="D494" s="205" t="str">
        <f>IF(C495="","","Independent verification")</f>
        <v/>
      </c>
      <c r="E494" s="573">
        <f>BI495</f>
        <v>0.52142857142857135</v>
      </c>
      <c r="F494" s="574"/>
      <c r="AA494" s="60"/>
      <c r="AB494" s="60" t="s">
        <v>314</v>
      </c>
      <c r="AF494" s="220"/>
      <c r="AG494" s="60" t="s">
        <v>315</v>
      </c>
      <c r="AM494" s="221"/>
      <c r="AN494" s="60" t="s">
        <v>316</v>
      </c>
      <c r="AV494" s="222"/>
      <c r="AX494" s="207" t="s">
        <v>317</v>
      </c>
      <c r="AZ494" s="208" t="s">
        <v>318</v>
      </c>
      <c r="BB494" s="209" t="s">
        <v>319</v>
      </c>
      <c r="BD494" s="208" t="s">
        <v>320</v>
      </c>
      <c r="BG494" s="210" t="s">
        <v>326</v>
      </c>
      <c r="BH494" s="211" t="s">
        <v>327</v>
      </c>
      <c r="BI494" s="210" t="s">
        <v>321</v>
      </c>
      <c r="BJ494" s="211" t="s">
        <v>322</v>
      </c>
    </row>
    <row r="495" spans="1:62" ht="15" thickTop="1" thickBot="1" x14ac:dyDescent="0.3">
      <c r="A495" s="202"/>
      <c r="B495" s="212" t="s">
        <v>340</v>
      </c>
      <c r="C495" s="213"/>
      <c r="D495" s="223" t="s">
        <v>341</v>
      </c>
      <c r="E495" s="573">
        <f>BJ495</f>
        <v>0.47142857142857131</v>
      </c>
      <c r="F495" s="574"/>
      <c r="AA495" s="112"/>
      <c r="AB495" s="112">
        <f>IF(B495=$B$1871,$AB$463,0)</f>
        <v>0</v>
      </c>
      <c r="AC495" s="112">
        <f>IF(B495=$B$1872,$AC$463,0)</f>
        <v>1.25</v>
      </c>
      <c r="AD495" s="112">
        <f>IF(B495=$B$1873,$AD$463,0)</f>
        <v>0</v>
      </c>
      <c r="AE495" s="112">
        <f>IF(B495=$B$1874,$AE$463,0)</f>
        <v>0</v>
      </c>
      <c r="AF495" s="224">
        <f>SUM(AB495:AE495)</f>
        <v>1.25</v>
      </c>
      <c r="AG495" s="112">
        <f>IF(C495=$B$1877,$E$1877,0)</f>
        <v>0</v>
      </c>
      <c r="AH495" s="112">
        <f>IF(C495=$B$1878,$E$1878,0)</f>
        <v>0</v>
      </c>
      <c r="AI495" s="112">
        <f>IF(C495=$B$1879,$E$1879,0)</f>
        <v>0</v>
      </c>
      <c r="AJ495" s="112">
        <f>IF(C495=$B$1880,$E$1880,0)</f>
        <v>0</v>
      </c>
      <c r="AK495" s="112">
        <f>IF(C495=$B$1881,$E$1881,0)</f>
        <v>0</v>
      </c>
      <c r="AL495" s="112">
        <f>IF(C495=$B$1882,$E$1882,0)</f>
        <v>0</v>
      </c>
      <c r="AM495" s="225">
        <f>SUM(AG495:AL495)</f>
        <v>0</v>
      </c>
      <c r="AN495" s="112">
        <f>IF($D495=$B$1885,AN$463,0)</f>
        <v>0</v>
      </c>
      <c r="AO495" s="112">
        <f>IF($D495=$B$1886,AO$463,0)</f>
        <v>0</v>
      </c>
      <c r="AP495" s="112">
        <f>IF($D495=$B$1887,AP$463,0)</f>
        <v>0</v>
      </c>
      <c r="AQ495" s="112">
        <f>IF($D495=$B$1888,AQ$463,0)</f>
        <v>0</v>
      </c>
      <c r="AR495" s="112">
        <f>IF($D495=$B$1889,AR$463,0)</f>
        <v>0</v>
      </c>
      <c r="AS495" s="112">
        <f>IF($D495=$B$1890,AS$463,0)</f>
        <v>0</v>
      </c>
      <c r="AT495" s="112">
        <f>IF($D495=$B$1891,AT$463,0)</f>
        <v>0</v>
      </c>
      <c r="AU495" s="112">
        <f>IF($D495=$B$1892,AU$463,0)</f>
        <v>5</v>
      </c>
      <c r="AV495" s="226">
        <f>SUM(AN495:AU495)</f>
        <v>5</v>
      </c>
      <c r="AX495" s="216">
        <f>AF495*AM495</f>
        <v>0</v>
      </c>
      <c r="AZ495" s="158">
        <f>AX495+(AV495*AM495)</f>
        <v>0</v>
      </c>
      <c r="BB495" s="217">
        <f>(AF495*AM495)*0.01</f>
        <v>0</v>
      </c>
      <c r="BD495" s="218">
        <f>AZ495*0.01</f>
        <v>0</v>
      </c>
      <c r="BE495" s="402"/>
      <c r="BG495" s="217">
        <f>IF(AF495&gt;0,BG490+BB495,BG490)</f>
        <v>0.52142857142857135</v>
      </c>
      <c r="BH495" s="218">
        <f>IF(AV495&gt;0,BH490+BD495,BH490)</f>
        <v>0.47142857142857131</v>
      </c>
      <c r="BI495" s="217">
        <f>IF(BG495&gt;0.99,0.99,BG495)</f>
        <v>0.52142857142857135</v>
      </c>
      <c r="BJ495" s="218">
        <f>IF(BH495&gt;0.99,0.99,BH495)</f>
        <v>0.47142857142857131</v>
      </c>
    </row>
    <row r="496" spans="1:62" ht="14.4" thickTop="1" x14ac:dyDescent="0.25">
      <c r="A496" s="202"/>
      <c r="B496" s="203"/>
      <c r="C496" s="203"/>
      <c r="D496" s="203"/>
      <c r="E496" s="203"/>
      <c r="F496" s="1"/>
    </row>
    <row r="497" spans="1:62" ht="30" customHeight="1" x14ac:dyDescent="0.25">
      <c r="A497" s="188" t="s">
        <v>75</v>
      </c>
      <c r="B497" s="46" t="s">
        <v>342</v>
      </c>
      <c r="C497" s="46"/>
      <c r="D497" s="46"/>
      <c r="E497" s="46"/>
      <c r="F497" s="475" t="s">
        <v>949</v>
      </c>
    </row>
    <row r="498" spans="1:62" ht="19.95" customHeight="1" x14ac:dyDescent="0.25">
      <c r="A498" s="108" t="s">
        <v>343</v>
      </c>
      <c r="B498" s="109"/>
      <c r="C498" s="109"/>
      <c r="D498" s="109"/>
      <c r="E498" s="110"/>
      <c r="F498" s="108"/>
      <c r="AA498" s="190"/>
      <c r="AB498" s="190">
        <v>0</v>
      </c>
      <c r="AC498" s="191">
        <f>AD498/2</f>
        <v>1</v>
      </c>
      <c r="AD498" s="192">
        <f>AE498/2</f>
        <v>2</v>
      </c>
      <c r="AE498" s="193">
        <v>4</v>
      </c>
      <c r="AF498" s="120"/>
      <c r="AG498" s="120"/>
      <c r="AH498" s="120"/>
      <c r="AI498" s="120"/>
      <c r="AJ498" s="120"/>
      <c r="AK498" s="120"/>
      <c r="AL498" s="120"/>
      <c r="AM498" s="120"/>
      <c r="AN498" s="194">
        <f>AE498*-2</f>
        <v>-8</v>
      </c>
      <c r="AO498" s="190">
        <f>AE498*-1</f>
        <v>-4</v>
      </c>
      <c r="AP498" s="190">
        <f>AD498*-1</f>
        <v>-2</v>
      </c>
      <c r="AQ498" s="195">
        <f>AE498*-0.1</f>
        <v>-0.4</v>
      </c>
      <c r="AR498" s="195">
        <v>0</v>
      </c>
      <c r="AS498" s="195">
        <f>AE498*0.1</f>
        <v>0.4</v>
      </c>
      <c r="AT498" s="192">
        <f>AD498</f>
        <v>2</v>
      </c>
      <c r="AU498" s="193">
        <f>AE498</f>
        <v>4</v>
      </c>
      <c r="AV498" s="196"/>
      <c r="AW498" s="120"/>
      <c r="AX498" s="120"/>
      <c r="AY498" s="120"/>
      <c r="AZ498" s="120"/>
      <c r="BA498" s="120"/>
      <c r="BB498" s="197"/>
      <c r="BC498" s="120"/>
      <c r="BD498" s="120"/>
      <c r="BE498" s="120"/>
      <c r="BF498" s="120"/>
      <c r="BG498" s="229">
        <f>BG463</f>
        <v>0.47142857142857131</v>
      </c>
      <c r="BH498" s="402"/>
      <c r="BI498" s="120"/>
    </row>
    <row r="499" spans="1:62" ht="15.6" x14ac:dyDescent="0.25">
      <c r="A499" s="200">
        <f>A491+1</f>
        <v>21</v>
      </c>
      <c r="B499" s="200" t="s">
        <v>344</v>
      </c>
      <c r="C499" s="200"/>
      <c r="D499" s="201" t="str">
        <f>IF(B501="","If claimed, explain in white box below.","")</f>
        <v/>
      </c>
      <c r="E499" s="203"/>
      <c r="F499" s="1"/>
    </row>
    <row r="500" spans="1:62" x14ac:dyDescent="0.25">
      <c r="A500" s="202"/>
      <c r="B500" s="567" t="s">
        <v>345</v>
      </c>
      <c r="C500" s="568"/>
      <c r="D500" s="569"/>
      <c r="E500" s="203"/>
      <c r="F500" s="1"/>
    </row>
    <row r="501" spans="1:62" ht="147" customHeight="1" thickBot="1" x14ac:dyDescent="0.3">
      <c r="A501" s="202"/>
      <c r="B501" s="570" t="s">
        <v>346</v>
      </c>
      <c r="C501" s="571"/>
      <c r="D501" s="572"/>
      <c r="E501" s="203"/>
      <c r="F501" s="1"/>
    </row>
    <row r="502" spans="1:62" ht="15" thickTop="1" thickBot="1" x14ac:dyDescent="0.3">
      <c r="A502" s="202"/>
      <c r="B502" s="204" t="str">
        <f>IF(B501="","","Claimed?")</f>
        <v>Claimed?</v>
      </c>
      <c r="C502" s="204" t="str">
        <f>IF(B502="","","Verifiable?")</f>
        <v>Verifiable?</v>
      </c>
      <c r="D502" s="205" t="str">
        <f>IF(C503="","","Independent verification")</f>
        <v>Independent verification</v>
      </c>
      <c r="E502" s="573">
        <f>BI503</f>
        <v>0.54392857142857132</v>
      </c>
      <c r="F502" s="574"/>
      <c r="AA502" s="60"/>
      <c r="AB502" s="60" t="s">
        <v>314</v>
      </c>
      <c r="AF502" s="220"/>
      <c r="AG502" s="60" t="s">
        <v>315</v>
      </c>
      <c r="AM502" s="221"/>
      <c r="AN502" s="60" t="s">
        <v>316</v>
      </c>
      <c r="AV502" s="222"/>
      <c r="AX502" s="207" t="s">
        <v>317</v>
      </c>
      <c r="AZ502" s="208" t="s">
        <v>318</v>
      </c>
      <c r="BB502" s="209" t="s">
        <v>319</v>
      </c>
      <c r="BD502" s="208" t="s">
        <v>320</v>
      </c>
      <c r="BG502" s="210" t="s">
        <v>326</v>
      </c>
      <c r="BH502" s="211" t="s">
        <v>327</v>
      </c>
      <c r="BI502" s="210" t="s">
        <v>321</v>
      </c>
      <c r="BJ502" s="211" t="s">
        <v>322</v>
      </c>
    </row>
    <row r="503" spans="1:62" ht="15" thickTop="1" thickBot="1" x14ac:dyDescent="0.3">
      <c r="A503" s="202"/>
      <c r="B503" s="212" t="s">
        <v>331</v>
      </c>
      <c r="C503" s="213" t="s">
        <v>347</v>
      </c>
      <c r="D503" s="223"/>
      <c r="E503" s="573">
        <f>BJ503</f>
        <v>0.47142857142857131</v>
      </c>
      <c r="F503" s="574"/>
      <c r="AA503" s="112"/>
      <c r="AB503" s="112">
        <f>IF(B503=$B$1871,$AB$463,0)</f>
        <v>0</v>
      </c>
      <c r="AC503" s="112">
        <f>IF(B503=$B$1872,$AC$463,0)</f>
        <v>0</v>
      </c>
      <c r="AD503" s="112">
        <f>IF(B503=$B$1873,$AD$463,0)</f>
        <v>0</v>
      </c>
      <c r="AE503" s="112">
        <f>IF(B503=$B$1874,$AE$463,0)</f>
        <v>5</v>
      </c>
      <c r="AF503" s="224">
        <f>SUM(AB503:AE503)</f>
        <v>5</v>
      </c>
      <c r="AG503" s="112">
        <f>IF(C503=$B$1877,$E$1877,0)</f>
        <v>0</v>
      </c>
      <c r="AH503" s="112">
        <f>IF(C503=$B$1878,$E$1878,0)</f>
        <v>0</v>
      </c>
      <c r="AI503" s="112">
        <f>IF(C503=$B$1879,$E$1879,0)</f>
        <v>0</v>
      </c>
      <c r="AJ503" s="112">
        <f>IF(C503=$B$1880,$E$1880,0)</f>
        <v>0</v>
      </c>
      <c r="AK503" s="112">
        <f>IF(C503=$B$1881,$E$1881,0)</f>
        <v>0.45</v>
      </c>
      <c r="AL503" s="112">
        <f>IF(C503=$B$1882,$E$1882,0)</f>
        <v>0</v>
      </c>
      <c r="AM503" s="225">
        <f>SUM(AG503:AL503)</f>
        <v>0.45</v>
      </c>
      <c r="AN503" s="112">
        <f>IF($D503=$B$1885,AN$463,0)</f>
        <v>0</v>
      </c>
      <c r="AO503" s="112">
        <f>IF($D503=$B$1886,AO$463,0)</f>
        <v>0</v>
      </c>
      <c r="AP503" s="112">
        <f>IF($D503=$B$1887,AP$463,0)</f>
        <v>0</v>
      </c>
      <c r="AQ503" s="112">
        <f>IF($D503=$B$1888,AQ$463,0)</f>
        <v>0</v>
      </c>
      <c r="AR503" s="112">
        <f>IF($D503=$B$1889,AR$463,0)</f>
        <v>0</v>
      </c>
      <c r="AS503" s="112">
        <f>IF($D503=$B$1890,AS$463,0)</f>
        <v>0</v>
      </c>
      <c r="AT503" s="112">
        <f>IF($D503=$B$1891,AT$463,0)</f>
        <v>0</v>
      </c>
      <c r="AU503" s="112">
        <f>IF($D503=$B$1892,AU$463,0)</f>
        <v>0</v>
      </c>
      <c r="AV503" s="226">
        <f>SUM(AN503:AU503)</f>
        <v>0</v>
      </c>
      <c r="AX503" s="216">
        <f>AF503*AM503</f>
        <v>2.25</v>
      </c>
      <c r="AZ503" s="158">
        <f>AX503+(AV503*AM503)</f>
        <v>2.25</v>
      </c>
      <c r="BB503" s="217">
        <f>(AF503*AM503)*0.01</f>
        <v>2.2499999999999999E-2</v>
      </c>
      <c r="BD503" s="218">
        <f>AZ503*0.01</f>
        <v>2.2499999999999999E-2</v>
      </c>
      <c r="BE503" s="402"/>
      <c r="BG503" s="217">
        <f>IF(AF503&gt;0,BG495+BB503,BG495)</f>
        <v>0.54392857142857132</v>
      </c>
      <c r="BH503" s="218">
        <f>IF(AV503&gt;0,BH495+BD503,BH495)</f>
        <v>0.47142857142857131</v>
      </c>
      <c r="BI503" s="217">
        <f>IF(BG503&gt;0.99,0.99,BG503)</f>
        <v>0.54392857142857132</v>
      </c>
      <c r="BJ503" s="218">
        <f>IF(BH503&gt;0.99,0.99,BH503)</f>
        <v>0.47142857142857131</v>
      </c>
    </row>
    <row r="504" spans="1:62" ht="16.2" thickTop="1" x14ac:dyDescent="0.25">
      <c r="A504" s="200">
        <f>A499+1</f>
        <v>22</v>
      </c>
      <c r="B504" s="200" t="s">
        <v>348</v>
      </c>
      <c r="C504" s="200"/>
      <c r="D504" s="201" t="str">
        <f>IF(B506="","If claimed, explain in white box below.","")</f>
        <v/>
      </c>
      <c r="E504" s="203"/>
      <c r="F504" s="1"/>
    </row>
    <row r="505" spans="1:62" x14ac:dyDescent="0.25">
      <c r="A505" s="202"/>
      <c r="B505" s="567" t="s">
        <v>349</v>
      </c>
      <c r="C505" s="568"/>
      <c r="D505" s="569"/>
      <c r="E505" s="203"/>
      <c r="F505" s="1"/>
    </row>
    <row r="506" spans="1:62" ht="147" customHeight="1" thickBot="1" x14ac:dyDescent="0.3">
      <c r="A506" s="202"/>
      <c r="B506" s="570" t="s">
        <v>350</v>
      </c>
      <c r="C506" s="571"/>
      <c r="D506" s="572"/>
      <c r="E506" s="203"/>
      <c r="F506" s="1"/>
    </row>
    <row r="507" spans="1:62" ht="15" thickTop="1" thickBot="1" x14ac:dyDescent="0.3">
      <c r="A507" s="202"/>
      <c r="B507" s="204" t="str">
        <f>IF(B506="","","Claimed?")</f>
        <v>Claimed?</v>
      </c>
      <c r="C507" s="204" t="str">
        <f>IF(B507="","","Verifiable?")</f>
        <v>Verifiable?</v>
      </c>
      <c r="D507" s="205" t="str">
        <f>IF(C508="","","Independent verification")</f>
        <v>Independent verification</v>
      </c>
      <c r="E507" s="573">
        <f>BI508</f>
        <v>0.55892857142857133</v>
      </c>
      <c r="F507" s="574"/>
      <c r="AA507" s="60"/>
      <c r="AB507" s="60" t="s">
        <v>314</v>
      </c>
      <c r="AF507" s="220"/>
      <c r="AG507" s="60" t="s">
        <v>315</v>
      </c>
      <c r="AM507" s="221"/>
      <c r="AN507" s="60" t="s">
        <v>316</v>
      </c>
      <c r="AV507" s="222"/>
      <c r="AX507" s="207" t="s">
        <v>317</v>
      </c>
      <c r="AZ507" s="208" t="s">
        <v>318</v>
      </c>
      <c r="BB507" s="209" t="s">
        <v>319</v>
      </c>
      <c r="BD507" s="208" t="s">
        <v>320</v>
      </c>
      <c r="BG507" s="210" t="s">
        <v>326</v>
      </c>
      <c r="BH507" s="211" t="s">
        <v>327</v>
      </c>
      <c r="BI507" s="210" t="s">
        <v>321</v>
      </c>
      <c r="BJ507" s="211" t="s">
        <v>322</v>
      </c>
    </row>
    <row r="508" spans="1:62" ht="15" thickTop="1" thickBot="1" x14ac:dyDescent="0.3">
      <c r="A508" s="202"/>
      <c r="B508" s="212" t="s">
        <v>331</v>
      </c>
      <c r="C508" s="213" t="s">
        <v>351</v>
      </c>
      <c r="D508" s="223"/>
      <c r="E508" s="573">
        <f>BJ508</f>
        <v>0.47142857142857131</v>
      </c>
      <c r="F508" s="574"/>
      <c r="AA508" s="112"/>
      <c r="AB508" s="112">
        <f>IF(B508=$B$1871,$AB$463,0)</f>
        <v>0</v>
      </c>
      <c r="AC508" s="112">
        <f>IF(B508=$B$1872,$AC$463,0)</f>
        <v>0</v>
      </c>
      <c r="AD508" s="112">
        <f>IF(B508=$B$1873,$AD$463,0)</f>
        <v>0</v>
      </c>
      <c r="AE508" s="112">
        <f>IF(B508=$B$1874,$AE$463,0)</f>
        <v>5</v>
      </c>
      <c r="AF508" s="224">
        <f>SUM(AB508:AE508)</f>
        <v>5</v>
      </c>
      <c r="AG508" s="112">
        <f>IF(C508=$B$1877,$E$1877,0)</f>
        <v>0</v>
      </c>
      <c r="AH508" s="112">
        <f>IF(C508=$B$1878,$E$1878,0)</f>
        <v>0.30000000000000004</v>
      </c>
      <c r="AI508" s="112">
        <f>IF(C508=$B$1879,$E$1879,0)</f>
        <v>0</v>
      </c>
      <c r="AJ508" s="112">
        <f>IF(C508=$B$1880,$E$1880,0)</f>
        <v>0</v>
      </c>
      <c r="AK508" s="112">
        <f>IF(C508=$B$1881,$E$1881,0)</f>
        <v>0</v>
      </c>
      <c r="AL508" s="112">
        <f>IF(C508=$B$1882,$E$1882,0)</f>
        <v>0</v>
      </c>
      <c r="AM508" s="225">
        <f>SUM(AG508:AL508)</f>
        <v>0.30000000000000004</v>
      </c>
      <c r="AN508" s="112">
        <f>IF($D508=$B$1885,AN$463,0)</f>
        <v>0</v>
      </c>
      <c r="AO508" s="112">
        <f>IF($D508=$B$1886,AO$463,0)</f>
        <v>0</v>
      </c>
      <c r="AP508" s="112">
        <f>IF($D508=$B$1887,AP$463,0)</f>
        <v>0</v>
      </c>
      <c r="AQ508" s="112">
        <f>IF($D508=$B$1888,AQ$463,0)</f>
        <v>0</v>
      </c>
      <c r="AR508" s="112">
        <f>IF($D508=$B$1889,AR$463,0)</f>
        <v>0</v>
      </c>
      <c r="AS508" s="112">
        <f>IF($D508=$B$1890,AS$463,0)</f>
        <v>0</v>
      </c>
      <c r="AT508" s="112">
        <f>IF($D508=$B$1891,AT$463,0)</f>
        <v>0</v>
      </c>
      <c r="AU508" s="112">
        <f>IF($D508=$B$1892,AU$463,0)</f>
        <v>0</v>
      </c>
      <c r="AV508" s="226">
        <f>SUM(AN508:AU508)</f>
        <v>0</v>
      </c>
      <c r="AX508" s="216">
        <f>AF508*AM508</f>
        <v>1.5000000000000002</v>
      </c>
      <c r="AZ508" s="158">
        <f>AX508+(AV508*AM508)</f>
        <v>1.5000000000000002</v>
      </c>
      <c r="BB508" s="217">
        <f>(AF508*AM508)*0.01</f>
        <v>1.5000000000000003E-2</v>
      </c>
      <c r="BD508" s="218">
        <f>AZ508*0.01</f>
        <v>1.5000000000000003E-2</v>
      </c>
      <c r="BE508" s="402"/>
      <c r="BG508" s="217">
        <f>IF(AF508&gt;0,BG503+BB508,BG503)</f>
        <v>0.55892857142857133</v>
      </c>
      <c r="BH508" s="218">
        <f>IF(AV508&gt;0,BH503+BD508,BH503)</f>
        <v>0.47142857142857131</v>
      </c>
      <c r="BI508" s="217">
        <f>IF(BG508&gt;0.99,0.99,BG508)</f>
        <v>0.55892857142857133</v>
      </c>
      <c r="BJ508" s="218">
        <f>IF(BH508&gt;0.99,0.99,BH508)</f>
        <v>0.47142857142857131</v>
      </c>
    </row>
    <row r="509" spans="1:62" ht="16.2" thickTop="1" x14ac:dyDescent="0.25">
      <c r="A509" s="200">
        <f>A504+1</f>
        <v>23</v>
      </c>
      <c r="B509" s="200" t="s">
        <v>352</v>
      </c>
      <c r="C509" s="200"/>
      <c r="D509" s="201" t="str">
        <f>IF(B511="","If claimed, explain in white box below.","")</f>
        <v/>
      </c>
      <c r="E509" s="203"/>
      <c r="F509" s="1"/>
    </row>
    <row r="510" spans="1:62" x14ac:dyDescent="0.25">
      <c r="A510" s="202"/>
      <c r="B510" s="567" t="s">
        <v>353</v>
      </c>
      <c r="C510" s="568"/>
      <c r="D510" s="569"/>
      <c r="E510" s="203"/>
      <c r="F510" s="1"/>
    </row>
    <row r="511" spans="1:62" ht="147" customHeight="1" thickBot="1" x14ac:dyDescent="0.3">
      <c r="A511" s="202"/>
      <c r="B511" s="570" t="s">
        <v>354</v>
      </c>
      <c r="C511" s="571"/>
      <c r="D511" s="572"/>
      <c r="E511" s="203"/>
      <c r="F511" s="1"/>
    </row>
    <row r="512" spans="1:62" ht="15" thickTop="1" thickBot="1" x14ac:dyDescent="0.3">
      <c r="A512" s="202"/>
      <c r="B512" s="204" t="str">
        <f>IF(B511="","","Claimed?")</f>
        <v>Claimed?</v>
      </c>
      <c r="C512" s="204" t="str">
        <f>IF(B512="","","Verifiable?")</f>
        <v>Verifiable?</v>
      </c>
      <c r="D512" s="205" t="str">
        <f>IF(C513="","","Independent verification")</f>
        <v>Independent verification</v>
      </c>
      <c r="E512" s="573">
        <f>BI513</f>
        <v>0.58392857142857135</v>
      </c>
      <c r="F512" s="574"/>
      <c r="AA512" s="60"/>
      <c r="AB512" s="60" t="s">
        <v>314</v>
      </c>
      <c r="AF512" s="220"/>
      <c r="AG512" s="60" t="s">
        <v>315</v>
      </c>
      <c r="AM512" s="221"/>
      <c r="AN512" s="60" t="s">
        <v>316</v>
      </c>
      <c r="AV512" s="222"/>
      <c r="AX512" s="207" t="s">
        <v>317</v>
      </c>
      <c r="AZ512" s="208" t="s">
        <v>318</v>
      </c>
      <c r="BB512" s="209" t="s">
        <v>319</v>
      </c>
      <c r="BD512" s="208" t="s">
        <v>320</v>
      </c>
      <c r="BG512" s="210" t="s">
        <v>326</v>
      </c>
      <c r="BH512" s="211" t="s">
        <v>327</v>
      </c>
      <c r="BI512" s="210" t="s">
        <v>321</v>
      </c>
      <c r="BJ512" s="211" t="s">
        <v>322</v>
      </c>
    </row>
    <row r="513" spans="1:62" ht="15" thickTop="1" thickBot="1" x14ac:dyDescent="0.3">
      <c r="A513" s="202"/>
      <c r="B513" s="212" t="s">
        <v>331</v>
      </c>
      <c r="C513" s="213" t="s">
        <v>332</v>
      </c>
      <c r="D513" s="223"/>
      <c r="E513" s="573">
        <f>BJ513</f>
        <v>0.47142857142857131</v>
      </c>
      <c r="F513" s="574"/>
      <c r="AA513" s="112"/>
      <c r="AB513" s="112">
        <f>IF(B513=$B$1871,$AB$463,0)</f>
        <v>0</v>
      </c>
      <c r="AC513" s="112">
        <f>IF(B513=$B$1872,$AC$463,0)</f>
        <v>0</v>
      </c>
      <c r="AD513" s="112">
        <f>IF(B513=$B$1873,$AD$463,0)</f>
        <v>0</v>
      </c>
      <c r="AE513" s="112">
        <f>IF(B513=$B$1874,$AE$463,0)</f>
        <v>5</v>
      </c>
      <c r="AF513" s="224">
        <f>SUM(AB513:AE513)</f>
        <v>5</v>
      </c>
      <c r="AG513" s="112">
        <f>IF(C513=$B$1877,$E$1877,0)</f>
        <v>0</v>
      </c>
      <c r="AH513" s="112">
        <f>IF(C513=$B$1878,$E$1878,0)</f>
        <v>0</v>
      </c>
      <c r="AI513" s="112">
        <f>IF(C513=$B$1879,$E$1879,0)</f>
        <v>0</v>
      </c>
      <c r="AJ513" s="112">
        <f>IF(C513=$B$1880,$E$1880,0)</f>
        <v>0</v>
      </c>
      <c r="AK513" s="112">
        <f>IF(C513=$B$1881,$E$1881,0)</f>
        <v>0</v>
      </c>
      <c r="AL513" s="112">
        <f>IF(C513=$B$1882,$E$1882,0)</f>
        <v>0.5</v>
      </c>
      <c r="AM513" s="225">
        <f>SUM(AG513:AL513)</f>
        <v>0.5</v>
      </c>
      <c r="AN513" s="112">
        <f>IF($D513=$B$1885,AN$463,0)</f>
        <v>0</v>
      </c>
      <c r="AO513" s="112">
        <f>IF($D513=$B$1886,AO$463,0)</f>
        <v>0</v>
      </c>
      <c r="AP513" s="112">
        <f>IF($D513=$B$1887,AP$463,0)</f>
        <v>0</v>
      </c>
      <c r="AQ513" s="112">
        <f>IF($D513=$B$1888,AQ$463,0)</f>
        <v>0</v>
      </c>
      <c r="AR513" s="112">
        <f>IF($D513=$B$1889,AR$463,0)</f>
        <v>0</v>
      </c>
      <c r="AS513" s="112">
        <f>IF($D513=$B$1890,AS$463,0)</f>
        <v>0</v>
      </c>
      <c r="AT513" s="112">
        <f>IF($D513=$B$1891,AT$463,0)</f>
        <v>0</v>
      </c>
      <c r="AU513" s="112">
        <f>IF($D513=$B$1892,AU$463,0)</f>
        <v>0</v>
      </c>
      <c r="AV513" s="226">
        <f>SUM(AN513:AU513)</f>
        <v>0</v>
      </c>
      <c r="AX513" s="216">
        <f>AF513*AM513</f>
        <v>2.5</v>
      </c>
      <c r="AZ513" s="158">
        <f>AX513+(AV513*AM513)</f>
        <v>2.5</v>
      </c>
      <c r="BB513" s="217">
        <f>(AF513*AM513)*0.01</f>
        <v>2.5000000000000001E-2</v>
      </c>
      <c r="BD513" s="218">
        <f>AZ513*0.01</f>
        <v>2.5000000000000001E-2</v>
      </c>
      <c r="BE513" s="402"/>
      <c r="BG513" s="217">
        <f>IF(AF513&gt;0,BG508+BB513,BG508)</f>
        <v>0.58392857142857135</v>
      </c>
      <c r="BH513" s="218">
        <f>IF(AV513&gt;0,BH508+BD513,BH508)</f>
        <v>0.47142857142857131</v>
      </c>
      <c r="BI513" s="217">
        <f>IF(BG513&gt;0.99,0.99,BG513)</f>
        <v>0.58392857142857135</v>
      </c>
      <c r="BJ513" s="218">
        <f>IF(BH513&gt;0.99,0.99,BH513)</f>
        <v>0.47142857142857131</v>
      </c>
    </row>
    <row r="514" spans="1:62" ht="4.95" customHeight="1" thickTop="1" x14ac:dyDescent="0.25">
      <c r="A514" s="203"/>
      <c r="B514" s="203"/>
      <c r="C514" s="203"/>
      <c r="D514" s="203"/>
      <c r="E514" s="203"/>
      <c r="F514" s="1"/>
    </row>
    <row r="515" spans="1:62" ht="15.6" x14ac:dyDescent="0.25">
      <c r="A515" s="200">
        <f>A509+1</f>
        <v>24</v>
      </c>
      <c r="B515" s="200" t="s">
        <v>355</v>
      </c>
      <c r="C515" s="200"/>
      <c r="D515" s="201" t="str">
        <f>IF(B517="","If claimed, explain in white box below.","")</f>
        <v/>
      </c>
      <c r="E515" s="203"/>
      <c r="F515" s="1"/>
    </row>
    <row r="516" spans="1:62" x14ac:dyDescent="0.25">
      <c r="A516" s="202"/>
      <c r="B516" s="567" t="s">
        <v>356</v>
      </c>
      <c r="C516" s="568"/>
      <c r="D516" s="569"/>
      <c r="E516" s="203"/>
      <c r="F516" s="1"/>
    </row>
    <row r="517" spans="1:62" ht="160.05000000000001" customHeight="1" thickBot="1" x14ac:dyDescent="0.3">
      <c r="A517" s="202"/>
      <c r="B517" s="570" t="s">
        <v>357</v>
      </c>
      <c r="C517" s="571"/>
      <c r="D517" s="572"/>
      <c r="E517" s="203"/>
      <c r="F517" s="1"/>
    </row>
    <row r="518" spans="1:62" ht="15" thickTop="1" thickBot="1" x14ac:dyDescent="0.3">
      <c r="A518" s="202"/>
      <c r="B518" s="204" t="str">
        <f>IF(B517="","","Claimed?")</f>
        <v>Claimed?</v>
      </c>
      <c r="C518" s="204" t="str">
        <f>IF(B518="","","Verifiable?")</f>
        <v>Verifiable?</v>
      </c>
      <c r="D518" s="205" t="str">
        <f>IF(C519="","","Independent verification")</f>
        <v>Independent verification</v>
      </c>
      <c r="E518" s="573">
        <f>BI519</f>
        <v>0.60142857142857131</v>
      </c>
      <c r="F518" s="574"/>
      <c r="AA518" s="60"/>
      <c r="AB518" s="60" t="s">
        <v>314</v>
      </c>
      <c r="AF518" s="220"/>
      <c r="AG518" s="60" t="s">
        <v>315</v>
      </c>
      <c r="AM518" s="221"/>
      <c r="AN518" s="60" t="s">
        <v>316</v>
      </c>
      <c r="AV518" s="222"/>
      <c r="AX518" s="207" t="s">
        <v>317</v>
      </c>
      <c r="AZ518" s="208" t="s">
        <v>318</v>
      </c>
      <c r="BB518" s="209" t="s">
        <v>319</v>
      </c>
      <c r="BD518" s="208" t="s">
        <v>320</v>
      </c>
      <c r="BG518" s="210" t="s">
        <v>326</v>
      </c>
      <c r="BH518" s="211" t="s">
        <v>327</v>
      </c>
      <c r="BI518" s="210" t="s">
        <v>321</v>
      </c>
      <c r="BJ518" s="211" t="s">
        <v>322</v>
      </c>
    </row>
    <row r="519" spans="1:62" ht="15" thickTop="1" thickBot="1" x14ac:dyDescent="0.3">
      <c r="A519" s="202"/>
      <c r="B519" s="212" t="s">
        <v>331</v>
      </c>
      <c r="C519" s="213" t="s">
        <v>358</v>
      </c>
      <c r="D519" s="223"/>
      <c r="E519" s="573">
        <f>BJ519</f>
        <v>0.47142857142857131</v>
      </c>
      <c r="F519" s="574"/>
      <c r="AA519" s="112"/>
      <c r="AB519" s="112">
        <f>IF(B519=$B$1871,$AB$463,0)</f>
        <v>0</v>
      </c>
      <c r="AC519" s="112">
        <f>IF(B519=$B$1872,$AC$463,0)</f>
        <v>0</v>
      </c>
      <c r="AD519" s="112">
        <f>IF(B519=$B$1873,$AD$463,0)</f>
        <v>0</v>
      </c>
      <c r="AE519" s="112">
        <f>IF(B519=$B$1874,$AE$463,0)</f>
        <v>5</v>
      </c>
      <c r="AF519" s="224">
        <f>SUM(AB519:AE519)</f>
        <v>5</v>
      </c>
      <c r="AG519" s="112">
        <f>IF(C519=$B$1877,$E$1877,0)</f>
        <v>0</v>
      </c>
      <c r="AH519" s="112">
        <f>IF(C519=$B$1878,$E$1878,0)</f>
        <v>0</v>
      </c>
      <c r="AI519" s="112">
        <f>IF(C519=$B$1879,$E$1879,0)</f>
        <v>0.35000000000000003</v>
      </c>
      <c r="AJ519" s="112">
        <f>IF(C519=$B$1880,$E$1880,0)</f>
        <v>0</v>
      </c>
      <c r="AK519" s="112">
        <f>IF(C519=$B$1881,$E$1881,0)</f>
        <v>0</v>
      </c>
      <c r="AL519" s="112">
        <f>IF(C519=$B$1882,$E$1882,0)</f>
        <v>0</v>
      </c>
      <c r="AM519" s="225">
        <f>SUM(AG519:AL519)</f>
        <v>0.35000000000000003</v>
      </c>
      <c r="AN519" s="112">
        <f>IF($D519=$B$1885,AN$463,0)</f>
        <v>0</v>
      </c>
      <c r="AO519" s="112">
        <f>IF($D519=$B$1886,AO$463,0)</f>
        <v>0</v>
      </c>
      <c r="AP519" s="112">
        <f>IF($D519=$B$1887,AP$463,0)</f>
        <v>0</v>
      </c>
      <c r="AQ519" s="112">
        <f>IF($D519=$B$1888,AQ$463,0)</f>
        <v>0</v>
      </c>
      <c r="AR519" s="112">
        <f>IF($D519=$B$1889,AR$463,0)</f>
        <v>0</v>
      </c>
      <c r="AS519" s="112">
        <f>IF($D519=$B$1890,AS$463,0)</f>
        <v>0</v>
      </c>
      <c r="AT519" s="112">
        <f>IF($D519=$B$1891,AT$463,0)</f>
        <v>0</v>
      </c>
      <c r="AU519" s="112">
        <f>IF($D519=$B$1892,AU$463,0)</f>
        <v>0</v>
      </c>
      <c r="AV519" s="226">
        <f>SUM(AN519:AU519)</f>
        <v>0</v>
      </c>
      <c r="AX519" s="216">
        <f>AF519*AM519</f>
        <v>1.7500000000000002</v>
      </c>
      <c r="AZ519" s="158">
        <f>AX519+(AV519*AM519)</f>
        <v>1.7500000000000002</v>
      </c>
      <c r="BB519" s="217">
        <f>(AF519*AM519)*0.01</f>
        <v>1.7500000000000002E-2</v>
      </c>
      <c r="BD519" s="218">
        <f>AZ519*0.01</f>
        <v>1.7500000000000002E-2</v>
      </c>
      <c r="BE519" s="402"/>
      <c r="BG519" s="217">
        <f>IF(AF519&gt;0,BG513+BB519,BG513)</f>
        <v>0.60142857142857131</v>
      </c>
      <c r="BH519" s="218">
        <f>IF(AV519&gt;0,BH513+BD519,BH513)</f>
        <v>0.47142857142857131</v>
      </c>
      <c r="BI519" s="217">
        <f>IF(BG519&gt;0.99,0.99,BG519)</f>
        <v>0.60142857142857131</v>
      </c>
      <c r="BJ519" s="218">
        <f>IF(BH519&gt;0.99,0.99,BH519)</f>
        <v>0.47142857142857131</v>
      </c>
    </row>
    <row r="520" spans="1:62" ht="16.2" thickTop="1" x14ac:dyDescent="0.25">
      <c r="A520" s="200">
        <f>A515+1</f>
        <v>25</v>
      </c>
      <c r="B520" s="200" t="s">
        <v>359</v>
      </c>
      <c r="C520" s="200"/>
      <c r="D520" s="201" t="str">
        <f>IF(B522="","If claimed, explain in white box below.","")</f>
        <v/>
      </c>
      <c r="E520" s="203"/>
      <c r="F520" s="1"/>
    </row>
    <row r="521" spans="1:62" x14ac:dyDescent="0.25">
      <c r="A521" s="202"/>
      <c r="B521" s="567" t="s">
        <v>360</v>
      </c>
      <c r="C521" s="568"/>
      <c r="D521" s="569"/>
      <c r="E521" s="203"/>
      <c r="F521" s="1"/>
    </row>
    <row r="522" spans="1:62" ht="160.05000000000001" customHeight="1" thickBot="1" x14ac:dyDescent="0.3">
      <c r="A522" s="202"/>
      <c r="B522" s="570" t="s">
        <v>361</v>
      </c>
      <c r="C522" s="571"/>
      <c r="D522" s="572"/>
      <c r="E522" s="203"/>
      <c r="F522" s="1"/>
    </row>
    <row r="523" spans="1:62" ht="15" thickTop="1" thickBot="1" x14ac:dyDescent="0.3">
      <c r="A523" s="202"/>
      <c r="B523" s="204" t="str">
        <f>IF(B522="","","Claimed?")</f>
        <v>Claimed?</v>
      </c>
      <c r="C523" s="204" t="str">
        <f>IF(B523="","","Verifiable?")</f>
        <v>Verifiable?</v>
      </c>
      <c r="D523" s="205" t="str">
        <f>IF(C524="","","Independent verification")</f>
        <v>Independent verification</v>
      </c>
      <c r="E523" s="573">
        <f>BI524</f>
        <v>0.62642857142857133</v>
      </c>
      <c r="F523" s="574"/>
      <c r="AA523" s="60"/>
      <c r="AB523" s="60" t="s">
        <v>314</v>
      </c>
      <c r="AF523" s="220"/>
      <c r="AG523" s="60" t="s">
        <v>315</v>
      </c>
      <c r="AM523" s="221"/>
      <c r="AN523" s="60" t="s">
        <v>316</v>
      </c>
      <c r="AV523" s="222"/>
      <c r="AX523" s="207" t="s">
        <v>317</v>
      </c>
      <c r="AZ523" s="208" t="s">
        <v>318</v>
      </c>
      <c r="BB523" s="209" t="s">
        <v>319</v>
      </c>
      <c r="BD523" s="208" t="s">
        <v>320</v>
      </c>
      <c r="BG523" s="210" t="s">
        <v>326</v>
      </c>
      <c r="BH523" s="211" t="s">
        <v>327</v>
      </c>
      <c r="BI523" s="210" t="s">
        <v>321</v>
      </c>
      <c r="BJ523" s="211" t="s">
        <v>322</v>
      </c>
    </row>
    <row r="524" spans="1:62" ht="15" thickTop="1" thickBot="1" x14ac:dyDescent="0.3">
      <c r="A524" s="202"/>
      <c r="B524" s="212" t="s">
        <v>331</v>
      </c>
      <c r="C524" s="213" t="s">
        <v>332</v>
      </c>
      <c r="D524" s="223"/>
      <c r="E524" s="573">
        <f>BJ524</f>
        <v>0.47142857142857131</v>
      </c>
      <c r="F524" s="574"/>
      <c r="AA524" s="112"/>
      <c r="AB524" s="112">
        <f>IF(B524=$B$1871,$AB$463,0)</f>
        <v>0</v>
      </c>
      <c r="AC524" s="112">
        <f>IF(B524=$B$1872,$AC$463,0)</f>
        <v>0</v>
      </c>
      <c r="AD524" s="112">
        <f>IF(B524=$B$1873,$AD$463,0)</f>
        <v>0</v>
      </c>
      <c r="AE524" s="112">
        <f>IF(B524=$B$1874,$AE$463,0)</f>
        <v>5</v>
      </c>
      <c r="AF524" s="224">
        <f>SUM(AB524:AE524)</f>
        <v>5</v>
      </c>
      <c r="AG524" s="112">
        <f>IF(C524=$B$1877,$E$1877,0)</f>
        <v>0</v>
      </c>
      <c r="AH524" s="112">
        <f>IF(C524=$B$1878,$E$1878,0)</f>
        <v>0</v>
      </c>
      <c r="AI524" s="112">
        <f>IF(C524=$B$1879,$E$1879,0)</f>
        <v>0</v>
      </c>
      <c r="AJ524" s="112">
        <f>IF(C524=$B$1880,$E$1880,0)</f>
        <v>0</v>
      </c>
      <c r="AK524" s="112">
        <f>IF(C524=$B$1881,$E$1881,0)</f>
        <v>0</v>
      </c>
      <c r="AL524" s="112">
        <f>IF(C524=$B$1882,$E$1882,0)</f>
        <v>0.5</v>
      </c>
      <c r="AM524" s="225">
        <f>SUM(AG524:AL524)</f>
        <v>0.5</v>
      </c>
      <c r="AN524" s="112">
        <f>IF($D524=$B$1885,AN$463,0)</f>
        <v>0</v>
      </c>
      <c r="AO524" s="112">
        <f>IF($D524=$B$1886,AO$463,0)</f>
        <v>0</v>
      </c>
      <c r="AP524" s="112">
        <f>IF($D524=$B$1887,AP$463,0)</f>
        <v>0</v>
      </c>
      <c r="AQ524" s="112">
        <f>IF($D524=$B$1888,AQ$463,0)</f>
        <v>0</v>
      </c>
      <c r="AR524" s="112">
        <f>IF($D524=$B$1889,AR$463,0)</f>
        <v>0</v>
      </c>
      <c r="AS524" s="112">
        <f>IF($D524=$B$1890,AS$463,0)</f>
        <v>0</v>
      </c>
      <c r="AT524" s="112">
        <f>IF($D524=$B$1891,AT$463,0)</f>
        <v>0</v>
      </c>
      <c r="AU524" s="112">
        <f>IF($D524=$B$1892,AU$463,0)</f>
        <v>0</v>
      </c>
      <c r="AV524" s="226">
        <f>SUM(AN524:AU524)</f>
        <v>0</v>
      </c>
      <c r="AX524" s="216">
        <f>AF524*AM524</f>
        <v>2.5</v>
      </c>
      <c r="AZ524" s="158">
        <f>AX524+(AV524*AM524)</f>
        <v>2.5</v>
      </c>
      <c r="BB524" s="217">
        <f>(AF524*AM524)*0.01</f>
        <v>2.5000000000000001E-2</v>
      </c>
      <c r="BD524" s="218">
        <f>AZ524*0.01</f>
        <v>2.5000000000000001E-2</v>
      </c>
      <c r="BE524" s="402"/>
      <c r="BG524" s="217">
        <f>IF(AF524&gt;0,BG519+BB524,BG519)</f>
        <v>0.62642857142857133</v>
      </c>
      <c r="BH524" s="218">
        <f>IF(AV524&gt;0,BH519+BD524,BH519)</f>
        <v>0.47142857142857131</v>
      </c>
      <c r="BI524" s="217">
        <f>IF(BG524&gt;0.99,0.99,BG524)</f>
        <v>0.62642857142857133</v>
      </c>
      <c r="BJ524" s="218">
        <f>IF(BH524&gt;0.99,0.99,BH524)</f>
        <v>0.47142857142857131</v>
      </c>
    </row>
    <row r="525" spans="1:62" ht="16.2" thickTop="1" x14ac:dyDescent="0.25">
      <c r="A525" s="200">
        <f>A520+1</f>
        <v>26</v>
      </c>
      <c r="B525" s="200" t="s">
        <v>362</v>
      </c>
      <c r="C525" s="200"/>
      <c r="D525" s="201" t="str">
        <f>IF(B527="","If claimed, explain in white box below.","")</f>
        <v/>
      </c>
      <c r="E525" s="203"/>
      <c r="F525" s="1"/>
    </row>
    <row r="526" spans="1:62" x14ac:dyDescent="0.25">
      <c r="A526" s="202"/>
      <c r="B526" s="567" t="s">
        <v>363</v>
      </c>
      <c r="C526" s="568"/>
      <c r="D526" s="569"/>
      <c r="E526" s="203"/>
      <c r="F526" s="1"/>
    </row>
    <row r="527" spans="1:62" ht="160.05000000000001" customHeight="1" thickBot="1" x14ac:dyDescent="0.3">
      <c r="A527" s="202"/>
      <c r="B527" s="570" t="s">
        <v>364</v>
      </c>
      <c r="C527" s="571"/>
      <c r="D527" s="572"/>
      <c r="E527" s="203"/>
      <c r="F527" s="1"/>
    </row>
    <row r="528" spans="1:62" ht="15" thickTop="1" thickBot="1" x14ac:dyDescent="0.3">
      <c r="A528" s="202"/>
      <c r="B528" s="204" t="str">
        <f>IF(B527="","","Claimed?")</f>
        <v>Claimed?</v>
      </c>
      <c r="C528" s="204" t="str">
        <f>IF(B528="","","Verifiable?")</f>
        <v>Verifiable?</v>
      </c>
      <c r="D528" s="205" t="str">
        <f>IF(C529="","","Independent verification")</f>
        <v>Independent verification</v>
      </c>
      <c r="E528" s="573">
        <f>BI529</f>
        <v>0.65142857142857136</v>
      </c>
      <c r="F528" s="574"/>
      <c r="AA528" s="60"/>
      <c r="AB528" s="60" t="s">
        <v>314</v>
      </c>
      <c r="AF528" s="220"/>
      <c r="AG528" s="60" t="s">
        <v>315</v>
      </c>
      <c r="AM528" s="221"/>
      <c r="AN528" s="60" t="s">
        <v>316</v>
      </c>
      <c r="AV528" s="222"/>
      <c r="AX528" s="207" t="s">
        <v>317</v>
      </c>
      <c r="AZ528" s="208" t="s">
        <v>318</v>
      </c>
      <c r="BB528" s="209" t="s">
        <v>319</v>
      </c>
      <c r="BD528" s="208" t="s">
        <v>320</v>
      </c>
      <c r="BG528" s="210" t="s">
        <v>326</v>
      </c>
      <c r="BH528" s="211" t="s">
        <v>327</v>
      </c>
      <c r="BI528" s="210" t="s">
        <v>321</v>
      </c>
      <c r="BJ528" s="211" t="s">
        <v>322</v>
      </c>
    </row>
    <row r="529" spans="1:62" ht="15" thickTop="1" thickBot="1" x14ac:dyDescent="0.3">
      <c r="A529" s="202"/>
      <c r="B529" s="212" t="s">
        <v>331</v>
      </c>
      <c r="C529" s="213" t="s">
        <v>332</v>
      </c>
      <c r="D529" s="223"/>
      <c r="E529" s="573">
        <f>BJ529</f>
        <v>0.47142857142857131</v>
      </c>
      <c r="F529" s="574"/>
      <c r="AA529" s="112"/>
      <c r="AB529" s="112">
        <f>IF(B529=$B$1871,$AB$463,0)</f>
        <v>0</v>
      </c>
      <c r="AC529" s="112">
        <f>IF(B529=$B$1872,$AC$463,0)</f>
        <v>0</v>
      </c>
      <c r="AD529" s="112">
        <f>IF(B529=$B$1873,$AD$463,0)</f>
        <v>0</v>
      </c>
      <c r="AE529" s="112">
        <f>IF(B529=$B$1874,$AE$463,0)</f>
        <v>5</v>
      </c>
      <c r="AF529" s="224">
        <f>SUM(AB529:AE529)</f>
        <v>5</v>
      </c>
      <c r="AG529" s="112">
        <f>IF(C529=$B$1877,$E$1877,0)</f>
        <v>0</v>
      </c>
      <c r="AH529" s="112">
        <f>IF(C529=$B$1878,$E$1878,0)</f>
        <v>0</v>
      </c>
      <c r="AI529" s="112">
        <f>IF(C529=$B$1879,$E$1879,0)</f>
        <v>0</v>
      </c>
      <c r="AJ529" s="112">
        <f>IF(C529=$B$1880,$E$1880,0)</f>
        <v>0</v>
      </c>
      <c r="AK529" s="112">
        <f>IF(C529=$B$1881,$E$1881,0)</f>
        <v>0</v>
      </c>
      <c r="AL529" s="112">
        <f>IF(C529=$B$1882,$E$1882,0)</f>
        <v>0.5</v>
      </c>
      <c r="AM529" s="225">
        <f>SUM(AG529:AL529)</f>
        <v>0.5</v>
      </c>
      <c r="AN529" s="112">
        <f>IF($D529=$B$1885,AN$463,0)</f>
        <v>0</v>
      </c>
      <c r="AO529" s="112">
        <f>IF($D529=$B$1886,AO$463,0)</f>
        <v>0</v>
      </c>
      <c r="AP529" s="112">
        <f>IF($D529=$B$1887,AP$463,0)</f>
        <v>0</v>
      </c>
      <c r="AQ529" s="112">
        <f>IF($D529=$B$1888,AQ$463,0)</f>
        <v>0</v>
      </c>
      <c r="AR529" s="112">
        <f>IF($D529=$B$1889,AR$463,0)</f>
        <v>0</v>
      </c>
      <c r="AS529" s="112">
        <f>IF($D529=$B$1890,AS$463,0)</f>
        <v>0</v>
      </c>
      <c r="AT529" s="112">
        <f>IF($D529=$B$1891,AT$463,0)</f>
        <v>0</v>
      </c>
      <c r="AU529" s="112">
        <f>IF($D529=$B$1892,AU$463,0)</f>
        <v>0</v>
      </c>
      <c r="AV529" s="226">
        <f>SUM(AN529:AU529)</f>
        <v>0</v>
      </c>
      <c r="AX529" s="216">
        <f>AF529*AM529</f>
        <v>2.5</v>
      </c>
      <c r="AZ529" s="158">
        <f>AX529+(AV529*AM529)</f>
        <v>2.5</v>
      </c>
      <c r="BB529" s="217">
        <f>(AF529*AM529)*0.01</f>
        <v>2.5000000000000001E-2</v>
      </c>
      <c r="BD529" s="218">
        <f>AZ529*0.01</f>
        <v>2.5000000000000001E-2</v>
      </c>
      <c r="BE529" s="402"/>
      <c r="BG529" s="217">
        <f>IF(AF529&gt;0,BG524+BB529,BG524)</f>
        <v>0.65142857142857136</v>
      </c>
      <c r="BH529" s="218">
        <f>IF(AV529&gt;0,BH524+BD529,BH524)</f>
        <v>0.47142857142857131</v>
      </c>
      <c r="BI529" s="217">
        <f>IF(BG529&gt;0.99,0.99,BG529)</f>
        <v>0.65142857142857136</v>
      </c>
      <c r="BJ529" s="218">
        <f>IF(BH529&gt;0.99,0.99,BH529)</f>
        <v>0.47142857142857131</v>
      </c>
    </row>
    <row r="530" spans="1:62" ht="14.4" thickTop="1" x14ac:dyDescent="0.25">
      <c r="A530" s="202"/>
      <c r="B530" s="203"/>
      <c r="C530" s="203"/>
      <c r="D530" s="203"/>
      <c r="E530" s="203"/>
      <c r="F530" s="1"/>
    </row>
    <row r="531" spans="1:62" ht="30" customHeight="1" x14ac:dyDescent="0.25">
      <c r="A531" s="188" t="s">
        <v>77</v>
      </c>
      <c r="B531" s="46" t="s">
        <v>365</v>
      </c>
      <c r="C531" s="46"/>
      <c r="D531" s="46"/>
      <c r="E531" s="46"/>
      <c r="F531" s="475" t="s">
        <v>949</v>
      </c>
    </row>
    <row r="532" spans="1:62" ht="19.95" customHeight="1" x14ac:dyDescent="0.25">
      <c r="A532" s="108" t="s">
        <v>366</v>
      </c>
      <c r="B532" s="109"/>
      <c r="C532" s="109"/>
      <c r="D532" s="109"/>
      <c r="E532" s="110"/>
      <c r="F532" s="108"/>
      <c r="AA532" s="190"/>
      <c r="AB532" s="190">
        <v>0</v>
      </c>
      <c r="AC532" s="191">
        <f>AD532/2</f>
        <v>0.75</v>
      </c>
      <c r="AD532" s="192">
        <f>AE532/2</f>
        <v>1.5</v>
      </c>
      <c r="AE532" s="193">
        <v>3</v>
      </c>
      <c r="AF532" s="120"/>
      <c r="AG532" s="120"/>
      <c r="AH532" s="120"/>
      <c r="AI532" s="120"/>
      <c r="AJ532" s="120"/>
      <c r="AK532" s="120"/>
      <c r="AL532" s="120"/>
      <c r="AM532" s="120"/>
      <c r="AN532" s="194">
        <f>AE532*-2</f>
        <v>-6</v>
      </c>
      <c r="AO532" s="190">
        <f>AE532*-1</f>
        <v>-3</v>
      </c>
      <c r="AP532" s="190">
        <f>AD532*-1</f>
        <v>-1.5</v>
      </c>
      <c r="AQ532" s="195">
        <f>AE532*-0.1</f>
        <v>-0.30000000000000004</v>
      </c>
      <c r="AR532" s="195">
        <v>0</v>
      </c>
      <c r="AS532" s="195">
        <f>AE532*0.1</f>
        <v>0.30000000000000004</v>
      </c>
      <c r="AT532" s="192">
        <f>AD532</f>
        <v>1.5</v>
      </c>
      <c r="AU532" s="193">
        <f>AE532</f>
        <v>3</v>
      </c>
      <c r="AV532" s="196"/>
      <c r="AW532" s="120"/>
      <c r="AX532" s="120"/>
      <c r="AY532" s="120"/>
      <c r="AZ532" s="120"/>
      <c r="BA532" s="120"/>
      <c r="BB532" s="197"/>
      <c r="BC532" s="120"/>
      <c r="BD532" s="120"/>
      <c r="BE532" s="120"/>
      <c r="BF532" s="120"/>
      <c r="BG532" s="229">
        <f>BG498</f>
        <v>0.47142857142857131</v>
      </c>
    </row>
    <row r="533" spans="1:62" ht="15.6" x14ac:dyDescent="0.25">
      <c r="A533" s="200">
        <f>A525+1</f>
        <v>27</v>
      </c>
      <c r="B533" s="200" t="s">
        <v>367</v>
      </c>
      <c r="C533" s="200"/>
      <c r="D533" s="201" t="str">
        <f>IF(B535="","If claimed, explain in white box below.","")</f>
        <v/>
      </c>
      <c r="E533" s="203"/>
      <c r="F533" s="1"/>
    </row>
    <row r="534" spans="1:62" x14ac:dyDescent="0.25">
      <c r="A534" s="202"/>
      <c r="B534" s="567" t="s">
        <v>368</v>
      </c>
      <c r="C534" s="568"/>
      <c r="D534" s="569"/>
      <c r="E534" s="203"/>
      <c r="F534" s="1"/>
    </row>
    <row r="535" spans="1:62" ht="136.94999999999999" customHeight="1" thickBot="1" x14ac:dyDescent="0.3">
      <c r="A535" s="202"/>
      <c r="B535" s="570" t="s">
        <v>369</v>
      </c>
      <c r="C535" s="571"/>
      <c r="D535" s="572"/>
      <c r="E535" s="203"/>
      <c r="F535" s="1"/>
    </row>
    <row r="536" spans="1:62" ht="15" thickTop="1" thickBot="1" x14ac:dyDescent="0.3">
      <c r="A536" s="202"/>
      <c r="B536" s="204" t="str">
        <f>IF(B535="","","Claimed?")</f>
        <v>Claimed?</v>
      </c>
      <c r="C536" s="204" t="str">
        <f>IF(B536="","","Verifiable?")</f>
        <v>Verifiable?</v>
      </c>
      <c r="D536" s="205" t="str">
        <f>IF(C537="","","Independent verification")</f>
        <v>Independent verification</v>
      </c>
      <c r="E536" s="573">
        <f>BI537</f>
        <v>0.66642857142857137</v>
      </c>
      <c r="F536" s="574"/>
      <c r="AA536" s="60"/>
      <c r="AB536" s="60" t="s">
        <v>314</v>
      </c>
      <c r="AF536" s="220"/>
      <c r="AG536" s="60" t="s">
        <v>315</v>
      </c>
      <c r="AM536" s="221"/>
      <c r="AN536" s="60" t="s">
        <v>316</v>
      </c>
      <c r="AV536" s="222"/>
      <c r="AX536" s="207" t="s">
        <v>317</v>
      </c>
      <c r="AZ536" s="208" t="s">
        <v>318</v>
      </c>
      <c r="BB536" s="209" t="s">
        <v>319</v>
      </c>
      <c r="BD536" s="208" t="s">
        <v>320</v>
      </c>
      <c r="BG536" s="210" t="s">
        <v>326</v>
      </c>
      <c r="BH536" s="211" t="s">
        <v>327</v>
      </c>
      <c r="BI536" s="210" t="s">
        <v>321</v>
      </c>
      <c r="BJ536" s="211" t="s">
        <v>322</v>
      </c>
    </row>
    <row r="537" spans="1:62" ht="15" thickTop="1" thickBot="1" x14ac:dyDescent="0.3">
      <c r="A537" s="202"/>
      <c r="B537" s="212" t="s">
        <v>331</v>
      </c>
      <c r="C537" s="213" t="s">
        <v>351</v>
      </c>
      <c r="D537" s="223"/>
      <c r="E537" s="573">
        <f>BJ537</f>
        <v>0.47142857142857131</v>
      </c>
      <c r="F537" s="574"/>
      <c r="AA537" s="112"/>
      <c r="AB537" s="112">
        <f>IF(B537=$B$1871,$AB$463,0)</f>
        <v>0</v>
      </c>
      <c r="AC537" s="112">
        <f>IF(B537=$B$1872,$AC$463,0)</f>
        <v>0</v>
      </c>
      <c r="AD537" s="112">
        <f>IF(B537=$B$1873,$AD$463,0)</f>
        <v>0</v>
      </c>
      <c r="AE537" s="112">
        <f>IF(B537=$B$1874,$AE$463,0)</f>
        <v>5</v>
      </c>
      <c r="AF537" s="224">
        <f>SUM(AB537:AE537)</f>
        <v>5</v>
      </c>
      <c r="AG537" s="112">
        <f>IF(C537=$B$1877,$E$1877,0)</f>
        <v>0</v>
      </c>
      <c r="AH537" s="112">
        <f>IF(C537=$B$1878,$E$1878,0)</f>
        <v>0.30000000000000004</v>
      </c>
      <c r="AI537" s="112">
        <f>IF(C537=$B$1879,$E$1879,0)</f>
        <v>0</v>
      </c>
      <c r="AJ537" s="112">
        <f>IF(C537=$B$1880,$E$1880,0)</f>
        <v>0</v>
      </c>
      <c r="AK537" s="112">
        <f>IF(C537=$B$1881,$E$1881,0)</f>
        <v>0</v>
      </c>
      <c r="AL537" s="112">
        <f>IF(C537=$B$1882,$E$1882,0)</f>
        <v>0</v>
      </c>
      <c r="AM537" s="225">
        <f>SUM(AG537:AL537)</f>
        <v>0.30000000000000004</v>
      </c>
      <c r="AN537" s="112">
        <f>IF($D537=$B$1885,AN$463,0)</f>
        <v>0</v>
      </c>
      <c r="AO537" s="112">
        <f>IF($D537=$B$1886,AO$463,0)</f>
        <v>0</v>
      </c>
      <c r="AP537" s="112">
        <f>IF($D537=$B$1887,AP$463,0)</f>
        <v>0</v>
      </c>
      <c r="AQ537" s="112">
        <f>IF($D537=$B$1888,AQ$463,0)</f>
        <v>0</v>
      </c>
      <c r="AR537" s="112">
        <f>IF($D537=$B$1889,AR$463,0)</f>
        <v>0</v>
      </c>
      <c r="AS537" s="112">
        <f>IF($D537=$B$1890,AS$463,0)</f>
        <v>0</v>
      </c>
      <c r="AT537" s="112">
        <f>IF($D537=$B$1891,AT$463,0)</f>
        <v>0</v>
      </c>
      <c r="AU537" s="112">
        <f>IF($D537=$B$1892,AU$463,0)</f>
        <v>0</v>
      </c>
      <c r="AV537" s="226">
        <f>SUM(AN537:AU537)</f>
        <v>0</v>
      </c>
      <c r="AX537" s="216">
        <f>AF537*AM537</f>
        <v>1.5000000000000002</v>
      </c>
      <c r="AZ537" s="158">
        <f>AX537+(AV537*AM537)</f>
        <v>1.5000000000000002</v>
      </c>
      <c r="BB537" s="217">
        <f>(AF537*AM537)*0.01</f>
        <v>1.5000000000000003E-2</v>
      </c>
      <c r="BD537" s="218">
        <f>AZ537*0.01</f>
        <v>1.5000000000000003E-2</v>
      </c>
      <c r="BE537" s="402"/>
      <c r="BG537" s="217">
        <f>IF(AF537&gt;0,BG529+BB537,BG529)</f>
        <v>0.66642857142857137</v>
      </c>
      <c r="BH537" s="218">
        <f>IF(AV537&gt;0,BH529+BD537,BH529)</f>
        <v>0.47142857142857131</v>
      </c>
      <c r="BI537" s="217">
        <f>IF(BG537&gt;0.99,0.99,BG537)</f>
        <v>0.66642857142857137</v>
      </c>
      <c r="BJ537" s="218">
        <f>IF(BH537&gt;0.99,0.99,BH537)</f>
        <v>0.47142857142857131</v>
      </c>
    </row>
    <row r="538" spans="1:62" ht="16.2" thickTop="1" x14ac:dyDescent="0.25">
      <c r="A538" s="200">
        <f>A533+1</f>
        <v>28</v>
      </c>
      <c r="B538" s="200" t="s">
        <v>370</v>
      </c>
      <c r="C538" s="230"/>
      <c r="D538" s="201" t="str">
        <f>IF(B540="","If claimed, explain in white box below.","")</f>
        <v/>
      </c>
      <c r="E538" s="203"/>
      <c r="F538" s="1"/>
    </row>
    <row r="539" spans="1:62" x14ac:dyDescent="0.25">
      <c r="A539" s="202"/>
      <c r="B539" s="567" t="s">
        <v>371</v>
      </c>
      <c r="C539" s="568"/>
      <c r="D539" s="569"/>
      <c r="E539" s="203"/>
      <c r="F539" s="1"/>
    </row>
    <row r="540" spans="1:62" ht="136.94999999999999" customHeight="1" thickBot="1" x14ac:dyDescent="0.3">
      <c r="A540" s="202"/>
      <c r="B540" s="570" t="s">
        <v>372</v>
      </c>
      <c r="C540" s="571"/>
      <c r="D540" s="572"/>
      <c r="E540" s="203"/>
      <c r="F540" s="1"/>
    </row>
    <row r="541" spans="1:62" ht="15" thickTop="1" thickBot="1" x14ac:dyDescent="0.3">
      <c r="A541" s="202"/>
      <c r="B541" s="204" t="str">
        <f>IF(B540="","","Claimed?")</f>
        <v>Claimed?</v>
      </c>
      <c r="C541" s="204" t="str">
        <f>IF(B541="","","Verifiable?")</f>
        <v>Verifiable?</v>
      </c>
      <c r="D541" s="205" t="str">
        <f>IF(C542="","","Independent verification")</f>
        <v>Independent verification</v>
      </c>
      <c r="E541" s="573">
        <f>BI542</f>
        <v>0.67892857142857133</v>
      </c>
      <c r="F541" s="574"/>
      <c r="AA541" s="60"/>
      <c r="AB541" s="60" t="s">
        <v>314</v>
      </c>
      <c r="AF541" s="220"/>
      <c r="AG541" s="60" t="s">
        <v>315</v>
      </c>
      <c r="AM541" s="221"/>
      <c r="AN541" s="60" t="s">
        <v>316</v>
      </c>
      <c r="AV541" s="222"/>
      <c r="AX541" s="207" t="s">
        <v>317</v>
      </c>
      <c r="AZ541" s="208" t="s">
        <v>318</v>
      </c>
      <c r="BB541" s="209" t="s">
        <v>319</v>
      </c>
      <c r="BD541" s="208" t="s">
        <v>320</v>
      </c>
      <c r="BG541" s="210" t="s">
        <v>326</v>
      </c>
      <c r="BH541" s="211" t="s">
        <v>327</v>
      </c>
      <c r="BI541" s="210" t="s">
        <v>321</v>
      </c>
      <c r="BJ541" s="211" t="s">
        <v>322</v>
      </c>
    </row>
    <row r="542" spans="1:62" ht="15" thickTop="1" thickBot="1" x14ac:dyDescent="0.3">
      <c r="A542" s="202"/>
      <c r="B542" s="212" t="s">
        <v>373</v>
      </c>
      <c r="C542" s="213" t="s">
        <v>332</v>
      </c>
      <c r="D542" s="223"/>
      <c r="E542" s="573">
        <f>BJ542</f>
        <v>0.47142857142857131</v>
      </c>
      <c r="F542" s="574"/>
      <c r="AA542" s="112"/>
      <c r="AB542" s="112">
        <f>IF(B542=$B$1871,$AB$463,0)</f>
        <v>0</v>
      </c>
      <c r="AC542" s="112">
        <f>IF(B542=$B$1872,$AC$463,0)</f>
        <v>0</v>
      </c>
      <c r="AD542" s="112">
        <f>IF(B542=$B$1873,$AD$463,0)</f>
        <v>2.5</v>
      </c>
      <c r="AE542" s="112">
        <f>IF(B542=$B$1874,$AE$463,0)</f>
        <v>0</v>
      </c>
      <c r="AF542" s="224">
        <f>SUM(AB542:AE542)</f>
        <v>2.5</v>
      </c>
      <c r="AG542" s="112">
        <f>IF(C542=$B$1877,$E$1877,0)</f>
        <v>0</v>
      </c>
      <c r="AH542" s="112">
        <f>IF(C542=$B$1878,$E$1878,0)</f>
        <v>0</v>
      </c>
      <c r="AI542" s="112">
        <f>IF(C542=$B$1879,$E$1879,0)</f>
        <v>0</v>
      </c>
      <c r="AJ542" s="112">
        <f>IF(C542=$B$1880,$E$1880,0)</f>
        <v>0</v>
      </c>
      <c r="AK542" s="112">
        <f>IF(C542=$B$1881,$E$1881,0)</f>
        <v>0</v>
      </c>
      <c r="AL542" s="112">
        <f>IF(C542=$B$1882,$E$1882,0)</f>
        <v>0.5</v>
      </c>
      <c r="AM542" s="225">
        <f>SUM(AG542:AL542)</f>
        <v>0.5</v>
      </c>
      <c r="AN542" s="112">
        <f>IF($D542=$B$1885,AN$463,0)</f>
        <v>0</v>
      </c>
      <c r="AO542" s="112">
        <f>IF($D542=$B$1886,AO$463,0)</f>
        <v>0</v>
      </c>
      <c r="AP542" s="112">
        <f>IF($D542=$B$1887,AP$463,0)</f>
        <v>0</v>
      </c>
      <c r="AQ542" s="112">
        <f>IF($D542=$B$1888,AQ$463,0)</f>
        <v>0</v>
      </c>
      <c r="AR542" s="112">
        <f>IF($D542=$B$1889,AR$463,0)</f>
        <v>0</v>
      </c>
      <c r="AS542" s="112">
        <f>IF($D542=$B$1890,AS$463,0)</f>
        <v>0</v>
      </c>
      <c r="AT542" s="112">
        <f>IF($D542=$B$1891,AT$463,0)</f>
        <v>0</v>
      </c>
      <c r="AU542" s="112">
        <f>IF($D542=$B$1892,AU$463,0)</f>
        <v>0</v>
      </c>
      <c r="AV542" s="226">
        <f>SUM(AN542:AU542)</f>
        <v>0</v>
      </c>
      <c r="AX542" s="216">
        <f>AF542*AM542</f>
        <v>1.25</v>
      </c>
      <c r="AZ542" s="158">
        <f>AX542+(AV542*AM542)</f>
        <v>1.25</v>
      </c>
      <c r="BB542" s="217">
        <f>(AF542*AM542)*0.01</f>
        <v>1.2500000000000001E-2</v>
      </c>
      <c r="BD542" s="218">
        <f>AZ542*0.01</f>
        <v>1.2500000000000001E-2</v>
      </c>
      <c r="BE542" s="402"/>
      <c r="BG542" s="217">
        <f>IF(AF542&gt;0,BG537+BB542,BG537)</f>
        <v>0.67892857142857133</v>
      </c>
      <c r="BH542" s="218">
        <f>IF(AV542&gt;0,BH537+BD542,BH537)</f>
        <v>0.47142857142857131</v>
      </c>
      <c r="BI542" s="217">
        <f>IF(BG542&gt;0.99,0.99,BG542)</f>
        <v>0.67892857142857133</v>
      </c>
      <c r="BJ542" s="218">
        <f>IF(BH542&gt;0.99,0.99,BH542)</f>
        <v>0.47142857142857131</v>
      </c>
    </row>
    <row r="543" spans="1:62" ht="16.2" thickTop="1" x14ac:dyDescent="0.25">
      <c r="A543" s="200">
        <f>A538+1</f>
        <v>29</v>
      </c>
      <c r="B543" s="200" t="s">
        <v>374</v>
      </c>
      <c r="C543" s="200"/>
      <c r="D543" s="201" t="str">
        <f>IF(B545="","If claimed, explain in white box below.","")</f>
        <v>If claimed, explain in white box below.</v>
      </c>
      <c r="E543" s="203"/>
      <c r="F543" s="1"/>
    </row>
    <row r="544" spans="1:62" ht="45" customHeight="1" x14ac:dyDescent="0.25">
      <c r="A544" s="202"/>
      <c r="B544" s="567" t="s">
        <v>375</v>
      </c>
      <c r="C544" s="568"/>
      <c r="D544" s="569"/>
      <c r="E544" s="203"/>
      <c r="F544" s="1"/>
    </row>
    <row r="545" spans="1:62" ht="136.94999999999999" customHeight="1" thickBot="1" x14ac:dyDescent="0.3">
      <c r="A545" s="202"/>
      <c r="B545" s="570"/>
      <c r="C545" s="571"/>
      <c r="D545" s="572"/>
      <c r="E545" s="203"/>
      <c r="F545" s="1"/>
    </row>
    <row r="546" spans="1:62" ht="15" thickTop="1" thickBot="1" x14ac:dyDescent="0.3">
      <c r="A546" s="202"/>
      <c r="B546" s="204" t="str">
        <f>IF(B545="","","Claimed?")</f>
        <v/>
      </c>
      <c r="C546" s="204" t="str">
        <f>IF(B546="","","Verifiable?")</f>
        <v/>
      </c>
      <c r="D546" s="205" t="str">
        <f>IF(C547="","","Independent verification")</f>
        <v/>
      </c>
      <c r="E546" s="573">
        <f>BI547</f>
        <v>0.67892857142857133</v>
      </c>
      <c r="F546" s="574"/>
      <c r="AA546" s="60"/>
      <c r="AB546" s="60" t="s">
        <v>314</v>
      </c>
      <c r="AF546" s="220"/>
      <c r="AG546" s="60" t="s">
        <v>315</v>
      </c>
      <c r="AM546" s="221"/>
      <c r="AN546" s="60" t="s">
        <v>316</v>
      </c>
      <c r="AV546" s="222"/>
      <c r="AX546" s="207" t="s">
        <v>317</v>
      </c>
      <c r="AZ546" s="208" t="s">
        <v>318</v>
      </c>
      <c r="BB546" s="209" t="s">
        <v>319</v>
      </c>
      <c r="BD546" s="208" t="s">
        <v>320</v>
      </c>
      <c r="BG546" s="210" t="s">
        <v>326</v>
      </c>
      <c r="BH546" s="211" t="s">
        <v>327</v>
      </c>
      <c r="BI546" s="210" t="s">
        <v>321</v>
      </c>
      <c r="BJ546" s="211" t="s">
        <v>322</v>
      </c>
    </row>
    <row r="547" spans="1:62" ht="15" thickTop="1" thickBot="1" x14ac:dyDescent="0.3">
      <c r="A547" s="202"/>
      <c r="B547" s="212"/>
      <c r="C547" s="213"/>
      <c r="D547" s="223"/>
      <c r="E547" s="573">
        <f>BJ547</f>
        <v>0.47142857142857131</v>
      </c>
      <c r="F547" s="574"/>
      <c r="AA547" s="112"/>
      <c r="AB547" s="112">
        <f>IF(B547=$B$1871,$AB$463,0)</f>
        <v>0</v>
      </c>
      <c r="AC547" s="112">
        <f>IF(B547=$B$1872,$AC$463,0)</f>
        <v>0</v>
      </c>
      <c r="AD547" s="112">
        <f>IF(B547=$B$1873,$AD$463,0)</f>
        <v>0</v>
      </c>
      <c r="AE547" s="112">
        <f>IF(B547=$B$1874,$AE$463,0)</f>
        <v>0</v>
      </c>
      <c r="AF547" s="224">
        <f>SUM(AB547:AE547)</f>
        <v>0</v>
      </c>
      <c r="AG547" s="112">
        <f>IF(C547=$B$1877,$E$1877,0)</f>
        <v>0</v>
      </c>
      <c r="AH547" s="112">
        <f>IF(C547=$B$1878,$E$1878,0)</f>
        <v>0</v>
      </c>
      <c r="AI547" s="112">
        <f>IF(C547=$B$1879,$E$1879,0)</f>
        <v>0</v>
      </c>
      <c r="AJ547" s="112">
        <f>IF(C547=$B$1880,$E$1880,0)</f>
        <v>0</v>
      </c>
      <c r="AK547" s="112">
        <f>IF(C547=$B$1881,$E$1881,0)</f>
        <v>0</v>
      </c>
      <c r="AL547" s="112">
        <f>IF(C547=$B$1882,$E$1882,0)</f>
        <v>0</v>
      </c>
      <c r="AM547" s="225">
        <f>SUM(AG547:AL547)</f>
        <v>0</v>
      </c>
      <c r="AN547" s="112">
        <f>IF($D547=$B$1885,AN$463,0)</f>
        <v>0</v>
      </c>
      <c r="AO547" s="112">
        <f>IF($D547=$B$1886,AO$463,0)</f>
        <v>0</v>
      </c>
      <c r="AP547" s="112">
        <f>IF($D547=$B$1887,AP$463,0)</f>
        <v>0</v>
      </c>
      <c r="AQ547" s="112">
        <f>IF($D547=$B$1888,AQ$463,0)</f>
        <v>0</v>
      </c>
      <c r="AR547" s="112">
        <f>IF($D547=$B$1889,AR$463,0)</f>
        <v>0</v>
      </c>
      <c r="AS547" s="112">
        <f>IF($D547=$B$1890,AS$463,0)</f>
        <v>0</v>
      </c>
      <c r="AT547" s="112">
        <f>IF($D547=$B$1891,AT$463,0)</f>
        <v>0</v>
      </c>
      <c r="AU547" s="112">
        <f>IF($D547=$B$1892,AU$463,0)</f>
        <v>0</v>
      </c>
      <c r="AV547" s="226">
        <f>SUM(AN547:AU547)</f>
        <v>0</v>
      </c>
      <c r="AX547" s="216">
        <f>AF547*AM547</f>
        <v>0</v>
      </c>
      <c r="AZ547" s="158">
        <f>AX547+(AV547*AM547)</f>
        <v>0</v>
      </c>
      <c r="BB547" s="217">
        <f>(AF547*AM547)*0.01</f>
        <v>0</v>
      </c>
      <c r="BD547" s="218">
        <f>AZ547*0.01</f>
        <v>0</v>
      </c>
      <c r="BE547" s="402"/>
      <c r="BG547" s="217">
        <f>IF(AF547&gt;0,BG542+BB547,BG542)</f>
        <v>0.67892857142857133</v>
      </c>
      <c r="BH547" s="218">
        <f>IF(AV547&gt;0,BH542+BD547,BH542)</f>
        <v>0.47142857142857131</v>
      </c>
      <c r="BI547" s="217">
        <f>IF(BG547&gt;0.99,0.99,BG547)</f>
        <v>0.67892857142857133</v>
      </c>
      <c r="BJ547" s="218">
        <f>IF(BH547&gt;0.99,0.99,BH547)</f>
        <v>0.47142857142857131</v>
      </c>
    </row>
    <row r="548" spans="1:62" ht="4.95" customHeight="1" thickTop="1" x14ac:dyDescent="0.25">
      <c r="A548" s="203"/>
      <c r="B548" s="203"/>
      <c r="C548" s="203"/>
      <c r="D548" s="203"/>
      <c r="E548" s="203"/>
      <c r="F548" s="1"/>
    </row>
    <row r="549" spans="1:62" ht="15.6" x14ac:dyDescent="0.25">
      <c r="A549" s="200">
        <f>A543+1</f>
        <v>30</v>
      </c>
      <c r="B549" s="200" t="s">
        <v>376</v>
      </c>
      <c r="C549" s="200"/>
      <c r="D549" s="201" t="str">
        <f>IF(B551="","If claimed, explain in white box below.","")</f>
        <v>If claimed, explain in white box below.</v>
      </c>
      <c r="E549" s="203"/>
      <c r="F549" s="1"/>
    </row>
    <row r="550" spans="1:62" x14ac:dyDescent="0.25">
      <c r="A550" s="202"/>
      <c r="B550" s="567" t="s">
        <v>377</v>
      </c>
      <c r="C550" s="568"/>
      <c r="D550" s="569"/>
      <c r="E550" s="203"/>
      <c r="F550" s="1"/>
    </row>
    <row r="551" spans="1:62" ht="150" customHeight="1" thickBot="1" x14ac:dyDescent="0.3">
      <c r="A551" s="202"/>
      <c r="B551" s="570"/>
      <c r="C551" s="571"/>
      <c r="D551" s="572"/>
      <c r="E551" s="203"/>
      <c r="F551" s="1"/>
    </row>
    <row r="552" spans="1:62" ht="15" thickTop="1" thickBot="1" x14ac:dyDescent="0.3">
      <c r="A552" s="202"/>
      <c r="B552" s="204" t="str">
        <f>IF(B551="","","Claimed?")</f>
        <v/>
      </c>
      <c r="C552" s="204" t="str">
        <f>IF(B552="","","Verifiable?")</f>
        <v/>
      </c>
      <c r="D552" s="205" t="str">
        <f>IF(C553="","","Independent verification")</f>
        <v/>
      </c>
      <c r="E552" s="573">
        <f>BI553</f>
        <v>0.67892857142857133</v>
      </c>
      <c r="F552" s="574"/>
      <c r="AA552" s="60"/>
      <c r="AB552" s="60" t="s">
        <v>314</v>
      </c>
      <c r="AF552" s="220"/>
      <c r="AG552" s="60" t="s">
        <v>315</v>
      </c>
      <c r="AM552" s="221"/>
      <c r="AN552" s="60" t="s">
        <v>316</v>
      </c>
      <c r="AV552" s="222"/>
      <c r="AX552" s="207" t="s">
        <v>317</v>
      </c>
      <c r="AZ552" s="208" t="s">
        <v>318</v>
      </c>
      <c r="BB552" s="209" t="s">
        <v>319</v>
      </c>
      <c r="BD552" s="208" t="s">
        <v>320</v>
      </c>
      <c r="BG552" s="210" t="s">
        <v>326</v>
      </c>
      <c r="BH552" s="211" t="s">
        <v>327</v>
      </c>
      <c r="BI552" s="210" t="s">
        <v>321</v>
      </c>
      <c r="BJ552" s="211" t="s">
        <v>322</v>
      </c>
    </row>
    <row r="553" spans="1:62" ht="15" thickTop="1" thickBot="1" x14ac:dyDescent="0.3">
      <c r="A553" s="202"/>
      <c r="B553" s="212" t="s">
        <v>323</v>
      </c>
      <c r="C553" s="213"/>
      <c r="D553" s="223"/>
      <c r="E553" s="573">
        <f>BJ553</f>
        <v>0.47142857142857131</v>
      </c>
      <c r="F553" s="574"/>
      <c r="AA553" s="112"/>
      <c r="AB553" s="112">
        <f>IF(B553=$B$1871,$AB$463,0)</f>
        <v>0</v>
      </c>
      <c r="AC553" s="112">
        <f>IF(B553=$B$1872,$AC$463,0)</f>
        <v>0</v>
      </c>
      <c r="AD553" s="112">
        <f>IF(B553=$B$1873,$AD$463,0)</f>
        <v>0</v>
      </c>
      <c r="AE553" s="112">
        <f>IF(B553=$B$1874,$AE$463,0)</f>
        <v>0</v>
      </c>
      <c r="AF553" s="224">
        <f>SUM(AB553:AE553)</f>
        <v>0</v>
      </c>
      <c r="AG553" s="112">
        <f>IF(C553=$B$1877,$E$1877,0)</f>
        <v>0</v>
      </c>
      <c r="AH553" s="112">
        <f>IF(C553=$B$1878,$E$1878,0)</f>
        <v>0</v>
      </c>
      <c r="AI553" s="112">
        <f>IF(C553=$B$1879,$E$1879,0)</f>
        <v>0</v>
      </c>
      <c r="AJ553" s="112">
        <f>IF(C553=$B$1880,$E$1880,0)</f>
        <v>0</v>
      </c>
      <c r="AK553" s="112">
        <f>IF(C553=$B$1881,$E$1881,0)</f>
        <v>0</v>
      </c>
      <c r="AL553" s="112">
        <f>IF(C553=$B$1882,$E$1882,0)</f>
        <v>0</v>
      </c>
      <c r="AM553" s="225">
        <f>SUM(AG553:AL553)</f>
        <v>0</v>
      </c>
      <c r="AN553" s="112">
        <f>IF($D553=$B$1885,AN$463,0)</f>
        <v>0</v>
      </c>
      <c r="AO553" s="112">
        <f>IF($D553=$B$1886,AO$463,0)</f>
        <v>0</v>
      </c>
      <c r="AP553" s="112">
        <f>IF($D553=$B$1887,AP$463,0)</f>
        <v>0</v>
      </c>
      <c r="AQ553" s="112">
        <f>IF($D553=$B$1888,AQ$463,0)</f>
        <v>0</v>
      </c>
      <c r="AR553" s="112">
        <f>IF($D553=$B$1889,AR$463,0)</f>
        <v>0</v>
      </c>
      <c r="AS553" s="112">
        <f>IF($D553=$B$1890,AS$463,0)</f>
        <v>0</v>
      </c>
      <c r="AT553" s="112">
        <f>IF($D553=$B$1891,AT$463,0)</f>
        <v>0</v>
      </c>
      <c r="AU553" s="112">
        <f>IF($D553=$B$1892,AU$463,0)</f>
        <v>0</v>
      </c>
      <c r="AV553" s="226">
        <f>SUM(AN553:AU553)</f>
        <v>0</v>
      </c>
      <c r="AX553" s="216">
        <f>AF553*AM553</f>
        <v>0</v>
      </c>
      <c r="AZ553" s="158">
        <f>AX553+(AV553*AM553)</f>
        <v>0</v>
      </c>
      <c r="BB553" s="217">
        <f>(AF553*AM553)*0.01</f>
        <v>0</v>
      </c>
      <c r="BD553" s="218">
        <f>AZ553*0.01</f>
        <v>0</v>
      </c>
      <c r="BE553" s="402"/>
      <c r="BG553" s="217">
        <f>IF(AF553&gt;0,BG547+BB553,BG547)</f>
        <v>0.67892857142857133</v>
      </c>
      <c r="BH553" s="218">
        <f>IF(AV553&gt;0,BH547+BD553,BH547)</f>
        <v>0.47142857142857131</v>
      </c>
      <c r="BI553" s="217">
        <f>IF(BG553&gt;0.99,0.99,BG553)</f>
        <v>0.67892857142857133</v>
      </c>
      <c r="BJ553" s="218">
        <f>IF(BH553&gt;0.99,0.99,BH553)</f>
        <v>0.47142857142857131</v>
      </c>
    </row>
    <row r="554" spans="1:62" ht="16.2" thickTop="1" x14ac:dyDescent="0.25">
      <c r="A554" s="200">
        <f>A549+1</f>
        <v>31</v>
      </c>
      <c r="B554" s="200" t="s">
        <v>378</v>
      </c>
      <c r="C554" s="200"/>
      <c r="D554" s="201" t="str">
        <f>IF(B556="","If claimed, explain in white box below.","")</f>
        <v>If claimed, explain in white box below.</v>
      </c>
      <c r="E554" s="203"/>
      <c r="F554" s="1"/>
    </row>
    <row r="555" spans="1:62" ht="28.05" customHeight="1" x14ac:dyDescent="0.25">
      <c r="A555" s="202"/>
      <c r="B555" s="567" t="s">
        <v>379</v>
      </c>
      <c r="C555" s="568"/>
      <c r="D555" s="569"/>
      <c r="E555" s="203"/>
      <c r="F555" s="1"/>
    </row>
    <row r="556" spans="1:62" ht="150" customHeight="1" thickBot="1" x14ac:dyDescent="0.3">
      <c r="A556" s="202"/>
      <c r="B556" s="570"/>
      <c r="C556" s="571"/>
      <c r="D556" s="572"/>
      <c r="E556" s="203"/>
      <c r="F556" s="1"/>
    </row>
    <row r="557" spans="1:62" ht="15" thickTop="1" thickBot="1" x14ac:dyDescent="0.3">
      <c r="A557" s="202"/>
      <c r="B557" s="204" t="str">
        <f>IF(B556="","","Claimed?")</f>
        <v/>
      </c>
      <c r="C557" s="204" t="str">
        <f>IF(B557="","","Verifiable?")</f>
        <v/>
      </c>
      <c r="D557" s="205" t="str">
        <f>IF(C558="","","Independent verification")</f>
        <v/>
      </c>
      <c r="E557" s="573">
        <f>BI558</f>
        <v>0.67892857142857133</v>
      </c>
      <c r="F557" s="574"/>
      <c r="AA557" s="60"/>
      <c r="AB557" s="60" t="s">
        <v>314</v>
      </c>
      <c r="AF557" s="220"/>
      <c r="AG557" s="60" t="s">
        <v>315</v>
      </c>
      <c r="AM557" s="221"/>
      <c r="AN557" s="60" t="s">
        <v>316</v>
      </c>
      <c r="AV557" s="222"/>
      <c r="AX557" s="207" t="s">
        <v>317</v>
      </c>
      <c r="AZ557" s="208" t="s">
        <v>318</v>
      </c>
      <c r="BB557" s="209" t="s">
        <v>319</v>
      </c>
      <c r="BD557" s="208" t="s">
        <v>320</v>
      </c>
      <c r="BG557" s="210" t="s">
        <v>326</v>
      </c>
      <c r="BH557" s="211" t="s">
        <v>327</v>
      </c>
      <c r="BI557" s="210" t="s">
        <v>321</v>
      </c>
      <c r="BJ557" s="211" t="s">
        <v>322</v>
      </c>
    </row>
    <row r="558" spans="1:62" ht="15" thickTop="1" thickBot="1" x14ac:dyDescent="0.3">
      <c r="A558" s="202"/>
      <c r="B558" s="212" t="s">
        <v>323</v>
      </c>
      <c r="C558" s="213"/>
      <c r="D558" s="223"/>
      <c r="E558" s="573">
        <f>BJ558</f>
        <v>0.47142857142857131</v>
      </c>
      <c r="F558" s="574"/>
      <c r="AA558" s="112"/>
      <c r="AB558" s="112">
        <f>IF(B558=$B$1871,$AB$463,0)</f>
        <v>0</v>
      </c>
      <c r="AC558" s="112">
        <f>IF(B558=$B$1872,$AC$463,0)</f>
        <v>0</v>
      </c>
      <c r="AD558" s="112">
        <f>IF(B558=$B$1873,$AD$463,0)</f>
        <v>0</v>
      </c>
      <c r="AE558" s="112">
        <f>IF(B558=$B$1874,$AE$463,0)</f>
        <v>0</v>
      </c>
      <c r="AF558" s="224">
        <f>SUM(AB558:AE558)</f>
        <v>0</v>
      </c>
      <c r="AG558" s="112">
        <f>IF(C558=$B$1877,$E$1877,0)</f>
        <v>0</v>
      </c>
      <c r="AH558" s="112">
        <f>IF(C558=$B$1878,$E$1878,0)</f>
        <v>0</v>
      </c>
      <c r="AI558" s="112">
        <f>IF(C558=$B$1879,$E$1879,0)</f>
        <v>0</v>
      </c>
      <c r="AJ558" s="112">
        <f>IF(C558=$B$1880,$E$1880,0)</f>
        <v>0</v>
      </c>
      <c r="AK558" s="112">
        <f>IF(C558=$B$1881,$E$1881,0)</f>
        <v>0</v>
      </c>
      <c r="AL558" s="112">
        <f>IF(C558=$B$1882,$E$1882,0)</f>
        <v>0</v>
      </c>
      <c r="AM558" s="225">
        <f>SUM(AG558:AL558)</f>
        <v>0</v>
      </c>
      <c r="AN558" s="112">
        <f>IF($D558=$B$1885,AN$463,0)</f>
        <v>0</v>
      </c>
      <c r="AO558" s="112">
        <f>IF($D558=$B$1886,AO$463,0)</f>
        <v>0</v>
      </c>
      <c r="AP558" s="112">
        <f>IF($D558=$B$1887,AP$463,0)</f>
        <v>0</v>
      </c>
      <c r="AQ558" s="112">
        <f>IF($D558=$B$1888,AQ$463,0)</f>
        <v>0</v>
      </c>
      <c r="AR558" s="112">
        <f>IF($D558=$B$1889,AR$463,0)</f>
        <v>0</v>
      </c>
      <c r="AS558" s="112">
        <f>IF($D558=$B$1890,AS$463,0)</f>
        <v>0</v>
      </c>
      <c r="AT558" s="112">
        <f>IF($D558=$B$1891,AT$463,0)</f>
        <v>0</v>
      </c>
      <c r="AU558" s="112">
        <f>IF($D558=$B$1892,AU$463,0)</f>
        <v>0</v>
      </c>
      <c r="AV558" s="226">
        <f>SUM(AN558:AU558)</f>
        <v>0</v>
      </c>
      <c r="AX558" s="216">
        <f>AF558*AM558</f>
        <v>0</v>
      </c>
      <c r="AZ558" s="158">
        <f>AX558+(AV558*AM558)</f>
        <v>0</v>
      </c>
      <c r="BB558" s="217">
        <f>(AF558*AM558)*0.01</f>
        <v>0</v>
      </c>
      <c r="BD558" s="218">
        <f>AZ558*0.01</f>
        <v>0</v>
      </c>
      <c r="BE558" s="402"/>
      <c r="BG558" s="217">
        <f>IF(AF558&gt;0,BG553+BB558,BG553)</f>
        <v>0.67892857142857133</v>
      </c>
      <c r="BH558" s="218">
        <f>IF(AV558&gt;0,BH553+BD558,BH553)</f>
        <v>0.47142857142857131</v>
      </c>
      <c r="BI558" s="217">
        <f>IF(BG558&gt;0.99,0.99,BG558)</f>
        <v>0.67892857142857133</v>
      </c>
      <c r="BJ558" s="218">
        <f>IF(BH558&gt;0.99,0.99,BH558)</f>
        <v>0.47142857142857131</v>
      </c>
    </row>
    <row r="559" spans="1:62" ht="16.2" thickTop="1" x14ac:dyDescent="0.25">
      <c r="A559" s="200">
        <f>A554+1</f>
        <v>32</v>
      </c>
      <c r="B559" s="200" t="s">
        <v>380</v>
      </c>
      <c r="C559" s="200"/>
      <c r="D559" s="231" t="str">
        <f>IF(B561="","If claimed, explain in white box below.","")</f>
        <v/>
      </c>
      <c r="E559" s="203"/>
      <c r="F559" s="1"/>
    </row>
    <row r="560" spans="1:62" x14ac:dyDescent="0.25">
      <c r="A560" s="202"/>
      <c r="B560" s="567" t="s">
        <v>381</v>
      </c>
      <c r="C560" s="568"/>
      <c r="D560" s="569"/>
      <c r="E560" s="203"/>
      <c r="F560" s="1"/>
    </row>
    <row r="561" spans="1:62" ht="150" customHeight="1" thickBot="1" x14ac:dyDescent="0.3">
      <c r="A561" s="202"/>
      <c r="B561" s="570" t="s">
        <v>382</v>
      </c>
      <c r="C561" s="571"/>
      <c r="D561" s="572"/>
      <c r="E561" s="203"/>
      <c r="F561" s="1"/>
    </row>
    <row r="562" spans="1:62" ht="15" thickTop="1" thickBot="1" x14ac:dyDescent="0.3">
      <c r="A562" s="202"/>
      <c r="B562" s="204" t="str">
        <f>IF(B561="","","Claimed?")</f>
        <v>Claimed?</v>
      </c>
      <c r="C562" s="204" t="str">
        <f>IF(B562="","","Verifiable?")</f>
        <v>Verifiable?</v>
      </c>
      <c r="D562" s="205" t="str">
        <f>IF(C563="","","Independent verification")</f>
        <v>Independent verification</v>
      </c>
      <c r="E562" s="573">
        <f>BI563</f>
        <v>0.69642857142857129</v>
      </c>
      <c r="F562" s="574"/>
      <c r="AA562" s="60"/>
      <c r="AB562" s="60" t="s">
        <v>314</v>
      </c>
      <c r="AF562" s="220"/>
      <c r="AG562" s="60" t="s">
        <v>315</v>
      </c>
      <c r="AM562" s="221"/>
      <c r="AN562" s="60" t="s">
        <v>316</v>
      </c>
      <c r="AV562" s="222"/>
      <c r="AX562" s="207" t="s">
        <v>317</v>
      </c>
      <c r="AZ562" s="208" t="s">
        <v>318</v>
      </c>
      <c r="BB562" s="209" t="s">
        <v>319</v>
      </c>
      <c r="BD562" s="208" t="s">
        <v>320</v>
      </c>
      <c r="BG562" s="210" t="s">
        <v>326</v>
      </c>
      <c r="BH562" s="211" t="s">
        <v>327</v>
      </c>
      <c r="BI562" s="210" t="s">
        <v>321</v>
      </c>
      <c r="BJ562" s="211" t="s">
        <v>322</v>
      </c>
    </row>
    <row r="563" spans="1:62" ht="15" thickTop="1" thickBot="1" x14ac:dyDescent="0.3">
      <c r="A563" s="202"/>
      <c r="B563" s="212" t="s">
        <v>331</v>
      </c>
      <c r="C563" s="213" t="s">
        <v>358</v>
      </c>
      <c r="D563" s="223"/>
      <c r="E563" s="573">
        <f>BJ563</f>
        <v>0.47142857142857131</v>
      </c>
      <c r="F563" s="574"/>
      <c r="AA563" s="112"/>
      <c r="AB563" s="112">
        <f>IF(B563=$B$1871,$AB$463,0)</f>
        <v>0</v>
      </c>
      <c r="AC563" s="112">
        <f>IF(B563=$B$1872,$AC$463,0)</f>
        <v>0</v>
      </c>
      <c r="AD563" s="112">
        <f>IF(B563=$B$1873,$AD$463,0)</f>
        <v>0</v>
      </c>
      <c r="AE563" s="112">
        <f>IF(B563=$B$1874,$AE$463,0)</f>
        <v>5</v>
      </c>
      <c r="AF563" s="224">
        <f>SUM(AB563:AE563)</f>
        <v>5</v>
      </c>
      <c r="AG563" s="112">
        <f>IF(C563=$B$1877,$E$1877,0)</f>
        <v>0</v>
      </c>
      <c r="AH563" s="112">
        <f>IF(C563=$B$1878,$E$1878,0)</f>
        <v>0</v>
      </c>
      <c r="AI563" s="112">
        <f>IF(C563=$B$1879,$E$1879,0)</f>
        <v>0.35000000000000003</v>
      </c>
      <c r="AJ563" s="112">
        <f>IF(C563=$B$1880,$E$1880,0)</f>
        <v>0</v>
      </c>
      <c r="AK563" s="112">
        <f>IF(C563=$B$1881,$E$1881,0)</f>
        <v>0</v>
      </c>
      <c r="AL563" s="112">
        <f>IF(C563=$B$1882,$E$1882,0)</f>
        <v>0</v>
      </c>
      <c r="AM563" s="225">
        <f>SUM(AG563:AL563)</f>
        <v>0.35000000000000003</v>
      </c>
      <c r="AN563" s="112">
        <f>IF($D563=$B$1885,AN$463,0)</f>
        <v>0</v>
      </c>
      <c r="AO563" s="112">
        <f>IF($D563=$B$1886,AO$463,0)</f>
        <v>0</v>
      </c>
      <c r="AP563" s="112">
        <f>IF($D563=$B$1887,AP$463,0)</f>
        <v>0</v>
      </c>
      <c r="AQ563" s="112">
        <f>IF($D563=$B$1888,AQ$463,0)</f>
        <v>0</v>
      </c>
      <c r="AR563" s="112">
        <f>IF($D563=$B$1889,AR$463,0)</f>
        <v>0</v>
      </c>
      <c r="AS563" s="112">
        <f>IF($D563=$B$1890,AS$463,0)</f>
        <v>0</v>
      </c>
      <c r="AT563" s="112">
        <f>IF($D563=$B$1891,AT$463,0)</f>
        <v>0</v>
      </c>
      <c r="AU563" s="112">
        <f>IF($D563=$B$1892,AU$463,0)</f>
        <v>0</v>
      </c>
      <c r="AV563" s="226">
        <f>SUM(AN563:AU563)</f>
        <v>0</v>
      </c>
      <c r="AX563" s="216">
        <f>AF563*AM563</f>
        <v>1.7500000000000002</v>
      </c>
      <c r="AZ563" s="158">
        <f>AX563+(AV563*AM563)</f>
        <v>1.7500000000000002</v>
      </c>
      <c r="BB563" s="217">
        <f>(AF563*AM563)*0.01</f>
        <v>1.7500000000000002E-2</v>
      </c>
      <c r="BD563" s="218">
        <f>AZ563*0.01</f>
        <v>1.7500000000000002E-2</v>
      </c>
      <c r="BE563" s="402"/>
      <c r="BG563" s="217">
        <f>IF(AF563&gt;0,BG558+BB563,BG558)</f>
        <v>0.69642857142857129</v>
      </c>
      <c r="BH563" s="218">
        <f>IF(AV563&gt;0,BH558+BD563,BH558)</f>
        <v>0.47142857142857131</v>
      </c>
      <c r="BI563" s="217">
        <f>IF(BG563&gt;0.99,0.99,BG563)</f>
        <v>0.69642857142857129</v>
      </c>
      <c r="BJ563" s="218">
        <f>IF(BH563&gt;0.99,0.99,BH563)</f>
        <v>0.47142857142857131</v>
      </c>
    </row>
    <row r="564" spans="1:62" ht="14.4" thickTop="1" x14ac:dyDescent="0.25">
      <c r="A564" s="202"/>
      <c r="B564" s="203"/>
      <c r="C564" s="203"/>
      <c r="D564" s="203"/>
      <c r="E564" s="203"/>
      <c r="F564" s="1"/>
    </row>
    <row r="565" spans="1:62" ht="30" customHeight="1" x14ac:dyDescent="0.25">
      <c r="A565" s="188" t="s">
        <v>79</v>
      </c>
      <c r="B565" s="46" t="s">
        <v>383</v>
      </c>
      <c r="C565" s="46"/>
      <c r="D565" s="46"/>
      <c r="E565" s="46"/>
      <c r="F565" s="475" t="s">
        <v>949</v>
      </c>
      <c r="AE565" s="16"/>
    </row>
    <row r="566" spans="1:62" ht="19.95" customHeight="1" x14ac:dyDescent="0.25">
      <c r="A566" s="108" t="s">
        <v>384</v>
      </c>
      <c r="B566" s="109"/>
      <c r="C566" s="109"/>
      <c r="D566" s="109"/>
      <c r="E566" s="110"/>
      <c r="F566" s="108"/>
      <c r="AA566" s="190"/>
      <c r="AB566" s="190">
        <v>0</v>
      </c>
      <c r="AC566" s="191">
        <f>AD566/2</f>
        <v>0.5</v>
      </c>
      <c r="AD566" s="192">
        <f>AE566/2</f>
        <v>1</v>
      </c>
      <c r="AE566" s="193">
        <v>2</v>
      </c>
      <c r="AF566" s="120"/>
      <c r="AG566" s="120"/>
      <c r="AH566" s="120"/>
      <c r="AI566" s="120"/>
      <c r="AJ566" s="120"/>
      <c r="AK566" s="120"/>
      <c r="AL566" s="120"/>
      <c r="AM566" s="120"/>
      <c r="AN566" s="194">
        <f>AE566*-2</f>
        <v>-4</v>
      </c>
      <c r="AO566" s="190">
        <f>AE566*-1</f>
        <v>-2</v>
      </c>
      <c r="AP566" s="190">
        <f>AD566*-1</f>
        <v>-1</v>
      </c>
      <c r="AQ566" s="195">
        <f>AE566*-0.1</f>
        <v>-0.2</v>
      </c>
      <c r="AR566" s="195">
        <v>0</v>
      </c>
      <c r="AS566" s="195">
        <f>AE566*0.1</f>
        <v>0.2</v>
      </c>
      <c r="AT566" s="192">
        <f>AD566</f>
        <v>1</v>
      </c>
      <c r="AU566" s="193">
        <f>AE566</f>
        <v>2</v>
      </c>
      <c r="AV566" s="196"/>
      <c r="AW566" s="120"/>
      <c r="AX566" s="120"/>
      <c r="AY566" s="120"/>
      <c r="AZ566" s="120"/>
      <c r="BA566" s="120"/>
      <c r="BB566" s="197"/>
      <c r="BC566" s="120"/>
      <c r="BD566" s="120"/>
      <c r="BE566" s="120"/>
      <c r="BF566" s="120"/>
      <c r="BG566" s="229">
        <f>BG532</f>
        <v>0.47142857142857131</v>
      </c>
    </row>
    <row r="567" spans="1:62" ht="15.6" x14ac:dyDescent="0.25">
      <c r="A567" s="200">
        <f>A559+1</f>
        <v>33</v>
      </c>
      <c r="B567" s="200" t="s">
        <v>385</v>
      </c>
      <c r="C567" s="200"/>
      <c r="D567" s="201" t="str">
        <f>IF(B569="","If claimed, explain in white box below.","")</f>
        <v/>
      </c>
      <c r="E567" s="203"/>
      <c r="F567" s="1"/>
    </row>
    <row r="568" spans="1:62" ht="28.05" customHeight="1" x14ac:dyDescent="0.25">
      <c r="A568" s="202"/>
      <c r="B568" s="567" t="s">
        <v>386</v>
      </c>
      <c r="C568" s="568"/>
      <c r="D568" s="569"/>
      <c r="E568" s="203"/>
      <c r="F568" s="1"/>
    </row>
    <row r="569" spans="1:62" ht="136.94999999999999" customHeight="1" thickBot="1" x14ac:dyDescent="0.3">
      <c r="A569" s="202"/>
      <c r="B569" s="570" t="s">
        <v>387</v>
      </c>
      <c r="C569" s="571"/>
      <c r="D569" s="572"/>
      <c r="E569" s="203"/>
      <c r="F569" s="1"/>
    </row>
    <row r="570" spans="1:62" ht="15" thickTop="1" thickBot="1" x14ac:dyDescent="0.3">
      <c r="A570" s="202"/>
      <c r="B570" s="204" t="str">
        <f>IF(B569="","","Claimed?")</f>
        <v>Claimed?</v>
      </c>
      <c r="C570" s="204" t="str">
        <f>IF(B570="","","Verifiable?")</f>
        <v>Verifiable?</v>
      </c>
      <c r="D570" s="205" t="str">
        <f>IF(C571="","","Independent verification")</f>
        <v>Independent verification</v>
      </c>
      <c r="E570" s="573">
        <f>BI571</f>
        <v>0.69955357142857133</v>
      </c>
      <c r="F570" s="574"/>
      <c r="AA570" s="60"/>
      <c r="AB570" s="60" t="s">
        <v>314</v>
      </c>
      <c r="AF570" s="220"/>
      <c r="AG570" s="60" t="s">
        <v>315</v>
      </c>
      <c r="AM570" s="221"/>
      <c r="AN570" s="60" t="s">
        <v>316</v>
      </c>
      <c r="AV570" s="222"/>
      <c r="AX570" s="207" t="s">
        <v>317</v>
      </c>
      <c r="AZ570" s="208" t="s">
        <v>318</v>
      </c>
      <c r="BB570" s="209" t="s">
        <v>319</v>
      </c>
      <c r="BD570" s="208" t="s">
        <v>320</v>
      </c>
      <c r="BG570" s="210" t="s">
        <v>326</v>
      </c>
      <c r="BH570" s="211" t="s">
        <v>327</v>
      </c>
      <c r="BI570" s="210" t="s">
        <v>321</v>
      </c>
      <c r="BJ570" s="211" t="s">
        <v>322</v>
      </c>
    </row>
    <row r="571" spans="1:62" ht="15" thickTop="1" thickBot="1" x14ac:dyDescent="0.3">
      <c r="A571" s="202"/>
      <c r="B571" s="212" t="s">
        <v>340</v>
      </c>
      <c r="C571" s="213" t="s">
        <v>388</v>
      </c>
      <c r="D571" s="223"/>
      <c r="E571" s="573">
        <f>BJ571</f>
        <v>0.47142857142857131</v>
      </c>
      <c r="F571" s="574"/>
      <c r="AA571" s="112"/>
      <c r="AB571" s="112">
        <f>IF(B571=$B$1871,$AB$463,0)</f>
        <v>0</v>
      </c>
      <c r="AC571" s="112">
        <f>IF(B571=$B$1872,$AC$463,0)</f>
        <v>1.25</v>
      </c>
      <c r="AD571" s="112">
        <f>IF(B571=$B$1873,$AD$463,0)</f>
        <v>0</v>
      </c>
      <c r="AE571" s="112">
        <f>IF(B571=$B$1874,$AE$463,0)</f>
        <v>0</v>
      </c>
      <c r="AF571" s="224">
        <f>SUM(AB571:AE571)</f>
        <v>1.25</v>
      </c>
      <c r="AG571" s="112">
        <f>IF(C571=$B$1877,$E$1877,0)</f>
        <v>0.25000000000000006</v>
      </c>
      <c r="AH571" s="112">
        <f>IF(C571=$B$1878,$E$1878,0)</f>
        <v>0</v>
      </c>
      <c r="AI571" s="112">
        <f>IF(C571=$B$1879,$E$1879,0)</f>
        <v>0</v>
      </c>
      <c r="AJ571" s="112">
        <f>IF(C571=$B$1880,$E$1880,0)</f>
        <v>0</v>
      </c>
      <c r="AK571" s="112">
        <f>IF(C571=$B$1881,$E$1881,0)</f>
        <v>0</v>
      </c>
      <c r="AL571" s="112">
        <f>IF(C571=$B$1882,$E$1882,0)</f>
        <v>0</v>
      </c>
      <c r="AM571" s="225">
        <f>SUM(AG571:AL571)</f>
        <v>0.25000000000000006</v>
      </c>
      <c r="AN571" s="112">
        <f>IF($D571=$B$1885,AN$463,0)</f>
        <v>0</v>
      </c>
      <c r="AO571" s="112">
        <f>IF($D571=$B$1886,AO$463,0)</f>
        <v>0</v>
      </c>
      <c r="AP571" s="112">
        <f>IF($D571=$B$1887,AP$463,0)</f>
        <v>0</v>
      </c>
      <c r="AQ571" s="112">
        <f>IF($D571=$B$1888,AQ$463,0)</f>
        <v>0</v>
      </c>
      <c r="AR571" s="112">
        <f>IF($D571=$B$1889,AR$463,0)</f>
        <v>0</v>
      </c>
      <c r="AS571" s="112">
        <f>IF($D571=$B$1890,AS$463,0)</f>
        <v>0</v>
      </c>
      <c r="AT571" s="112">
        <f>IF($D571=$B$1891,AT$463,0)</f>
        <v>0</v>
      </c>
      <c r="AU571" s="112">
        <f>IF($D571=$B$1892,AU$463,0)</f>
        <v>0</v>
      </c>
      <c r="AV571" s="226">
        <f>SUM(AN571:AU571)</f>
        <v>0</v>
      </c>
      <c r="AX571" s="216">
        <f>AF571*AM571</f>
        <v>0.31250000000000006</v>
      </c>
      <c r="AZ571" s="158">
        <f>AX571+(AV571*AM571)</f>
        <v>0.31250000000000006</v>
      </c>
      <c r="BB571" s="217">
        <f>(AF571*AM571)*0.01</f>
        <v>3.1250000000000006E-3</v>
      </c>
      <c r="BD571" s="218">
        <f>AZ571*0.01</f>
        <v>3.1250000000000006E-3</v>
      </c>
      <c r="BE571" s="402"/>
      <c r="BG571" s="217">
        <f>IF(AF571&gt;0,BG563+BB571,BG563)</f>
        <v>0.69955357142857133</v>
      </c>
      <c r="BH571" s="218">
        <f>IF(AV571&gt;0,BH563+BD571,BH563)</f>
        <v>0.47142857142857131</v>
      </c>
      <c r="BI571" s="217">
        <f>IF(BG571&gt;0.99,0.99,BG571)</f>
        <v>0.69955357142857133</v>
      </c>
      <c r="BJ571" s="218">
        <f>IF(BH571&gt;0.99,0.99,BH571)</f>
        <v>0.47142857142857131</v>
      </c>
    </row>
    <row r="572" spans="1:62" ht="16.2" thickTop="1" x14ac:dyDescent="0.25">
      <c r="A572" s="200">
        <f>A567+1</f>
        <v>34</v>
      </c>
      <c r="B572" s="200" t="s">
        <v>389</v>
      </c>
      <c r="C572" s="200"/>
      <c r="D572" s="201" t="str">
        <f>IF(B574="","If claimed, explain in white box below.","")</f>
        <v/>
      </c>
      <c r="E572" s="203"/>
      <c r="F572" s="1"/>
    </row>
    <row r="573" spans="1:62" ht="28.05" customHeight="1" x14ac:dyDescent="0.25">
      <c r="A573" s="202"/>
      <c r="B573" s="567" t="s">
        <v>390</v>
      </c>
      <c r="C573" s="568"/>
      <c r="D573" s="569"/>
      <c r="E573" s="203"/>
      <c r="F573" s="1"/>
    </row>
    <row r="574" spans="1:62" ht="136.94999999999999" customHeight="1" thickBot="1" x14ac:dyDescent="0.3">
      <c r="A574" s="202"/>
      <c r="B574" s="570" t="s">
        <v>391</v>
      </c>
      <c r="C574" s="571"/>
      <c r="D574" s="572"/>
      <c r="E574" s="203"/>
      <c r="F574" s="1"/>
    </row>
    <row r="575" spans="1:62" ht="15" thickTop="1" thickBot="1" x14ac:dyDescent="0.3">
      <c r="A575" s="202"/>
      <c r="B575" s="204" t="str">
        <f>IF(B574="","","Claimed?")</f>
        <v>Claimed?</v>
      </c>
      <c r="C575" s="204" t="str">
        <f>IF(B575="","","Verifiable?")</f>
        <v>Verifiable?</v>
      </c>
      <c r="D575" s="205" t="str">
        <f>IF(C576="","","Independent verification")</f>
        <v>Independent verification</v>
      </c>
      <c r="E575" s="573">
        <f>BI576</f>
        <v>0.70580357142857131</v>
      </c>
      <c r="F575" s="574"/>
      <c r="AA575" s="60"/>
      <c r="AB575" s="60" t="s">
        <v>314</v>
      </c>
      <c r="AF575" s="220"/>
      <c r="AG575" s="60" t="s">
        <v>315</v>
      </c>
      <c r="AM575" s="221"/>
      <c r="AN575" s="60" t="s">
        <v>316</v>
      </c>
      <c r="AV575" s="222"/>
      <c r="AX575" s="207" t="s">
        <v>317</v>
      </c>
      <c r="AZ575" s="208" t="s">
        <v>318</v>
      </c>
      <c r="BB575" s="209" t="s">
        <v>319</v>
      </c>
      <c r="BD575" s="208" t="s">
        <v>320</v>
      </c>
      <c r="BG575" s="210" t="s">
        <v>326</v>
      </c>
      <c r="BH575" s="211" t="s">
        <v>327</v>
      </c>
      <c r="BI575" s="210" t="s">
        <v>321</v>
      </c>
      <c r="BJ575" s="211" t="s">
        <v>322</v>
      </c>
    </row>
    <row r="576" spans="1:62" ht="15" thickTop="1" thickBot="1" x14ac:dyDescent="0.3">
      <c r="A576" s="202"/>
      <c r="B576" s="212" t="s">
        <v>373</v>
      </c>
      <c r="C576" s="213" t="s">
        <v>388</v>
      </c>
      <c r="D576" s="223"/>
      <c r="E576" s="573">
        <f>BJ576</f>
        <v>0.47142857142857131</v>
      </c>
      <c r="F576" s="574"/>
      <c r="AA576" s="112"/>
      <c r="AB576" s="112">
        <f>IF(B576=$B$1871,$AB$463,0)</f>
        <v>0</v>
      </c>
      <c r="AC576" s="112">
        <f>IF(B576=$B$1872,$AC$463,0)</f>
        <v>0</v>
      </c>
      <c r="AD576" s="112">
        <f>IF(B576=$B$1873,$AD$463,0)</f>
        <v>2.5</v>
      </c>
      <c r="AE576" s="112">
        <f>IF(B576=$B$1874,$AE$463,0)</f>
        <v>0</v>
      </c>
      <c r="AF576" s="224">
        <f>SUM(AB576:AE576)</f>
        <v>2.5</v>
      </c>
      <c r="AG576" s="112">
        <f>IF(C576=$B$1877,$E$1877,0)</f>
        <v>0.25000000000000006</v>
      </c>
      <c r="AH576" s="112">
        <f>IF(C576=$B$1878,$E$1878,0)</f>
        <v>0</v>
      </c>
      <c r="AI576" s="112">
        <f>IF(C576=$B$1879,$E$1879,0)</f>
        <v>0</v>
      </c>
      <c r="AJ576" s="112">
        <f>IF(C576=$B$1880,$E$1880,0)</f>
        <v>0</v>
      </c>
      <c r="AK576" s="112">
        <f>IF(C576=$B$1881,$E$1881,0)</f>
        <v>0</v>
      </c>
      <c r="AL576" s="112">
        <f>IF(C576=$B$1882,$E$1882,0)</f>
        <v>0</v>
      </c>
      <c r="AM576" s="225">
        <f>SUM(AG576:AL576)</f>
        <v>0.25000000000000006</v>
      </c>
      <c r="AN576" s="112">
        <f>IF($D576=$B$1885,AN$463,0)</f>
        <v>0</v>
      </c>
      <c r="AO576" s="112">
        <f>IF($D576=$B$1886,AO$463,0)</f>
        <v>0</v>
      </c>
      <c r="AP576" s="112">
        <f>IF($D576=$B$1887,AP$463,0)</f>
        <v>0</v>
      </c>
      <c r="AQ576" s="112">
        <f>IF($D576=$B$1888,AQ$463,0)</f>
        <v>0</v>
      </c>
      <c r="AR576" s="112">
        <f>IF($D576=$B$1889,AR$463,0)</f>
        <v>0</v>
      </c>
      <c r="AS576" s="112">
        <f>IF($D576=$B$1890,AS$463,0)</f>
        <v>0</v>
      </c>
      <c r="AT576" s="112">
        <f>IF($D576=$B$1891,AT$463,0)</f>
        <v>0</v>
      </c>
      <c r="AU576" s="112">
        <f>IF($D576=$B$1892,AU$463,0)</f>
        <v>0</v>
      </c>
      <c r="AV576" s="226">
        <f>SUM(AN576:AU576)</f>
        <v>0</v>
      </c>
      <c r="AX576" s="216">
        <f>AF576*AM576</f>
        <v>0.62500000000000011</v>
      </c>
      <c r="AZ576" s="158">
        <f>AX576+(AV576*AM576)</f>
        <v>0.62500000000000011</v>
      </c>
      <c r="BB576" s="217">
        <f>(AF576*AM576)*0.01</f>
        <v>6.2500000000000012E-3</v>
      </c>
      <c r="BD576" s="218">
        <f>AZ576*0.01</f>
        <v>6.2500000000000012E-3</v>
      </c>
      <c r="BE576" s="402"/>
      <c r="BG576" s="217">
        <f>IF(AF576&gt;0,BG571+BB576,BG571)</f>
        <v>0.70580357142857131</v>
      </c>
      <c r="BH576" s="218">
        <f>IF(AV576&gt;0,BH571+BD576,BH571)</f>
        <v>0.47142857142857131</v>
      </c>
      <c r="BI576" s="217">
        <f>IF(BG576&gt;0.99,0.99,BG576)</f>
        <v>0.70580357142857131</v>
      </c>
      <c r="BJ576" s="218">
        <f>IF(BH576&gt;0.99,0.99,BH576)</f>
        <v>0.47142857142857131</v>
      </c>
    </row>
    <row r="577" spans="1:62" ht="16.2" thickTop="1" x14ac:dyDescent="0.25">
      <c r="A577" s="200">
        <f>A572+1</f>
        <v>35</v>
      </c>
      <c r="B577" s="200" t="s">
        <v>392</v>
      </c>
      <c r="C577" s="200"/>
      <c r="D577" s="201" t="str">
        <f>IF(B579="","If claimed, explain in white box below.","")</f>
        <v/>
      </c>
      <c r="E577" s="203"/>
      <c r="F577" s="1"/>
    </row>
    <row r="578" spans="1:62" x14ac:dyDescent="0.25">
      <c r="A578" s="202"/>
      <c r="B578" s="567" t="s">
        <v>393</v>
      </c>
      <c r="C578" s="568"/>
      <c r="D578" s="569"/>
      <c r="E578" s="203"/>
      <c r="F578" s="1"/>
    </row>
    <row r="579" spans="1:62" ht="136.94999999999999" customHeight="1" thickBot="1" x14ac:dyDescent="0.3">
      <c r="A579" s="202"/>
      <c r="B579" s="570" t="s">
        <v>394</v>
      </c>
      <c r="C579" s="571"/>
      <c r="D579" s="572"/>
      <c r="E579" s="203"/>
      <c r="F579" s="1"/>
    </row>
    <row r="580" spans="1:62" ht="15" thickTop="1" thickBot="1" x14ac:dyDescent="0.3">
      <c r="A580" s="202"/>
      <c r="B580" s="204" t="str">
        <f>IF(B579="","","Claimed?")</f>
        <v>Claimed?</v>
      </c>
      <c r="C580" s="204" t="str">
        <f>IF(B580="","","Verifiable?")</f>
        <v>Verifiable?</v>
      </c>
      <c r="D580" s="205" t="str">
        <f>IF(C581="","","Independent verification")</f>
        <v>Independent verification</v>
      </c>
      <c r="E580" s="573">
        <f>BI581</f>
        <v>0.72830357142857127</v>
      </c>
      <c r="F580" s="574"/>
      <c r="AA580" s="60"/>
      <c r="AB580" s="60" t="s">
        <v>314</v>
      </c>
      <c r="AF580" s="220"/>
      <c r="AG580" s="60" t="s">
        <v>315</v>
      </c>
      <c r="AM580" s="221"/>
      <c r="AN580" s="60" t="s">
        <v>316</v>
      </c>
      <c r="AV580" s="222"/>
      <c r="AX580" s="207" t="s">
        <v>317</v>
      </c>
      <c r="AZ580" s="208" t="s">
        <v>318</v>
      </c>
      <c r="BB580" s="209" t="s">
        <v>319</v>
      </c>
      <c r="BD580" s="208" t="s">
        <v>320</v>
      </c>
      <c r="BG580" s="210" t="s">
        <v>326</v>
      </c>
      <c r="BH580" s="211" t="s">
        <v>327</v>
      </c>
      <c r="BI580" s="210" t="s">
        <v>321</v>
      </c>
      <c r="BJ580" s="211" t="s">
        <v>322</v>
      </c>
    </row>
    <row r="581" spans="1:62" ht="15" thickTop="1" thickBot="1" x14ac:dyDescent="0.3">
      <c r="A581" s="202"/>
      <c r="B581" s="212" t="s">
        <v>331</v>
      </c>
      <c r="C581" s="213" t="s">
        <v>347</v>
      </c>
      <c r="D581" s="223"/>
      <c r="E581" s="573">
        <f>BJ581</f>
        <v>0.47142857142857131</v>
      </c>
      <c r="F581" s="574"/>
      <c r="AA581" s="112"/>
      <c r="AB581" s="112">
        <f>IF(B581=$B$1871,$AB$463,0)</f>
        <v>0</v>
      </c>
      <c r="AC581" s="112">
        <f>IF(B581=$B$1872,$AC$463,0)</f>
        <v>0</v>
      </c>
      <c r="AD581" s="112">
        <f>IF(B581=$B$1873,$AD$463,0)</f>
        <v>0</v>
      </c>
      <c r="AE581" s="112">
        <f>IF(B581=$B$1874,$AE$463,0)</f>
        <v>5</v>
      </c>
      <c r="AF581" s="224">
        <f>SUM(AB581:AE581)</f>
        <v>5</v>
      </c>
      <c r="AG581" s="112">
        <f>IF(C581=$B$1877,$E$1877,0)</f>
        <v>0</v>
      </c>
      <c r="AH581" s="112">
        <f>IF(C581=$B$1878,$E$1878,0)</f>
        <v>0</v>
      </c>
      <c r="AI581" s="112">
        <f>IF(C581=$B$1879,$E$1879,0)</f>
        <v>0</v>
      </c>
      <c r="AJ581" s="112">
        <f>IF(C581=$B$1880,$E$1880,0)</f>
        <v>0</v>
      </c>
      <c r="AK581" s="112">
        <f>IF(C581=$B$1881,$E$1881,0)</f>
        <v>0.45</v>
      </c>
      <c r="AL581" s="112">
        <f>IF(C581=$B$1882,$E$1882,0)</f>
        <v>0</v>
      </c>
      <c r="AM581" s="225">
        <f>SUM(AG581:AL581)</f>
        <v>0.45</v>
      </c>
      <c r="AN581" s="112">
        <f>IF($D581=$B$1885,AN$463,0)</f>
        <v>0</v>
      </c>
      <c r="AO581" s="112">
        <f>IF($D581=$B$1886,AO$463,0)</f>
        <v>0</v>
      </c>
      <c r="AP581" s="112">
        <f>IF($D581=$B$1887,AP$463,0)</f>
        <v>0</v>
      </c>
      <c r="AQ581" s="112">
        <f>IF($D581=$B$1888,AQ$463,0)</f>
        <v>0</v>
      </c>
      <c r="AR581" s="112">
        <f>IF($D581=$B$1889,AR$463,0)</f>
        <v>0</v>
      </c>
      <c r="AS581" s="112">
        <f>IF($D581=$B$1890,AS$463,0)</f>
        <v>0</v>
      </c>
      <c r="AT581" s="112">
        <f>IF($D581=$B$1891,AT$463,0)</f>
        <v>0</v>
      </c>
      <c r="AU581" s="112">
        <f>IF($D581=$B$1892,AU$463,0)</f>
        <v>0</v>
      </c>
      <c r="AV581" s="226">
        <f>SUM(AN581:AU581)</f>
        <v>0</v>
      </c>
      <c r="AX581" s="216">
        <f>AF581*AM581</f>
        <v>2.25</v>
      </c>
      <c r="AZ581" s="158">
        <f>AX581+(AV581*AM581)</f>
        <v>2.25</v>
      </c>
      <c r="BB581" s="217">
        <f>(AF581*AM581)*0.01</f>
        <v>2.2499999999999999E-2</v>
      </c>
      <c r="BD581" s="218">
        <f>AZ581*0.01</f>
        <v>2.2499999999999999E-2</v>
      </c>
      <c r="BE581" s="402"/>
      <c r="BG581" s="217">
        <f>IF(AF581&gt;0,BG576+BB581,BG576)</f>
        <v>0.72830357142857127</v>
      </c>
      <c r="BH581" s="218">
        <f>IF(AV581&gt;0,BH576+BD581,BH576)</f>
        <v>0.47142857142857131</v>
      </c>
      <c r="BI581" s="217">
        <f>IF(BG581&gt;0.99,0.99,BG581)</f>
        <v>0.72830357142857127</v>
      </c>
      <c r="BJ581" s="218">
        <f>IF(BH581&gt;0.99,0.99,BH581)</f>
        <v>0.47142857142857131</v>
      </c>
    </row>
    <row r="582" spans="1:62" ht="4.95" customHeight="1" thickTop="1" x14ac:dyDescent="0.25">
      <c r="A582" s="203"/>
      <c r="B582" s="203"/>
      <c r="C582" s="203"/>
      <c r="D582" s="203"/>
      <c r="E582" s="203"/>
      <c r="F582" s="1"/>
    </row>
    <row r="583" spans="1:62" ht="15.6" x14ac:dyDescent="0.25">
      <c r="A583" s="200">
        <f>A577+1</f>
        <v>36</v>
      </c>
      <c r="B583" s="200" t="s">
        <v>395</v>
      </c>
      <c r="C583" s="200"/>
      <c r="D583" s="201" t="str">
        <f>IF(B585="","If claimed, explain in white box below.","")</f>
        <v/>
      </c>
      <c r="E583" s="203"/>
      <c r="F583" s="1"/>
    </row>
    <row r="584" spans="1:62" ht="28.05" customHeight="1" x14ac:dyDescent="0.25">
      <c r="A584" s="202"/>
      <c r="B584" s="567" t="s">
        <v>396</v>
      </c>
      <c r="C584" s="568"/>
      <c r="D584" s="569"/>
      <c r="E584" s="203"/>
      <c r="F584" s="1"/>
    </row>
    <row r="585" spans="1:62" ht="150" customHeight="1" thickBot="1" x14ac:dyDescent="0.3">
      <c r="A585" s="202"/>
      <c r="B585" s="570" t="s">
        <v>397</v>
      </c>
      <c r="C585" s="571"/>
      <c r="D585" s="572"/>
      <c r="E585" s="203"/>
      <c r="F585" s="1"/>
    </row>
    <row r="586" spans="1:62" ht="15" thickTop="1" thickBot="1" x14ac:dyDescent="0.3">
      <c r="A586" s="202"/>
      <c r="B586" s="204" t="str">
        <f>IF(B585="","","Claimed?")</f>
        <v>Claimed?</v>
      </c>
      <c r="C586" s="204" t="str">
        <f>IF(B586="","","Verifiable?")</f>
        <v>Verifiable?</v>
      </c>
      <c r="D586" s="205" t="str">
        <f>IF(C587="","","Independent verification")</f>
        <v>Independent verification</v>
      </c>
      <c r="E586" s="573">
        <f>BI587</f>
        <v>0.73580357142857122</v>
      </c>
      <c r="F586" s="574"/>
      <c r="AA586" s="60"/>
      <c r="AB586" s="60" t="s">
        <v>314</v>
      </c>
      <c r="AF586" s="220"/>
      <c r="AG586" s="60" t="s">
        <v>315</v>
      </c>
      <c r="AM586" s="221"/>
      <c r="AN586" s="60" t="s">
        <v>316</v>
      </c>
      <c r="AV586" s="222"/>
      <c r="AX586" s="207" t="s">
        <v>317</v>
      </c>
      <c r="AZ586" s="208" t="s">
        <v>318</v>
      </c>
      <c r="BB586" s="209" t="s">
        <v>319</v>
      </c>
      <c r="BD586" s="208" t="s">
        <v>320</v>
      </c>
      <c r="BG586" s="210" t="s">
        <v>326</v>
      </c>
      <c r="BH586" s="211" t="s">
        <v>327</v>
      </c>
      <c r="BI586" s="210" t="s">
        <v>321</v>
      </c>
      <c r="BJ586" s="211" t="s">
        <v>322</v>
      </c>
    </row>
    <row r="587" spans="1:62" ht="15" thickTop="1" thickBot="1" x14ac:dyDescent="0.3">
      <c r="A587" s="202"/>
      <c r="B587" s="212" t="s">
        <v>373</v>
      </c>
      <c r="C587" s="213" t="s">
        <v>351</v>
      </c>
      <c r="D587" s="223"/>
      <c r="E587" s="573">
        <f>BJ587</f>
        <v>0.47142857142857131</v>
      </c>
      <c r="F587" s="574"/>
      <c r="AA587" s="112"/>
      <c r="AB587" s="112">
        <f>IF(B587=$B$1871,$AB$463,0)</f>
        <v>0</v>
      </c>
      <c r="AC587" s="112">
        <f>IF(B587=$B$1872,$AC$463,0)</f>
        <v>0</v>
      </c>
      <c r="AD587" s="112">
        <f>IF(B587=$B$1873,$AD$463,0)</f>
        <v>2.5</v>
      </c>
      <c r="AE587" s="112">
        <f>IF(B587=$B$1874,$AE$463,0)</f>
        <v>0</v>
      </c>
      <c r="AF587" s="224">
        <f>SUM(AB587:AE587)</f>
        <v>2.5</v>
      </c>
      <c r="AG587" s="112">
        <f>IF(C587=$B$1877,$E$1877,0)</f>
        <v>0</v>
      </c>
      <c r="AH587" s="112">
        <f>IF(C587=$B$1878,$E$1878,0)</f>
        <v>0.30000000000000004</v>
      </c>
      <c r="AI587" s="112">
        <f>IF(C587=$B$1879,$E$1879,0)</f>
        <v>0</v>
      </c>
      <c r="AJ587" s="112">
        <f>IF(C587=$B$1880,$E$1880,0)</f>
        <v>0</v>
      </c>
      <c r="AK587" s="112">
        <f>IF(C587=$B$1881,$E$1881,0)</f>
        <v>0</v>
      </c>
      <c r="AL587" s="112">
        <f>IF(C587=$B$1882,$E$1882,0)</f>
        <v>0</v>
      </c>
      <c r="AM587" s="225">
        <f>SUM(AG587:AL587)</f>
        <v>0.30000000000000004</v>
      </c>
      <c r="AN587" s="112">
        <f>IF($D587=$B$1885,AN$463,0)</f>
        <v>0</v>
      </c>
      <c r="AO587" s="112">
        <f>IF($D587=$B$1886,AO$463,0)</f>
        <v>0</v>
      </c>
      <c r="AP587" s="112">
        <f>IF($D587=$B$1887,AP$463,0)</f>
        <v>0</v>
      </c>
      <c r="AQ587" s="112">
        <f>IF($D587=$B$1888,AQ$463,0)</f>
        <v>0</v>
      </c>
      <c r="AR587" s="112">
        <f>IF($D587=$B$1889,AR$463,0)</f>
        <v>0</v>
      </c>
      <c r="AS587" s="112">
        <f>IF($D587=$B$1890,AS$463,0)</f>
        <v>0</v>
      </c>
      <c r="AT587" s="112">
        <f>IF($D587=$B$1891,AT$463,0)</f>
        <v>0</v>
      </c>
      <c r="AU587" s="112">
        <f>IF($D587=$B$1892,AU$463,0)</f>
        <v>0</v>
      </c>
      <c r="AV587" s="226">
        <f>SUM(AN587:AU587)</f>
        <v>0</v>
      </c>
      <c r="AX587" s="216">
        <f>AF587*AM587</f>
        <v>0.75000000000000011</v>
      </c>
      <c r="AZ587" s="158">
        <f>AX587+(AV587*AM587)</f>
        <v>0.75000000000000011</v>
      </c>
      <c r="BB587" s="217">
        <f>(AF587*AM587)*0.01</f>
        <v>7.5000000000000015E-3</v>
      </c>
      <c r="BD587" s="218">
        <f>AZ587*0.01</f>
        <v>7.5000000000000015E-3</v>
      </c>
      <c r="BE587" s="402"/>
      <c r="BG587" s="217">
        <f>IF(AF587&gt;0,BG581+BB587,BG581)</f>
        <v>0.73580357142857122</v>
      </c>
      <c r="BH587" s="218">
        <f>IF(AV587&gt;0,BH581+BD587,BH581)</f>
        <v>0.47142857142857131</v>
      </c>
      <c r="BI587" s="217">
        <f>IF(BG587&gt;0.99,0.99,BG587)</f>
        <v>0.73580357142857122</v>
      </c>
      <c r="BJ587" s="218">
        <f>IF(BH587&gt;0.99,0.99,BH587)</f>
        <v>0.47142857142857131</v>
      </c>
    </row>
    <row r="588" spans="1:62" ht="16.2" thickTop="1" x14ac:dyDescent="0.25">
      <c r="A588" s="200">
        <f>A583+1</f>
        <v>37</v>
      </c>
      <c r="B588" s="200" t="s">
        <v>398</v>
      </c>
      <c r="C588" s="200"/>
      <c r="D588" s="201" t="str">
        <f>IF(B590="","If claimed, explain in white box below.","")</f>
        <v/>
      </c>
      <c r="E588" s="203"/>
      <c r="F588" s="1"/>
    </row>
    <row r="589" spans="1:62" ht="28.05" customHeight="1" x14ac:dyDescent="0.25">
      <c r="A589" s="202"/>
      <c r="B589" s="567" t="s">
        <v>399</v>
      </c>
      <c r="C589" s="568"/>
      <c r="D589" s="569"/>
      <c r="E589" s="203"/>
      <c r="F589" s="1"/>
    </row>
    <row r="590" spans="1:62" ht="150" customHeight="1" thickBot="1" x14ac:dyDescent="0.3">
      <c r="A590" s="202"/>
      <c r="B590" s="570" t="s">
        <v>400</v>
      </c>
      <c r="C590" s="571"/>
      <c r="D590" s="572"/>
      <c r="E590" s="203"/>
      <c r="F590" s="1"/>
    </row>
    <row r="591" spans="1:62" ht="15" thickTop="1" thickBot="1" x14ac:dyDescent="0.3">
      <c r="A591" s="202"/>
      <c r="B591" s="204" t="str">
        <f>IF(B590="","","Claimed?")</f>
        <v>Claimed?</v>
      </c>
      <c r="C591" s="204" t="str">
        <f>IF(B591="","","Verifiable?")</f>
        <v>Verifiable?</v>
      </c>
      <c r="D591" s="205" t="str">
        <f>IF(C592="","","Independent verification")</f>
        <v>Independent verification</v>
      </c>
      <c r="E591" s="573">
        <f>BI592</f>
        <v>0.7420535714285712</v>
      </c>
      <c r="F591" s="574"/>
      <c r="AA591" s="60"/>
      <c r="AB591" s="60" t="s">
        <v>314</v>
      </c>
      <c r="AF591" s="220"/>
      <c r="AG591" s="60" t="s">
        <v>315</v>
      </c>
      <c r="AM591" s="221"/>
      <c r="AN591" s="60" t="s">
        <v>316</v>
      </c>
      <c r="AV591" s="222"/>
      <c r="AX591" s="207" t="s">
        <v>317</v>
      </c>
      <c r="AZ591" s="208" t="s">
        <v>318</v>
      </c>
      <c r="BB591" s="209" t="s">
        <v>319</v>
      </c>
      <c r="BD591" s="208" t="s">
        <v>320</v>
      </c>
      <c r="BG591" s="210" t="s">
        <v>326</v>
      </c>
      <c r="BH591" s="211" t="s">
        <v>327</v>
      </c>
      <c r="BI591" s="210" t="s">
        <v>321</v>
      </c>
      <c r="BJ591" s="211" t="s">
        <v>322</v>
      </c>
    </row>
    <row r="592" spans="1:62" ht="15" thickTop="1" thickBot="1" x14ac:dyDescent="0.3">
      <c r="A592" s="202"/>
      <c r="B592" s="212" t="s">
        <v>373</v>
      </c>
      <c r="C592" s="213" t="s">
        <v>388</v>
      </c>
      <c r="D592" s="223"/>
      <c r="E592" s="573">
        <f>BJ592</f>
        <v>0.47142857142857131</v>
      </c>
      <c r="F592" s="574"/>
      <c r="AA592" s="112"/>
      <c r="AB592" s="112">
        <f>IF(B592=$B$1871,$AB$463,0)</f>
        <v>0</v>
      </c>
      <c r="AC592" s="112">
        <f>IF(B592=$B$1872,$AC$463,0)</f>
        <v>0</v>
      </c>
      <c r="AD592" s="112">
        <f>IF(B592=$B$1873,$AD$463,0)</f>
        <v>2.5</v>
      </c>
      <c r="AE592" s="112">
        <f>IF(B592=$B$1874,$AE$463,0)</f>
        <v>0</v>
      </c>
      <c r="AF592" s="224">
        <f>SUM(AB592:AE592)</f>
        <v>2.5</v>
      </c>
      <c r="AG592" s="112">
        <f>IF(C592=$B$1877,$E$1877,0)</f>
        <v>0.25000000000000006</v>
      </c>
      <c r="AH592" s="112">
        <f>IF(C592=$B$1878,$E$1878,0)</f>
        <v>0</v>
      </c>
      <c r="AI592" s="112">
        <f>IF(C592=$B$1879,$E$1879,0)</f>
        <v>0</v>
      </c>
      <c r="AJ592" s="112">
        <f>IF(C592=$B$1880,$E$1880,0)</f>
        <v>0</v>
      </c>
      <c r="AK592" s="112">
        <f>IF(C592=$B$1881,$E$1881,0)</f>
        <v>0</v>
      </c>
      <c r="AL592" s="112">
        <f>IF(C592=$B$1882,$E$1882,0)</f>
        <v>0</v>
      </c>
      <c r="AM592" s="225">
        <f>SUM(AG592:AL592)</f>
        <v>0.25000000000000006</v>
      </c>
      <c r="AN592" s="112">
        <f>IF($D592=$B$1885,AN$463,0)</f>
        <v>0</v>
      </c>
      <c r="AO592" s="112">
        <f>IF($D592=$B$1886,AO$463,0)</f>
        <v>0</v>
      </c>
      <c r="AP592" s="112">
        <f>IF($D592=$B$1887,AP$463,0)</f>
        <v>0</v>
      </c>
      <c r="AQ592" s="112">
        <f>IF($D592=$B$1888,AQ$463,0)</f>
        <v>0</v>
      </c>
      <c r="AR592" s="112">
        <f>IF($D592=$B$1889,AR$463,0)</f>
        <v>0</v>
      </c>
      <c r="AS592" s="112">
        <f>IF($D592=$B$1890,AS$463,0)</f>
        <v>0</v>
      </c>
      <c r="AT592" s="112">
        <f>IF($D592=$B$1891,AT$463,0)</f>
        <v>0</v>
      </c>
      <c r="AU592" s="112">
        <f>IF($D592=$B$1892,AU$463,0)</f>
        <v>0</v>
      </c>
      <c r="AV592" s="226">
        <f>SUM(AN592:AU592)</f>
        <v>0</v>
      </c>
      <c r="AX592" s="216">
        <f>AF592*AM592</f>
        <v>0.62500000000000011</v>
      </c>
      <c r="AZ592" s="158">
        <f>AX592+(AV592*AM592)</f>
        <v>0.62500000000000011</v>
      </c>
      <c r="BB592" s="217">
        <f>(AF592*AM592)*0.01</f>
        <v>6.2500000000000012E-3</v>
      </c>
      <c r="BD592" s="218">
        <f>AZ592*0.01</f>
        <v>6.2500000000000012E-3</v>
      </c>
      <c r="BE592" s="402"/>
      <c r="BG592" s="217">
        <f>IF(AF592&gt;0,BG587+BB592,BG587)</f>
        <v>0.7420535714285712</v>
      </c>
      <c r="BH592" s="218">
        <f>IF(AV592&gt;0,BH587+BD592,BH587)</f>
        <v>0.47142857142857131</v>
      </c>
      <c r="BI592" s="217">
        <f>IF(BG592&gt;0.99,0.99,BG592)</f>
        <v>0.7420535714285712</v>
      </c>
      <c r="BJ592" s="218">
        <f>IF(BH592&gt;0.99,0.99,BH592)</f>
        <v>0.47142857142857131</v>
      </c>
    </row>
    <row r="593" spans="1:62" ht="16.2" thickTop="1" x14ac:dyDescent="0.25">
      <c r="A593" s="200">
        <f>A588+1</f>
        <v>38</v>
      </c>
      <c r="B593" s="200" t="s">
        <v>401</v>
      </c>
      <c r="C593" s="200"/>
      <c r="D593" s="201" t="str">
        <f>IF(B595="","If claimed, explain in white box below.","")</f>
        <v/>
      </c>
      <c r="E593" s="203"/>
      <c r="F593" s="1"/>
    </row>
    <row r="594" spans="1:62" x14ac:dyDescent="0.25">
      <c r="A594" s="202"/>
      <c r="B594" s="567" t="s">
        <v>402</v>
      </c>
      <c r="C594" s="568"/>
      <c r="D594" s="569"/>
      <c r="E594" s="203"/>
      <c r="F594" s="1"/>
    </row>
    <row r="595" spans="1:62" ht="150" customHeight="1" thickBot="1" x14ac:dyDescent="0.3">
      <c r="A595" s="202"/>
      <c r="B595" s="570" t="s">
        <v>403</v>
      </c>
      <c r="C595" s="571"/>
      <c r="D595" s="572"/>
      <c r="E595" s="203"/>
      <c r="F595" s="1"/>
    </row>
    <row r="596" spans="1:62" ht="15" thickTop="1" thickBot="1" x14ac:dyDescent="0.3">
      <c r="A596" s="202"/>
      <c r="B596" s="204" t="str">
        <f>IF(B595="","","Claimed?")</f>
        <v>Claimed?</v>
      </c>
      <c r="C596" s="204" t="str">
        <f>IF(B596="","","Verifiable?")</f>
        <v>Verifiable?</v>
      </c>
      <c r="D596" s="205" t="str">
        <f>IF(C597="","","Independent verification")</f>
        <v>Independent verification</v>
      </c>
      <c r="E596" s="573">
        <f>BI597</f>
        <v>0.75955357142857116</v>
      </c>
      <c r="F596" s="574"/>
      <c r="AA596" s="60"/>
      <c r="AB596" s="60" t="s">
        <v>314</v>
      </c>
      <c r="AF596" s="220"/>
      <c r="AG596" s="60" t="s">
        <v>315</v>
      </c>
      <c r="AM596" s="221"/>
      <c r="AN596" s="60" t="s">
        <v>316</v>
      </c>
      <c r="AV596" s="222"/>
      <c r="AX596" s="207" t="s">
        <v>317</v>
      </c>
      <c r="AZ596" s="208" t="s">
        <v>318</v>
      </c>
      <c r="BB596" s="209" t="s">
        <v>319</v>
      </c>
      <c r="BD596" s="208" t="s">
        <v>320</v>
      </c>
      <c r="BG596" s="210" t="s">
        <v>326</v>
      </c>
      <c r="BH596" s="211" t="s">
        <v>327</v>
      </c>
      <c r="BI596" s="210" t="s">
        <v>321</v>
      </c>
      <c r="BJ596" s="211" t="s">
        <v>322</v>
      </c>
    </row>
    <row r="597" spans="1:62" ht="15" thickTop="1" thickBot="1" x14ac:dyDescent="0.3">
      <c r="A597" s="202"/>
      <c r="B597" s="212" t="s">
        <v>331</v>
      </c>
      <c r="C597" s="213" t="s">
        <v>358</v>
      </c>
      <c r="D597" s="223"/>
      <c r="E597" s="573">
        <f>BJ597</f>
        <v>0.47142857142857131</v>
      </c>
      <c r="F597" s="574"/>
      <c r="AA597" s="112"/>
      <c r="AB597" s="112">
        <f>IF(B597=$B$1871,$AB$463,0)</f>
        <v>0</v>
      </c>
      <c r="AC597" s="112">
        <f>IF(B597=$B$1872,$AC$463,0)</f>
        <v>0</v>
      </c>
      <c r="AD597" s="112">
        <f>IF(B597=$B$1873,$AD$463,0)</f>
        <v>0</v>
      </c>
      <c r="AE597" s="112">
        <f>IF(B597=$B$1874,$AE$463,0)</f>
        <v>5</v>
      </c>
      <c r="AF597" s="224">
        <f>SUM(AB597:AE597)</f>
        <v>5</v>
      </c>
      <c r="AG597" s="112">
        <f>IF(C597=$B$1877,$E$1877,0)</f>
        <v>0</v>
      </c>
      <c r="AH597" s="112">
        <f>IF(C597=$B$1878,$E$1878,0)</f>
        <v>0</v>
      </c>
      <c r="AI597" s="112">
        <f>IF(C597=$B$1879,$E$1879,0)</f>
        <v>0.35000000000000003</v>
      </c>
      <c r="AJ597" s="112">
        <f>IF(C597=$B$1880,$E$1880,0)</f>
        <v>0</v>
      </c>
      <c r="AK597" s="112">
        <f>IF(C597=$B$1881,$E$1881,0)</f>
        <v>0</v>
      </c>
      <c r="AL597" s="112">
        <f>IF(C597=$B$1882,$E$1882,0)</f>
        <v>0</v>
      </c>
      <c r="AM597" s="225">
        <f>SUM(AG597:AL597)</f>
        <v>0.35000000000000003</v>
      </c>
      <c r="AN597" s="112">
        <f>IF($D597=$B$1885,AN$463,0)</f>
        <v>0</v>
      </c>
      <c r="AO597" s="112">
        <f>IF($D597=$B$1886,AO$463,0)</f>
        <v>0</v>
      </c>
      <c r="AP597" s="112">
        <f>IF($D597=$B$1887,AP$463,0)</f>
        <v>0</v>
      </c>
      <c r="AQ597" s="112">
        <f>IF($D597=$B$1888,AQ$463,0)</f>
        <v>0</v>
      </c>
      <c r="AR597" s="112">
        <f>IF($D597=$B$1889,AR$463,0)</f>
        <v>0</v>
      </c>
      <c r="AS597" s="112">
        <f>IF($D597=$B$1890,AS$463,0)</f>
        <v>0</v>
      </c>
      <c r="AT597" s="112">
        <f>IF($D597=$B$1891,AT$463,0)</f>
        <v>0</v>
      </c>
      <c r="AU597" s="112">
        <f>IF($D597=$B$1892,AU$463,0)</f>
        <v>0</v>
      </c>
      <c r="AV597" s="226">
        <f>SUM(AN597:AU597)</f>
        <v>0</v>
      </c>
      <c r="AX597" s="216">
        <f>AF597*AM597</f>
        <v>1.7500000000000002</v>
      </c>
      <c r="AZ597" s="158">
        <f>AX597+(AV597*AM597)</f>
        <v>1.7500000000000002</v>
      </c>
      <c r="BB597" s="217">
        <f>(AF597*AM597)*0.01</f>
        <v>1.7500000000000002E-2</v>
      </c>
      <c r="BD597" s="218">
        <f>AZ597*0.01</f>
        <v>1.7500000000000002E-2</v>
      </c>
      <c r="BE597" s="402"/>
      <c r="BG597" s="217">
        <f>IF(AF597&gt;0,BG592+BB597,BG592)</f>
        <v>0.75955357142857116</v>
      </c>
      <c r="BH597" s="218">
        <f>IF(AV597&gt;0,BH592+BD597,BH592)</f>
        <v>0.47142857142857131</v>
      </c>
      <c r="BI597" s="217">
        <f>IF(BG597&gt;0.99,0.99,BG597)</f>
        <v>0.75955357142857116</v>
      </c>
      <c r="BJ597" s="218">
        <f>IF(BH597&gt;0.99,0.99,BH597)</f>
        <v>0.47142857142857131</v>
      </c>
    </row>
    <row r="598" spans="1:62" ht="14.4" thickTop="1" x14ac:dyDescent="0.25">
      <c r="A598" s="202"/>
      <c r="B598" s="203"/>
      <c r="C598" s="203"/>
      <c r="D598" s="203"/>
      <c r="E598" s="203"/>
      <c r="F598" s="1"/>
    </row>
    <row r="599" spans="1:62" ht="30" customHeight="1" x14ac:dyDescent="0.25">
      <c r="A599" s="188" t="s">
        <v>81</v>
      </c>
      <c r="B599" s="46" t="s">
        <v>404</v>
      </c>
      <c r="C599" s="46"/>
      <c r="D599" s="46"/>
      <c r="E599" s="46"/>
      <c r="F599" s="475" t="s">
        <v>949</v>
      </c>
    </row>
    <row r="600" spans="1:62" ht="19.95" customHeight="1" x14ac:dyDescent="0.25">
      <c r="A600" s="108" t="s">
        <v>405</v>
      </c>
      <c r="B600" s="109"/>
      <c r="C600" s="109"/>
      <c r="D600" s="109"/>
      <c r="E600" s="110"/>
      <c r="F600" s="108"/>
      <c r="AA600" s="190"/>
      <c r="AB600" s="190">
        <v>0</v>
      </c>
      <c r="AC600" s="191">
        <f>AD600/2</f>
        <v>0.25</v>
      </c>
      <c r="AD600" s="192">
        <f>AE600/2</f>
        <v>0.5</v>
      </c>
      <c r="AE600" s="193">
        <v>1</v>
      </c>
      <c r="AF600" s="120"/>
      <c r="AG600" s="120"/>
      <c r="AH600" s="120"/>
      <c r="AI600" s="120"/>
      <c r="AJ600" s="120"/>
      <c r="AK600" s="120"/>
      <c r="AL600" s="120"/>
      <c r="AM600" s="120"/>
      <c r="AN600" s="194">
        <f>AE600*-2</f>
        <v>-2</v>
      </c>
      <c r="AO600" s="190">
        <f>AE600*-1</f>
        <v>-1</v>
      </c>
      <c r="AP600" s="190">
        <f>AD600*-1</f>
        <v>-0.5</v>
      </c>
      <c r="AQ600" s="195">
        <f>AE600*-0.1</f>
        <v>-0.1</v>
      </c>
      <c r="AR600" s="195">
        <v>0</v>
      </c>
      <c r="AS600" s="195">
        <f>AE600*0.1</f>
        <v>0.1</v>
      </c>
      <c r="AT600" s="192">
        <f>AD600</f>
        <v>0.5</v>
      </c>
      <c r="AU600" s="193">
        <f>AE600</f>
        <v>1</v>
      </c>
      <c r="AV600" s="196"/>
      <c r="AW600" s="120"/>
      <c r="AX600" s="120"/>
      <c r="AY600" s="120"/>
      <c r="AZ600" s="120"/>
      <c r="BA600" s="120"/>
      <c r="BB600" s="197"/>
      <c r="BC600" s="120"/>
      <c r="BD600" s="120"/>
      <c r="BE600" s="120"/>
      <c r="BF600" s="120"/>
      <c r="BG600" s="229">
        <f>BG566</f>
        <v>0.47142857142857131</v>
      </c>
    </row>
    <row r="601" spans="1:62" ht="15.6" x14ac:dyDescent="0.25">
      <c r="A601" s="200">
        <f>A593+1</f>
        <v>39</v>
      </c>
      <c r="B601" s="200" t="s">
        <v>406</v>
      </c>
      <c r="C601" s="200"/>
      <c r="D601" s="201" t="str">
        <f>IF(B603="","If claimed, explain in white box below.","")</f>
        <v/>
      </c>
      <c r="E601" s="203"/>
      <c r="F601" s="1"/>
    </row>
    <row r="602" spans="1:62" ht="28.05" customHeight="1" x14ac:dyDescent="0.25">
      <c r="A602" s="202"/>
      <c r="B602" s="567" t="s">
        <v>407</v>
      </c>
      <c r="C602" s="568"/>
      <c r="D602" s="569"/>
      <c r="E602" s="203"/>
      <c r="F602" s="1"/>
    </row>
    <row r="603" spans="1:62" ht="138" customHeight="1" thickBot="1" x14ac:dyDescent="0.3">
      <c r="A603" s="202"/>
      <c r="B603" s="570" t="s">
        <v>408</v>
      </c>
      <c r="C603" s="571"/>
      <c r="D603" s="572"/>
      <c r="E603" s="203"/>
      <c r="F603" s="1"/>
    </row>
    <row r="604" spans="1:62" ht="15" thickTop="1" thickBot="1" x14ac:dyDescent="0.3">
      <c r="A604" s="202"/>
      <c r="B604" s="204" t="str">
        <f>IF(B603="","","Claimed?")</f>
        <v>Claimed?</v>
      </c>
      <c r="C604" s="204" t="str">
        <f>IF(B604="","","Verifiable?")</f>
        <v>Verifiable?</v>
      </c>
      <c r="D604" s="205" t="str">
        <f>IF(C605="","","Independent verification")</f>
        <v>Independent verification</v>
      </c>
      <c r="E604" s="573">
        <f>BI605</f>
        <v>0.78205357142857113</v>
      </c>
      <c r="F604" s="574"/>
      <c r="AA604" s="60"/>
      <c r="AB604" s="60" t="s">
        <v>314</v>
      </c>
      <c r="AF604" s="220"/>
      <c r="AG604" s="60" t="s">
        <v>315</v>
      </c>
      <c r="AM604" s="221"/>
      <c r="AN604" s="60" t="s">
        <v>316</v>
      </c>
      <c r="AV604" s="222"/>
      <c r="AX604" s="207" t="s">
        <v>317</v>
      </c>
      <c r="AZ604" s="208" t="s">
        <v>318</v>
      </c>
      <c r="BB604" s="209" t="s">
        <v>319</v>
      </c>
      <c r="BD604" s="208" t="s">
        <v>320</v>
      </c>
      <c r="BG604" s="210" t="s">
        <v>326</v>
      </c>
      <c r="BH604" s="211" t="s">
        <v>327</v>
      </c>
      <c r="BI604" s="210" t="s">
        <v>321</v>
      </c>
      <c r="BJ604" s="211" t="s">
        <v>322</v>
      </c>
    </row>
    <row r="605" spans="1:62" ht="15" thickTop="1" thickBot="1" x14ac:dyDescent="0.3">
      <c r="A605" s="202"/>
      <c r="B605" s="212" t="s">
        <v>331</v>
      </c>
      <c r="C605" s="213" t="s">
        <v>347</v>
      </c>
      <c r="D605" s="223"/>
      <c r="E605" s="573">
        <f>BJ605</f>
        <v>0.47142857142857131</v>
      </c>
      <c r="F605" s="574"/>
      <c r="AA605" s="112"/>
      <c r="AB605" s="112">
        <f>IF(B605=$B$1871,$AB$463,0)</f>
        <v>0</v>
      </c>
      <c r="AC605" s="112">
        <f>IF(B605=$B$1872,$AC$463,0)</f>
        <v>0</v>
      </c>
      <c r="AD605" s="112">
        <f>IF(B605=$B$1873,$AD$463,0)</f>
        <v>0</v>
      </c>
      <c r="AE605" s="112">
        <f>IF(B605=$B$1874,$AE$463,0)</f>
        <v>5</v>
      </c>
      <c r="AF605" s="224">
        <f>SUM(AB605:AE605)</f>
        <v>5</v>
      </c>
      <c r="AG605" s="112">
        <f>IF(C605=$B$1877,$E$1877,0)</f>
        <v>0</v>
      </c>
      <c r="AH605" s="112">
        <f>IF(C605=$B$1878,$E$1878,0)</f>
        <v>0</v>
      </c>
      <c r="AI605" s="112">
        <f>IF(C605=$B$1879,$E$1879,0)</f>
        <v>0</v>
      </c>
      <c r="AJ605" s="112">
        <f>IF(C605=$B$1880,$E$1880,0)</f>
        <v>0</v>
      </c>
      <c r="AK605" s="112">
        <f>IF(C605=$B$1881,$E$1881,0)</f>
        <v>0.45</v>
      </c>
      <c r="AL605" s="112">
        <f>IF(C605=$B$1882,$E$1882,0)</f>
        <v>0</v>
      </c>
      <c r="AM605" s="225">
        <f>SUM(AG605:AL605)</f>
        <v>0.45</v>
      </c>
      <c r="AN605" s="112">
        <f>IF($D605=$B$1885,AN$463,0)</f>
        <v>0</v>
      </c>
      <c r="AO605" s="112">
        <f>IF($D605=$B$1886,AO$463,0)</f>
        <v>0</v>
      </c>
      <c r="AP605" s="112">
        <f>IF($D605=$B$1887,AP$463,0)</f>
        <v>0</v>
      </c>
      <c r="AQ605" s="112">
        <f>IF($D605=$B$1888,AQ$463,0)</f>
        <v>0</v>
      </c>
      <c r="AR605" s="112">
        <f>IF($D605=$B$1889,AR$463,0)</f>
        <v>0</v>
      </c>
      <c r="AS605" s="112">
        <f>IF($D605=$B$1890,AS$463,0)</f>
        <v>0</v>
      </c>
      <c r="AT605" s="112">
        <f>IF($D605=$B$1891,AT$463,0)</f>
        <v>0</v>
      </c>
      <c r="AU605" s="112">
        <f>IF($D605=$B$1892,AU$463,0)</f>
        <v>0</v>
      </c>
      <c r="AV605" s="226">
        <f>SUM(AN605:AU605)</f>
        <v>0</v>
      </c>
      <c r="AX605" s="216">
        <f>AF605*AM605</f>
        <v>2.25</v>
      </c>
      <c r="AZ605" s="158">
        <f>AX605+(AV605*AM605)</f>
        <v>2.25</v>
      </c>
      <c r="BB605" s="217">
        <f>(AF605*AM605)*0.01</f>
        <v>2.2499999999999999E-2</v>
      </c>
      <c r="BD605" s="218">
        <f>AZ605*0.01</f>
        <v>2.2499999999999999E-2</v>
      </c>
      <c r="BE605" s="402"/>
      <c r="BG605" s="217">
        <f>IF(AF605&gt;0,BG597+BB605,BG597)</f>
        <v>0.78205357142857113</v>
      </c>
      <c r="BH605" s="218">
        <f>IF(AV605&gt;0,BH597+BD605,BH597)</f>
        <v>0.47142857142857131</v>
      </c>
      <c r="BI605" s="217">
        <f>IF(BG605&gt;0.99,0.99,BG605)</f>
        <v>0.78205357142857113</v>
      </c>
      <c r="BJ605" s="218">
        <f>IF(BH605&gt;0.99,0.99,BH605)</f>
        <v>0.47142857142857131</v>
      </c>
    </row>
    <row r="606" spans="1:62" ht="16.2" thickTop="1" x14ac:dyDescent="0.25">
      <c r="A606" s="200">
        <f>A601+1</f>
        <v>40</v>
      </c>
      <c r="B606" s="200" t="s">
        <v>171</v>
      </c>
      <c r="C606" s="200"/>
      <c r="D606" s="201" t="str">
        <f>IF(B608="","If claimed, explain in white box below.","")</f>
        <v/>
      </c>
      <c r="E606" s="203"/>
      <c r="F606" s="1"/>
    </row>
    <row r="607" spans="1:62" x14ac:dyDescent="0.25">
      <c r="A607" s="202"/>
      <c r="B607" s="567" t="s">
        <v>409</v>
      </c>
      <c r="C607" s="568"/>
      <c r="D607" s="569"/>
      <c r="E607" s="203"/>
      <c r="F607" s="1"/>
    </row>
    <row r="608" spans="1:62" ht="138" customHeight="1" thickBot="1" x14ac:dyDescent="0.3">
      <c r="A608" s="202"/>
      <c r="B608" s="570" t="s">
        <v>410</v>
      </c>
      <c r="C608" s="571"/>
      <c r="D608" s="572"/>
      <c r="E608" s="203"/>
      <c r="F608" s="1"/>
    </row>
    <row r="609" spans="1:62" ht="15" thickTop="1" thickBot="1" x14ac:dyDescent="0.3">
      <c r="A609" s="202"/>
      <c r="B609" s="204" t="str">
        <f>IF(B608="","","Claimed?")</f>
        <v>Claimed?</v>
      </c>
      <c r="C609" s="204" t="str">
        <f>IF(B609="","","Verifiable?")</f>
        <v>Verifiable?</v>
      </c>
      <c r="D609" s="205" t="str">
        <f>IF(C610="","","Independent verification")</f>
        <v/>
      </c>
      <c r="E609" s="573">
        <f>BI610</f>
        <v>0.78205357142857113</v>
      </c>
      <c r="F609" s="574"/>
      <c r="AA609" s="60"/>
      <c r="AB609" s="60" t="s">
        <v>314</v>
      </c>
      <c r="AF609" s="220"/>
      <c r="AG609" s="60" t="s">
        <v>315</v>
      </c>
      <c r="AM609" s="221"/>
      <c r="AN609" s="60" t="s">
        <v>316</v>
      </c>
      <c r="AV609" s="222"/>
      <c r="AX609" s="207" t="s">
        <v>317</v>
      </c>
      <c r="AZ609" s="208" t="s">
        <v>318</v>
      </c>
      <c r="BB609" s="209" t="s">
        <v>319</v>
      </c>
      <c r="BD609" s="208" t="s">
        <v>320</v>
      </c>
      <c r="BG609" s="210" t="s">
        <v>326</v>
      </c>
      <c r="BH609" s="211" t="s">
        <v>327</v>
      </c>
      <c r="BI609" s="210" t="s">
        <v>321</v>
      </c>
      <c r="BJ609" s="211" t="s">
        <v>322</v>
      </c>
    </row>
    <row r="610" spans="1:62" ht="15" thickTop="1" thickBot="1" x14ac:dyDescent="0.3">
      <c r="A610" s="202"/>
      <c r="B610" s="212" t="s">
        <v>323</v>
      </c>
      <c r="C610" s="213"/>
      <c r="D610" s="223"/>
      <c r="E610" s="573">
        <f>BJ610</f>
        <v>0.47142857142857131</v>
      </c>
      <c r="F610" s="574"/>
      <c r="AA610" s="112"/>
      <c r="AB610" s="112">
        <f>IF(B610=$B$1871,$AB$463,0)</f>
        <v>0</v>
      </c>
      <c r="AC610" s="112">
        <f>IF(B610=$B$1872,$AC$463,0)</f>
        <v>0</v>
      </c>
      <c r="AD610" s="112">
        <f>IF(B610=$B$1873,$AD$463,0)</f>
        <v>0</v>
      </c>
      <c r="AE610" s="112">
        <f>IF(B610=$B$1874,$AE$463,0)</f>
        <v>0</v>
      </c>
      <c r="AF610" s="224">
        <f>SUM(AB610:AE610)</f>
        <v>0</v>
      </c>
      <c r="AG610" s="112">
        <f>IF(C610=$B$1877,$E$1877,0)</f>
        <v>0</v>
      </c>
      <c r="AH610" s="112">
        <f>IF(C610=$B$1878,$E$1878,0)</f>
        <v>0</v>
      </c>
      <c r="AI610" s="112">
        <f>IF(C610=$B$1879,$E$1879,0)</f>
        <v>0</v>
      </c>
      <c r="AJ610" s="112">
        <f>IF(C610=$B$1880,$E$1880,0)</f>
        <v>0</v>
      </c>
      <c r="AK610" s="112">
        <f>IF(C610=$B$1881,$E$1881,0)</f>
        <v>0</v>
      </c>
      <c r="AL610" s="112">
        <f>IF(C610=$B$1882,$E$1882,0)</f>
        <v>0</v>
      </c>
      <c r="AM610" s="225">
        <f>SUM(AG610:AL610)</f>
        <v>0</v>
      </c>
      <c r="AN610" s="112">
        <f>IF($D610=$B$1885,AN$463,0)</f>
        <v>0</v>
      </c>
      <c r="AO610" s="112">
        <f>IF($D610=$B$1886,AO$463,0)</f>
        <v>0</v>
      </c>
      <c r="AP610" s="112">
        <f>IF($D610=$B$1887,AP$463,0)</f>
        <v>0</v>
      </c>
      <c r="AQ610" s="112">
        <f>IF($D610=$B$1888,AQ$463,0)</f>
        <v>0</v>
      </c>
      <c r="AR610" s="112">
        <f>IF($D610=$B$1889,AR$463,0)</f>
        <v>0</v>
      </c>
      <c r="AS610" s="112">
        <f>IF($D610=$B$1890,AS$463,0)</f>
        <v>0</v>
      </c>
      <c r="AT610" s="112">
        <f>IF($D610=$B$1891,AT$463,0)</f>
        <v>0</v>
      </c>
      <c r="AU610" s="112">
        <f>IF($D610=$B$1892,AU$463,0)</f>
        <v>0</v>
      </c>
      <c r="AV610" s="226">
        <f>SUM(AN610:AU610)</f>
        <v>0</v>
      </c>
      <c r="AX610" s="216">
        <f>AF610*AM610</f>
        <v>0</v>
      </c>
      <c r="AZ610" s="158">
        <f>AX610+(AV610*AM610)</f>
        <v>0</v>
      </c>
      <c r="BB610" s="217">
        <f>(AF610*AM610)*0.01</f>
        <v>0</v>
      </c>
      <c r="BD610" s="218">
        <f>AZ610*0.01</f>
        <v>0</v>
      </c>
      <c r="BE610" s="402"/>
      <c r="BG610" s="217">
        <f>IF(AF610&gt;0,BG605+BB610,BG605)</f>
        <v>0.78205357142857113</v>
      </c>
      <c r="BH610" s="218">
        <f>IF(AV610&gt;0,BH605+BD610,BH605)</f>
        <v>0.47142857142857131</v>
      </c>
      <c r="BI610" s="217">
        <f>IF(BG610&gt;0.99,0.99,BG610)</f>
        <v>0.78205357142857113</v>
      </c>
      <c r="BJ610" s="218">
        <f>IF(BH610&gt;0.99,0.99,BH610)</f>
        <v>0.47142857142857131</v>
      </c>
    </row>
    <row r="611" spans="1:62" ht="16.2" thickTop="1" x14ac:dyDescent="0.25">
      <c r="A611" s="200">
        <f>A606+1</f>
        <v>41</v>
      </c>
      <c r="B611" s="200" t="s">
        <v>411</v>
      </c>
      <c r="C611" s="200"/>
      <c r="D611" s="201" t="str">
        <f>IF(B613="","If claimed, explain in white box below.","")</f>
        <v/>
      </c>
      <c r="E611" s="203"/>
      <c r="F611" s="1"/>
    </row>
    <row r="612" spans="1:62" ht="28.05" customHeight="1" x14ac:dyDescent="0.25">
      <c r="A612" s="202"/>
      <c r="B612" s="567" t="s">
        <v>412</v>
      </c>
      <c r="C612" s="568"/>
      <c r="D612" s="569"/>
      <c r="E612" s="203"/>
      <c r="F612" s="1"/>
    </row>
    <row r="613" spans="1:62" ht="138" customHeight="1" thickBot="1" x14ac:dyDescent="0.3">
      <c r="A613" s="202"/>
      <c r="B613" s="570" t="s">
        <v>413</v>
      </c>
      <c r="C613" s="571"/>
      <c r="D613" s="572"/>
      <c r="E613" s="203"/>
      <c r="F613" s="1"/>
    </row>
    <row r="614" spans="1:62" ht="15" thickTop="1" thickBot="1" x14ac:dyDescent="0.3">
      <c r="A614" s="202"/>
      <c r="B614" s="204" t="str">
        <f>IF(B613="","","Claimed?")</f>
        <v>Claimed?</v>
      </c>
      <c r="C614" s="204" t="str">
        <f>IF(B614="","","Verifiable?")</f>
        <v>Verifiable?</v>
      </c>
      <c r="D614" s="205" t="str">
        <f>IF(C615="","","Independent verification")</f>
        <v>Independent verification</v>
      </c>
      <c r="E614" s="573">
        <f>BI615</f>
        <v>0.79330357142857111</v>
      </c>
      <c r="F614" s="574"/>
      <c r="AA614" s="60"/>
      <c r="AB614" s="60" t="s">
        <v>314</v>
      </c>
      <c r="AF614" s="220"/>
      <c r="AG614" s="60" t="s">
        <v>315</v>
      </c>
      <c r="AM614" s="221"/>
      <c r="AN614" s="60" t="s">
        <v>316</v>
      </c>
      <c r="AV614" s="222"/>
      <c r="AX614" s="207" t="s">
        <v>317</v>
      </c>
      <c r="AZ614" s="208" t="s">
        <v>318</v>
      </c>
      <c r="BB614" s="209" t="s">
        <v>319</v>
      </c>
      <c r="BD614" s="208" t="s">
        <v>320</v>
      </c>
      <c r="BG614" s="210" t="s">
        <v>326</v>
      </c>
      <c r="BH614" s="211" t="s">
        <v>327</v>
      </c>
      <c r="BI614" s="210" t="s">
        <v>321</v>
      </c>
      <c r="BJ614" s="211" t="s">
        <v>322</v>
      </c>
    </row>
    <row r="615" spans="1:62" ht="15" thickTop="1" thickBot="1" x14ac:dyDescent="0.3">
      <c r="A615" s="202"/>
      <c r="B615" s="212" t="s">
        <v>373</v>
      </c>
      <c r="C615" s="213" t="s">
        <v>347</v>
      </c>
      <c r="D615" s="223"/>
      <c r="E615" s="573">
        <f>BJ615</f>
        <v>0.47142857142857131</v>
      </c>
      <c r="F615" s="574"/>
      <c r="AA615" s="112"/>
      <c r="AB615" s="112">
        <f>IF(B615=$B$1871,$AB$463,0)</f>
        <v>0</v>
      </c>
      <c r="AC615" s="112">
        <f>IF(B615=$B$1872,$AC$463,0)</f>
        <v>0</v>
      </c>
      <c r="AD615" s="112">
        <f>IF(B615=$B$1873,$AD$463,0)</f>
        <v>2.5</v>
      </c>
      <c r="AE615" s="112">
        <f>IF(B615=$B$1874,$AE$463,0)</f>
        <v>0</v>
      </c>
      <c r="AF615" s="224">
        <f>SUM(AB615:AE615)</f>
        <v>2.5</v>
      </c>
      <c r="AG615" s="112">
        <f>IF(C615=$B$1877,$E$1877,0)</f>
        <v>0</v>
      </c>
      <c r="AH615" s="112">
        <f>IF(C615=$B$1878,$E$1878,0)</f>
        <v>0</v>
      </c>
      <c r="AI615" s="112">
        <f>IF(C615=$B$1879,$E$1879,0)</f>
        <v>0</v>
      </c>
      <c r="AJ615" s="112">
        <f>IF(C615=$B$1880,$E$1880,0)</f>
        <v>0</v>
      </c>
      <c r="AK615" s="112">
        <f>IF(C615=$B$1881,$E$1881,0)</f>
        <v>0.45</v>
      </c>
      <c r="AL615" s="112">
        <f>IF(C615=$B$1882,$E$1882,0)</f>
        <v>0</v>
      </c>
      <c r="AM615" s="225">
        <f>SUM(AG615:AL615)</f>
        <v>0.45</v>
      </c>
      <c r="AN615" s="112">
        <f>IF($D615=$B$1885,AN$463,0)</f>
        <v>0</v>
      </c>
      <c r="AO615" s="112">
        <f>IF($D615=$B$1886,AO$463,0)</f>
        <v>0</v>
      </c>
      <c r="AP615" s="112">
        <f>IF($D615=$B$1887,AP$463,0)</f>
        <v>0</v>
      </c>
      <c r="AQ615" s="112">
        <f>IF($D615=$B$1888,AQ$463,0)</f>
        <v>0</v>
      </c>
      <c r="AR615" s="112">
        <f>IF($D615=$B$1889,AR$463,0)</f>
        <v>0</v>
      </c>
      <c r="AS615" s="112">
        <f>IF($D615=$B$1890,AS$463,0)</f>
        <v>0</v>
      </c>
      <c r="AT615" s="112">
        <f>IF($D615=$B$1891,AT$463,0)</f>
        <v>0</v>
      </c>
      <c r="AU615" s="112">
        <f>IF($D615=$B$1892,AU$463,0)</f>
        <v>0</v>
      </c>
      <c r="AV615" s="226">
        <f>SUM(AN615:AU615)</f>
        <v>0</v>
      </c>
      <c r="AX615" s="216">
        <f>AF615*AM615</f>
        <v>1.125</v>
      </c>
      <c r="AZ615" s="158">
        <f>AX615+(AV615*AM615)</f>
        <v>1.125</v>
      </c>
      <c r="BB615" s="217">
        <f>(AF615*AM615)*0.01</f>
        <v>1.125E-2</v>
      </c>
      <c r="BD615" s="218">
        <f>AZ615*0.01</f>
        <v>1.125E-2</v>
      </c>
      <c r="BE615" s="402"/>
      <c r="BG615" s="217">
        <f>IF(AF615&gt;0,BG610+BB615,BG610)</f>
        <v>0.79330357142857111</v>
      </c>
      <c r="BH615" s="218">
        <f>IF(AV615&gt;0,BH610+BD615,BH610)</f>
        <v>0.47142857142857131</v>
      </c>
      <c r="BI615" s="217">
        <f>IF(BG615&gt;0.99,0.99,BG615)</f>
        <v>0.79330357142857111</v>
      </c>
      <c r="BJ615" s="218">
        <f>IF(BH615&gt;0.99,0.99,BH615)</f>
        <v>0.47142857142857131</v>
      </c>
    </row>
    <row r="616" spans="1:62" ht="4.95" customHeight="1" thickTop="1" x14ac:dyDescent="0.25">
      <c r="A616" s="203"/>
      <c r="B616" s="203"/>
      <c r="C616" s="203"/>
      <c r="D616" s="203"/>
      <c r="E616" s="203"/>
      <c r="F616" s="1"/>
    </row>
    <row r="617" spans="1:62" ht="15.6" x14ac:dyDescent="0.25">
      <c r="A617" s="200">
        <f>A611+1</f>
        <v>42</v>
      </c>
      <c r="B617" s="200" t="s">
        <v>414</v>
      </c>
      <c r="C617" s="200"/>
      <c r="D617" s="201" t="str">
        <f>IF(B619="","If claimed, explain in white box below.","")</f>
        <v/>
      </c>
      <c r="E617" s="203"/>
      <c r="F617" s="1"/>
    </row>
    <row r="618" spans="1:62" ht="28.05" customHeight="1" x14ac:dyDescent="0.25">
      <c r="A618" s="202"/>
      <c r="B618" s="567" t="s">
        <v>415</v>
      </c>
      <c r="C618" s="568"/>
      <c r="D618" s="569"/>
      <c r="E618" s="203"/>
      <c r="F618" s="1"/>
    </row>
    <row r="619" spans="1:62" ht="157.94999999999999" customHeight="1" thickBot="1" x14ac:dyDescent="0.3">
      <c r="A619" s="202"/>
      <c r="B619" s="570" t="s">
        <v>416</v>
      </c>
      <c r="C619" s="571"/>
      <c r="D619" s="572"/>
      <c r="E619" s="203"/>
      <c r="F619" s="1"/>
    </row>
    <row r="620" spans="1:62" ht="15" thickTop="1" thickBot="1" x14ac:dyDescent="0.3">
      <c r="A620" s="202"/>
      <c r="B620" s="204" t="str">
        <f>IF(B619="","","Claimed?")</f>
        <v>Claimed?</v>
      </c>
      <c r="C620" s="204" t="str">
        <f>IF(B620="","","Verifiable?")</f>
        <v>Verifiable?</v>
      </c>
      <c r="D620" s="205" t="str">
        <f>IF(C621="","","Independent verification")</f>
        <v>Independent verification</v>
      </c>
      <c r="E620" s="573">
        <f>BI621</f>
        <v>0.80455357142857109</v>
      </c>
      <c r="F620" s="574"/>
      <c r="AA620" s="60"/>
      <c r="AB620" s="60" t="s">
        <v>314</v>
      </c>
      <c r="AF620" s="220"/>
      <c r="AG620" s="60" t="s">
        <v>315</v>
      </c>
      <c r="AM620" s="221"/>
      <c r="AN620" s="60" t="s">
        <v>316</v>
      </c>
      <c r="AV620" s="222"/>
      <c r="AX620" s="207" t="s">
        <v>317</v>
      </c>
      <c r="AZ620" s="208" t="s">
        <v>318</v>
      </c>
      <c r="BB620" s="209" t="s">
        <v>319</v>
      </c>
      <c r="BD620" s="208" t="s">
        <v>320</v>
      </c>
      <c r="BG620" s="210" t="s">
        <v>326</v>
      </c>
      <c r="BH620" s="211" t="s">
        <v>327</v>
      </c>
      <c r="BI620" s="210" t="s">
        <v>321</v>
      </c>
      <c r="BJ620" s="211" t="s">
        <v>322</v>
      </c>
    </row>
    <row r="621" spans="1:62" ht="15" thickTop="1" thickBot="1" x14ac:dyDescent="0.3">
      <c r="A621" s="202"/>
      <c r="B621" s="212" t="s">
        <v>373</v>
      </c>
      <c r="C621" s="213" t="s">
        <v>347</v>
      </c>
      <c r="D621" s="223"/>
      <c r="E621" s="573">
        <f>BJ621</f>
        <v>0.47142857142857131</v>
      </c>
      <c r="F621" s="574"/>
      <c r="AA621" s="112"/>
      <c r="AB621" s="112">
        <f>IF(B621=$B$1871,$AB$463,0)</f>
        <v>0</v>
      </c>
      <c r="AC621" s="112">
        <f>IF(B621=$B$1872,$AC$463,0)</f>
        <v>0</v>
      </c>
      <c r="AD621" s="112">
        <f>IF(B621=$B$1873,$AD$463,0)</f>
        <v>2.5</v>
      </c>
      <c r="AE621" s="112">
        <f>IF(B621=$B$1874,$AE$463,0)</f>
        <v>0</v>
      </c>
      <c r="AF621" s="232">
        <f>SUM(AB621:AE621)</f>
        <v>2.5</v>
      </c>
      <c r="AG621" s="112">
        <f>IF(C621=$B$1877,$E$1877,0)</f>
        <v>0</v>
      </c>
      <c r="AH621" s="112">
        <f>IF(C621=$B$1878,$E$1878,0)</f>
        <v>0</v>
      </c>
      <c r="AI621" s="112">
        <f>IF(C621=$B$1879,$E$1879,0)</f>
        <v>0</v>
      </c>
      <c r="AJ621" s="112">
        <f>IF(C621=$B$1880,$E$1880,0)</f>
        <v>0</v>
      </c>
      <c r="AK621" s="112">
        <f>IF(C621=$B$1881,$E$1881,0)</f>
        <v>0.45</v>
      </c>
      <c r="AL621" s="112">
        <f>IF(C621=$B$1882,$E$1882,0)</f>
        <v>0</v>
      </c>
      <c r="AM621" s="225">
        <f>SUM(AG621:AL621)</f>
        <v>0.45</v>
      </c>
      <c r="AN621" s="112">
        <f>IF($D621=$B$1885,AN$463,0)</f>
        <v>0</v>
      </c>
      <c r="AO621" s="112">
        <f>IF($D621=$B$1886,AO$463,0)</f>
        <v>0</v>
      </c>
      <c r="AP621" s="112">
        <f>IF($D621=$B$1887,AP$463,0)</f>
        <v>0</v>
      </c>
      <c r="AQ621" s="112">
        <f>IF($D621=$B$1888,AQ$463,0)</f>
        <v>0</v>
      </c>
      <c r="AR621" s="112">
        <f>IF($D621=$B$1889,AR$463,0)</f>
        <v>0</v>
      </c>
      <c r="AS621" s="112">
        <f>IF($D621=$B$1890,AS$463,0)</f>
        <v>0</v>
      </c>
      <c r="AT621" s="112">
        <f>IF($D621=$B$1891,AT$463,0)</f>
        <v>0</v>
      </c>
      <c r="AU621" s="112">
        <f>IF($D621=$B$1892,AU$463,0)</f>
        <v>0</v>
      </c>
      <c r="AV621" s="226">
        <f>SUM(AN621:AU621)</f>
        <v>0</v>
      </c>
      <c r="AX621" s="216">
        <f>AF621*AM621</f>
        <v>1.125</v>
      </c>
      <c r="AZ621" s="158">
        <f>AX621+(AV621*AM621)</f>
        <v>1.125</v>
      </c>
      <c r="BB621" s="217">
        <f>(AF621*AM621)*0.01</f>
        <v>1.125E-2</v>
      </c>
      <c r="BD621" s="218">
        <f>AZ621*0.01</f>
        <v>1.125E-2</v>
      </c>
      <c r="BE621" s="402"/>
      <c r="BG621" s="217">
        <f>IF(AF621&gt;0,BG615+BB621,BG615)</f>
        <v>0.80455357142857109</v>
      </c>
      <c r="BH621" s="218">
        <f>IF(AV621&gt;0,BH615+BD621,BH615)</f>
        <v>0.47142857142857131</v>
      </c>
      <c r="BI621" s="217">
        <f>IF(BG621&gt;0.99,0.99,BG621)</f>
        <v>0.80455357142857109</v>
      </c>
      <c r="BJ621" s="218">
        <f>IF(BH621&gt;0.99,0.99,BH621)</f>
        <v>0.47142857142857131</v>
      </c>
    </row>
    <row r="622" spans="1:62" ht="16.2" thickTop="1" x14ac:dyDescent="0.25">
      <c r="A622" s="200">
        <f>A617+1</f>
        <v>43</v>
      </c>
      <c r="B622" s="200" t="s">
        <v>417</v>
      </c>
      <c r="C622" s="200"/>
      <c r="D622" s="201" t="str">
        <f>IF(B624="","If claimed, explain in white box below.","")</f>
        <v/>
      </c>
      <c r="E622" s="203"/>
      <c r="F622" s="1"/>
    </row>
    <row r="623" spans="1:62" x14ac:dyDescent="0.25">
      <c r="A623" s="202"/>
      <c r="B623" s="567" t="s">
        <v>418</v>
      </c>
      <c r="C623" s="568"/>
      <c r="D623" s="569"/>
      <c r="E623" s="203"/>
      <c r="F623" s="1"/>
    </row>
    <row r="624" spans="1:62" ht="157.94999999999999" customHeight="1" thickBot="1" x14ac:dyDescent="0.3">
      <c r="A624" s="202"/>
      <c r="B624" s="570" t="s">
        <v>419</v>
      </c>
      <c r="C624" s="571"/>
      <c r="D624" s="572"/>
      <c r="E624" s="203"/>
      <c r="F624" s="1"/>
    </row>
    <row r="625" spans="1:62" ht="15" thickTop="1" thickBot="1" x14ac:dyDescent="0.3">
      <c r="A625" s="202"/>
      <c r="B625" s="204" t="str">
        <f>IF(B624="","","Claimed?")</f>
        <v>Claimed?</v>
      </c>
      <c r="C625" s="204" t="str">
        <f>IF(B625="","","Verifiable?")</f>
        <v>Verifiable?</v>
      </c>
      <c r="D625" s="205" t="str">
        <f>IF(C626="","","Independent verification")</f>
        <v>Independent verification</v>
      </c>
      <c r="E625" s="573">
        <f>BI626</f>
        <v>0.81080357142857107</v>
      </c>
      <c r="F625" s="574"/>
      <c r="AA625" s="60"/>
      <c r="AB625" s="60" t="s">
        <v>314</v>
      </c>
      <c r="AF625" s="220"/>
      <c r="AG625" s="60" t="s">
        <v>315</v>
      </c>
      <c r="AM625" s="221"/>
      <c r="AN625" s="60" t="s">
        <v>316</v>
      </c>
      <c r="AV625" s="222"/>
      <c r="AX625" s="207" t="s">
        <v>317</v>
      </c>
      <c r="AZ625" s="208" t="s">
        <v>318</v>
      </c>
      <c r="BB625" s="209" t="s">
        <v>319</v>
      </c>
      <c r="BD625" s="208" t="s">
        <v>320</v>
      </c>
      <c r="BG625" s="210" t="s">
        <v>326</v>
      </c>
      <c r="BH625" s="211" t="s">
        <v>327</v>
      </c>
      <c r="BI625" s="210" t="s">
        <v>321</v>
      </c>
      <c r="BJ625" s="211" t="s">
        <v>322</v>
      </c>
    </row>
    <row r="626" spans="1:62" ht="15" thickTop="1" thickBot="1" x14ac:dyDescent="0.3">
      <c r="A626" s="202"/>
      <c r="B626" s="212" t="s">
        <v>373</v>
      </c>
      <c r="C626" s="213" t="s">
        <v>388</v>
      </c>
      <c r="D626" s="223"/>
      <c r="E626" s="573">
        <f>BJ626</f>
        <v>0.47142857142857131</v>
      </c>
      <c r="F626" s="574"/>
      <c r="AA626" s="112"/>
      <c r="AB626" s="112">
        <f>IF(B626=$B$1871,$AB$463,0)</f>
        <v>0</v>
      </c>
      <c r="AC626" s="112">
        <f>IF(B626=$B$1872,$AC$463,0)</f>
        <v>0</v>
      </c>
      <c r="AD626" s="112">
        <f>IF(B626=$B$1873,$AD$463,0)</f>
        <v>2.5</v>
      </c>
      <c r="AE626" s="112">
        <f>IF(B626=$B$1874,$AE$463,0)</f>
        <v>0</v>
      </c>
      <c r="AF626" s="224">
        <f>SUM(AB626:AE626)</f>
        <v>2.5</v>
      </c>
      <c r="AG626" s="112">
        <f>IF(C626=$B$1877,$E$1877,0)</f>
        <v>0.25000000000000006</v>
      </c>
      <c r="AH626" s="112">
        <f>IF(C626=$B$1878,$E$1878,0)</f>
        <v>0</v>
      </c>
      <c r="AI626" s="112">
        <f>IF(C626=$B$1879,$E$1879,0)</f>
        <v>0</v>
      </c>
      <c r="AJ626" s="112">
        <f>IF(C626=$B$1880,$E$1880,0)</f>
        <v>0</v>
      </c>
      <c r="AK626" s="112">
        <f>IF(C626=$B$1881,$E$1881,0)</f>
        <v>0</v>
      </c>
      <c r="AL626" s="112">
        <f>IF(C626=$B$1882,$E$1882,0)</f>
        <v>0</v>
      </c>
      <c r="AM626" s="225">
        <f>SUM(AG626:AL626)</f>
        <v>0.25000000000000006</v>
      </c>
      <c r="AN626" s="112">
        <f>IF($D626=$B$1885,AN$463,0)</f>
        <v>0</v>
      </c>
      <c r="AO626" s="112">
        <f>IF($D626=$B$1886,AO$463,0)</f>
        <v>0</v>
      </c>
      <c r="AP626" s="112">
        <f>IF($D626=$B$1887,AP$463,0)</f>
        <v>0</v>
      </c>
      <c r="AQ626" s="112">
        <f>IF($D626=$B$1888,AQ$463,0)</f>
        <v>0</v>
      </c>
      <c r="AR626" s="112">
        <f>IF($D626=$B$1889,AR$463,0)</f>
        <v>0</v>
      </c>
      <c r="AS626" s="112">
        <f>IF($D626=$B$1890,AS$463,0)</f>
        <v>0</v>
      </c>
      <c r="AT626" s="112">
        <f>IF($D626=$B$1891,AT$463,0)</f>
        <v>0</v>
      </c>
      <c r="AU626" s="112">
        <f>IF($D626=$B$1892,AU$463,0)</f>
        <v>0</v>
      </c>
      <c r="AV626" s="226">
        <f>SUM(AN626:AU626)</f>
        <v>0</v>
      </c>
      <c r="AX626" s="216">
        <f>AF626*AM626</f>
        <v>0.62500000000000011</v>
      </c>
      <c r="AZ626" s="158">
        <f>AX626+(AV626*AM626)</f>
        <v>0.62500000000000011</v>
      </c>
      <c r="BB626" s="217">
        <f>(AF626*AM626)*0.01</f>
        <v>6.2500000000000012E-3</v>
      </c>
      <c r="BD626" s="218">
        <f>AZ626*0.01</f>
        <v>6.2500000000000012E-3</v>
      </c>
      <c r="BE626" s="402"/>
      <c r="BG626" s="217">
        <f>IF(AF626&gt;0,BG621+BB626,BG621)</f>
        <v>0.81080357142857107</v>
      </c>
      <c r="BH626" s="218">
        <f>IF(AV626&gt;0,BH621+BD626,BH621)</f>
        <v>0.47142857142857131</v>
      </c>
      <c r="BI626" s="217">
        <f>IF(BG626&gt;0.99,0.99,BG626)</f>
        <v>0.81080357142857107</v>
      </c>
      <c r="BJ626" s="218">
        <f>IF(BH626&gt;0.99,0.99,BH626)</f>
        <v>0.47142857142857131</v>
      </c>
    </row>
    <row r="627" spans="1:62" ht="16.2" thickTop="1" x14ac:dyDescent="0.25">
      <c r="A627" s="200">
        <f>A622+1</f>
        <v>44</v>
      </c>
      <c r="B627" s="200" t="s">
        <v>420</v>
      </c>
      <c r="C627" s="200"/>
      <c r="D627" s="201" t="str">
        <f>IF(B629="","If claimed, explain in white box below.","")</f>
        <v/>
      </c>
      <c r="E627" s="203"/>
      <c r="F627" s="1"/>
    </row>
    <row r="628" spans="1:62" x14ac:dyDescent="0.25">
      <c r="A628" s="202"/>
      <c r="B628" s="567" t="s">
        <v>421</v>
      </c>
      <c r="C628" s="568"/>
      <c r="D628" s="569"/>
      <c r="E628" s="203"/>
      <c r="F628" s="1"/>
    </row>
    <row r="629" spans="1:62" ht="157.94999999999999" customHeight="1" thickBot="1" x14ac:dyDescent="0.3">
      <c r="A629" s="202"/>
      <c r="B629" s="570" t="s">
        <v>422</v>
      </c>
      <c r="C629" s="571"/>
      <c r="D629" s="572"/>
      <c r="E629" s="203"/>
      <c r="F629" s="1"/>
    </row>
    <row r="630" spans="1:62" ht="15" thickTop="1" thickBot="1" x14ac:dyDescent="0.3">
      <c r="A630" s="202"/>
      <c r="B630" s="204" t="str">
        <f>IF(B629="","","Claimed?")</f>
        <v>Claimed?</v>
      </c>
      <c r="C630" s="204" t="str">
        <f>IF(B630="","","Verifiable?")</f>
        <v>Verifiable?</v>
      </c>
      <c r="D630" s="205" t="str">
        <f>IF(C631="","","Independent verification")</f>
        <v>Independent verification</v>
      </c>
      <c r="E630" s="573">
        <f>BI631</f>
        <v>0.83080357142857109</v>
      </c>
      <c r="F630" s="574"/>
      <c r="AA630" s="60"/>
      <c r="AB630" s="60" t="s">
        <v>314</v>
      </c>
      <c r="AF630" s="220"/>
      <c r="AG630" s="60" t="s">
        <v>315</v>
      </c>
      <c r="AM630" s="221"/>
      <c r="AN630" s="60" t="s">
        <v>316</v>
      </c>
      <c r="AV630" s="222"/>
      <c r="AX630" s="207" t="s">
        <v>317</v>
      </c>
      <c r="AZ630" s="208" t="s">
        <v>318</v>
      </c>
      <c r="BB630" s="209" t="s">
        <v>319</v>
      </c>
      <c r="BD630" s="208" t="s">
        <v>320</v>
      </c>
      <c r="BG630" s="210" t="s">
        <v>326</v>
      </c>
      <c r="BH630" s="211" t="s">
        <v>327</v>
      </c>
      <c r="BI630" s="210" t="s">
        <v>321</v>
      </c>
      <c r="BJ630" s="211" t="s">
        <v>322</v>
      </c>
    </row>
    <row r="631" spans="1:62" ht="15" thickTop="1" thickBot="1" x14ac:dyDescent="0.3">
      <c r="A631" s="202"/>
      <c r="B631" s="212" t="s">
        <v>331</v>
      </c>
      <c r="C631" s="213" t="s">
        <v>423</v>
      </c>
      <c r="D631" s="223"/>
      <c r="E631" s="573">
        <f>BJ631</f>
        <v>0.47142857142857131</v>
      </c>
      <c r="F631" s="574"/>
      <c r="AA631" s="112"/>
      <c r="AB631" s="112">
        <f>IF(B631=$B$1871,$AB$463,0)</f>
        <v>0</v>
      </c>
      <c r="AC631" s="112">
        <f>IF(B631=$B$1872,$AC$463,0)</f>
        <v>0</v>
      </c>
      <c r="AD631" s="112">
        <f>IF(B631=$B$1873,$AD$463,0)</f>
        <v>0</v>
      </c>
      <c r="AE631" s="112">
        <f>IF(B631=$B$1874,$AE$463,0)</f>
        <v>5</v>
      </c>
      <c r="AF631" s="224">
        <f>SUM(AB631:AE631)</f>
        <v>5</v>
      </c>
      <c r="AG631" s="112">
        <f>IF(C631=$B$1877,$E$1877,0)</f>
        <v>0</v>
      </c>
      <c r="AH631" s="112">
        <f>IF(C631=$B$1878,$E$1878,0)</f>
        <v>0</v>
      </c>
      <c r="AI631" s="112">
        <f>IF(C631=$B$1879,$E$1879,0)</f>
        <v>0</v>
      </c>
      <c r="AJ631" s="112">
        <f>IF(C631=$B$1880,$E$1880,0)</f>
        <v>0.4</v>
      </c>
      <c r="AK631" s="112">
        <f>IF(C631=$B$1881,$E$1881,0)</f>
        <v>0</v>
      </c>
      <c r="AL631" s="112">
        <f>IF(C631=$B$1882,$E$1882,0)</f>
        <v>0</v>
      </c>
      <c r="AM631" s="225">
        <f>SUM(AG631:AL631)</f>
        <v>0.4</v>
      </c>
      <c r="AN631" s="112">
        <f>IF($D631=$B$1885,AN$463,0)</f>
        <v>0</v>
      </c>
      <c r="AO631" s="112">
        <f>IF($D631=$B$1886,AO$463,0)</f>
        <v>0</v>
      </c>
      <c r="AP631" s="112">
        <f>IF($D631=$B$1887,AP$463,0)</f>
        <v>0</v>
      </c>
      <c r="AQ631" s="112">
        <f>IF($D631=$B$1888,AQ$463,0)</f>
        <v>0</v>
      </c>
      <c r="AR631" s="112">
        <f>IF($D631=$B$1889,AR$463,0)</f>
        <v>0</v>
      </c>
      <c r="AS631" s="112">
        <f>IF($D631=$B$1890,AS$463,0)</f>
        <v>0</v>
      </c>
      <c r="AT631" s="112">
        <f>IF($D631=$B$1891,AT$463,0)</f>
        <v>0</v>
      </c>
      <c r="AU631" s="112">
        <f>IF($D631=$B$1892,AU$463,0)</f>
        <v>0</v>
      </c>
      <c r="AV631" s="226">
        <f>SUM(AN631:AU631)</f>
        <v>0</v>
      </c>
      <c r="AX631" s="216">
        <f>AF631*AM631</f>
        <v>2</v>
      </c>
      <c r="AZ631" s="158">
        <f>AX631+(AV631*AM631)</f>
        <v>2</v>
      </c>
      <c r="BB631" s="217">
        <f>(AF631*AM631)*0.01</f>
        <v>0.02</v>
      </c>
      <c r="BD631" s="218">
        <f>AZ631*0.01</f>
        <v>0.02</v>
      </c>
      <c r="BE631" s="402"/>
      <c r="BG631" s="217">
        <f>IF(AF631&gt;0,BG626+BB631,BG626)</f>
        <v>0.83080357142857109</v>
      </c>
      <c r="BH631" s="218">
        <f>IF(AV631&gt;0,BH626+BD631,BH626)</f>
        <v>0.47142857142857131</v>
      </c>
      <c r="BI631" s="217">
        <f>IF(BG631&gt;0.99,0.99,BG631)</f>
        <v>0.83080357142857109</v>
      </c>
      <c r="BJ631" s="218">
        <f>IF(BH631&gt;0.99,0.99,BH631)</f>
        <v>0.47142857142857131</v>
      </c>
    </row>
    <row r="632" spans="1:62" ht="4.95" customHeight="1" thickTop="1" x14ac:dyDescent="0.25">
      <c r="A632" s="203"/>
      <c r="B632" s="203"/>
      <c r="C632" s="203"/>
      <c r="D632" s="203"/>
      <c r="E632" s="203"/>
      <c r="F632" s="1"/>
      <c r="AA632" s="112"/>
      <c r="AB632" s="112"/>
      <c r="AC632" s="112"/>
      <c r="AD632" s="112"/>
      <c r="AE632" s="112"/>
      <c r="AF632" s="224"/>
      <c r="AG632" s="112"/>
      <c r="AH632" s="112"/>
      <c r="AI632" s="112"/>
      <c r="AJ632" s="112"/>
      <c r="AK632" s="112"/>
      <c r="AL632" s="112"/>
      <c r="AM632" s="225"/>
      <c r="AN632" s="112"/>
      <c r="AO632" s="112"/>
      <c r="AP632" s="112"/>
      <c r="AQ632" s="112"/>
      <c r="AR632" s="112"/>
      <c r="AS632" s="112"/>
      <c r="AT632" s="112"/>
      <c r="AU632" s="112"/>
      <c r="AV632" s="226"/>
      <c r="AX632" s="216"/>
      <c r="AZ632" s="158"/>
      <c r="BB632" s="217"/>
      <c r="BD632" s="218"/>
      <c r="BE632" s="402"/>
      <c r="BG632" s="217"/>
      <c r="BH632" s="218"/>
      <c r="BI632" s="217"/>
      <c r="BJ632" s="218"/>
    </row>
    <row r="633" spans="1:62" ht="15.6" x14ac:dyDescent="0.25">
      <c r="A633" s="200">
        <f>A627+1</f>
        <v>45</v>
      </c>
      <c r="B633" s="200" t="s">
        <v>424</v>
      </c>
      <c r="C633" s="200"/>
      <c r="D633" s="201" t="str">
        <f>IF(B635="","If claimed, explain in white box below.","")</f>
        <v/>
      </c>
      <c r="E633" s="203"/>
      <c r="F633" s="1"/>
    </row>
    <row r="634" spans="1:62" x14ac:dyDescent="0.25">
      <c r="A634" s="202"/>
      <c r="B634" s="567" t="s">
        <v>425</v>
      </c>
      <c r="C634" s="568"/>
      <c r="D634" s="569"/>
      <c r="E634" s="203"/>
      <c r="F634" s="1"/>
    </row>
    <row r="635" spans="1:62" ht="180" customHeight="1" thickBot="1" x14ac:dyDescent="0.3">
      <c r="A635" s="202"/>
      <c r="B635" s="570" t="s">
        <v>426</v>
      </c>
      <c r="C635" s="571"/>
      <c r="D635" s="572"/>
      <c r="E635" s="203"/>
      <c r="F635" s="1"/>
    </row>
    <row r="636" spans="1:62" ht="15" thickTop="1" thickBot="1" x14ac:dyDescent="0.3">
      <c r="A636" s="202"/>
      <c r="B636" s="204" t="str">
        <f>IF(B635="","","Claimed?")</f>
        <v>Claimed?</v>
      </c>
      <c r="C636" s="204" t="str">
        <f>IF(B636="","","Verifiable?")</f>
        <v>Verifiable?</v>
      </c>
      <c r="D636" s="205" t="str">
        <f>IF(C637="","","Independent verification")</f>
        <v>Independent verification</v>
      </c>
      <c r="E636" s="573">
        <f>BI637</f>
        <v>0.83830357142857104</v>
      </c>
      <c r="F636" s="574"/>
      <c r="AA636" s="60"/>
      <c r="AB636" s="60" t="s">
        <v>314</v>
      </c>
      <c r="AF636" s="220"/>
      <c r="AG636" s="60" t="s">
        <v>315</v>
      </c>
      <c r="AM636" s="221"/>
      <c r="AN636" s="60" t="s">
        <v>316</v>
      </c>
      <c r="AV636" s="222"/>
      <c r="AX636" s="207" t="s">
        <v>317</v>
      </c>
      <c r="AZ636" s="208" t="s">
        <v>318</v>
      </c>
      <c r="BB636" s="209" t="s">
        <v>319</v>
      </c>
      <c r="BD636" s="208" t="s">
        <v>320</v>
      </c>
      <c r="BG636" s="210" t="s">
        <v>326</v>
      </c>
      <c r="BH636" s="211" t="s">
        <v>327</v>
      </c>
      <c r="BI636" s="210" t="s">
        <v>321</v>
      </c>
      <c r="BJ636" s="211" t="s">
        <v>322</v>
      </c>
    </row>
    <row r="637" spans="1:62" ht="15" thickTop="1" thickBot="1" x14ac:dyDescent="0.3">
      <c r="A637" s="202"/>
      <c r="B637" s="212" t="s">
        <v>373</v>
      </c>
      <c r="C637" s="213" t="s">
        <v>351</v>
      </c>
      <c r="D637" s="223"/>
      <c r="E637" s="573">
        <f>BJ637</f>
        <v>0.47142857142857131</v>
      </c>
      <c r="F637" s="574"/>
      <c r="AA637" s="112"/>
      <c r="AB637" s="112">
        <f>IF(B637=$B$1871,$AB$463,0)</f>
        <v>0</v>
      </c>
      <c r="AC637" s="112">
        <f>IF(B637=$B$1872,$AC$463,0)</f>
        <v>0</v>
      </c>
      <c r="AD637" s="112">
        <f>IF(B637=$B$1873,$AD$463,0)</f>
        <v>2.5</v>
      </c>
      <c r="AE637" s="112">
        <f>IF(B637=$B$1874,$AE$463,0)</f>
        <v>0</v>
      </c>
      <c r="AF637" s="224">
        <f>SUM(AB637:AE637)</f>
        <v>2.5</v>
      </c>
      <c r="AG637" s="112">
        <f>IF(C637=$B$1877,$E$1877,0)</f>
        <v>0</v>
      </c>
      <c r="AH637" s="112">
        <f>IF(C637=$B$1878,$E$1878,0)</f>
        <v>0.30000000000000004</v>
      </c>
      <c r="AI637" s="112">
        <f>IF(C637=$B$1879,$E$1879,0)</f>
        <v>0</v>
      </c>
      <c r="AJ637" s="112">
        <f>IF(C637=$B$1880,$E$1880,0)</f>
        <v>0</v>
      </c>
      <c r="AK637" s="112">
        <f>IF(C637=$B$1881,$E$1881,0)</f>
        <v>0</v>
      </c>
      <c r="AL637" s="112">
        <f>IF(C637=$B$1882,$E$1882,0)</f>
        <v>0</v>
      </c>
      <c r="AM637" s="225">
        <f>SUM(AG637:AL637)</f>
        <v>0.30000000000000004</v>
      </c>
      <c r="AN637" s="112">
        <f>IF($D637=$B$1885,AN$463,0)</f>
        <v>0</v>
      </c>
      <c r="AO637" s="112">
        <f>IF($D637=$B$1886,AO$463,0)</f>
        <v>0</v>
      </c>
      <c r="AP637" s="112">
        <f>IF($D637=$B$1887,AP$463,0)</f>
        <v>0</v>
      </c>
      <c r="AQ637" s="112">
        <f>IF($D637=$B$1888,AQ$463,0)</f>
        <v>0</v>
      </c>
      <c r="AR637" s="112">
        <f>IF($D637=$B$1889,AR$463,0)</f>
        <v>0</v>
      </c>
      <c r="AS637" s="112">
        <f>IF($D637=$B$1890,AS$463,0)</f>
        <v>0</v>
      </c>
      <c r="AT637" s="112">
        <f>IF($D637=$B$1891,AT$463,0)</f>
        <v>0</v>
      </c>
      <c r="AU637" s="112">
        <f>IF($D637=$B$1892,AU$463,0)</f>
        <v>0</v>
      </c>
      <c r="AV637" s="226">
        <f>SUM(AN637:AU637)</f>
        <v>0</v>
      </c>
      <c r="AX637" s="216">
        <f>AF637*AM637</f>
        <v>0.75000000000000011</v>
      </c>
      <c r="AZ637" s="158">
        <f>AX637+(AV637*AM637)</f>
        <v>0.75000000000000011</v>
      </c>
      <c r="BB637" s="217">
        <f>(AF637*AM637)*0.01</f>
        <v>7.5000000000000015E-3</v>
      </c>
      <c r="BD637" s="218">
        <f>AZ637*0.01</f>
        <v>7.5000000000000015E-3</v>
      </c>
      <c r="BE637" s="402"/>
      <c r="BG637" s="217">
        <f>IF(AF637&gt;0,BG631+BB637,BG631)</f>
        <v>0.83830357142857104</v>
      </c>
      <c r="BH637" s="218">
        <f>IF(AV637&gt;0,BH631+BD637,BH631)</f>
        <v>0.47142857142857131</v>
      </c>
      <c r="BI637" s="217">
        <f>IF(BG637&gt;0.99,0.99,BG637)</f>
        <v>0.83830357142857104</v>
      </c>
      <c r="BJ637" s="218">
        <f>IF(BH637&gt;0.99,0.99,BH637)</f>
        <v>0.47142857142857131</v>
      </c>
    </row>
    <row r="638" spans="1:62" ht="15" thickTop="1" thickBot="1" x14ac:dyDescent="0.3">
      <c r="A638" s="202"/>
      <c r="B638" s="233"/>
      <c r="C638" s="233"/>
      <c r="D638" s="233"/>
      <c r="E638" s="203"/>
      <c r="F638" s="1"/>
    </row>
    <row r="639" spans="1:62" ht="14.4" thickBot="1" x14ac:dyDescent="0.3">
      <c r="A639" s="202"/>
      <c r="B639" s="203"/>
      <c r="C639" s="203"/>
      <c r="D639" s="203"/>
      <c r="E639" s="203"/>
      <c r="F639" s="1"/>
    </row>
    <row r="640" spans="1:62" ht="390" customHeight="1" thickTop="1" thickBot="1" x14ac:dyDescent="0.3">
      <c r="A640" s="202"/>
      <c r="B640" s="575"/>
      <c r="C640" s="576"/>
      <c r="D640" s="577"/>
      <c r="E640" s="203"/>
      <c r="F640" s="1"/>
    </row>
    <row r="641" spans="1:62" ht="14.4" thickTop="1" x14ac:dyDescent="0.25">
      <c r="A641" s="202"/>
      <c r="B641" s="203"/>
      <c r="C641" s="203"/>
      <c r="D641" s="203"/>
      <c r="E641" s="203"/>
      <c r="F641" s="1"/>
    </row>
    <row r="642" spans="1:62" ht="30" customHeight="1" x14ac:dyDescent="0.25">
      <c r="A642" s="188" t="s">
        <v>83</v>
      </c>
      <c r="B642" s="46" t="s">
        <v>427</v>
      </c>
      <c r="C642" s="46"/>
      <c r="D642" s="46"/>
      <c r="E642" s="46"/>
      <c r="F642" s="475" t="s">
        <v>949</v>
      </c>
    </row>
    <row r="643" spans="1:62" ht="19.95" customHeight="1" x14ac:dyDescent="0.25">
      <c r="A643" s="108" t="s">
        <v>428</v>
      </c>
      <c r="B643" s="109"/>
      <c r="C643" s="109"/>
      <c r="D643" s="109"/>
      <c r="E643" s="110"/>
      <c r="F643" s="108"/>
      <c r="AA643" s="190"/>
      <c r="AB643" s="190">
        <v>0</v>
      </c>
      <c r="AC643" s="191">
        <f>AD643/2</f>
        <v>0.25</v>
      </c>
      <c r="AD643" s="192">
        <f>AE643/2</f>
        <v>0.5</v>
      </c>
      <c r="AE643" s="193">
        <v>1</v>
      </c>
      <c r="AF643" s="120"/>
      <c r="AG643" s="120"/>
      <c r="AH643" s="120"/>
      <c r="AI643" s="120"/>
      <c r="AJ643" s="120"/>
      <c r="AK643" s="120"/>
      <c r="AL643" s="120"/>
      <c r="AM643" s="120"/>
      <c r="AN643" s="194">
        <f>AE643*-2</f>
        <v>-2</v>
      </c>
      <c r="AO643" s="190">
        <f>AE643*-1</f>
        <v>-1</v>
      </c>
      <c r="AP643" s="190">
        <f>AD643*-1</f>
        <v>-0.5</v>
      </c>
      <c r="AQ643" s="195">
        <f>AE643*-0.1</f>
        <v>-0.1</v>
      </c>
      <c r="AR643" s="195">
        <v>0</v>
      </c>
      <c r="AS643" s="195">
        <f>AE643*0.1</f>
        <v>0.1</v>
      </c>
      <c r="AT643" s="192">
        <f>AD643</f>
        <v>0.5</v>
      </c>
      <c r="AU643" s="193">
        <f>AE643</f>
        <v>1</v>
      </c>
      <c r="AV643" s="196"/>
      <c r="AW643" s="120"/>
      <c r="AX643" s="120"/>
      <c r="AY643" s="120"/>
      <c r="AZ643" s="120"/>
      <c r="BA643" s="120"/>
      <c r="BB643" s="197"/>
      <c r="BC643" s="120"/>
      <c r="BD643" s="120"/>
      <c r="BE643" s="120"/>
      <c r="BF643" s="120"/>
      <c r="BG643" s="229">
        <f>BG600</f>
        <v>0.47142857142857131</v>
      </c>
    </row>
    <row r="644" spans="1:62" ht="15.6" x14ac:dyDescent="0.25">
      <c r="A644" s="200">
        <f>A633+1</f>
        <v>46</v>
      </c>
      <c r="B644" s="200" t="s">
        <v>429</v>
      </c>
      <c r="C644" s="200"/>
      <c r="D644" s="201" t="str">
        <f>IF(B646="","If claimed, explain in white box below.","")</f>
        <v/>
      </c>
      <c r="E644" s="203"/>
      <c r="F644" s="1"/>
    </row>
    <row r="645" spans="1:62" x14ac:dyDescent="0.25">
      <c r="A645" s="202"/>
      <c r="B645" s="567" t="s">
        <v>430</v>
      </c>
      <c r="C645" s="568"/>
      <c r="D645" s="569"/>
      <c r="E645" s="203"/>
      <c r="F645" s="1"/>
    </row>
    <row r="646" spans="1:62" ht="145.05000000000001" customHeight="1" thickBot="1" x14ac:dyDescent="0.3">
      <c r="A646" s="202"/>
      <c r="B646" s="570" t="s">
        <v>431</v>
      </c>
      <c r="C646" s="571"/>
      <c r="D646" s="572"/>
      <c r="E646" s="203"/>
      <c r="F646" s="1"/>
    </row>
    <row r="647" spans="1:62" ht="15" thickTop="1" thickBot="1" x14ac:dyDescent="0.3">
      <c r="A647" s="202"/>
      <c r="B647" s="204" t="str">
        <f>IF(B646="","","Claimed?")</f>
        <v>Claimed?</v>
      </c>
      <c r="C647" s="204" t="str">
        <f>IF(B647="","","Verifiable?")</f>
        <v>Verifiable?</v>
      </c>
      <c r="D647" s="205" t="str">
        <f>IF(C648="","","Independent verification")</f>
        <v>Independent verification</v>
      </c>
      <c r="E647" s="573">
        <f>BI648</f>
        <v>0.85080357142857099</v>
      </c>
      <c r="F647" s="574"/>
      <c r="AA647" s="60"/>
      <c r="AB647" s="60" t="s">
        <v>314</v>
      </c>
      <c r="AF647" s="220"/>
      <c r="AG647" s="60" t="s">
        <v>315</v>
      </c>
      <c r="AM647" s="221"/>
      <c r="AN647" s="60" t="s">
        <v>316</v>
      </c>
      <c r="AV647" s="222"/>
      <c r="AX647" s="207" t="s">
        <v>317</v>
      </c>
      <c r="AZ647" s="208" t="s">
        <v>318</v>
      </c>
      <c r="BB647" s="209" t="s">
        <v>319</v>
      </c>
      <c r="BD647" s="208" t="s">
        <v>320</v>
      </c>
      <c r="BG647" s="210" t="s">
        <v>326</v>
      </c>
      <c r="BH647" s="211" t="s">
        <v>327</v>
      </c>
      <c r="BI647" s="210" t="s">
        <v>321</v>
      </c>
      <c r="BJ647" s="211" t="s">
        <v>322</v>
      </c>
    </row>
    <row r="648" spans="1:62" ht="15" thickTop="1" thickBot="1" x14ac:dyDescent="0.3">
      <c r="A648" s="202"/>
      <c r="B648" s="212" t="s">
        <v>373</v>
      </c>
      <c r="C648" s="213" t="s">
        <v>332</v>
      </c>
      <c r="D648" s="223"/>
      <c r="E648" s="573">
        <f>BJ648</f>
        <v>0.47142857142857131</v>
      </c>
      <c r="F648" s="574"/>
      <c r="AA648" s="112"/>
      <c r="AB648" s="112">
        <f>IF(B648=$B$1871,$AB$463,0)</f>
        <v>0</v>
      </c>
      <c r="AC648" s="112">
        <f>IF(B648=$B$1872,$AC$463,0)</f>
        <v>0</v>
      </c>
      <c r="AD648" s="112">
        <f>IF(B648=$B$1873,$AD$463,0)</f>
        <v>2.5</v>
      </c>
      <c r="AE648" s="112">
        <f>IF(B648=$B$1874,$AE$463,0)</f>
        <v>0</v>
      </c>
      <c r="AF648" s="224">
        <f>SUM(AB648:AE648)</f>
        <v>2.5</v>
      </c>
      <c r="AG648" s="112">
        <f>IF(C648=$B$1877,$E$1877,0)</f>
        <v>0</v>
      </c>
      <c r="AH648" s="112">
        <f>IF(C648=$B$1878,$E$1878,0)</f>
        <v>0</v>
      </c>
      <c r="AI648" s="112">
        <f>IF(C648=$B$1879,$E$1879,0)</f>
        <v>0</v>
      </c>
      <c r="AJ648" s="112">
        <f>IF(C648=$B$1880,$E$1880,0)</f>
        <v>0</v>
      </c>
      <c r="AK648" s="112">
        <f>IF(C648=$B$1881,$E$1881,0)</f>
        <v>0</v>
      </c>
      <c r="AL648" s="112">
        <f>IF(C648=$B$1882,$E$1882,0)</f>
        <v>0.5</v>
      </c>
      <c r="AM648" s="225">
        <f>SUM(AG648:AL648)</f>
        <v>0.5</v>
      </c>
      <c r="AN648" s="112">
        <f>IF($D648=$B$1885,AN$463,0)</f>
        <v>0</v>
      </c>
      <c r="AO648" s="112">
        <f>IF($D648=$B$1886,AO$463,0)</f>
        <v>0</v>
      </c>
      <c r="AP648" s="112">
        <f>IF($D648=$B$1887,AP$463,0)</f>
        <v>0</v>
      </c>
      <c r="AQ648" s="112">
        <f>IF($D648=$B$1888,AQ$463,0)</f>
        <v>0</v>
      </c>
      <c r="AR648" s="112">
        <f>IF($D648=$B$1889,AR$463,0)</f>
        <v>0</v>
      </c>
      <c r="AS648" s="112">
        <f>IF($D648=$B$1890,AS$463,0)</f>
        <v>0</v>
      </c>
      <c r="AT648" s="112">
        <f>IF($D648=$B$1891,AT$463,0)</f>
        <v>0</v>
      </c>
      <c r="AU648" s="112">
        <f>IF($D648=$B$1892,AU$463,0)</f>
        <v>0</v>
      </c>
      <c r="AV648" s="226">
        <f>SUM(AN648:AU648)</f>
        <v>0</v>
      </c>
      <c r="AX648" s="216">
        <f>AF648*AM648</f>
        <v>1.25</v>
      </c>
      <c r="AZ648" s="158">
        <f>AX648+(AV648*AM648)</f>
        <v>1.25</v>
      </c>
      <c r="BB648" s="217">
        <f>(AF648*AM648)*0.01</f>
        <v>1.2500000000000001E-2</v>
      </c>
      <c r="BD648" s="218">
        <f>AZ648*0.01</f>
        <v>1.2500000000000001E-2</v>
      </c>
      <c r="BE648" s="402"/>
      <c r="BG648" s="217">
        <f>IF(AF648&gt;0,BG637+BB648,BG637)</f>
        <v>0.85080357142857099</v>
      </c>
      <c r="BH648" s="218">
        <f>IF(AV648&gt;0,BH637+BD648,BH637)</f>
        <v>0.47142857142857131</v>
      </c>
      <c r="BI648" s="217">
        <f>IF(BG648&gt;0.99,0.99,BG648)</f>
        <v>0.85080357142857099</v>
      </c>
      <c r="BJ648" s="218">
        <f>IF(BH648&gt;0.99,0.99,BH648)</f>
        <v>0.47142857142857131</v>
      </c>
    </row>
    <row r="649" spans="1:62" ht="16.2" thickTop="1" x14ac:dyDescent="0.25">
      <c r="A649" s="200">
        <f>A644+1</f>
        <v>47</v>
      </c>
      <c r="B649" s="200" t="s">
        <v>432</v>
      </c>
      <c r="C649" s="200"/>
      <c r="D649" s="201" t="str">
        <f>IF(B651="","If claimed, explain in white box below.","")</f>
        <v/>
      </c>
      <c r="E649" s="203"/>
      <c r="F649" s="1"/>
    </row>
    <row r="650" spans="1:62" x14ac:dyDescent="0.25">
      <c r="A650" s="202"/>
      <c r="B650" s="567" t="s">
        <v>433</v>
      </c>
      <c r="C650" s="568"/>
      <c r="D650" s="569"/>
      <c r="E650" s="203"/>
      <c r="F650" s="1"/>
    </row>
    <row r="651" spans="1:62" ht="145.05000000000001" customHeight="1" thickBot="1" x14ac:dyDescent="0.3">
      <c r="A651" s="202"/>
      <c r="B651" s="570" t="s">
        <v>434</v>
      </c>
      <c r="C651" s="571"/>
      <c r="D651" s="572"/>
      <c r="E651" s="203"/>
      <c r="F651" s="1"/>
    </row>
    <row r="652" spans="1:62" ht="15" thickTop="1" thickBot="1" x14ac:dyDescent="0.3">
      <c r="A652" s="202"/>
      <c r="B652" s="204" t="str">
        <f>IF(B651="","","Claimed?")</f>
        <v>Claimed?</v>
      </c>
      <c r="C652" s="204" t="str">
        <f>IF(B652="","","Verifiable?")</f>
        <v>Verifiable?</v>
      </c>
      <c r="D652" s="205" t="str">
        <f>IF(C653="","","Independent verification")</f>
        <v>Independent verification</v>
      </c>
      <c r="E652" s="573">
        <f>BI653</f>
        <v>0.85705357142857097</v>
      </c>
      <c r="F652" s="574"/>
      <c r="AA652" s="60"/>
      <c r="AB652" s="60" t="s">
        <v>314</v>
      </c>
      <c r="AF652" s="220"/>
      <c r="AG652" s="60" t="s">
        <v>315</v>
      </c>
      <c r="AM652" s="221"/>
      <c r="AN652" s="60" t="s">
        <v>316</v>
      </c>
      <c r="AV652" s="222"/>
      <c r="AX652" s="207" t="s">
        <v>317</v>
      </c>
      <c r="AZ652" s="208" t="s">
        <v>318</v>
      </c>
      <c r="BB652" s="209" t="s">
        <v>319</v>
      </c>
      <c r="BD652" s="208" t="s">
        <v>320</v>
      </c>
      <c r="BG652" s="210" t="s">
        <v>326</v>
      </c>
      <c r="BH652" s="211" t="s">
        <v>327</v>
      </c>
      <c r="BI652" s="210" t="s">
        <v>321</v>
      </c>
      <c r="BJ652" s="211" t="s">
        <v>322</v>
      </c>
    </row>
    <row r="653" spans="1:62" ht="15" thickTop="1" thickBot="1" x14ac:dyDescent="0.3">
      <c r="A653" s="202"/>
      <c r="B653" s="212" t="s">
        <v>340</v>
      </c>
      <c r="C653" s="213" t="s">
        <v>332</v>
      </c>
      <c r="D653" s="223"/>
      <c r="E653" s="573">
        <f>BJ653</f>
        <v>0.47142857142857131</v>
      </c>
      <c r="F653" s="574"/>
      <c r="AA653" s="112"/>
      <c r="AB653" s="112">
        <f>IF(B653=$B$1871,$AB$463,0)</f>
        <v>0</v>
      </c>
      <c r="AC653" s="112">
        <f>IF(B653=$B$1872,$AC$463,0)</f>
        <v>1.25</v>
      </c>
      <c r="AD653" s="112">
        <f>IF(B653=$B$1873,$AD$463,0)</f>
        <v>0</v>
      </c>
      <c r="AE653" s="112">
        <f>IF(B653=$B$1874,$AE$463,0)</f>
        <v>0</v>
      </c>
      <c r="AF653" s="224">
        <f>SUM(AB653:AE653)</f>
        <v>1.25</v>
      </c>
      <c r="AG653" s="112">
        <f>IF(C653=$B$1877,$E$1877,0)</f>
        <v>0</v>
      </c>
      <c r="AH653" s="112">
        <f>IF(C653=$B$1878,$E$1878,0)</f>
        <v>0</v>
      </c>
      <c r="AI653" s="112">
        <f>IF(C653=$B$1879,$E$1879,0)</f>
        <v>0</v>
      </c>
      <c r="AJ653" s="112">
        <f>IF(C653=$B$1880,$E$1880,0)</f>
        <v>0</v>
      </c>
      <c r="AK653" s="112">
        <f>IF(C653=$B$1881,$E$1881,0)</f>
        <v>0</v>
      </c>
      <c r="AL653" s="112">
        <f>IF(C653=$B$1882,$E$1882,0)</f>
        <v>0.5</v>
      </c>
      <c r="AM653" s="225">
        <f>SUM(AG653:AL653)</f>
        <v>0.5</v>
      </c>
      <c r="AN653" s="112">
        <f>IF($D653=$B$1885,AN$463,0)</f>
        <v>0</v>
      </c>
      <c r="AO653" s="112">
        <f>IF($D653=$B$1886,AO$463,0)</f>
        <v>0</v>
      </c>
      <c r="AP653" s="112">
        <f>IF($D653=$B$1887,AP$463,0)</f>
        <v>0</v>
      </c>
      <c r="AQ653" s="112">
        <f>IF($D653=$B$1888,AQ$463,0)</f>
        <v>0</v>
      </c>
      <c r="AR653" s="112">
        <f>IF($D653=$B$1889,AR$463,0)</f>
        <v>0</v>
      </c>
      <c r="AS653" s="112">
        <f>IF($D653=$B$1890,AS$463,0)</f>
        <v>0</v>
      </c>
      <c r="AT653" s="112">
        <f>IF($D653=$B$1891,AT$463,0)</f>
        <v>0</v>
      </c>
      <c r="AU653" s="112">
        <f>IF($D653=$B$1892,AU$463,0)</f>
        <v>0</v>
      </c>
      <c r="AV653" s="226">
        <f>SUM(AN653:AU653)</f>
        <v>0</v>
      </c>
      <c r="AX653" s="216">
        <f>AF653*AM653</f>
        <v>0.625</v>
      </c>
      <c r="AZ653" s="158">
        <f>AX653+(AV653*AM653)</f>
        <v>0.625</v>
      </c>
      <c r="BB653" s="217">
        <f>(AF653*AM653)*0.01</f>
        <v>6.2500000000000003E-3</v>
      </c>
      <c r="BD653" s="218">
        <f>AZ653*0.01</f>
        <v>6.2500000000000003E-3</v>
      </c>
      <c r="BE653" s="402"/>
      <c r="BG653" s="217">
        <f>IF(AF653&gt;0,BG648+BB653,BG648)</f>
        <v>0.85705357142857097</v>
      </c>
      <c r="BH653" s="218">
        <f>IF(AV653&gt;0,BH648+BD653,BH648)</f>
        <v>0.47142857142857131</v>
      </c>
      <c r="BI653" s="217">
        <f>IF(BG653&gt;0.99,0.99,BG653)</f>
        <v>0.85705357142857097</v>
      </c>
      <c r="BJ653" s="218">
        <f>IF(BH653&gt;0.99,0.99,BH653)</f>
        <v>0.47142857142857131</v>
      </c>
    </row>
    <row r="654" spans="1:62" ht="16.2" thickTop="1" x14ac:dyDescent="0.25">
      <c r="A654" s="200">
        <f>A649+1</f>
        <v>48</v>
      </c>
      <c r="B654" s="200" t="s">
        <v>435</v>
      </c>
      <c r="C654" s="200"/>
      <c r="D654" s="201" t="str">
        <f>IF(B656="","If claimed, explain in white box below.","")</f>
        <v>If claimed, explain in white box below.</v>
      </c>
      <c r="E654" s="203"/>
      <c r="F654" s="1"/>
    </row>
    <row r="655" spans="1:62" x14ac:dyDescent="0.25">
      <c r="A655" s="202"/>
      <c r="B655" s="567" t="s">
        <v>436</v>
      </c>
      <c r="C655" s="568"/>
      <c r="D655" s="569"/>
      <c r="E655" s="203"/>
      <c r="F655" s="1"/>
    </row>
    <row r="656" spans="1:62" ht="145.05000000000001" customHeight="1" thickBot="1" x14ac:dyDescent="0.3">
      <c r="A656" s="202"/>
      <c r="B656" s="570"/>
      <c r="C656" s="571"/>
      <c r="D656" s="572"/>
      <c r="E656" s="203"/>
      <c r="F656" s="1"/>
    </row>
    <row r="657" spans="1:62" ht="15" thickTop="1" thickBot="1" x14ac:dyDescent="0.3">
      <c r="A657" s="202"/>
      <c r="B657" s="204" t="str">
        <f>IF(B656="","","Claimed?")</f>
        <v/>
      </c>
      <c r="C657" s="204" t="str">
        <f>IF(B657="","","Verifiable?")</f>
        <v/>
      </c>
      <c r="D657" s="205" t="str">
        <f>IF(C658="","","Independent verification")</f>
        <v/>
      </c>
      <c r="E657" s="573">
        <f>BI658</f>
        <v>0.85705357142857097</v>
      </c>
      <c r="F657" s="574"/>
      <c r="AA657" s="60"/>
      <c r="AB657" s="60" t="s">
        <v>314</v>
      </c>
      <c r="AF657" s="220"/>
      <c r="AG657" s="60" t="s">
        <v>315</v>
      </c>
      <c r="AM657" s="221"/>
      <c r="AN657" s="60" t="s">
        <v>316</v>
      </c>
      <c r="AV657" s="222"/>
      <c r="AX657" s="207" t="s">
        <v>317</v>
      </c>
      <c r="AZ657" s="208" t="s">
        <v>318</v>
      </c>
      <c r="BB657" s="209" t="s">
        <v>319</v>
      </c>
      <c r="BD657" s="208" t="s">
        <v>320</v>
      </c>
      <c r="BG657" s="210" t="s">
        <v>326</v>
      </c>
      <c r="BH657" s="211" t="s">
        <v>327</v>
      </c>
      <c r="BI657" s="210" t="s">
        <v>321</v>
      </c>
      <c r="BJ657" s="211" t="s">
        <v>322</v>
      </c>
    </row>
    <row r="658" spans="1:62" ht="15" thickTop="1" thickBot="1" x14ac:dyDescent="0.3">
      <c r="A658" s="202"/>
      <c r="B658" s="212"/>
      <c r="C658" s="213"/>
      <c r="D658" s="223"/>
      <c r="E658" s="573">
        <f>BJ658</f>
        <v>0.47142857142857131</v>
      </c>
      <c r="F658" s="574"/>
      <c r="AA658" s="112"/>
      <c r="AB658" s="112">
        <f>IF(B658=$B$1871,$AB$463,0)</f>
        <v>0</v>
      </c>
      <c r="AC658" s="112">
        <f>IF(B658=$B$1872,$AC$463,0)</f>
        <v>0</v>
      </c>
      <c r="AD658" s="112">
        <f>IF(B658=$B$1873,$AD$463,0)</f>
        <v>0</v>
      </c>
      <c r="AE658" s="112">
        <f>IF(B658=$B$1874,$AE$463,0)</f>
        <v>0</v>
      </c>
      <c r="AF658" s="224">
        <f>SUM(AB658:AE658)</f>
        <v>0</v>
      </c>
      <c r="AG658" s="112">
        <f>IF(C658=$B$1877,$E$1877,0)</f>
        <v>0</v>
      </c>
      <c r="AH658" s="112">
        <f>IF(C658=$B$1878,$E$1878,0)</f>
        <v>0</v>
      </c>
      <c r="AI658" s="112">
        <f>IF(C658=$B$1879,$E$1879,0)</f>
        <v>0</v>
      </c>
      <c r="AJ658" s="112">
        <f>IF(C658=$B$1880,$E$1880,0)</f>
        <v>0</v>
      </c>
      <c r="AK658" s="112">
        <f>IF(C658=$B$1881,$E$1881,0)</f>
        <v>0</v>
      </c>
      <c r="AL658" s="112">
        <f>IF(C658=$B$1882,$E$1882,0)</f>
        <v>0</v>
      </c>
      <c r="AM658" s="225">
        <f>SUM(AG658:AL658)</f>
        <v>0</v>
      </c>
      <c r="AN658" s="112">
        <f>IF($D658=$B$1885,AN$463,0)</f>
        <v>0</v>
      </c>
      <c r="AO658" s="112">
        <f>IF($D658=$B$1886,AO$463,0)</f>
        <v>0</v>
      </c>
      <c r="AP658" s="112">
        <f>IF($D658=$B$1887,AP$463,0)</f>
        <v>0</v>
      </c>
      <c r="AQ658" s="112">
        <f>IF($D658=$B$1888,AQ$463,0)</f>
        <v>0</v>
      </c>
      <c r="AR658" s="112">
        <f>IF($D658=$B$1889,AR$463,0)</f>
        <v>0</v>
      </c>
      <c r="AS658" s="112">
        <f>IF($D658=$B$1890,AS$463,0)</f>
        <v>0</v>
      </c>
      <c r="AT658" s="112">
        <f>IF($D658=$B$1891,AT$463,0)</f>
        <v>0</v>
      </c>
      <c r="AU658" s="112">
        <f>IF($D658=$B$1892,AU$463,0)</f>
        <v>0</v>
      </c>
      <c r="AV658" s="226">
        <f>SUM(AN658:AU658)</f>
        <v>0</v>
      </c>
      <c r="AX658" s="216">
        <f>AF658*AM658</f>
        <v>0</v>
      </c>
      <c r="AZ658" s="158">
        <f>AX658+(AV658*AM658)</f>
        <v>0</v>
      </c>
      <c r="BB658" s="217">
        <f>(AF658*AM658)*0.01</f>
        <v>0</v>
      </c>
      <c r="BD658" s="218">
        <f>AZ658*0.01</f>
        <v>0</v>
      </c>
      <c r="BE658" s="402"/>
      <c r="BG658" s="217">
        <f>IF(AF658&gt;0,BG653+BB658,BG653)</f>
        <v>0.85705357142857097</v>
      </c>
      <c r="BH658" s="218">
        <f>IF(AV658&gt;0,BH653+BD658,BH653)</f>
        <v>0.47142857142857131</v>
      </c>
      <c r="BI658" s="217">
        <f>IF(BG658&gt;0.99,0.99,BG658)</f>
        <v>0.85705357142857097</v>
      </c>
      <c r="BJ658" s="218">
        <f>IF(BH658&gt;0.99,0.99,BH658)</f>
        <v>0.47142857142857131</v>
      </c>
    </row>
    <row r="659" spans="1:62" ht="4.95" customHeight="1" thickTop="1" x14ac:dyDescent="0.25">
      <c r="A659" s="202"/>
      <c r="B659" s="202"/>
      <c r="C659" s="202"/>
      <c r="D659" s="202"/>
      <c r="E659" s="202"/>
      <c r="F659" s="1"/>
      <c r="AA659" s="112"/>
      <c r="AB659" s="112"/>
      <c r="AC659" s="112"/>
      <c r="AD659" s="112"/>
      <c r="AE659" s="112"/>
      <c r="AF659" s="224"/>
      <c r="AG659" s="112"/>
      <c r="AH659" s="112"/>
      <c r="AI659" s="112"/>
      <c r="AJ659" s="112"/>
      <c r="AK659" s="112"/>
      <c r="AL659" s="112"/>
      <c r="AM659" s="225"/>
      <c r="AN659" s="112"/>
      <c r="AO659" s="112"/>
      <c r="AP659" s="112"/>
      <c r="AQ659" s="112"/>
      <c r="AR659" s="112"/>
      <c r="AS659" s="112"/>
      <c r="AT659" s="112"/>
      <c r="AU659" s="112"/>
      <c r="AV659" s="226"/>
      <c r="AX659" s="216"/>
      <c r="AZ659" s="158"/>
      <c r="BB659" s="217"/>
      <c r="BD659" s="218"/>
      <c r="BE659" s="402"/>
      <c r="BG659" s="217"/>
      <c r="BH659" s="218"/>
      <c r="BI659" s="217"/>
      <c r="BJ659" s="218"/>
    </row>
    <row r="660" spans="1:62" ht="15.6" x14ac:dyDescent="0.25">
      <c r="A660" s="200">
        <f>A654+1</f>
        <v>49</v>
      </c>
      <c r="B660" s="200" t="s">
        <v>437</v>
      </c>
      <c r="C660" s="200"/>
      <c r="D660" s="201" t="str">
        <f>IF(B662="","If claimed, explain in white box below.","")</f>
        <v>If claimed, explain in white box below.</v>
      </c>
      <c r="E660" s="203"/>
      <c r="F660" s="1"/>
    </row>
    <row r="661" spans="1:62" x14ac:dyDescent="0.25">
      <c r="A661" s="202"/>
      <c r="B661" s="567" t="s">
        <v>438</v>
      </c>
      <c r="C661" s="568"/>
      <c r="D661" s="569"/>
      <c r="E661" s="203"/>
      <c r="F661" s="1"/>
    </row>
    <row r="662" spans="1:62" ht="100.05" customHeight="1" thickBot="1" x14ac:dyDescent="0.3">
      <c r="A662" s="202"/>
      <c r="B662" s="570"/>
      <c r="C662" s="571"/>
      <c r="D662" s="572"/>
      <c r="E662" s="203"/>
      <c r="F662" s="1"/>
    </row>
    <row r="663" spans="1:62" ht="15" thickTop="1" thickBot="1" x14ac:dyDescent="0.3">
      <c r="A663" s="202"/>
      <c r="B663" s="204" t="str">
        <f>IF(B662="","","Claimed?")</f>
        <v/>
      </c>
      <c r="C663" s="204" t="str">
        <f>IF(B663="","","Verifiable?")</f>
        <v/>
      </c>
      <c r="D663" s="205" t="str">
        <f>IF(C664="","","Independent verification")</f>
        <v/>
      </c>
      <c r="E663" s="573">
        <f>BI664</f>
        <v>0.85705357142857097</v>
      </c>
      <c r="F663" s="574"/>
      <c r="AA663" s="60"/>
      <c r="AB663" s="60" t="s">
        <v>314</v>
      </c>
      <c r="AF663" s="220"/>
      <c r="AG663" s="60" t="s">
        <v>315</v>
      </c>
      <c r="AM663" s="221"/>
      <c r="AN663" s="60" t="s">
        <v>316</v>
      </c>
      <c r="AV663" s="222"/>
      <c r="AX663" s="207" t="s">
        <v>317</v>
      </c>
      <c r="AZ663" s="208" t="s">
        <v>318</v>
      </c>
      <c r="BB663" s="209" t="s">
        <v>319</v>
      </c>
      <c r="BD663" s="208" t="s">
        <v>320</v>
      </c>
      <c r="BG663" s="210" t="s">
        <v>326</v>
      </c>
      <c r="BH663" s="211" t="s">
        <v>327</v>
      </c>
      <c r="BI663" s="210" t="s">
        <v>321</v>
      </c>
      <c r="BJ663" s="211" t="s">
        <v>322</v>
      </c>
    </row>
    <row r="664" spans="1:62" ht="15" thickTop="1" thickBot="1" x14ac:dyDescent="0.3">
      <c r="A664" s="202"/>
      <c r="B664" s="212"/>
      <c r="C664" s="213"/>
      <c r="D664" s="223"/>
      <c r="E664" s="573">
        <f>BJ664</f>
        <v>0.47142857142857131</v>
      </c>
      <c r="F664" s="574"/>
      <c r="AA664" s="112"/>
      <c r="AB664" s="112">
        <f>IF(B664=$B$1871,$AB$463,0)</f>
        <v>0</v>
      </c>
      <c r="AC664" s="112">
        <f>IF(B664=$B$1872,$AC$463,0)</f>
        <v>0</v>
      </c>
      <c r="AD664" s="112">
        <f>IF(B664=$B$1873,$AD$463,0)</f>
        <v>0</v>
      </c>
      <c r="AE664" s="112">
        <f>IF(B664=$B$1874,$AE$463,0)</f>
        <v>0</v>
      </c>
      <c r="AF664" s="224">
        <f>SUM(AB664:AE664)</f>
        <v>0</v>
      </c>
      <c r="AG664" s="112">
        <f>IF(C664=$B$1877,$E$1877,0)</f>
        <v>0</v>
      </c>
      <c r="AH664" s="112">
        <f>IF(C664=$B$1878,$E$1878,0)</f>
        <v>0</v>
      </c>
      <c r="AI664" s="112">
        <f>IF(C664=$B$1879,$E$1879,0)</f>
        <v>0</v>
      </c>
      <c r="AJ664" s="112">
        <f>IF(C664=$B$1880,$E$1880,0)</f>
        <v>0</v>
      </c>
      <c r="AK664" s="112">
        <f>IF(C664=$B$1881,$E$1881,0)</f>
        <v>0</v>
      </c>
      <c r="AL664" s="112">
        <f>IF(C664=$B$1882,$E$1882,0)</f>
        <v>0</v>
      </c>
      <c r="AM664" s="225">
        <f>SUM(AG664:AL664)</f>
        <v>0</v>
      </c>
      <c r="AN664" s="112">
        <f>IF($D664=$B$1885,AN$463,0)</f>
        <v>0</v>
      </c>
      <c r="AO664" s="112">
        <f>IF($D664=$B$1886,AO$463,0)</f>
        <v>0</v>
      </c>
      <c r="AP664" s="112">
        <f>IF($D664=$B$1887,AP$463,0)</f>
        <v>0</v>
      </c>
      <c r="AQ664" s="112">
        <f>IF($D664=$B$1888,AQ$463,0)</f>
        <v>0</v>
      </c>
      <c r="AR664" s="112">
        <f>IF($D664=$B$1889,AR$463,0)</f>
        <v>0</v>
      </c>
      <c r="AS664" s="112">
        <f>IF($D664=$B$1890,AS$463,0)</f>
        <v>0</v>
      </c>
      <c r="AT664" s="112">
        <f>IF($D664=$B$1891,AT$463,0)</f>
        <v>0</v>
      </c>
      <c r="AU664" s="112">
        <f>IF($D664=$B$1892,AU$463,0)</f>
        <v>0</v>
      </c>
      <c r="AV664" s="226">
        <f>SUM(AN664:AU664)</f>
        <v>0</v>
      </c>
      <c r="AX664" s="216">
        <f>AF664*AM664</f>
        <v>0</v>
      </c>
      <c r="AZ664" s="158">
        <f>AX664+(AV664*AM664)</f>
        <v>0</v>
      </c>
      <c r="BB664" s="217">
        <f>(AF664*AM664)*0.01</f>
        <v>0</v>
      </c>
      <c r="BD664" s="218">
        <f>AZ664*0.01</f>
        <v>0</v>
      </c>
      <c r="BE664" s="402"/>
      <c r="BG664" s="217">
        <f>IF(AF664&gt;0,BG658+BB664,BG658)</f>
        <v>0.85705357142857097</v>
      </c>
      <c r="BH664" s="218">
        <f>IF(AV664&gt;0,BH658+BD664,BH658)</f>
        <v>0.47142857142857131</v>
      </c>
      <c r="BI664" s="217">
        <f>IF(BG664&gt;0.99,0.99,BG664)</f>
        <v>0.85705357142857097</v>
      </c>
      <c r="BJ664" s="218">
        <f>IF(BH664&gt;0.99,0.99,BH664)</f>
        <v>0.47142857142857131</v>
      </c>
    </row>
    <row r="665" spans="1:62" ht="16.2" thickTop="1" x14ac:dyDescent="0.25">
      <c r="A665" s="200">
        <f>A660+1</f>
        <v>50</v>
      </c>
      <c r="B665" s="200" t="s">
        <v>439</v>
      </c>
      <c r="C665" s="200"/>
      <c r="D665" s="201" t="str">
        <f>IF(B667="","If claimed, explain in white box below.","")</f>
        <v>If claimed, explain in white box below.</v>
      </c>
      <c r="E665" s="203"/>
      <c r="F665" s="1"/>
    </row>
    <row r="666" spans="1:62" x14ac:dyDescent="0.25">
      <c r="A666" s="202"/>
      <c r="B666" s="567" t="s">
        <v>440</v>
      </c>
      <c r="C666" s="568"/>
      <c r="D666" s="569"/>
      <c r="E666" s="203"/>
      <c r="F666" s="1"/>
    </row>
    <row r="667" spans="1:62" ht="100.05" customHeight="1" thickBot="1" x14ac:dyDescent="0.3">
      <c r="A667" s="202"/>
      <c r="B667" s="570"/>
      <c r="C667" s="571"/>
      <c r="D667" s="572"/>
      <c r="E667" s="203"/>
      <c r="F667" s="1"/>
    </row>
    <row r="668" spans="1:62" ht="15" thickTop="1" thickBot="1" x14ac:dyDescent="0.3">
      <c r="A668" s="202"/>
      <c r="B668" s="204" t="str">
        <f>IF(B667="","","Claimed?")</f>
        <v/>
      </c>
      <c r="C668" s="204" t="str">
        <f>IF(B668="","","Verifiable?")</f>
        <v/>
      </c>
      <c r="D668" s="205" t="str">
        <f>IF(C669="","","Independent verification")</f>
        <v/>
      </c>
      <c r="E668" s="573">
        <f>BI669</f>
        <v>0.85705357142857097</v>
      </c>
      <c r="F668" s="574"/>
      <c r="AA668" s="60"/>
      <c r="AB668" s="60" t="s">
        <v>314</v>
      </c>
      <c r="AF668" s="220"/>
      <c r="AG668" s="60" t="s">
        <v>315</v>
      </c>
      <c r="AM668" s="221"/>
      <c r="AN668" s="60" t="s">
        <v>316</v>
      </c>
      <c r="AV668" s="222"/>
      <c r="AX668" s="207" t="s">
        <v>317</v>
      </c>
      <c r="AZ668" s="208" t="s">
        <v>318</v>
      </c>
      <c r="BB668" s="209" t="s">
        <v>319</v>
      </c>
      <c r="BD668" s="208" t="s">
        <v>320</v>
      </c>
      <c r="BG668" s="210" t="s">
        <v>326</v>
      </c>
      <c r="BH668" s="211" t="s">
        <v>327</v>
      </c>
      <c r="BI668" s="210" t="s">
        <v>321</v>
      </c>
      <c r="BJ668" s="211" t="s">
        <v>322</v>
      </c>
    </row>
    <row r="669" spans="1:62" ht="15" thickTop="1" thickBot="1" x14ac:dyDescent="0.3">
      <c r="A669" s="202"/>
      <c r="B669" s="212"/>
      <c r="C669" s="213"/>
      <c r="D669" s="223"/>
      <c r="E669" s="573">
        <f>BJ669</f>
        <v>0.47142857142857131</v>
      </c>
      <c r="F669" s="574"/>
      <c r="AA669" s="112"/>
      <c r="AB669" s="112">
        <f>IF(B669=$B$1871,$AB$463,0)</f>
        <v>0</v>
      </c>
      <c r="AC669" s="112">
        <f>IF(B669=$B$1872,$AC$463,0)</f>
        <v>0</v>
      </c>
      <c r="AD669" s="112">
        <f>IF(B669=$B$1873,$AD$463,0)</f>
        <v>0</v>
      </c>
      <c r="AE669" s="112">
        <f>IF(B669=$B$1874,$AE$463,0)</f>
        <v>0</v>
      </c>
      <c r="AF669" s="224">
        <f>SUM(AB669:AE669)</f>
        <v>0</v>
      </c>
      <c r="AG669" s="112">
        <f>IF(C669=$B$1877,$E$1877,0)</f>
        <v>0</v>
      </c>
      <c r="AH669" s="112">
        <f>IF(C669=$B$1878,$E$1878,0)</f>
        <v>0</v>
      </c>
      <c r="AI669" s="112">
        <f>IF(C669=$B$1879,$E$1879,0)</f>
        <v>0</v>
      </c>
      <c r="AJ669" s="112">
        <f>IF(C669=$B$1880,$E$1880,0)</f>
        <v>0</v>
      </c>
      <c r="AK669" s="112">
        <f>IF(C669=$B$1881,$E$1881,0)</f>
        <v>0</v>
      </c>
      <c r="AL669" s="112">
        <f>IF(C669=$B$1882,$E$1882,0)</f>
        <v>0</v>
      </c>
      <c r="AM669" s="225">
        <f>SUM(AG669:AL669)</f>
        <v>0</v>
      </c>
      <c r="AN669" s="112">
        <f>IF($D669=$B$1885,AN$463,0)</f>
        <v>0</v>
      </c>
      <c r="AO669" s="112">
        <f>IF($D669=$B$1886,AO$463,0)</f>
        <v>0</v>
      </c>
      <c r="AP669" s="112">
        <f>IF($D669=$B$1887,AP$463,0)</f>
        <v>0</v>
      </c>
      <c r="AQ669" s="112">
        <f>IF($D669=$B$1888,AQ$463,0)</f>
        <v>0</v>
      </c>
      <c r="AR669" s="112">
        <f>IF($D669=$B$1889,AR$463,0)</f>
        <v>0</v>
      </c>
      <c r="AS669" s="112">
        <f>IF($D669=$B$1890,AS$463,0)</f>
        <v>0</v>
      </c>
      <c r="AT669" s="112">
        <f>IF($D669=$B$1891,AT$463,0)</f>
        <v>0</v>
      </c>
      <c r="AU669" s="112">
        <f>IF($D669=$B$1892,AU$463,0)</f>
        <v>0</v>
      </c>
      <c r="AV669" s="226">
        <f>SUM(AN669:AU669)</f>
        <v>0</v>
      </c>
      <c r="AX669" s="216">
        <f>AF669*AM669</f>
        <v>0</v>
      </c>
      <c r="AZ669" s="158">
        <f>AX669+(AV669*AM669)</f>
        <v>0</v>
      </c>
      <c r="BB669" s="217">
        <f>(AF669*AM669)*0.01</f>
        <v>0</v>
      </c>
      <c r="BD669" s="218">
        <f>AZ669*0.01</f>
        <v>0</v>
      </c>
      <c r="BE669" s="402"/>
      <c r="BG669" s="217">
        <f>IF(AF669&gt;0,BG664+BB669,BG664)</f>
        <v>0.85705357142857097</v>
      </c>
      <c r="BH669" s="218">
        <f>IF(AV669&gt;0,BH664+BD669,BH664)</f>
        <v>0.47142857142857131</v>
      </c>
      <c r="BI669" s="217">
        <f>IF(BG669&gt;0.99,0.99,BG669)</f>
        <v>0.85705357142857097</v>
      </c>
      <c r="BJ669" s="218">
        <f>IF(BH669&gt;0.99,0.99,BH669)</f>
        <v>0.47142857142857131</v>
      </c>
    </row>
    <row r="670" spans="1:62" ht="16.2" thickTop="1" x14ac:dyDescent="0.25">
      <c r="A670" s="200">
        <f>A665+1</f>
        <v>51</v>
      </c>
      <c r="B670" s="200" t="s">
        <v>441</v>
      </c>
      <c r="C670" s="200"/>
      <c r="D670" s="201" t="str">
        <f>IF(B672="","If claimed, explain in white box below.","")</f>
        <v/>
      </c>
      <c r="E670" s="203"/>
      <c r="F670" s="1"/>
    </row>
    <row r="671" spans="1:62" x14ac:dyDescent="0.25">
      <c r="A671" s="202"/>
      <c r="B671" s="567" t="s">
        <v>442</v>
      </c>
      <c r="C671" s="568"/>
      <c r="D671" s="569"/>
      <c r="E671" s="203"/>
      <c r="F671" s="1"/>
    </row>
    <row r="672" spans="1:62" ht="100.05" customHeight="1" thickBot="1" x14ac:dyDescent="0.3">
      <c r="A672" s="202"/>
      <c r="B672" s="570" t="s">
        <v>443</v>
      </c>
      <c r="C672" s="571"/>
      <c r="D672" s="572"/>
      <c r="E672" s="203"/>
      <c r="F672" s="1"/>
    </row>
    <row r="673" spans="1:62" ht="15" thickTop="1" thickBot="1" x14ac:dyDescent="0.3">
      <c r="A673" s="202"/>
      <c r="B673" s="204" t="str">
        <f>IF(B672="","","Claimed?")</f>
        <v>Claimed?</v>
      </c>
      <c r="C673" s="204" t="str">
        <f>IF(B673="","","Verifiable?")</f>
        <v>Verifiable?</v>
      </c>
      <c r="D673" s="205" t="str">
        <f>IF(C674="","","Independent verification")</f>
        <v>Independent verification</v>
      </c>
      <c r="E673" s="573">
        <f>BI674</f>
        <v>0.86580357142857101</v>
      </c>
      <c r="F673" s="574"/>
      <c r="AA673" s="60"/>
      <c r="AB673" s="60" t="s">
        <v>314</v>
      </c>
      <c r="AF673" s="220"/>
      <c r="AG673" s="60" t="s">
        <v>315</v>
      </c>
      <c r="AM673" s="221"/>
      <c r="AN673" s="60" t="s">
        <v>316</v>
      </c>
      <c r="AV673" s="222"/>
      <c r="AX673" s="207" t="s">
        <v>317</v>
      </c>
      <c r="AZ673" s="208" t="s">
        <v>318</v>
      </c>
      <c r="BB673" s="209" t="s">
        <v>319</v>
      </c>
      <c r="BD673" s="208" t="s">
        <v>320</v>
      </c>
      <c r="BG673" s="210" t="s">
        <v>326</v>
      </c>
      <c r="BH673" s="211" t="s">
        <v>327</v>
      </c>
      <c r="BI673" s="210" t="s">
        <v>321</v>
      </c>
      <c r="BJ673" s="211" t="s">
        <v>322</v>
      </c>
    </row>
    <row r="674" spans="1:62" ht="15" thickTop="1" thickBot="1" x14ac:dyDescent="0.3">
      <c r="A674" s="202"/>
      <c r="B674" s="212" t="s">
        <v>373</v>
      </c>
      <c r="C674" s="213" t="s">
        <v>358</v>
      </c>
      <c r="D674" s="223"/>
      <c r="E674" s="573">
        <f>BJ674</f>
        <v>0.47142857142857131</v>
      </c>
      <c r="F674" s="574"/>
      <c r="AA674" s="112"/>
      <c r="AB674" s="112">
        <f>IF(B674=$B$1871,$AB$463,0)</f>
        <v>0</v>
      </c>
      <c r="AC674" s="112">
        <f>IF(B674=$B$1872,$AC$463,0)</f>
        <v>0</v>
      </c>
      <c r="AD674" s="112">
        <f>IF(B674=$B$1873,$AD$463,0)</f>
        <v>2.5</v>
      </c>
      <c r="AE674" s="112">
        <f>IF(B674=$B$1874,$AE$463,0)</f>
        <v>0</v>
      </c>
      <c r="AF674" s="224">
        <f>SUM(AB674:AE674)</f>
        <v>2.5</v>
      </c>
      <c r="AG674" s="112">
        <f>IF(C674=$B$1877,$E$1877,0)</f>
        <v>0</v>
      </c>
      <c r="AH674" s="112">
        <f>IF(C674=$B$1878,$E$1878,0)</f>
        <v>0</v>
      </c>
      <c r="AI674" s="112">
        <f>IF(C674=$B$1879,$E$1879,0)</f>
        <v>0.35000000000000003</v>
      </c>
      <c r="AJ674" s="112">
        <f>IF(C674=$B$1880,$E$1880,0)</f>
        <v>0</v>
      </c>
      <c r="AK674" s="112">
        <f>IF(C674=$B$1881,$E$1881,0)</f>
        <v>0</v>
      </c>
      <c r="AL674" s="112">
        <f>IF(C674=$B$1882,$E$1882,0)</f>
        <v>0</v>
      </c>
      <c r="AM674" s="225">
        <f>SUM(AG674:AL674)</f>
        <v>0.35000000000000003</v>
      </c>
      <c r="AN674" s="112">
        <f>IF($D674=$B$1885,AN$463,0)</f>
        <v>0</v>
      </c>
      <c r="AO674" s="112">
        <f>IF($D674=$B$1886,AO$463,0)</f>
        <v>0</v>
      </c>
      <c r="AP674" s="112">
        <f>IF($D674=$B$1887,AP$463,0)</f>
        <v>0</v>
      </c>
      <c r="AQ674" s="112">
        <f>IF($D674=$B$1888,AQ$463,0)</f>
        <v>0</v>
      </c>
      <c r="AR674" s="112">
        <f>IF($D674=$B$1889,AR$463,0)</f>
        <v>0</v>
      </c>
      <c r="AS674" s="112">
        <f>IF($D674=$B$1890,AS$463,0)</f>
        <v>0</v>
      </c>
      <c r="AT674" s="112">
        <f>IF($D674=$B$1891,AT$463,0)</f>
        <v>0</v>
      </c>
      <c r="AU674" s="112">
        <f>IF($D674=$B$1892,AU$463,0)</f>
        <v>0</v>
      </c>
      <c r="AV674" s="226">
        <f>SUM(AN674:AU674)</f>
        <v>0</v>
      </c>
      <c r="AX674" s="216">
        <f>AF674*AM674</f>
        <v>0.87500000000000011</v>
      </c>
      <c r="AZ674" s="158">
        <f>AX674+(AV674*AM674)</f>
        <v>0.87500000000000011</v>
      </c>
      <c r="BB674" s="217">
        <f>(AF674*AM674)*0.01</f>
        <v>8.7500000000000008E-3</v>
      </c>
      <c r="BD674" s="218">
        <f>AZ674*0.01</f>
        <v>8.7500000000000008E-3</v>
      </c>
      <c r="BE674" s="402"/>
      <c r="BG674" s="217">
        <f>IF(AF674&gt;0,BG669+BB674,BG669)</f>
        <v>0.86580357142857101</v>
      </c>
      <c r="BH674" s="218">
        <f>IF(AV674&gt;0,BH669+BD674,BH669)</f>
        <v>0.47142857142857131</v>
      </c>
      <c r="BI674" s="217">
        <f>IF(BG674&gt;0.99,0.99,BG674)</f>
        <v>0.86580357142857101</v>
      </c>
      <c r="BJ674" s="218">
        <f>IF(BH674&gt;0.99,0.99,BH674)</f>
        <v>0.47142857142857131</v>
      </c>
    </row>
    <row r="675" spans="1:62" ht="16.2" thickTop="1" x14ac:dyDescent="0.25">
      <c r="A675" s="200">
        <f>A670+1</f>
        <v>52</v>
      </c>
      <c r="B675" s="200" t="s">
        <v>444</v>
      </c>
      <c r="C675" s="200"/>
      <c r="D675" s="201" t="str">
        <f>IF(B677="","If claimed, explain in white box below.","")</f>
        <v>If claimed, explain in white box below.</v>
      </c>
      <c r="E675" s="203"/>
      <c r="F675" s="1"/>
    </row>
    <row r="676" spans="1:62" x14ac:dyDescent="0.25">
      <c r="A676" s="202"/>
      <c r="B676" s="567" t="s">
        <v>445</v>
      </c>
      <c r="C676" s="568"/>
      <c r="D676" s="569"/>
      <c r="E676" s="203"/>
      <c r="F676" s="1"/>
    </row>
    <row r="677" spans="1:62" ht="100.05" customHeight="1" thickBot="1" x14ac:dyDescent="0.3">
      <c r="A677" s="202"/>
      <c r="B677" s="570"/>
      <c r="C677" s="571"/>
      <c r="D677" s="572"/>
      <c r="E677" s="203"/>
      <c r="F677" s="1"/>
    </row>
    <row r="678" spans="1:62" ht="15" thickTop="1" thickBot="1" x14ac:dyDescent="0.3">
      <c r="A678" s="202"/>
      <c r="B678" s="204" t="str">
        <f>IF(B677="","","Claimed?")</f>
        <v/>
      </c>
      <c r="C678" s="204" t="str">
        <f>IF(B678="","","Verifiable?")</f>
        <v/>
      </c>
      <c r="D678" s="205" t="str">
        <f>IF(C679="","","Independent verification")</f>
        <v/>
      </c>
      <c r="E678" s="573">
        <f>BI679</f>
        <v>0.86580357142857101</v>
      </c>
      <c r="F678" s="574"/>
      <c r="AA678" s="60"/>
      <c r="AB678" s="60" t="s">
        <v>314</v>
      </c>
      <c r="AF678" s="220"/>
      <c r="AG678" s="60" t="s">
        <v>315</v>
      </c>
      <c r="AM678" s="221"/>
      <c r="AN678" s="60" t="s">
        <v>316</v>
      </c>
      <c r="AV678" s="222"/>
      <c r="AX678" s="207" t="s">
        <v>317</v>
      </c>
      <c r="AZ678" s="208" t="s">
        <v>318</v>
      </c>
      <c r="BB678" s="209" t="s">
        <v>319</v>
      </c>
      <c r="BD678" s="208" t="s">
        <v>320</v>
      </c>
      <c r="BG678" s="210" t="s">
        <v>326</v>
      </c>
      <c r="BH678" s="211" t="s">
        <v>327</v>
      </c>
      <c r="BI678" s="210" t="s">
        <v>321</v>
      </c>
      <c r="BJ678" s="211" t="s">
        <v>322</v>
      </c>
    </row>
    <row r="679" spans="1:62" ht="15" thickTop="1" thickBot="1" x14ac:dyDescent="0.3">
      <c r="A679" s="202"/>
      <c r="B679" s="212"/>
      <c r="C679" s="213"/>
      <c r="D679" s="223"/>
      <c r="E679" s="573">
        <f>BJ679</f>
        <v>0.47142857142857131</v>
      </c>
      <c r="F679" s="574"/>
      <c r="AA679" s="112"/>
      <c r="AB679" s="112">
        <f>IF(B679=$B$1871,$AB$463,0)</f>
        <v>0</v>
      </c>
      <c r="AC679" s="112">
        <f>IF(B679=$B$1872,$AC$463,0)</f>
        <v>0</v>
      </c>
      <c r="AD679" s="112">
        <f>IF(B679=$B$1873,$AD$463,0)</f>
        <v>0</v>
      </c>
      <c r="AE679" s="112">
        <f>IF(B679=$B$1874,$AE$463,0)</f>
        <v>0</v>
      </c>
      <c r="AF679" s="224">
        <f>SUM(AB679:AE679)</f>
        <v>0</v>
      </c>
      <c r="AG679" s="112">
        <f>IF(C679=$B$1877,$E$1877,0)</f>
        <v>0</v>
      </c>
      <c r="AH679" s="112">
        <f>IF(C679=$B$1878,$E$1878,0)</f>
        <v>0</v>
      </c>
      <c r="AI679" s="112">
        <f>IF(C679=$B$1879,$E$1879,0)</f>
        <v>0</v>
      </c>
      <c r="AJ679" s="112">
        <f>IF(C679=$B$1880,$E$1880,0)</f>
        <v>0</v>
      </c>
      <c r="AK679" s="112">
        <f>IF(C679=$B$1881,$E$1881,0)</f>
        <v>0</v>
      </c>
      <c r="AL679" s="112">
        <f>IF(C679=$B$1882,$E$1882,0)</f>
        <v>0</v>
      </c>
      <c r="AM679" s="225">
        <f>SUM(AG679:AL679)</f>
        <v>0</v>
      </c>
      <c r="AN679" s="112">
        <f>IF($D679=$B$1885,AN$463,0)</f>
        <v>0</v>
      </c>
      <c r="AO679" s="112">
        <f>IF($D679=$B$1886,AO$463,0)</f>
        <v>0</v>
      </c>
      <c r="AP679" s="112">
        <f>IF($D679=$B$1887,AP$463,0)</f>
        <v>0</v>
      </c>
      <c r="AQ679" s="112">
        <f>IF($D679=$B$1888,AQ$463,0)</f>
        <v>0</v>
      </c>
      <c r="AR679" s="112">
        <f>IF($D679=$B$1889,AR$463,0)</f>
        <v>0</v>
      </c>
      <c r="AS679" s="112">
        <f>IF($D679=$B$1890,AS$463,0)</f>
        <v>0</v>
      </c>
      <c r="AT679" s="112">
        <f>IF($D679=$B$1891,AT$463,0)</f>
        <v>0</v>
      </c>
      <c r="AU679" s="112">
        <f>IF($D679=$B$1892,AU$463,0)</f>
        <v>0</v>
      </c>
      <c r="AV679" s="226">
        <f>SUM(AN679:AU679)</f>
        <v>0</v>
      </c>
      <c r="AX679" s="216">
        <f>AF679*AM679</f>
        <v>0</v>
      </c>
      <c r="AZ679" s="158">
        <f>AX679+(AV679*AM679)</f>
        <v>0</v>
      </c>
      <c r="BB679" s="217">
        <f>(AF679*AM679)*0.01</f>
        <v>0</v>
      </c>
      <c r="BD679" s="218">
        <f>AZ679*0.01</f>
        <v>0</v>
      </c>
      <c r="BE679" s="402"/>
      <c r="BG679" s="217">
        <f>IF(AF679&gt;0,BG674+BB679,BG674)</f>
        <v>0.86580357142857101</v>
      </c>
      <c r="BH679" s="218">
        <f>IF(AV679&gt;0,BH674+BD679,BH674)</f>
        <v>0.47142857142857131</v>
      </c>
      <c r="BI679" s="217">
        <f>IF(BG679&gt;0.99,0.99,BG679)</f>
        <v>0.86580357142857101</v>
      </c>
      <c r="BJ679" s="218">
        <f>IF(BH679&gt;0.99,0.99,BH679)</f>
        <v>0.47142857142857131</v>
      </c>
    </row>
    <row r="680" spans="1:62" ht="14.4" thickTop="1" x14ac:dyDescent="0.25">
      <c r="A680" s="202"/>
      <c r="B680" s="203"/>
      <c r="C680" s="203"/>
      <c r="D680" s="203"/>
      <c r="E680" s="203"/>
      <c r="F680" s="1"/>
    </row>
    <row r="681" spans="1:62" ht="30" customHeight="1" x14ac:dyDescent="0.25">
      <c r="A681" s="188" t="s">
        <v>85</v>
      </c>
      <c r="B681" s="46" t="s">
        <v>446</v>
      </c>
      <c r="C681" s="46"/>
      <c r="D681" s="46"/>
      <c r="E681" s="46"/>
      <c r="F681" s="475" t="s">
        <v>949</v>
      </c>
    </row>
    <row r="682" spans="1:62" ht="19.95" customHeight="1" x14ac:dyDescent="0.25">
      <c r="A682" s="108"/>
      <c r="B682" s="109" t="s">
        <v>447</v>
      </c>
      <c r="C682" s="109"/>
      <c r="D682" s="109"/>
      <c r="E682" s="110"/>
      <c r="F682" s="108"/>
      <c r="AA682" s="190"/>
      <c r="AB682" s="190">
        <v>0</v>
      </c>
      <c r="AC682" s="191">
        <f>AD682/2</f>
        <v>0.25</v>
      </c>
      <c r="AD682" s="192">
        <f>AE682/2</f>
        <v>0.5</v>
      </c>
      <c r="AE682" s="193">
        <v>1</v>
      </c>
      <c r="AF682" s="120"/>
      <c r="AG682" s="120"/>
      <c r="AH682" s="120"/>
      <c r="AI682" s="120"/>
      <c r="AJ682" s="120"/>
      <c r="AK682" s="120"/>
      <c r="AL682" s="120"/>
      <c r="AM682" s="120"/>
      <c r="AN682" s="194">
        <f>AE682*-2</f>
        <v>-2</v>
      </c>
      <c r="AO682" s="190">
        <f>AE682*-1</f>
        <v>-1</v>
      </c>
      <c r="AP682" s="190">
        <f>AD682*-1</f>
        <v>-0.5</v>
      </c>
      <c r="AQ682" s="195">
        <f>AE682*-0.1</f>
        <v>-0.1</v>
      </c>
      <c r="AR682" s="195">
        <v>0</v>
      </c>
      <c r="AS682" s="195">
        <f>AE682*0.1</f>
        <v>0.1</v>
      </c>
      <c r="AT682" s="192">
        <f>AD682</f>
        <v>0.5</v>
      </c>
      <c r="AU682" s="193">
        <f>AE682</f>
        <v>1</v>
      </c>
      <c r="AV682" s="196"/>
      <c r="AW682" s="120"/>
      <c r="AX682" s="120"/>
      <c r="AY682" s="120"/>
      <c r="AZ682" s="120"/>
      <c r="BA682" s="120"/>
      <c r="BB682" s="197"/>
      <c r="BC682" s="120"/>
      <c r="BD682" s="120"/>
      <c r="BE682" s="120"/>
      <c r="BF682" s="120"/>
      <c r="BG682" s="229">
        <f>BG643</f>
        <v>0.47142857142857131</v>
      </c>
    </row>
    <row r="683" spans="1:62" ht="15.6" x14ac:dyDescent="0.25">
      <c r="A683" s="200">
        <f>A675+1</f>
        <v>53</v>
      </c>
      <c r="B683" s="200" t="s">
        <v>448</v>
      </c>
      <c r="C683" s="200"/>
      <c r="D683" s="201" t="str">
        <f>IF(B685="","If claimed, explain in white box below.","")</f>
        <v/>
      </c>
      <c r="E683" s="203"/>
      <c r="F683" s="1"/>
    </row>
    <row r="684" spans="1:62" ht="28.05" customHeight="1" x14ac:dyDescent="0.25">
      <c r="A684" s="202"/>
      <c r="B684" s="567" t="s">
        <v>449</v>
      </c>
      <c r="C684" s="568"/>
      <c r="D684" s="569"/>
      <c r="E684" s="203"/>
      <c r="F684" s="1"/>
    </row>
    <row r="685" spans="1:62" ht="150" customHeight="1" thickBot="1" x14ac:dyDescent="0.3">
      <c r="A685" s="202"/>
      <c r="B685" s="570" t="s">
        <v>450</v>
      </c>
      <c r="C685" s="571"/>
      <c r="D685" s="572"/>
      <c r="E685" s="203"/>
      <c r="F685" s="1"/>
    </row>
    <row r="686" spans="1:62" ht="15" thickTop="1" thickBot="1" x14ac:dyDescent="0.3">
      <c r="A686" s="202"/>
      <c r="B686" s="204" t="str">
        <f>IF(B685="","","Claimed?")</f>
        <v>Claimed?</v>
      </c>
      <c r="C686" s="204" t="str">
        <f>IF(B686="","","Verifiable?")</f>
        <v>Verifiable?</v>
      </c>
      <c r="D686" s="205" t="str">
        <f>IF(C687="","","Independent verification")</f>
        <v>Independent verification</v>
      </c>
      <c r="E686" s="573">
        <f>BI687</f>
        <v>0.87205357142857098</v>
      </c>
      <c r="F686" s="574"/>
      <c r="AA686" s="60"/>
      <c r="AB686" s="60" t="s">
        <v>314</v>
      </c>
      <c r="AF686" s="220"/>
      <c r="AG686" s="60" t="s">
        <v>315</v>
      </c>
      <c r="AM686" s="221"/>
      <c r="AN686" s="60" t="s">
        <v>316</v>
      </c>
      <c r="AV686" s="222"/>
      <c r="AX686" s="207" t="s">
        <v>317</v>
      </c>
      <c r="AZ686" s="208" t="s">
        <v>318</v>
      </c>
      <c r="BB686" s="209" t="s">
        <v>319</v>
      </c>
      <c r="BD686" s="208" t="s">
        <v>320</v>
      </c>
      <c r="BG686" s="210" t="s">
        <v>326</v>
      </c>
      <c r="BH686" s="211" t="s">
        <v>327</v>
      </c>
      <c r="BI686" s="210" t="s">
        <v>321</v>
      </c>
      <c r="BJ686" s="211" t="s">
        <v>322</v>
      </c>
    </row>
    <row r="687" spans="1:62" ht="15" thickTop="1" thickBot="1" x14ac:dyDescent="0.3">
      <c r="A687" s="202"/>
      <c r="B687" s="212" t="s">
        <v>373</v>
      </c>
      <c r="C687" s="213" t="s">
        <v>388</v>
      </c>
      <c r="D687" s="223"/>
      <c r="E687" s="573">
        <f>BJ687</f>
        <v>0.47142857142857131</v>
      </c>
      <c r="F687" s="574"/>
      <c r="AA687" s="112"/>
      <c r="AB687" s="112">
        <f>IF(B687=$B$1871,$AB$463,0)</f>
        <v>0</v>
      </c>
      <c r="AC687" s="112">
        <f>IF(B687=$B$1872,$AC$463,0)</f>
        <v>0</v>
      </c>
      <c r="AD687" s="112">
        <f>IF(B687=$B$1873,$AD$463,0)</f>
        <v>2.5</v>
      </c>
      <c r="AE687" s="112">
        <f>IF(B687=$B$1874,$AE$463,0)</f>
        <v>0</v>
      </c>
      <c r="AF687" s="224">
        <f>SUM(AB687:AE687)</f>
        <v>2.5</v>
      </c>
      <c r="AG687" s="112">
        <f>IF(C687=$B$1877,$E$1877,0)</f>
        <v>0.25000000000000006</v>
      </c>
      <c r="AH687" s="112">
        <f>IF(C687=$B$1878,$E$1878,0)</f>
        <v>0</v>
      </c>
      <c r="AI687" s="112">
        <f>IF(C687=$B$1879,$E$1879,0)</f>
        <v>0</v>
      </c>
      <c r="AJ687" s="112">
        <f>IF(C687=$B$1880,$E$1880,0)</f>
        <v>0</v>
      </c>
      <c r="AK687" s="112">
        <f>IF(C687=$B$1881,$E$1881,0)</f>
        <v>0</v>
      </c>
      <c r="AL687" s="112">
        <f>IF(C687=$B$1882,$E$1882,0)</f>
        <v>0</v>
      </c>
      <c r="AM687" s="225">
        <f>SUM(AG687:AL687)</f>
        <v>0.25000000000000006</v>
      </c>
      <c r="AN687" s="112">
        <f>IF($D687=$B$1885,AN$463,0)</f>
        <v>0</v>
      </c>
      <c r="AO687" s="112">
        <f>IF($D687=$B$1886,AO$463,0)</f>
        <v>0</v>
      </c>
      <c r="AP687" s="112">
        <f>IF($D687=$B$1887,AP$463,0)</f>
        <v>0</v>
      </c>
      <c r="AQ687" s="112">
        <f>IF($D687=$B$1888,AQ$463,0)</f>
        <v>0</v>
      </c>
      <c r="AR687" s="112">
        <f>IF($D687=$B$1889,AR$463,0)</f>
        <v>0</v>
      </c>
      <c r="AS687" s="112">
        <f>IF($D687=$B$1890,AS$463,0)</f>
        <v>0</v>
      </c>
      <c r="AT687" s="112">
        <f>IF($D687=$B$1891,AT$463,0)</f>
        <v>0</v>
      </c>
      <c r="AU687" s="112">
        <f>IF($D687=$B$1892,AU$463,0)</f>
        <v>0</v>
      </c>
      <c r="AV687" s="226">
        <f>SUM(AN687:AU687)</f>
        <v>0</v>
      </c>
      <c r="AX687" s="216">
        <f>AF687*AM687</f>
        <v>0.62500000000000011</v>
      </c>
      <c r="AZ687" s="158">
        <f>AX687+(AV687*AM687)</f>
        <v>0.62500000000000011</v>
      </c>
      <c r="BB687" s="217">
        <f>(AF687*AM687)*0.01</f>
        <v>6.2500000000000012E-3</v>
      </c>
      <c r="BD687" s="218">
        <f>AZ687*0.01</f>
        <v>6.2500000000000012E-3</v>
      </c>
      <c r="BE687" s="402"/>
      <c r="BG687" s="217">
        <f>IF(AF687&gt;0,BG679+BB687,BG679)</f>
        <v>0.87205357142857098</v>
      </c>
      <c r="BH687" s="218">
        <f>IF(AV687&gt;0,BH679+BD687,BH679)</f>
        <v>0.47142857142857131</v>
      </c>
      <c r="BI687" s="217">
        <f>IF(BG687&gt;0.99,0.99,BG687)</f>
        <v>0.87205357142857098</v>
      </c>
      <c r="BJ687" s="218">
        <f>IF(BH687&gt;0.99,0.99,BH687)</f>
        <v>0.47142857142857131</v>
      </c>
    </row>
    <row r="688" spans="1:62" ht="15" thickTop="1" thickBot="1" x14ac:dyDescent="0.3">
      <c r="A688" s="202"/>
      <c r="B688" s="203"/>
      <c r="C688" s="203"/>
      <c r="D688" s="203"/>
      <c r="E688" s="203"/>
      <c r="F688" s="1"/>
    </row>
    <row r="689" spans="1:62" ht="360" customHeight="1" thickTop="1" thickBot="1" x14ac:dyDescent="0.3">
      <c r="A689" s="202"/>
      <c r="B689" s="575"/>
      <c r="C689" s="576"/>
      <c r="D689" s="577"/>
      <c r="E689" s="203"/>
      <c r="F689" s="1"/>
    </row>
    <row r="690" spans="1:62" ht="14.4" thickTop="1" x14ac:dyDescent="0.25">
      <c r="A690" s="202"/>
      <c r="B690" s="203"/>
      <c r="C690" s="203"/>
      <c r="D690" s="203"/>
      <c r="E690" s="203"/>
      <c r="F690" s="1"/>
    </row>
    <row r="691" spans="1:62" ht="30" customHeight="1" x14ac:dyDescent="0.25">
      <c r="A691" s="188" t="s">
        <v>87</v>
      </c>
      <c r="B691" s="46" t="s">
        <v>451</v>
      </c>
      <c r="C691" s="46"/>
      <c r="D691" s="46"/>
      <c r="E691" s="46"/>
      <c r="F691" s="475" t="s">
        <v>949</v>
      </c>
    </row>
    <row r="692" spans="1:62" ht="19.95" customHeight="1" x14ac:dyDescent="0.25">
      <c r="A692" s="108" t="s">
        <v>452</v>
      </c>
      <c r="B692" s="109"/>
      <c r="C692" s="109"/>
      <c r="D692" s="109"/>
      <c r="E692" s="110"/>
      <c r="F692" s="108"/>
      <c r="AA692" s="190"/>
      <c r="AB692" s="190">
        <v>0</v>
      </c>
      <c r="AC692" s="191">
        <f>AD692/2</f>
        <v>0.25</v>
      </c>
      <c r="AD692" s="192">
        <f>AE692/2</f>
        <v>0.5</v>
      </c>
      <c r="AE692" s="193">
        <v>1</v>
      </c>
      <c r="AF692" s="120"/>
      <c r="AG692" s="120"/>
      <c r="AH692" s="120"/>
      <c r="AI692" s="120"/>
      <c r="AJ692" s="120"/>
      <c r="AK692" s="120"/>
      <c r="AL692" s="120"/>
      <c r="AM692" s="120"/>
      <c r="AN692" s="194">
        <f>AE692*-2</f>
        <v>-2</v>
      </c>
      <c r="AO692" s="190">
        <f>AE692*-1</f>
        <v>-1</v>
      </c>
      <c r="AP692" s="190">
        <f>AD692*-1</f>
        <v>-0.5</v>
      </c>
      <c r="AQ692" s="195">
        <f>AE692*-0.1</f>
        <v>-0.1</v>
      </c>
      <c r="AR692" s="195">
        <v>0</v>
      </c>
      <c r="AS692" s="195">
        <f>AE692*0.1</f>
        <v>0.1</v>
      </c>
      <c r="AT692" s="192">
        <f>AD692</f>
        <v>0.5</v>
      </c>
      <c r="AU692" s="193">
        <f>AE692</f>
        <v>1</v>
      </c>
      <c r="AV692" s="196"/>
      <c r="AW692" s="120"/>
      <c r="AX692" s="120"/>
      <c r="AY692" s="120"/>
      <c r="AZ692" s="120"/>
      <c r="BA692" s="120"/>
      <c r="BB692" s="197"/>
      <c r="BC692" s="120"/>
      <c r="BD692" s="120"/>
      <c r="BE692" s="120"/>
      <c r="BF692" s="120"/>
      <c r="BG692" s="229">
        <f>BG682</f>
        <v>0.47142857142857131</v>
      </c>
    </row>
    <row r="693" spans="1:62" ht="15.6" x14ac:dyDescent="0.25">
      <c r="A693" s="200">
        <f>A683+1</f>
        <v>54</v>
      </c>
      <c r="B693" s="200" t="s">
        <v>453</v>
      </c>
      <c r="C693" s="200"/>
      <c r="D693" s="201" t="str">
        <f>IF(B695="","If claimed, explain in white box below.","")</f>
        <v>If claimed, explain in white box below.</v>
      </c>
      <c r="E693" s="203"/>
      <c r="F693" s="1"/>
    </row>
    <row r="694" spans="1:62" x14ac:dyDescent="0.25">
      <c r="A694" s="202"/>
      <c r="B694" s="567" t="s">
        <v>454</v>
      </c>
      <c r="C694" s="568"/>
      <c r="D694" s="569"/>
      <c r="E694" s="203"/>
      <c r="F694" s="1"/>
    </row>
    <row r="695" spans="1:62" ht="60" customHeight="1" thickBot="1" x14ac:dyDescent="0.3">
      <c r="A695" s="202"/>
      <c r="B695" s="570"/>
      <c r="C695" s="571"/>
      <c r="D695" s="572"/>
      <c r="E695" s="203"/>
      <c r="F695" s="1"/>
    </row>
    <row r="696" spans="1:62" ht="15" thickTop="1" thickBot="1" x14ac:dyDescent="0.3">
      <c r="A696" s="202"/>
      <c r="B696" s="204" t="str">
        <f>IF(B695="","","Claimed?")</f>
        <v/>
      </c>
      <c r="C696" s="204" t="str">
        <f>IF(B696="","","Verifiable?")</f>
        <v/>
      </c>
      <c r="D696" s="205" t="str">
        <f>IF(C697="","","Independent verification")</f>
        <v/>
      </c>
      <c r="E696" s="573">
        <f>BI697</f>
        <v>0.87205357142857098</v>
      </c>
      <c r="F696" s="574"/>
      <c r="AA696" s="60"/>
      <c r="AB696" s="60" t="s">
        <v>314</v>
      </c>
      <c r="AF696" s="220"/>
      <c r="AG696" s="60" t="s">
        <v>315</v>
      </c>
      <c r="AM696" s="221"/>
      <c r="AN696" s="60" t="s">
        <v>316</v>
      </c>
      <c r="AV696" s="222"/>
      <c r="AX696" s="207" t="s">
        <v>317</v>
      </c>
      <c r="AZ696" s="208" t="s">
        <v>318</v>
      </c>
      <c r="BB696" s="209" t="s">
        <v>319</v>
      </c>
      <c r="BD696" s="208" t="s">
        <v>320</v>
      </c>
      <c r="BG696" s="210" t="s">
        <v>326</v>
      </c>
      <c r="BH696" s="211" t="s">
        <v>327</v>
      </c>
      <c r="BI696" s="210" t="s">
        <v>321</v>
      </c>
      <c r="BJ696" s="211" t="s">
        <v>322</v>
      </c>
    </row>
    <row r="697" spans="1:62" ht="15" thickTop="1" thickBot="1" x14ac:dyDescent="0.3">
      <c r="A697" s="202"/>
      <c r="B697" s="212"/>
      <c r="C697" s="213"/>
      <c r="D697" s="223"/>
      <c r="E697" s="573">
        <f>BJ697</f>
        <v>0.47142857142857131</v>
      </c>
      <c r="F697" s="574"/>
      <c r="AA697" s="112"/>
      <c r="AB697" s="112">
        <f>IF(B697=$B$1871,$AB$463,0)</f>
        <v>0</v>
      </c>
      <c r="AC697" s="112">
        <f>IF(B697=$B$1872,$AC$463,0)</f>
        <v>0</v>
      </c>
      <c r="AD697" s="112">
        <f>IF(B697=$B$1873,$AD$463,0)</f>
        <v>0</v>
      </c>
      <c r="AE697" s="112">
        <f>IF(B697=$B$1874,$AE$463,0)</f>
        <v>0</v>
      </c>
      <c r="AF697" s="224">
        <f>SUM(AB697:AE697)</f>
        <v>0</v>
      </c>
      <c r="AG697" s="112">
        <f>IF(C697=$B$1877,$E$1877,0)</f>
        <v>0</v>
      </c>
      <c r="AH697" s="112">
        <f>IF(C697=$B$1878,$E$1878,0)</f>
        <v>0</v>
      </c>
      <c r="AI697" s="112">
        <f>IF(C697=$B$1879,$E$1879,0)</f>
        <v>0</v>
      </c>
      <c r="AJ697" s="112">
        <f>IF(C697=$B$1880,$E$1880,0)</f>
        <v>0</v>
      </c>
      <c r="AK697" s="112">
        <f>IF(C697=$B$1881,$E$1881,0)</f>
        <v>0</v>
      </c>
      <c r="AL697" s="112">
        <f>IF(C697=$B$1882,$E$1882,0)</f>
        <v>0</v>
      </c>
      <c r="AM697" s="225">
        <f>SUM(AG697:AL697)</f>
        <v>0</v>
      </c>
      <c r="AN697" s="112">
        <f>IF($D697=$B$1885,AN$463,0)</f>
        <v>0</v>
      </c>
      <c r="AO697" s="112">
        <f>IF($D697=$B$1886,AO$463,0)</f>
        <v>0</v>
      </c>
      <c r="AP697" s="112">
        <f>IF($D697=$B$1887,AP$463,0)</f>
        <v>0</v>
      </c>
      <c r="AQ697" s="112">
        <f>IF($D697=$B$1888,AQ$463,0)</f>
        <v>0</v>
      </c>
      <c r="AR697" s="112">
        <f>IF($D697=$B$1889,AR$463,0)</f>
        <v>0</v>
      </c>
      <c r="AS697" s="112">
        <f>IF($D697=$B$1890,AS$463,0)</f>
        <v>0</v>
      </c>
      <c r="AT697" s="112">
        <f>IF($D697=$B$1891,AT$463,0)</f>
        <v>0</v>
      </c>
      <c r="AU697" s="112">
        <f>IF($D697=$B$1892,AU$463,0)</f>
        <v>0</v>
      </c>
      <c r="AV697" s="226">
        <f>SUM(AN697:AU697)</f>
        <v>0</v>
      </c>
      <c r="AX697" s="216">
        <f>AF697*AM697</f>
        <v>0</v>
      </c>
      <c r="AZ697" s="158">
        <f>AX697+(AV697*AM697)</f>
        <v>0</v>
      </c>
      <c r="BB697" s="217">
        <f>(AF697*AM697)*0.01</f>
        <v>0</v>
      </c>
      <c r="BD697" s="218">
        <f>AZ697*0.01</f>
        <v>0</v>
      </c>
      <c r="BE697" s="402"/>
      <c r="BG697" s="217">
        <f>IF(AF697&gt;0,BG687+BB697,BG687)</f>
        <v>0.87205357142857098</v>
      </c>
      <c r="BH697" s="218">
        <f>IF(AV697&gt;0,BH687+BD697,BH687)</f>
        <v>0.47142857142857131</v>
      </c>
      <c r="BI697" s="217">
        <f>IF(BG697&gt;0.99,0.99,BG697)</f>
        <v>0.87205357142857098</v>
      </c>
      <c r="BJ697" s="218">
        <f>IF(BH697&gt;0.99,0.99,BH697)</f>
        <v>0.47142857142857131</v>
      </c>
    </row>
    <row r="698" spans="1:62" ht="16.2" thickTop="1" x14ac:dyDescent="0.25">
      <c r="A698" s="200">
        <f>A693+1</f>
        <v>55</v>
      </c>
      <c r="B698" s="200" t="s">
        <v>455</v>
      </c>
      <c r="C698" s="200"/>
      <c r="D698" s="201" t="str">
        <f>IF(B700="","If claimed, explain in white box below.","")</f>
        <v>If claimed, explain in white box below.</v>
      </c>
      <c r="E698" s="203"/>
      <c r="F698" s="1"/>
    </row>
    <row r="699" spans="1:62" x14ac:dyDescent="0.25">
      <c r="A699" s="202"/>
      <c r="B699" s="567" t="s">
        <v>454</v>
      </c>
      <c r="C699" s="568"/>
      <c r="D699" s="569"/>
      <c r="E699" s="203"/>
      <c r="F699" s="1"/>
    </row>
    <row r="700" spans="1:62" ht="60" customHeight="1" thickBot="1" x14ac:dyDescent="0.3">
      <c r="A700" s="202"/>
      <c r="B700" s="570"/>
      <c r="C700" s="571"/>
      <c r="D700" s="572"/>
      <c r="E700" s="203"/>
      <c r="F700" s="1"/>
    </row>
    <row r="701" spans="1:62" ht="15" thickTop="1" thickBot="1" x14ac:dyDescent="0.3">
      <c r="A701" s="202"/>
      <c r="B701" s="204" t="str">
        <f>IF(B700="","","Claimed?")</f>
        <v/>
      </c>
      <c r="C701" s="204" t="str">
        <f>IF(B701="","","Verifiable?")</f>
        <v/>
      </c>
      <c r="D701" s="205" t="str">
        <f>IF(C702="","","Independent verification")</f>
        <v/>
      </c>
      <c r="E701" s="573">
        <f>BI702</f>
        <v>0.87205357142857098</v>
      </c>
      <c r="F701" s="574"/>
      <c r="AA701" s="60"/>
      <c r="AB701" s="60" t="s">
        <v>314</v>
      </c>
      <c r="AF701" s="220"/>
      <c r="AG701" s="60" t="s">
        <v>315</v>
      </c>
      <c r="AM701" s="221"/>
      <c r="AN701" s="60" t="s">
        <v>316</v>
      </c>
      <c r="AV701" s="222"/>
      <c r="AX701" s="207" t="s">
        <v>317</v>
      </c>
      <c r="AZ701" s="208" t="s">
        <v>318</v>
      </c>
      <c r="BB701" s="209" t="s">
        <v>319</v>
      </c>
      <c r="BD701" s="208" t="s">
        <v>320</v>
      </c>
      <c r="BG701" s="210" t="s">
        <v>326</v>
      </c>
      <c r="BH701" s="211" t="s">
        <v>327</v>
      </c>
      <c r="BI701" s="210" t="s">
        <v>321</v>
      </c>
      <c r="BJ701" s="211" t="s">
        <v>322</v>
      </c>
    </row>
    <row r="702" spans="1:62" ht="15" thickTop="1" thickBot="1" x14ac:dyDescent="0.3">
      <c r="A702" s="202"/>
      <c r="B702" s="212"/>
      <c r="C702" s="213"/>
      <c r="D702" s="223"/>
      <c r="E702" s="573">
        <f>BJ702</f>
        <v>0.47142857142857131</v>
      </c>
      <c r="F702" s="574"/>
      <c r="AA702" s="112"/>
      <c r="AB702" s="112">
        <f>IF(B702=$B$1871,$AB$463,0)</f>
        <v>0</v>
      </c>
      <c r="AC702" s="112">
        <f>IF(B702=$B$1872,$AC$463,0)</f>
        <v>0</v>
      </c>
      <c r="AD702" s="112">
        <f>IF(B702=$B$1873,$AD$463,0)</f>
        <v>0</v>
      </c>
      <c r="AE702" s="112">
        <f>IF(B702=$B$1874,$AE$463,0)</f>
        <v>0</v>
      </c>
      <c r="AF702" s="224">
        <f>SUM(AB702:AE702)</f>
        <v>0</v>
      </c>
      <c r="AG702" s="112">
        <f>IF(C702=$B$1877,$E$1877,0)</f>
        <v>0</v>
      </c>
      <c r="AH702" s="112">
        <f>IF(C702=$B$1878,$E$1878,0)</f>
        <v>0</v>
      </c>
      <c r="AI702" s="112">
        <f>IF(C702=$B$1879,$E$1879,0)</f>
        <v>0</v>
      </c>
      <c r="AJ702" s="112">
        <f>IF(C702=$B$1880,$E$1880,0)</f>
        <v>0</v>
      </c>
      <c r="AK702" s="112">
        <f>IF(C702=$B$1881,$E$1881,0)</f>
        <v>0</v>
      </c>
      <c r="AL702" s="112">
        <f>IF(C702=$B$1882,$E$1882,0)</f>
        <v>0</v>
      </c>
      <c r="AM702" s="225">
        <f>SUM(AG702:AL702)</f>
        <v>0</v>
      </c>
      <c r="AN702" s="112">
        <f>IF($D702=$B$1885,AN$463,0)</f>
        <v>0</v>
      </c>
      <c r="AO702" s="112">
        <f>IF($D702=$B$1886,AO$463,0)</f>
        <v>0</v>
      </c>
      <c r="AP702" s="112">
        <f>IF($D702=$B$1887,AP$463,0)</f>
        <v>0</v>
      </c>
      <c r="AQ702" s="112">
        <f>IF($D702=$B$1888,AQ$463,0)</f>
        <v>0</v>
      </c>
      <c r="AR702" s="112">
        <f>IF($D702=$B$1889,AR$463,0)</f>
        <v>0</v>
      </c>
      <c r="AS702" s="112">
        <f>IF($D702=$B$1890,AS$463,0)</f>
        <v>0</v>
      </c>
      <c r="AT702" s="112">
        <f>IF($D702=$B$1891,AT$463,0)</f>
        <v>0</v>
      </c>
      <c r="AU702" s="112">
        <f>IF($D702=$B$1892,AU$463,0)</f>
        <v>0</v>
      </c>
      <c r="AV702" s="226">
        <f>SUM(AN702:AU702)</f>
        <v>0</v>
      </c>
      <c r="AX702" s="216">
        <f>AF702*AM702</f>
        <v>0</v>
      </c>
      <c r="AZ702" s="158">
        <f>AX702+(AV702*AM702)</f>
        <v>0</v>
      </c>
      <c r="BB702" s="217">
        <f>(AF702*AM702)*0.01</f>
        <v>0</v>
      </c>
      <c r="BD702" s="218">
        <f>AZ702*0.01</f>
        <v>0</v>
      </c>
      <c r="BE702" s="402"/>
      <c r="BG702" s="217">
        <f>IF(AF702&gt;0,BG697+BB702,BG697)</f>
        <v>0.87205357142857098</v>
      </c>
      <c r="BH702" s="218">
        <f>IF(AV702&gt;0,BH697+BD702,BH697)</f>
        <v>0.47142857142857131</v>
      </c>
      <c r="BI702" s="217">
        <f>IF(BG702&gt;0.99,0.99,BG702)</f>
        <v>0.87205357142857098</v>
      </c>
      <c r="BJ702" s="218">
        <f>IF(BH702&gt;0.99,0.99,BH702)</f>
        <v>0.47142857142857131</v>
      </c>
    </row>
    <row r="703" spans="1:62" ht="16.2" thickTop="1" x14ac:dyDescent="0.25">
      <c r="A703" s="200">
        <f>A698+1</f>
        <v>56</v>
      </c>
      <c r="B703" s="200" t="s">
        <v>456</v>
      </c>
      <c r="C703" s="200"/>
      <c r="D703" s="201" t="str">
        <f>IF(B705="","If claimed, explain in white box below.","")</f>
        <v>If claimed, explain in white box below.</v>
      </c>
      <c r="E703" s="203"/>
      <c r="F703" s="1"/>
    </row>
    <row r="704" spans="1:62" x14ac:dyDescent="0.25">
      <c r="A704" s="202"/>
      <c r="B704" s="567" t="s">
        <v>457</v>
      </c>
      <c r="C704" s="568"/>
      <c r="D704" s="569"/>
      <c r="E704" s="203"/>
      <c r="F704" s="1"/>
    </row>
    <row r="705" spans="1:62" ht="60" customHeight="1" thickBot="1" x14ac:dyDescent="0.3">
      <c r="A705" s="202"/>
      <c r="B705" s="570"/>
      <c r="C705" s="571"/>
      <c r="D705" s="572"/>
      <c r="E705" s="203"/>
      <c r="F705" s="1"/>
    </row>
    <row r="706" spans="1:62" ht="15" thickTop="1" thickBot="1" x14ac:dyDescent="0.3">
      <c r="A706" s="202"/>
      <c r="B706" s="204" t="str">
        <f>IF(B705="","","Claimed?")</f>
        <v/>
      </c>
      <c r="C706" s="204" t="str">
        <f>IF(B706="","","Verifiable?")</f>
        <v/>
      </c>
      <c r="D706" s="205" t="str">
        <f>IF(C707="","","Independent verification")</f>
        <v/>
      </c>
      <c r="E706" s="573">
        <f>BI707</f>
        <v>0.87205357142857098</v>
      </c>
      <c r="F706" s="574"/>
      <c r="AA706" s="60"/>
      <c r="AB706" s="60" t="s">
        <v>314</v>
      </c>
      <c r="AF706" s="220"/>
      <c r="AG706" s="60" t="s">
        <v>315</v>
      </c>
      <c r="AM706" s="221"/>
      <c r="AN706" s="60" t="s">
        <v>316</v>
      </c>
      <c r="AV706" s="222"/>
      <c r="AX706" s="207" t="s">
        <v>317</v>
      </c>
      <c r="AZ706" s="208" t="s">
        <v>318</v>
      </c>
      <c r="BB706" s="209" t="s">
        <v>319</v>
      </c>
      <c r="BD706" s="208" t="s">
        <v>320</v>
      </c>
      <c r="BG706" s="210" t="s">
        <v>326</v>
      </c>
      <c r="BH706" s="211" t="s">
        <v>327</v>
      </c>
      <c r="BI706" s="210" t="s">
        <v>321</v>
      </c>
      <c r="BJ706" s="211" t="s">
        <v>322</v>
      </c>
    </row>
    <row r="707" spans="1:62" ht="15" thickTop="1" thickBot="1" x14ac:dyDescent="0.3">
      <c r="A707" s="202"/>
      <c r="B707" s="212" t="s">
        <v>331</v>
      </c>
      <c r="C707" s="213"/>
      <c r="D707" s="223"/>
      <c r="E707" s="573">
        <f>BJ707</f>
        <v>0.47142857142857131</v>
      </c>
      <c r="F707" s="574"/>
      <c r="AA707" s="112"/>
      <c r="AB707" s="112">
        <f>IF(B707=$B$1871,$AB$463,0)</f>
        <v>0</v>
      </c>
      <c r="AC707" s="112">
        <f>IF(B707=$B$1872,$AC$463,0)</f>
        <v>0</v>
      </c>
      <c r="AD707" s="112">
        <f>IF(B707=$B$1873,$AD$463,0)</f>
        <v>0</v>
      </c>
      <c r="AE707" s="112">
        <f>IF(B707=$B$1874,$AE$463,0)</f>
        <v>5</v>
      </c>
      <c r="AF707" s="224">
        <f>SUM(AB707:AE707)</f>
        <v>5</v>
      </c>
      <c r="AG707" s="112">
        <f>IF(C707=$B$1877,$E$1877,0)</f>
        <v>0</v>
      </c>
      <c r="AH707" s="112">
        <f>IF(C707=$B$1878,$E$1878,0)</f>
        <v>0</v>
      </c>
      <c r="AI707" s="112">
        <f>IF(C707=$B$1879,$E$1879,0)</f>
        <v>0</v>
      </c>
      <c r="AJ707" s="112">
        <f>IF(C707=$B$1880,$E$1880,0)</f>
        <v>0</v>
      </c>
      <c r="AK707" s="112">
        <f>IF(C707=$B$1881,$E$1881,0)</f>
        <v>0</v>
      </c>
      <c r="AL707" s="112">
        <f>IF(C707=$B$1882,$E$1882,0)</f>
        <v>0</v>
      </c>
      <c r="AM707" s="225">
        <f>SUM(AG707:AL707)</f>
        <v>0</v>
      </c>
      <c r="AN707" s="112">
        <f>IF($D707=$B$1885,AN$463,0)</f>
        <v>0</v>
      </c>
      <c r="AO707" s="112">
        <f>IF($D707=$B$1886,AO$463,0)</f>
        <v>0</v>
      </c>
      <c r="AP707" s="112">
        <f>IF($D707=$B$1887,AP$463,0)</f>
        <v>0</v>
      </c>
      <c r="AQ707" s="112">
        <f>IF($D707=$B$1888,AQ$463,0)</f>
        <v>0</v>
      </c>
      <c r="AR707" s="112">
        <f>IF($D707=$B$1889,AR$463,0)</f>
        <v>0</v>
      </c>
      <c r="AS707" s="112">
        <f>IF($D707=$B$1890,AS$463,0)</f>
        <v>0</v>
      </c>
      <c r="AT707" s="112">
        <f>IF($D707=$B$1891,AT$463,0)</f>
        <v>0</v>
      </c>
      <c r="AU707" s="112">
        <f>IF($D707=$B$1892,AU$463,0)</f>
        <v>0</v>
      </c>
      <c r="AV707" s="226">
        <f>SUM(AN707:AU707)</f>
        <v>0</v>
      </c>
      <c r="AX707" s="216">
        <f>AF707*AM707</f>
        <v>0</v>
      </c>
      <c r="AZ707" s="158">
        <f>AX707+(AV707*AM707)</f>
        <v>0</v>
      </c>
      <c r="BB707" s="217">
        <f>(AF707*AM707)*0.01</f>
        <v>0</v>
      </c>
      <c r="BD707" s="218">
        <f>AZ707*0.01</f>
        <v>0</v>
      </c>
      <c r="BE707" s="402"/>
      <c r="BG707" s="217">
        <f>IF(AF707&gt;0,BG702+BB707,BG702)</f>
        <v>0.87205357142857098</v>
      </c>
      <c r="BH707" s="218">
        <f>IF(AV707&gt;0,BH702+BD707,BH702)</f>
        <v>0.47142857142857131</v>
      </c>
      <c r="BI707" s="217">
        <f>IF(BG707&gt;0.99,0.99,BG707)</f>
        <v>0.87205357142857098</v>
      </c>
      <c r="BJ707" s="218">
        <f>IF(BH707&gt;0.99,0.99,BH707)</f>
        <v>0.47142857142857131</v>
      </c>
    </row>
    <row r="708" spans="1:62" ht="16.2" thickTop="1" x14ac:dyDescent="0.25">
      <c r="A708" s="200">
        <f>A703+1</f>
        <v>57</v>
      </c>
      <c r="B708" s="200" t="s">
        <v>458</v>
      </c>
      <c r="C708" s="200"/>
      <c r="D708" s="201" t="str">
        <f>IF(B710="","If claimed, explain in white box below.","")</f>
        <v>If claimed, explain in white box below.</v>
      </c>
      <c r="E708" s="203"/>
      <c r="F708" s="1"/>
    </row>
    <row r="709" spans="1:62" x14ac:dyDescent="0.25">
      <c r="A709" s="202"/>
      <c r="B709" s="567" t="s">
        <v>459</v>
      </c>
      <c r="C709" s="568"/>
      <c r="D709" s="569"/>
      <c r="E709" s="203"/>
      <c r="F709" s="1"/>
    </row>
    <row r="710" spans="1:62" ht="60" customHeight="1" thickBot="1" x14ac:dyDescent="0.3">
      <c r="A710" s="202"/>
      <c r="B710" s="570"/>
      <c r="C710" s="571"/>
      <c r="D710" s="572"/>
      <c r="E710" s="203"/>
      <c r="F710" s="1"/>
    </row>
    <row r="711" spans="1:62" ht="15" thickTop="1" thickBot="1" x14ac:dyDescent="0.3">
      <c r="A711" s="202"/>
      <c r="B711" s="204" t="str">
        <f>IF(B710="","","Claimed?")</f>
        <v/>
      </c>
      <c r="C711" s="204" t="str">
        <f>IF(B711="","","Verifiable?")</f>
        <v/>
      </c>
      <c r="D711" s="205" t="str">
        <f>IF(C712="","","Independent verification")</f>
        <v>Independent verification</v>
      </c>
      <c r="E711" s="573">
        <f>BI712</f>
        <v>0.89455357142857095</v>
      </c>
      <c r="F711" s="574"/>
      <c r="AA711" s="60"/>
      <c r="AB711" s="60" t="s">
        <v>314</v>
      </c>
      <c r="AF711" s="220"/>
      <c r="AG711" s="60" t="s">
        <v>315</v>
      </c>
      <c r="AM711" s="221"/>
      <c r="AN711" s="60" t="s">
        <v>316</v>
      </c>
      <c r="AV711" s="222"/>
      <c r="AX711" s="207" t="s">
        <v>317</v>
      </c>
      <c r="AZ711" s="208" t="s">
        <v>318</v>
      </c>
      <c r="BB711" s="209" t="s">
        <v>319</v>
      </c>
      <c r="BD711" s="208" t="s">
        <v>320</v>
      </c>
      <c r="BG711" s="210" t="s">
        <v>326</v>
      </c>
      <c r="BH711" s="211" t="s">
        <v>327</v>
      </c>
      <c r="BI711" s="210" t="s">
        <v>321</v>
      </c>
      <c r="BJ711" s="211" t="s">
        <v>322</v>
      </c>
    </row>
    <row r="712" spans="1:62" ht="15" thickTop="1" thickBot="1" x14ac:dyDescent="0.3">
      <c r="A712" s="202"/>
      <c r="B712" s="212" t="s">
        <v>331</v>
      </c>
      <c r="C712" s="213" t="s">
        <v>347</v>
      </c>
      <c r="D712" s="223"/>
      <c r="E712" s="573">
        <f>BJ712</f>
        <v>0.47142857142857131</v>
      </c>
      <c r="F712" s="574"/>
      <c r="AA712" s="112"/>
      <c r="AB712" s="112">
        <f>IF(B712=$B$1871,$AB$463,0)</f>
        <v>0</v>
      </c>
      <c r="AC712" s="112">
        <f>IF(B712=$B$1872,$AC$463,0)</f>
        <v>0</v>
      </c>
      <c r="AD712" s="112">
        <f>IF(B712=$B$1873,$AD$463,0)</f>
        <v>0</v>
      </c>
      <c r="AE712" s="112">
        <f>IF(B712=$B$1874,$AE$463,0)</f>
        <v>5</v>
      </c>
      <c r="AF712" s="224">
        <f>SUM(AB712:AE712)</f>
        <v>5</v>
      </c>
      <c r="AG712" s="112">
        <f>IF(C712=$B$1877,$E$1877,0)</f>
        <v>0</v>
      </c>
      <c r="AH712" s="112">
        <f>IF(C712=$B$1878,$E$1878,0)</f>
        <v>0</v>
      </c>
      <c r="AI712" s="112">
        <f>IF(C712=$B$1879,$E$1879,0)</f>
        <v>0</v>
      </c>
      <c r="AJ712" s="112">
        <f>IF(C712=$B$1880,$E$1880,0)</f>
        <v>0</v>
      </c>
      <c r="AK712" s="112">
        <f>IF(C712=$B$1881,$E$1881,0)</f>
        <v>0.45</v>
      </c>
      <c r="AL712" s="112">
        <f>IF(C712=$B$1882,$E$1882,0)</f>
        <v>0</v>
      </c>
      <c r="AM712" s="225">
        <f>SUM(AG712:AL712)</f>
        <v>0.45</v>
      </c>
      <c r="AN712" s="112">
        <f>IF($D712=$B$1885,AN$463,0)</f>
        <v>0</v>
      </c>
      <c r="AO712" s="112">
        <f>IF($D712=$B$1886,AO$463,0)</f>
        <v>0</v>
      </c>
      <c r="AP712" s="112">
        <f>IF($D712=$B$1887,AP$463,0)</f>
        <v>0</v>
      </c>
      <c r="AQ712" s="112">
        <f>IF($D712=$B$1888,AQ$463,0)</f>
        <v>0</v>
      </c>
      <c r="AR712" s="112">
        <f>IF($D712=$B$1889,AR$463,0)</f>
        <v>0</v>
      </c>
      <c r="AS712" s="112">
        <f>IF($D712=$B$1890,AS$463,0)</f>
        <v>0</v>
      </c>
      <c r="AT712" s="112">
        <f>IF($D712=$B$1891,AT$463,0)</f>
        <v>0</v>
      </c>
      <c r="AU712" s="112">
        <f>IF($D712=$B$1892,AU$463,0)</f>
        <v>0</v>
      </c>
      <c r="AV712" s="226">
        <f>SUM(AN712:AU712)</f>
        <v>0</v>
      </c>
      <c r="AX712" s="216">
        <f>AF712*AM712</f>
        <v>2.25</v>
      </c>
      <c r="AZ712" s="158">
        <f>AX712+(AV712*AM712)</f>
        <v>2.25</v>
      </c>
      <c r="BB712" s="217">
        <f>(AF712*AM712)*0.01</f>
        <v>2.2499999999999999E-2</v>
      </c>
      <c r="BD712" s="218">
        <f>AZ712*0.01</f>
        <v>2.2499999999999999E-2</v>
      </c>
      <c r="BE712" s="402"/>
      <c r="BG712" s="217">
        <f>IF(AF712&gt;0,BG707+BB712,BG707)</f>
        <v>0.89455357142857095</v>
      </c>
      <c r="BH712" s="218">
        <f>IF(AV712&gt;0,BH707+BD712,BH707)</f>
        <v>0.47142857142857131</v>
      </c>
      <c r="BI712" s="217">
        <f>IF(BG712&gt;0.99,0.99,BG712)</f>
        <v>0.89455357142857095</v>
      </c>
      <c r="BJ712" s="218">
        <f>IF(BH712&gt;0.99,0.99,BH712)</f>
        <v>0.47142857142857131</v>
      </c>
    </row>
    <row r="713" spans="1:62" ht="16.2" thickTop="1" x14ac:dyDescent="0.25">
      <c r="A713" s="200">
        <f>A708+1</f>
        <v>58</v>
      </c>
      <c r="B713" s="200" t="s">
        <v>460</v>
      </c>
      <c r="C713" s="200"/>
      <c r="D713" s="231" t="str">
        <f>IF(B715="","If claimed, explain in white box below.","")</f>
        <v>If claimed, explain in white box below.</v>
      </c>
      <c r="E713" s="203"/>
      <c r="F713" s="1"/>
    </row>
    <row r="714" spans="1:62" x14ac:dyDescent="0.25">
      <c r="A714" s="202"/>
      <c r="B714" s="567" t="s">
        <v>461</v>
      </c>
      <c r="C714" s="568"/>
      <c r="D714" s="569"/>
      <c r="E714" s="203"/>
      <c r="F714" s="1"/>
    </row>
    <row r="715" spans="1:62" ht="60" customHeight="1" thickBot="1" x14ac:dyDescent="0.3">
      <c r="A715" s="202"/>
      <c r="B715" s="570"/>
      <c r="C715" s="571"/>
      <c r="D715" s="572"/>
      <c r="E715" s="203"/>
      <c r="F715" s="1"/>
    </row>
    <row r="716" spans="1:62" ht="15" thickTop="1" thickBot="1" x14ac:dyDescent="0.3">
      <c r="A716" s="202"/>
      <c r="B716" s="204" t="str">
        <f>IF(B715="","","Claimed?")</f>
        <v/>
      </c>
      <c r="C716" s="204" t="str">
        <f>IF(B716="","","Verifiable?")</f>
        <v/>
      </c>
      <c r="D716" s="205" t="str">
        <f>IF(C717="","","Independent verification")</f>
        <v/>
      </c>
      <c r="E716" s="573">
        <f>BI717</f>
        <v>0.89455357142857095</v>
      </c>
      <c r="F716" s="574"/>
      <c r="AA716" s="60"/>
      <c r="AB716" s="60" t="s">
        <v>314</v>
      </c>
      <c r="AF716" s="220"/>
      <c r="AG716" s="60" t="s">
        <v>315</v>
      </c>
      <c r="AM716" s="221"/>
      <c r="AN716" s="60" t="s">
        <v>316</v>
      </c>
      <c r="AV716" s="222"/>
      <c r="AX716" s="207" t="s">
        <v>317</v>
      </c>
      <c r="AZ716" s="208" t="s">
        <v>318</v>
      </c>
      <c r="BB716" s="209" t="s">
        <v>319</v>
      </c>
      <c r="BD716" s="208" t="s">
        <v>320</v>
      </c>
      <c r="BG716" s="210" t="s">
        <v>326</v>
      </c>
      <c r="BH716" s="211" t="s">
        <v>327</v>
      </c>
      <c r="BI716" s="210" t="s">
        <v>321</v>
      </c>
      <c r="BJ716" s="211" t="s">
        <v>322</v>
      </c>
    </row>
    <row r="717" spans="1:62" ht="15" thickTop="1" thickBot="1" x14ac:dyDescent="0.3">
      <c r="A717" s="202"/>
      <c r="B717" s="212"/>
      <c r="C717" s="213"/>
      <c r="D717" s="223"/>
      <c r="E717" s="573">
        <f>BJ717</f>
        <v>0.47142857142857131</v>
      </c>
      <c r="F717" s="574"/>
      <c r="AA717" s="112"/>
      <c r="AB717" s="112">
        <f>IF(B717=$B$1871,$AB$463,0)</f>
        <v>0</v>
      </c>
      <c r="AC717" s="112">
        <f>IF(B717=$B$1872,$AC$463,0)</f>
        <v>0</v>
      </c>
      <c r="AD717" s="112">
        <f>IF(B717=$B$1873,$AD$463,0)</f>
        <v>0</v>
      </c>
      <c r="AE717" s="112">
        <f>IF(B717=$B$1874,$AE$463,0)</f>
        <v>0</v>
      </c>
      <c r="AF717" s="224">
        <f>SUM(AB717:AE717)</f>
        <v>0</v>
      </c>
      <c r="AG717" s="112">
        <f>IF(C717=$B$1877,$E$1877,0)</f>
        <v>0</v>
      </c>
      <c r="AH717" s="112">
        <f>IF(C717=$B$1878,$E$1878,0)</f>
        <v>0</v>
      </c>
      <c r="AI717" s="112">
        <f>IF(C717=$B$1879,$E$1879,0)</f>
        <v>0</v>
      </c>
      <c r="AJ717" s="112">
        <f>IF(C717=$B$1880,$E$1880,0)</f>
        <v>0</v>
      </c>
      <c r="AK717" s="112">
        <f>IF(C717=$B$1881,$E$1881,0)</f>
        <v>0</v>
      </c>
      <c r="AL717" s="112">
        <f>IF(C717=$B$1882,$E$1882,0)</f>
        <v>0</v>
      </c>
      <c r="AM717" s="225">
        <f>SUM(AG717:AL717)</f>
        <v>0</v>
      </c>
      <c r="AN717" s="112">
        <f>IF($D717=$B$1885,AN$463,0)</f>
        <v>0</v>
      </c>
      <c r="AO717" s="112">
        <f>IF($D717=$B$1886,AO$463,0)</f>
        <v>0</v>
      </c>
      <c r="AP717" s="112">
        <f>IF($D717=$B$1887,AP$463,0)</f>
        <v>0</v>
      </c>
      <c r="AQ717" s="112">
        <f>IF($D717=$B$1888,AQ$463,0)</f>
        <v>0</v>
      </c>
      <c r="AR717" s="112">
        <f>IF($D717=$B$1889,AR$463,0)</f>
        <v>0</v>
      </c>
      <c r="AS717" s="112">
        <f>IF($D717=$B$1890,AS$463,0)</f>
        <v>0</v>
      </c>
      <c r="AT717" s="112">
        <f>IF($D717=$B$1891,AT$463,0)</f>
        <v>0</v>
      </c>
      <c r="AU717" s="112">
        <f>IF($D717=$B$1892,AU$463,0)</f>
        <v>0</v>
      </c>
      <c r="AV717" s="226">
        <f>SUM(AN717:AU717)</f>
        <v>0</v>
      </c>
      <c r="AX717" s="216">
        <f>AF717*AM717</f>
        <v>0</v>
      </c>
      <c r="AZ717" s="158">
        <f>AX717+(AV717*AM717)</f>
        <v>0</v>
      </c>
      <c r="BB717" s="217">
        <f>(AF717*AM717)*0.01</f>
        <v>0</v>
      </c>
      <c r="BD717" s="218">
        <f>AZ717*0.01</f>
        <v>0</v>
      </c>
      <c r="BE717" s="402"/>
      <c r="BG717" s="217">
        <f>IF(AF717&gt;0,BG712+BB717,BG712)</f>
        <v>0.89455357142857095</v>
      </c>
      <c r="BH717" s="218">
        <f>IF(AV717&gt;0,BH712+BD717,BH712)</f>
        <v>0.47142857142857131</v>
      </c>
      <c r="BI717" s="217">
        <f>IF(BG717&gt;0.99,0.99,BG717)</f>
        <v>0.89455357142857095</v>
      </c>
      <c r="BJ717" s="218">
        <f>IF(BH717&gt;0.99,0.99,BH717)</f>
        <v>0.47142857142857131</v>
      </c>
    </row>
    <row r="718" spans="1:62" ht="14.4" thickTop="1" x14ac:dyDescent="0.25">
      <c r="A718" s="202"/>
      <c r="B718" s="203"/>
      <c r="C718" s="203"/>
      <c r="D718" s="203"/>
      <c r="E718" s="203"/>
      <c r="F718" s="1"/>
    </row>
    <row r="719" spans="1:62" ht="30" customHeight="1" x14ac:dyDescent="0.25">
      <c r="A719" s="46" t="s">
        <v>89</v>
      </c>
      <c r="B719" s="46" t="s">
        <v>462</v>
      </c>
      <c r="C719" s="46"/>
      <c r="D719" s="45"/>
      <c r="E719" s="45"/>
      <c r="F719" s="475" t="s">
        <v>949</v>
      </c>
    </row>
    <row r="720" spans="1:62" ht="17.399999999999999" x14ac:dyDescent="0.25">
      <c r="A720" s="234" t="s">
        <v>463</v>
      </c>
      <c r="B720" s="109"/>
      <c r="C720" s="109"/>
      <c r="D720" s="109"/>
      <c r="E720" s="110"/>
      <c r="F720" s="108"/>
    </row>
    <row r="721" spans="1:54" ht="15.6" x14ac:dyDescent="0.25">
      <c r="A721" s="235">
        <f>A713+1</f>
        <v>59</v>
      </c>
      <c r="B721" s="235" t="s">
        <v>464</v>
      </c>
      <c r="C721" s="235"/>
      <c r="D721" s="235"/>
      <c r="E721" s="236"/>
      <c r="F721" s="1"/>
    </row>
    <row r="722" spans="1:54" ht="13.8" customHeight="1" x14ac:dyDescent="0.25">
      <c r="A722" s="237"/>
      <c r="B722" s="236"/>
      <c r="C722" s="236"/>
      <c r="D722" s="236"/>
      <c r="E722" s="236"/>
      <c r="F722" s="1"/>
    </row>
    <row r="723" spans="1:54" x14ac:dyDescent="0.25">
      <c r="A723" s="237"/>
      <c r="B723" s="578"/>
      <c r="C723" s="578"/>
      <c r="D723" s="578"/>
      <c r="E723" s="236"/>
      <c r="F723" s="1"/>
    </row>
    <row r="724" spans="1:54" ht="14.4" thickBot="1" x14ac:dyDescent="0.3">
      <c r="A724" s="237"/>
      <c r="B724" s="570" t="s">
        <v>465</v>
      </c>
      <c r="C724" s="571"/>
      <c r="D724" s="572"/>
      <c r="E724" s="236"/>
      <c r="F724" s="1"/>
    </row>
    <row r="725" spans="1:54" ht="15.6" x14ac:dyDescent="0.25">
      <c r="A725" s="235">
        <f>A721+1</f>
        <v>60</v>
      </c>
      <c r="B725" s="235" t="s">
        <v>466</v>
      </c>
      <c r="C725" s="235"/>
      <c r="D725" s="235"/>
      <c r="E725" s="236"/>
      <c r="F725" s="1"/>
    </row>
    <row r="726" spans="1:54" ht="13.8" customHeight="1" x14ac:dyDescent="0.25">
      <c r="A726" s="237"/>
      <c r="B726" s="236"/>
      <c r="C726" s="236"/>
      <c r="D726" s="236"/>
      <c r="E726" s="236"/>
      <c r="F726" s="1"/>
    </row>
    <row r="727" spans="1:54" ht="14.4" customHeight="1" x14ac:dyDescent="0.25">
      <c r="A727" s="237"/>
      <c r="B727" s="578"/>
      <c r="C727" s="578"/>
      <c r="D727" s="578"/>
      <c r="E727" s="236"/>
      <c r="F727" s="1"/>
    </row>
    <row r="728" spans="1:54" ht="14.4" customHeight="1" thickBot="1" x14ac:dyDescent="0.3">
      <c r="A728" s="237"/>
      <c r="B728" s="570" t="s">
        <v>467</v>
      </c>
      <c r="C728" s="571"/>
      <c r="D728" s="572"/>
      <c r="E728" s="236"/>
      <c r="F728" s="1"/>
    </row>
    <row r="729" spans="1:54" ht="15.6" x14ac:dyDescent="0.25">
      <c r="A729" s="235">
        <f>A725+1</f>
        <v>61</v>
      </c>
      <c r="B729" s="235" t="s">
        <v>468</v>
      </c>
      <c r="C729" s="235"/>
      <c r="D729" s="235"/>
      <c r="E729" s="236"/>
      <c r="F729" s="1"/>
    </row>
    <row r="730" spans="1:54" x14ac:dyDescent="0.25">
      <c r="A730" s="237"/>
      <c r="B730" s="236"/>
      <c r="C730" s="236"/>
      <c r="D730" s="236"/>
      <c r="E730" s="236"/>
      <c r="F730" s="1"/>
    </row>
    <row r="731" spans="1:54" x14ac:dyDescent="0.25">
      <c r="A731" s="237"/>
      <c r="B731" s="578"/>
      <c r="C731" s="578"/>
      <c r="D731" s="578"/>
      <c r="E731" s="236"/>
      <c r="F731" s="1"/>
      <c r="BB731" s="56"/>
    </row>
    <row r="732" spans="1:54" ht="14.4" x14ac:dyDescent="0.25">
      <c r="A732" s="237"/>
      <c r="B732" s="565"/>
      <c r="C732" s="565"/>
      <c r="D732" s="565"/>
      <c r="E732" s="236"/>
      <c r="F732" s="1"/>
      <c r="BB732" s="56"/>
    </row>
    <row r="733" spans="1:54" ht="15.6" x14ac:dyDescent="0.25">
      <c r="A733" s="235">
        <f>A729+1</f>
        <v>62</v>
      </c>
      <c r="B733" s="235" t="s">
        <v>24</v>
      </c>
      <c r="C733" s="235"/>
      <c r="D733" s="235"/>
      <c r="E733" s="236"/>
      <c r="F733" s="1"/>
      <c r="BB733" s="56"/>
    </row>
    <row r="734" spans="1:54" x14ac:dyDescent="0.25">
      <c r="A734" s="237"/>
      <c r="B734" s="236"/>
      <c r="C734" s="236"/>
      <c r="D734" s="236"/>
      <c r="E734" s="236"/>
      <c r="F734" s="1"/>
      <c r="BB734" s="56"/>
    </row>
    <row r="735" spans="1:54" x14ac:dyDescent="0.25">
      <c r="A735" s="237"/>
      <c r="B735" s="578"/>
      <c r="C735" s="578"/>
      <c r="D735" s="578"/>
      <c r="E735" s="236"/>
      <c r="F735" s="1"/>
      <c r="BB735" s="56"/>
    </row>
    <row r="736" spans="1:54" ht="14.4" x14ac:dyDescent="0.25">
      <c r="A736" s="237"/>
      <c r="B736" s="565"/>
      <c r="C736" s="565"/>
      <c r="D736" s="565"/>
      <c r="E736" s="236"/>
      <c r="F736" s="1"/>
      <c r="BB736" s="56"/>
    </row>
    <row r="737" spans="1:60" s="28" customFormat="1" ht="34.950000000000003" customHeight="1" thickBot="1" x14ac:dyDescent="0.3">
      <c r="A737" s="237"/>
      <c r="B737" s="582" t="s">
        <v>469</v>
      </c>
      <c r="C737" s="582"/>
      <c r="D737" s="582"/>
      <c r="E737" s="236"/>
      <c r="F737" s="1"/>
      <c r="G737" s="238"/>
      <c r="H737" s="238"/>
      <c r="I737" s="238"/>
      <c r="J737" s="238"/>
      <c r="K737" s="238"/>
      <c r="L737" s="238"/>
      <c r="M737" s="238"/>
      <c r="N737" s="238"/>
      <c r="O737" s="238"/>
      <c r="P737" s="238"/>
      <c r="Q737" s="238"/>
      <c r="R737" s="238"/>
      <c r="S737" s="238"/>
      <c r="T737" s="238"/>
      <c r="U737" s="238"/>
      <c r="V737" s="238"/>
      <c r="W737" s="238"/>
      <c r="X737" s="238"/>
      <c r="Y737" s="238"/>
      <c r="Z737" s="238"/>
    </row>
    <row r="738" spans="1:60" ht="15" thickTop="1" thickBot="1" x14ac:dyDescent="0.3">
      <c r="A738" s="237"/>
      <c r="B738" s="239" t="s">
        <v>470</v>
      </c>
      <c r="C738" s="240"/>
      <c r="D738" s="241" t="s">
        <v>471</v>
      </c>
      <c r="E738" s="236"/>
      <c r="F738" s="1"/>
      <c r="BB738" s="56"/>
    </row>
    <row r="739" spans="1:60" ht="15" thickTop="1" thickBot="1" x14ac:dyDescent="0.3">
      <c r="A739" s="237"/>
      <c r="B739" s="239" t="s">
        <v>472</v>
      </c>
      <c r="C739" s="240"/>
      <c r="D739" s="241" t="s">
        <v>473</v>
      </c>
      <c r="E739" s="236"/>
      <c r="F739" s="1"/>
      <c r="BB739" s="56"/>
    </row>
    <row r="740" spans="1:60" ht="15" thickTop="1" thickBot="1" x14ac:dyDescent="0.3">
      <c r="A740" s="237"/>
      <c r="B740" s="239" t="s">
        <v>474</v>
      </c>
      <c r="C740" s="240"/>
      <c r="D740" s="241" t="s">
        <v>473</v>
      </c>
      <c r="E740" s="236"/>
      <c r="F740" s="1"/>
      <c r="BB740" s="56"/>
    </row>
    <row r="741" spans="1:60" ht="15" thickTop="1" thickBot="1" x14ac:dyDescent="0.3">
      <c r="A741" s="237"/>
      <c r="B741" s="239" t="s">
        <v>475</v>
      </c>
      <c r="C741" s="240"/>
      <c r="D741" s="241" t="s">
        <v>476</v>
      </c>
      <c r="E741" s="236"/>
      <c r="F741" s="1"/>
      <c r="BB741" s="56"/>
    </row>
    <row r="742" spans="1:60" ht="15" customHeight="1" thickTop="1" thickBot="1" x14ac:dyDescent="0.3">
      <c r="A742" s="237"/>
      <c r="B742" s="239" t="s">
        <v>477</v>
      </c>
      <c r="C742" s="240"/>
      <c r="D742" s="241" t="s">
        <v>471</v>
      </c>
      <c r="E742" s="236"/>
      <c r="F742" s="1"/>
      <c r="BB742" s="56"/>
    </row>
    <row r="743" spans="1:60" ht="15" customHeight="1" thickTop="1" thickBot="1" x14ac:dyDescent="0.3">
      <c r="A743" s="237"/>
      <c r="B743" s="239" t="s">
        <v>478</v>
      </c>
      <c r="C743" s="240"/>
      <c r="D743" s="241" t="s">
        <v>471</v>
      </c>
      <c r="E743" s="236"/>
      <c r="F743" s="1"/>
    </row>
    <row r="744" spans="1:60" ht="15" customHeight="1" thickTop="1" thickBot="1" x14ac:dyDescent="0.3">
      <c r="A744" s="237"/>
      <c r="B744" s="239" t="s">
        <v>479</v>
      </c>
      <c r="C744" s="241"/>
      <c r="D744" s="241"/>
      <c r="E744" s="236"/>
      <c r="F744" s="1"/>
    </row>
    <row r="745" spans="1:60" ht="15" customHeight="1" thickTop="1" x14ac:dyDescent="0.25">
      <c r="A745" s="237"/>
      <c r="B745" s="236"/>
      <c r="C745" s="236"/>
      <c r="D745" s="236"/>
      <c r="E745" s="236"/>
      <c r="F745" s="1"/>
      <c r="BB745" s="56" t="s">
        <v>1522</v>
      </c>
    </row>
    <row r="746" spans="1:60" ht="15" customHeight="1" x14ac:dyDescent="0.25">
      <c r="A746" s="235">
        <f>A733+1</f>
        <v>63</v>
      </c>
      <c r="B746" s="235" t="s">
        <v>1521</v>
      </c>
      <c r="C746" s="236"/>
      <c r="D746" s="236"/>
      <c r="E746" s="236"/>
      <c r="F746" s="1"/>
      <c r="BB746" s="56"/>
    </row>
    <row r="747" spans="1:60" ht="15" customHeight="1" thickBot="1" x14ac:dyDescent="0.3">
      <c r="A747" s="237"/>
      <c r="B747" s="236" t="s">
        <v>1465</v>
      </c>
      <c r="C747" s="236"/>
      <c r="D747" s="236"/>
      <c r="E747" s="236"/>
      <c r="F747" s="1"/>
    </row>
    <row r="748" spans="1:60" ht="15" customHeight="1" thickTop="1" thickBot="1" x14ac:dyDescent="0.3">
      <c r="A748" s="237">
        <v>1</v>
      </c>
      <c r="B748" s="239" t="s">
        <v>1466</v>
      </c>
      <c r="C748" s="236"/>
      <c r="D748" s="241" t="s">
        <v>1476</v>
      </c>
      <c r="E748" s="236"/>
      <c r="F748" s="1"/>
      <c r="AD748" s="481" t="s">
        <v>1477</v>
      </c>
      <c r="AF748" s="481" t="s">
        <v>1478</v>
      </c>
      <c r="AH748" s="481" t="s">
        <v>1485</v>
      </c>
      <c r="AJ748" s="481" t="s">
        <v>1491</v>
      </c>
      <c r="AL748" s="481" t="s">
        <v>1497</v>
      </c>
      <c r="AN748" s="481" t="s">
        <v>1503</v>
      </c>
      <c r="AP748" s="481" t="s">
        <v>1509</v>
      </c>
      <c r="AR748" s="481" t="s">
        <v>1515</v>
      </c>
      <c r="AT748" s="262" t="s">
        <v>966</v>
      </c>
      <c r="AV748" s="56">
        <f t="shared" ref="AV748:AV753" si="18">IF(D748="",0,1)</f>
        <v>1</v>
      </c>
      <c r="BB748" s="56" t="s">
        <v>1528</v>
      </c>
      <c r="BD748" s="56" t="str">
        <f>IF(AND($AV$755&gt;$AX749,$AV$755&lt;=$AZ749),BD749,IF(AND($AV$755&gt;$AX750,$AV$755&lt;=$AZ750),BD750,IF(AND($AV$755&gt;$AX$751,$AV$755&lt;=$AZ751),BD751,IF(AND($AV$755&gt;$AX752,$AV$755&lt;=$AZ752),BD752,IF(AND($AV$755&gt;$AX753,$AV$755&lt;=$AZ753),BD753,"")))))</f>
        <v>fully distrusts</v>
      </c>
      <c r="BF748" s="56" t="s">
        <v>1527</v>
      </c>
      <c r="BG748" s="56" t="str">
        <f>IF(AND($AV$755&gt;$AX749,$AV$755&lt;=$AZ749),BG749,IF(AND($AV$755&gt;$AX750,$AV$755&lt;=$AZ750),BG750,IF(AND($AV$755&gt;$AX$751,$AV$755&lt;=$AZ751),BG751,IF(AND($AV$755&gt;$AX752,$AV$755&lt;=$AZ752),BG752,IF(AND($AV$755&gt;$AX753,$AV$755&lt;=$AZ753),BG753,"")))))</f>
        <v>harmful</v>
      </c>
      <c r="BH748" s="56" t="s">
        <v>1536</v>
      </c>
    </row>
    <row r="749" spans="1:60" ht="15" customHeight="1" thickTop="1" thickBot="1" x14ac:dyDescent="0.3">
      <c r="A749" s="237">
        <f>A748+1</f>
        <v>2</v>
      </c>
      <c r="B749" s="239" t="s">
        <v>1467</v>
      </c>
      <c r="C749" s="236"/>
      <c r="D749" s="241" t="s">
        <v>1481</v>
      </c>
      <c r="E749" s="236"/>
      <c r="F749" s="1"/>
      <c r="AC749" s="56">
        <v>0</v>
      </c>
      <c r="AD749" s="480" t="s">
        <v>1473</v>
      </c>
      <c r="AE749" s="262" t="s">
        <v>966</v>
      </c>
      <c r="AF749" s="480" t="s">
        <v>1479</v>
      </c>
      <c r="AG749" s="56" t="str">
        <f>IF($D$749=AF749,$AC749,"")</f>
        <v/>
      </c>
      <c r="AH749" s="480" t="s">
        <v>1486</v>
      </c>
      <c r="AI749" s="56" t="str">
        <f>IF($D$750=AH749,$AC749,"")</f>
        <v/>
      </c>
      <c r="AJ749" s="480" t="s">
        <v>1492</v>
      </c>
      <c r="AK749" s="56" t="str">
        <f>IF($D$751=AJ749,$AC749,"")</f>
        <v/>
      </c>
      <c r="AL749" s="480" t="s">
        <v>1498</v>
      </c>
      <c r="AM749" s="56" t="str">
        <f>IF($D$752=AL749,$AC749,"")</f>
        <v/>
      </c>
      <c r="AN749" s="480" t="s">
        <v>1504</v>
      </c>
      <c r="AO749" s="56" t="str">
        <f>IF($D$753=AN749,$AC749,"")</f>
        <v/>
      </c>
      <c r="AP749" s="480" t="s">
        <v>1510</v>
      </c>
      <c r="AQ749" s="56" t="str">
        <f>IF($D$754=AP749,$AC749,"")</f>
        <v/>
      </c>
      <c r="AR749" s="480" t="s">
        <v>1516</v>
      </c>
      <c r="AS749" s="56" t="str">
        <f>IF($D$755=AR749,$AC749,"")</f>
        <v/>
      </c>
      <c r="AT749" s="262" t="s">
        <v>966</v>
      </c>
      <c r="AU749" s="482">
        <f>B1</f>
        <v>0.89455357142857095</v>
      </c>
      <c r="AV749" s="56">
        <f t="shared" si="18"/>
        <v>1</v>
      </c>
      <c r="AX749" s="56">
        <v>0</v>
      </c>
      <c r="AZ749" s="56">
        <v>0.2</v>
      </c>
      <c r="BD749" s="56" t="s">
        <v>1524</v>
      </c>
      <c r="BG749" s="56" t="s">
        <v>1531</v>
      </c>
    </row>
    <row r="750" spans="1:60" ht="15" customHeight="1" thickTop="1" thickBot="1" x14ac:dyDescent="0.3">
      <c r="A750" s="237">
        <f t="shared" ref="A750:A755" si="19">A749+1</f>
        <v>3</v>
      </c>
      <c r="B750" s="239" t="s">
        <v>1472</v>
      </c>
      <c r="C750" s="236"/>
      <c r="D750" s="241" t="s">
        <v>1489</v>
      </c>
      <c r="E750" s="236"/>
      <c r="F750" s="1"/>
      <c r="AC750" s="56">
        <v>1</v>
      </c>
      <c r="AD750" s="480" t="s">
        <v>1474</v>
      </c>
      <c r="AE750" s="262" t="s">
        <v>966</v>
      </c>
      <c r="AF750" s="480" t="s">
        <v>1480</v>
      </c>
      <c r="AG750" s="56" t="str">
        <f>IF($D$749=AF750,$AC750,"")</f>
        <v/>
      </c>
      <c r="AH750" s="480" t="s">
        <v>1487</v>
      </c>
      <c r="AI750" s="56" t="str">
        <f>IF($D$750=AH750,$AC750,"")</f>
        <v/>
      </c>
      <c r="AJ750" s="480" t="s">
        <v>1493</v>
      </c>
      <c r="AK750" s="56" t="str">
        <f>IF($D$751=AJ750,$AC750,"")</f>
        <v/>
      </c>
      <c r="AL750" s="480" t="s">
        <v>1499</v>
      </c>
      <c r="AM750" s="56">
        <f>IF($D$752=AL750,$AC750,"")</f>
        <v>1</v>
      </c>
      <c r="AN750" s="480" t="s">
        <v>1505</v>
      </c>
      <c r="AO750" s="56" t="str">
        <f>IF($D$753=AN750,$AC750,"")</f>
        <v/>
      </c>
      <c r="AP750" s="480" t="s">
        <v>1511</v>
      </c>
      <c r="AQ750" s="56">
        <f>IF($D$754=AP750,$AC750,"")</f>
        <v>1</v>
      </c>
      <c r="AR750" s="480" t="s">
        <v>1517</v>
      </c>
      <c r="AS750" s="56" t="str">
        <f>IF($D$755=AR750,$AC750,"")</f>
        <v/>
      </c>
      <c r="AT750" s="262" t="s">
        <v>966</v>
      </c>
      <c r="AU750" s="482">
        <f>B2</f>
        <v>0.47142857142857131</v>
      </c>
      <c r="AV750" s="56">
        <f t="shared" si="18"/>
        <v>1</v>
      </c>
      <c r="AX750" s="56">
        <f>AZ749</f>
        <v>0.2</v>
      </c>
      <c r="AZ750" s="56">
        <f>AZ749+0.2</f>
        <v>0.4</v>
      </c>
      <c r="BD750" s="56" t="s">
        <v>1525</v>
      </c>
      <c r="BG750" s="56" t="s">
        <v>1532</v>
      </c>
    </row>
    <row r="751" spans="1:60" ht="15" customHeight="1" thickTop="1" thickBot="1" x14ac:dyDescent="0.3">
      <c r="A751" s="237">
        <f t="shared" si="19"/>
        <v>4</v>
      </c>
      <c r="B751" s="239" t="s">
        <v>1468</v>
      </c>
      <c r="C751" s="236"/>
      <c r="D751" s="241" t="s">
        <v>1495</v>
      </c>
      <c r="E751" s="236"/>
      <c r="F751" s="1"/>
      <c r="AC751" s="56">
        <v>2</v>
      </c>
      <c r="AD751" s="480" t="s">
        <v>1475</v>
      </c>
      <c r="AE751" s="262" t="s">
        <v>966</v>
      </c>
      <c r="AF751" s="480" t="s">
        <v>1481</v>
      </c>
      <c r="AG751" s="56">
        <f>IF($D$749=AF751,$AC751,"")</f>
        <v>2</v>
      </c>
      <c r="AH751" s="480" t="s">
        <v>1488</v>
      </c>
      <c r="AI751" s="56" t="str">
        <f>IF($D$750=AH751,$AC751,"")</f>
        <v/>
      </c>
      <c r="AJ751" s="480" t="s">
        <v>1494</v>
      </c>
      <c r="AK751" s="56" t="str">
        <f>IF($D$751=AJ751,$AC751,"")</f>
        <v/>
      </c>
      <c r="AL751" s="480" t="s">
        <v>1500</v>
      </c>
      <c r="AM751" s="56" t="str">
        <f>IF($D$752=AL751,$AC751,"")</f>
        <v/>
      </c>
      <c r="AN751" s="480" t="s">
        <v>1506</v>
      </c>
      <c r="AO751" s="56" t="str">
        <f>IF($D$753=AN751,$AC751,"")</f>
        <v/>
      </c>
      <c r="AP751" s="480" t="s">
        <v>1512</v>
      </c>
      <c r="AQ751" s="56" t="str">
        <f>IF($D$754=AP751,$AC751,"")</f>
        <v/>
      </c>
      <c r="AR751" s="480" t="s">
        <v>1538</v>
      </c>
      <c r="AS751" s="56">
        <f>IF($D$755=AR751,$AC751,"")</f>
        <v>2</v>
      </c>
      <c r="AT751" s="262" t="s">
        <v>966</v>
      </c>
      <c r="AV751" s="56">
        <f t="shared" si="18"/>
        <v>1</v>
      </c>
      <c r="AX751" s="56">
        <f>AZ750</f>
        <v>0.4</v>
      </c>
      <c r="AZ751" s="56">
        <f>AZ750+0.2</f>
        <v>0.60000000000000009</v>
      </c>
      <c r="BD751" s="56" t="s">
        <v>1530</v>
      </c>
      <c r="BG751" s="56" t="s">
        <v>1533</v>
      </c>
    </row>
    <row r="752" spans="1:60" ht="15" customHeight="1" thickTop="1" thickBot="1" x14ac:dyDescent="0.3">
      <c r="A752" s="237">
        <f t="shared" si="19"/>
        <v>5</v>
      </c>
      <c r="B752" s="239" t="s">
        <v>1469</v>
      </c>
      <c r="C752" s="236"/>
      <c r="D752" s="241" t="s">
        <v>1499</v>
      </c>
      <c r="E752" s="236"/>
      <c r="F752" s="1"/>
      <c r="AC752" s="56">
        <v>3</v>
      </c>
      <c r="AD752" s="480" t="s">
        <v>1523</v>
      </c>
      <c r="AE752" s="262" t="s">
        <v>966</v>
      </c>
      <c r="AF752" s="480" t="s">
        <v>1482</v>
      </c>
      <c r="AG752" s="56" t="str">
        <f>IF($D$749=AF752,$AC752,"")</f>
        <v/>
      </c>
      <c r="AH752" s="480" t="s">
        <v>1489</v>
      </c>
      <c r="AI752" s="56">
        <f>IF($D$750=AH752,$AC752,"")</f>
        <v>3</v>
      </c>
      <c r="AJ752" s="480" t="s">
        <v>1495</v>
      </c>
      <c r="AK752" s="56">
        <f>IF($D$751=AJ752,$AC752,"")</f>
        <v>3</v>
      </c>
      <c r="AL752" s="480" t="s">
        <v>1501</v>
      </c>
      <c r="AM752" s="56" t="str">
        <f>IF($D$752=AL752,$AC752,"")</f>
        <v/>
      </c>
      <c r="AN752" s="480" t="s">
        <v>1507</v>
      </c>
      <c r="AO752" s="56" t="str">
        <f>IF($D$753=AN752,$AC752,"")</f>
        <v/>
      </c>
      <c r="AP752" s="480" t="s">
        <v>1513</v>
      </c>
      <c r="AQ752" s="56" t="str">
        <f>IF($D$754=AP752,$AC752,"")</f>
        <v/>
      </c>
      <c r="AR752" s="480" t="s">
        <v>1518</v>
      </c>
      <c r="AS752" s="56" t="str">
        <f>IF($D$755=AR752,$AC752,"")</f>
        <v/>
      </c>
      <c r="AT752" s="262" t="s">
        <v>966</v>
      </c>
      <c r="AV752" s="56">
        <f t="shared" si="18"/>
        <v>1</v>
      </c>
      <c r="AX752" s="56">
        <f>AZ751</f>
        <v>0.60000000000000009</v>
      </c>
      <c r="AZ752" s="56">
        <f>AZ751+0.2</f>
        <v>0.8</v>
      </c>
      <c r="BD752" s="56" t="s">
        <v>1526</v>
      </c>
      <c r="BG752" s="56" t="s">
        <v>1534</v>
      </c>
    </row>
    <row r="753" spans="1:59" ht="15" customHeight="1" thickTop="1" thickBot="1" x14ac:dyDescent="0.3">
      <c r="A753" s="237">
        <f t="shared" si="19"/>
        <v>6</v>
      </c>
      <c r="B753" s="239" t="s">
        <v>1470</v>
      </c>
      <c r="C753" s="236"/>
      <c r="D753" s="241" t="s">
        <v>1508</v>
      </c>
      <c r="E753" s="236"/>
      <c r="F753" s="1"/>
      <c r="AC753" s="56">
        <v>4</v>
      </c>
      <c r="AD753" s="480" t="s">
        <v>1476</v>
      </c>
      <c r="AE753" s="262" t="s">
        <v>966</v>
      </c>
      <c r="AF753" s="480" t="s">
        <v>1483</v>
      </c>
      <c r="AG753" s="56" t="str">
        <f>IF($D$749=AF753,$AC753,"")</f>
        <v/>
      </c>
      <c r="AH753" s="480" t="s">
        <v>1490</v>
      </c>
      <c r="AI753" s="56" t="str">
        <f>IF($D$750=AH753,$AC753,"")</f>
        <v/>
      </c>
      <c r="AJ753" s="480" t="s">
        <v>1496</v>
      </c>
      <c r="AK753" s="56" t="str">
        <f>IF($D$751=AJ753,$AC753,"")</f>
        <v/>
      </c>
      <c r="AL753" s="480" t="s">
        <v>1502</v>
      </c>
      <c r="AM753" s="56" t="str">
        <f>IF($D$752=AL753,$AC753,"")</f>
        <v/>
      </c>
      <c r="AN753" s="480" t="s">
        <v>1508</v>
      </c>
      <c r="AO753" s="56">
        <f>IF($D$753=AN753,$AC753,"")</f>
        <v>4</v>
      </c>
      <c r="AP753" s="480" t="s">
        <v>1514</v>
      </c>
      <c r="AQ753" s="56" t="str">
        <f>IF($D$754=AP753,$AC753,"")</f>
        <v/>
      </c>
      <c r="AR753" s="480" t="s">
        <v>1519</v>
      </c>
      <c r="AS753" s="56" t="str">
        <f>IF($D$755=AR753,$AC753,"")</f>
        <v/>
      </c>
      <c r="AT753" s="262" t="s">
        <v>966</v>
      </c>
      <c r="AV753" s="56">
        <f t="shared" si="18"/>
        <v>1</v>
      </c>
      <c r="AX753" s="56">
        <f>AZ752</f>
        <v>0.8</v>
      </c>
      <c r="AZ753" s="56">
        <f>AZ752+0.2</f>
        <v>1</v>
      </c>
      <c r="BD753" s="56" t="s">
        <v>1529</v>
      </c>
      <c r="BG753" s="56" t="s">
        <v>1535</v>
      </c>
    </row>
    <row r="754" spans="1:59" ht="15" customHeight="1" thickTop="1" thickBot="1" x14ac:dyDescent="0.3">
      <c r="A754" s="237">
        <f t="shared" si="19"/>
        <v>7</v>
      </c>
      <c r="B754" s="239" t="s">
        <v>1471</v>
      </c>
      <c r="C754" s="236"/>
      <c r="D754" s="241" t="s">
        <v>1511</v>
      </c>
      <c r="E754" s="236"/>
      <c r="F754" s="1"/>
      <c r="AD754" s="480" t="s">
        <v>993</v>
      </c>
      <c r="AE754" s="262" t="s">
        <v>966</v>
      </c>
      <c r="AF754" s="480" t="s">
        <v>1484</v>
      </c>
      <c r="AG754" s="56">
        <f>SUM(AG749:AG753)</f>
        <v>2</v>
      </c>
      <c r="AI754" s="56">
        <f>SUM(AI749:AI753)</f>
        <v>3</v>
      </c>
      <c r="AK754" s="56">
        <f>SUM(AK749:AK753)</f>
        <v>3</v>
      </c>
      <c r="AM754" s="56">
        <f>SUM(AM749:AM753)</f>
        <v>1</v>
      </c>
      <c r="AO754" s="56">
        <f>SUM(AO749:AO753)</f>
        <v>4</v>
      </c>
      <c r="AQ754" s="56">
        <f>SUM(AQ749:AQ753)</f>
        <v>1</v>
      </c>
      <c r="AS754" s="56">
        <f>SUM(AS749:AS753)</f>
        <v>2</v>
      </c>
      <c r="AT754" s="262" t="s">
        <v>966</v>
      </c>
      <c r="AU754" s="60">
        <f>SUM(AG754:AS754)</f>
        <v>16</v>
      </c>
      <c r="AV754" s="56">
        <f>SUM(AV749:AV753)</f>
        <v>5</v>
      </c>
      <c r="BB754" s="56" t="str">
        <f>CONCATENATE(BB748,BD748,BF748,BG748,BH748)</f>
        <v>This claimant fully distrusts the legal-judicial process. Its harmful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v>
      </c>
    </row>
    <row r="755" spans="1:59" ht="15" customHeight="1" thickTop="1" thickBot="1" x14ac:dyDescent="0.3">
      <c r="A755" s="237">
        <f t="shared" si="19"/>
        <v>8</v>
      </c>
      <c r="B755" s="239" t="s">
        <v>1520</v>
      </c>
      <c r="C755" s="236"/>
      <c r="D755" s="241" t="s">
        <v>1538</v>
      </c>
      <c r="E755" s="236"/>
      <c r="F755" s="1"/>
      <c r="AU755" s="56">
        <v>24</v>
      </c>
      <c r="AV755" s="56">
        <f>AU754/AU755</f>
        <v>0.66666666666666663</v>
      </c>
      <c r="BB755" s="56" t="s">
        <v>1537</v>
      </c>
    </row>
    <row r="756" spans="1:59" ht="15" customHeight="1" thickTop="1" x14ac:dyDescent="0.25">
      <c r="A756" s="237"/>
      <c r="B756" s="236"/>
      <c r="C756" s="236"/>
      <c r="D756" s="236"/>
      <c r="E756" s="236"/>
      <c r="F756" s="1"/>
      <c r="BB756" s="56" t="str">
        <f>IF(AND(AV748&gt;0,AV754&gt;0),BB754,BB755)</f>
        <v>This claimant fully distrusts the legal-judicial process. Its harmful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v>
      </c>
    </row>
    <row r="757" spans="1:59" ht="15" customHeight="1" x14ac:dyDescent="0.25">
      <c r="A757" s="237"/>
      <c r="B757" s="583" t="str">
        <f>BB756</f>
        <v>This claimant fully distrusts the legal-judicial process. Its harmful performance casts doubt on the legitimacy of the process offered by innocence projects and conviction integrity units. This "estimated innocence form" complements or competes with these options that cannot, on their own, keep pace clearing or correcting the problem of wrongful convictions.</v>
      </c>
      <c r="C757" s="583"/>
      <c r="D757" s="583"/>
      <c r="E757" s="236"/>
      <c r="F757" s="1"/>
      <c r="BB757" s="56"/>
    </row>
    <row r="758" spans="1:59" ht="15" customHeight="1" x14ac:dyDescent="0.25">
      <c r="A758" s="237"/>
      <c r="B758" s="583"/>
      <c r="C758" s="583"/>
      <c r="D758" s="583"/>
      <c r="E758" s="236"/>
      <c r="F758" s="1"/>
      <c r="BB758" s="56"/>
    </row>
    <row r="759" spans="1:59" ht="15" customHeight="1" x14ac:dyDescent="0.25">
      <c r="A759" s="237"/>
      <c r="B759" s="583"/>
      <c r="C759" s="583"/>
      <c r="D759" s="583"/>
      <c r="E759" s="236"/>
      <c r="F759" s="1"/>
      <c r="BB759" s="56"/>
    </row>
    <row r="760" spans="1:59" ht="15" customHeight="1" x14ac:dyDescent="0.25">
      <c r="A760" s="237"/>
      <c r="B760" s="583"/>
      <c r="C760" s="583"/>
      <c r="D760" s="583"/>
      <c r="E760" s="236"/>
      <c r="F760" s="1"/>
      <c r="BB760" s="56"/>
    </row>
    <row r="761" spans="1:59" ht="10.050000000000001" customHeight="1" x14ac:dyDescent="0.25">
      <c r="A761" s="237"/>
      <c r="B761" s="236"/>
      <c r="C761" s="236"/>
      <c r="D761" s="236"/>
      <c r="E761" s="236"/>
      <c r="F761" s="1"/>
      <c r="BB761" s="56"/>
    </row>
    <row r="762" spans="1:59" ht="30" customHeight="1" x14ac:dyDescent="0.25">
      <c r="A762" s="46" t="s">
        <v>91</v>
      </c>
      <c r="B762" s="46" t="s">
        <v>1540</v>
      </c>
      <c r="C762" s="46"/>
      <c r="D762" s="45"/>
      <c r="E762" s="45"/>
      <c r="F762" s="475" t="s">
        <v>949</v>
      </c>
      <c r="BB762" s="56"/>
    </row>
    <row r="763" spans="1:59" ht="17.399999999999999" x14ac:dyDescent="0.25">
      <c r="A763" s="108"/>
      <c r="B763" s="109" t="s">
        <v>480</v>
      </c>
      <c r="C763" s="109"/>
      <c r="D763" s="109"/>
      <c r="E763" s="110"/>
      <c r="F763" s="108"/>
      <c r="BB763" s="56"/>
    </row>
    <row r="764" spans="1:59" x14ac:dyDescent="0.25">
      <c r="A764" s="242"/>
      <c r="B764" s="92"/>
      <c r="C764" s="92"/>
      <c r="D764" s="92"/>
      <c r="E764" s="92"/>
      <c r="F764" s="1"/>
      <c r="BB764" s="56"/>
    </row>
    <row r="765" spans="1:59" ht="160.05000000000001" customHeight="1" x14ac:dyDescent="0.25">
      <c r="A765" s="242"/>
      <c r="B765" s="243" t="s">
        <v>481</v>
      </c>
      <c r="C765" s="92"/>
      <c r="D765" s="92"/>
      <c r="E765" s="92"/>
      <c r="F765" s="1"/>
      <c r="BB765" s="56"/>
    </row>
    <row r="766" spans="1:59" x14ac:dyDescent="0.25">
      <c r="A766" s="242"/>
      <c r="B766" s="92"/>
      <c r="C766" s="92"/>
      <c r="D766" s="92"/>
      <c r="E766" s="92"/>
      <c r="F766" s="1"/>
      <c r="BB766" s="56"/>
    </row>
    <row r="767" spans="1:59" ht="15.6" x14ac:dyDescent="0.25">
      <c r="A767" s="244">
        <f>A746+1</f>
        <v>64</v>
      </c>
      <c r="B767" s="244" t="s">
        <v>482</v>
      </c>
      <c r="C767" s="244"/>
      <c r="D767" s="244"/>
      <c r="E767" s="92"/>
      <c r="F767" s="1"/>
      <c r="BB767" s="56"/>
    </row>
    <row r="768" spans="1:59" ht="15.6" x14ac:dyDescent="0.3">
      <c r="A768" s="242"/>
      <c r="B768" s="245" t="s">
        <v>483</v>
      </c>
      <c r="C768" s="246"/>
      <c r="D768" s="246"/>
      <c r="E768" s="92"/>
      <c r="F768" s="1"/>
      <c r="AC768" s="56">
        <v>0</v>
      </c>
      <c r="AD768" s="56">
        <v>1</v>
      </c>
      <c r="AE768" s="56">
        <v>2</v>
      </c>
      <c r="AG768" s="56">
        <v>1</v>
      </c>
      <c r="AH768" s="56">
        <v>2</v>
      </c>
      <c r="AI768" s="56">
        <v>3</v>
      </c>
      <c r="AK768" s="56" t="s">
        <v>484</v>
      </c>
      <c r="BB768" s="56"/>
    </row>
    <row r="769" spans="1:54" ht="4.95" customHeight="1" x14ac:dyDescent="0.25">
      <c r="A769" s="242"/>
      <c r="B769" s="92"/>
      <c r="C769" s="92"/>
      <c r="D769" s="92"/>
      <c r="E769" s="92"/>
      <c r="F769" s="1"/>
      <c r="BB769" s="56"/>
    </row>
    <row r="770" spans="1:54" x14ac:dyDescent="0.25">
      <c r="A770" s="242"/>
      <c r="B770" s="247" t="s">
        <v>485</v>
      </c>
      <c r="C770" s="248" t="s">
        <v>486</v>
      </c>
      <c r="D770" s="247" t="s">
        <v>487</v>
      </c>
      <c r="E770" s="92"/>
      <c r="F770" s="1"/>
      <c r="AC770" s="9" t="str">
        <f t="shared" ref="AC770:AC789" si="20">IF($B770=$B$1908,AC$768,"")</f>
        <v/>
      </c>
      <c r="AD770" s="11" t="str">
        <f t="shared" ref="AD770:AD789" si="21">IF($B770=$B$1909,AD$768,"")</f>
        <v/>
      </c>
      <c r="AE770" s="249">
        <f t="shared" ref="AE770:AE789" si="22">IF($B770=$B$1910,AE$768,"")</f>
        <v>2</v>
      </c>
      <c r="AF770" s="56">
        <f t="shared" ref="AF770:AF789" si="23">SUM(AC770:AE770)</f>
        <v>2</v>
      </c>
      <c r="AG770" s="250" t="str">
        <f t="shared" ref="AG770:AG789" si="24">IF($D770=$B$1912,AG$768,"")</f>
        <v/>
      </c>
      <c r="AH770" s="250" t="str">
        <f t="shared" ref="AH770:AH789" si="25">IF($D770=$B$1913,AH$768,"")</f>
        <v/>
      </c>
      <c r="AI770" s="250">
        <f t="shared" ref="AI770:AI789" si="26">IF($D770=$B$1914,AI$768,"")</f>
        <v>3</v>
      </c>
      <c r="AJ770" s="56">
        <f>SUM(AG770:AI770)</f>
        <v>3</v>
      </c>
      <c r="AL770" s="56">
        <f>IF(AF770=0,(AJ770-AJ770),AJ770)</f>
        <v>3</v>
      </c>
      <c r="AO770" s="56">
        <f>AF770+AL770</f>
        <v>5</v>
      </c>
      <c r="AS770" s="56">
        <v>0</v>
      </c>
      <c r="AT770" s="56">
        <v>20</v>
      </c>
      <c r="AV770" s="56" t="s">
        <v>488</v>
      </c>
      <c r="BB770" s="56"/>
    </row>
    <row r="771" spans="1:54" x14ac:dyDescent="0.25">
      <c r="A771" s="242"/>
      <c r="B771" s="247"/>
      <c r="C771" s="248" t="s">
        <v>489</v>
      </c>
      <c r="D771" s="247"/>
      <c r="E771" s="92"/>
      <c r="F771" s="1"/>
      <c r="AC771" s="9" t="str">
        <f t="shared" si="20"/>
        <v/>
      </c>
      <c r="AD771" s="11" t="str">
        <f t="shared" si="21"/>
        <v/>
      </c>
      <c r="AE771" s="249" t="str">
        <f t="shared" si="22"/>
        <v/>
      </c>
      <c r="AF771" s="56">
        <f t="shared" si="23"/>
        <v>0</v>
      </c>
      <c r="AG771" s="250" t="str">
        <f t="shared" si="24"/>
        <v/>
      </c>
      <c r="AH771" s="250" t="str">
        <f t="shared" si="25"/>
        <v/>
      </c>
      <c r="AI771" s="250" t="str">
        <f t="shared" si="26"/>
        <v/>
      </c>
      <c r="AJ771" s="56">
        <f>SUM(AG771:AI771)</f>
        <v>0</v>
      </c>
      <c r="AL771" s="56">
        <f>IF(AF771=0,(AJ771-AJ771),AJ771)</f>
        <v>0</v>
      </c>
      <c r="AO771" s="56">
        <f>AF771+AL771</f>
        <v>0</v>
      </c>
      <c r="AS771" s="56">
        <f>AT770+1</f>
        <v>21</v>
      </c>
      <c r="AT771" s="56">
        <f>AT770+AT$770</f>
        <v>40</v>
      </c>
      <c r="AV771" s="56" t="s">
        <v>490</v>
      </c>
      <c r="BB771" s="56"/>
    </row>
    <row r="772" spans="1:54" x14ac:dyDescent="0.25">
      <c r="A772" s="242"/>
      <c r="B772" s="247"/>
      <c r="C772" s="248" t="s">
        <v>491</v>
      </c>
      <c r="D772" s="247"/>
      <c r="E772" s="92"/>
      <c r="F772" s="1"/>
      <c r="AC772" s="9" t="str">
        <f t="shared" si="20"/>
        <v/>
      </c>
      <c r="AD772" s="11" t="str">
        <f t="shared" si="21"/>
        <v/>
      </c>
      <c r="AE772" s="249" t="str">
        <f t="shared" si="22"/>
        <v/>
      </c>
      <c r="AF772" s="56">
        <f t="shared" si="23"/>
        <v>0</v>
      </c>
      <c r="AG772" s="250" t="str">
        <f t="shared" si="24"/>
        <v/>
      </c>
      <c r="AH772" s="250" t="str">
        <f t="shared" si="25"/>
        <v/>
      </c>
      <c r="AI772" s="250" t="str">
        <f t="shared" si="26"/>
        <v/>
      </c>
      <c r="AJ772" s="56">
        <f>SUM(AG772:AI772)</f>
        <v>0</v>
      </c>
      <c r="AL772" s="56">
        <f>IF(AF772=0,(AJ772-AJ772),AJ772)</f>
        <v>0</v>
      </c>
      <c r="AO772" s="56">
        <f>AF772+AL772</f>
        <v>0</v>
      </c>
      <c r="AS772" s="56">
        <f t="shared" ref="AS772:AS779" si="27">AT771+1</f>
        <v>41</v>
      </c>
      <c r="AT772" s="56">
        <f>AT771+AT$770</f>
        <v>60</v>
      </c>
      <c r="AV772" s="56" t="s">
        <v>492</v>
      </c>
      <c r="BB772" s="56"/>
    </row>
    <row r="773" spans="1:54" x14ac:dyDescent="0.25">
      <c r="A773" s="242"/>
      <c r="B773" s="247" t="s">
        <v>485</v>
      </c>
      <c r="C773" s="248" t="s">
        <v>493</v>
      </c>
      <c r="D773" s="247" t="s">
        <v>494</v>
      </c>
      <c r="E773" s="92"/>
      <c r="F773" s="1"/>
      <c r="AC773" s="9" t="str">
        <f t="shared" si="20"/>
        <v/>
      </c>
      <c r="AD773" s="11" t="str">
        <f t="shared" si="21"/>
        <v/>
      </c>
      <c r="AE773" s="249">
        <f t="shared" si="22"/>
        <v>2</v>
      </c>
      <c r="AF773" s="56">
        <f t="shared" si="23"/>
        <v>2</v>
      </c>
      <c r="AG773" s="250" t="str">
        <f t="shared" si="24"/>
        <v/>
      </c>
      <c r="AH773" s="250">
        <f t="shared" si="25"/>
        <v>2</v>
      </c>
      <c r="AI773" s="250" t="str">
        <f t="shared" si="26"/>
        <v/>
      </c>
      <c r="AJ773" s="56">
        <f>SUM(AG773:AI773)</f>
        <v>2</v>
      </c>
      <c r="AL773" s="56">
        <f>IF(AF773=0,(AJ773-AJ773),AJ773)</f>
        <v>2</v>
      </c>
      <c r="AO773" s="56">
        <f>AF773+AL773</f>
        <v>4</v>
      </c>
      <c r="AS773" s="56">
        <f t="shared" si="27"/>
        <v>61</v>
      </c>
      <c r="AT773" s="56">
        <f>AT772+AT$770</f>
        <v>80</v>
      </c>
      <c r="AV773" s="56" t="s">
        <v>495</v>
      </c>
      <c r="BB773" s="56"/>
    </row>
    <row r="774" spans="1:54" x14ac:dyDescent="0.25">
      <c r="A774" s="242"/>
      <c r="B774" s="247"/>
      <c r="C774" s="248" t="s">
        <v>496</v>
      </c>
      <c r="D774" s="247"/>
      <c r="E774" s="92"/>
      <c r="F774" s="1"/>
      <c r="AC774" s="9" t="str">
        <f t="shared" si="20"/>
        <v/>
      </c>
      <c r="AD774" s="11" t="str">
        <f t="shared" si="21"/>
        <v/>
      </c>
      <c r="AE774" s="249" t="str">
        <f t="shared" si="22"/>
        <v/>
      </c>
      <c r="AF774" s="56">
        <f>SUM(AC774:AE774)</f>
        <v>0</v>
      </c>
      <c r="AG774" s="250" t="str">
        <f t="shared" si="24"/>
        <v/>
      </c>
      <c r="AH774" s="250" t="str">
        <f t="shared" si="25"/>
        <v/>
      </c>
      <c r="AI774" s="250" t="str">
        <f t="shared" si="26"/>
        <v/>
      </c>
      <c r="AJ774" s="56">
        <f>SUM(AG774:AI774)</f>
        <v>0</v>
      </c>
      <c r="AL774" s="56">
        <f>IF(AF774=0,(AJ774-AJ774),AJ774)</f>
        <v>0</v>
      </c>
      <c r="AO774" s="56">
        <f>AF774+AL774</f>
        <v>0</v>
      </c>
      <c r="AS774" s="56">
        <f t="shared" si="27"/>
        <v>81</v>
      </c>
      <c r="AT774" s="56">
        <f>AT773+AT$770+1</f>
        <v>101</v>
      </c>
      <c r="AV774" s="56" t="s">
        <v>497</v>
      </c>
      <c r="BB774" s="56"/>
    </row>
    <row r="775" spans="1:54" x14ac:dyDescent="0.25">
      <c r="A775" s="242"/>
      <c r="B775" s="247"/>
      <c r="C775" s="248" t="s">
        <v>498</v>
      </c>
      <c r="D775" s="247"/>
      <c r="E775" s="92"/>
      <c r="F775" s="1"/>
      <c r="AC775" s="9" t="str">
        <f t="shared" si="20"/>
        <v/>
      </c>
      <c r="AD775" s="11" t="str">
        <f t="shared" si="21"/>
        <v/>
      </c>
      <c r="AE775" s="249" t="str">
        <f t="shared" si="22"/>
        <v/>
      </c>
      <c r="AF775" s="56">
        <f t="shared" si="23"/>
        <v>0</v>
      </c>
      <c r="AG775" s="250" t="str">
        <f t="shared" si="24"/>
        <v/>
      </c>
      <c r="AH775" s="250" t="str">
        <f t="shared" si="25"/>
        <v/>
      </c>
      <c r="AI775" s="250" t="str">
        <f t="shared" si="26"/>
        <v/>
      </c>
      <c r="AJ775" s="56">
        <f t="shared" ref="AJ775:AJ789" si="28">SUM(AG775:AI775)</f>
        <v>0</v>
      </c>
      <c r="AL775" s="56">
        <f t="shared" ref="AL775:AL789" si="29">IF(AF775=0,(AJ775-AJ775),AJ775)</f>
        <v>0</v>
      </c>
      <c r="AO775" s="56">
        <f t="shared" ref="AO775:AO789" si="30">AF775+AL775</f>
        <v>0</v>
      </c>
      <c r="AS775" s="56">
        <f t="shared" si="27"/>
        <v>102</v>
      </c>
      <c r="AT775" s="56">
        <f>AT774+AT$770</f>
        <v>121</v>
      </c>
      <c r="BB775" s="56"/>
    </row>
    <row r="776" spans="1:54" x14ac:dyDescent="0.25">
      <c r="A776" s="242"/>
      <c r="B776" s="247"/>
      <c r="C776" s="248" t="s">
        <v>499</v>
      </c>
      <c r="D776" s="247"/>
      <c r="E776" s="92"/>
      <c r="F776" s="1"/>
      <c r="AC776" s="9" t="str">
        <f t="shared" si="20"/>
        <v/>
      </c>
      <c r="AD776" s="11" t="str">
        <f t="shared" si="21"/>
        <v/>
      </c>
      <c r="AE776" s="249" t="str">
        <f t="shared" si="22"/>
        <v/>
      </c>
      <c r="AF776" s="56">
        <f t="shared" si="23"/>
        <v>0</v>
      </c>
      <c r="AG776" s="250" t="str">
        <f t="shared" si="24"/>
        <v/>
      </c>
      <c r="AH776" s="250" t="str">
        <f t="shared" si="25"/>
        <v/>
      </c>
      <c r="AI776" s="250" t="str">
        <f t="shared" si="26"/>
        <v/>
      </c>
      <c r="AJ776" s="56">
        <f t="shared" si="28"/>
        <v>0</v>
      </c>
      <c r="AL776" s="56">
        <f t="shared" si="29"/>
        <v>0</v>
      </c>
      <c r="AO776" s="56">
        <f t="shared" si="30"/>
        <v>0</v>
      </c>
      <c r="AS776" s="56">
        <f t="shared" si="27"/>
        <v>122</v>
      </c>
      <c r="AT776" s="56">
        <f>AT775+AT$770</f>
        <v>141</v>
      </c>
      <c r="BB776" s="56"/>
    </row>
    <row r="777" spans="1:54" x14ac:dyDescent="0.25">
      <c r="A777" s="242"/>
      <c r="B777" s="247" t="s">
        <v>485</v>
      </c>
      <c r="C777" s="248" t="s">
        <v>500</v>
      </c>
      <c r="D777" s="247" t="s">
        <v>494</v>
      </c>
      <c r="E777" s="92"/>
      <c r="F777" s="1"/>
      <c r="AC777" s="9" t="str">
        <f t="shared" si="20"/>
        <v/>
      </c>
      <c r="AD777" s="11" t="str">
        <f t="shared" si="21"/>
        <v/>
      </c>
      <c r="AE777" s="249">
        <f t="shared" si="22"/>
        <v>2</v>
      </c>
      <c r="AF777" s="56">
        <f t="shared" si="23"/>
        <v>2</v>
      </c>
      <c r="AG777" s="250" t="str">
        <f t="shared" si="24"/>
        <v/>
      </c>
      <c r="AH777" s="250">
        <f t="shared" si="25"/>
        <v>2</v>
      </c>
      <c r="AI777" s="250" t="str">
        <f t="shared" si="26"/>
        <v/>
      </c>
      <c r="AJ777" s="56">
        <f t="shared" si="28"/>
        <v>2</v>
      </c>
      <c r="AL777" s="56">
        <f t="shared" si="29"/>
        <v>2</v>
      </c>
      <c r="AO777" s="56">
        <f t="shared" si="30"/>
        <v>4</v>
      </c>
      <c r="AS777" s="56">
        <f t="shared" si="27"/>
        <v>142</v>
      </c>
      <c r="AT777" s="56">
        <f>AT776+AT$770</f>
        <v>161</v>
      </c>
      <c r="BB777" s="56"/>
    </row>
    <row r="778" spans="1:54" x14ac:dyDescent="0.25">
      <c r="A778" s="242"/>
      <c r="B778" s="247"/>
      <c r="C778" s="248" t="s">
        <v>501</v>
      </c>
      <c r="D778" s="247"/>
      <c r="E778" s="92"/>
      <c r="F778" s="1"/>
      <c r="AC778" s="9" t="str">
        <f t="shared" si="20"/>
        <v/>
      </c>
      <c r="AD778" s="11" t="str">
        <f t="shared" si="21"/>
        <v/>
      </c>
      <c r="AE778" s="249" t="str">
        <f t="shared" si="22"/>
        <v/>
      </c>
      <c r="AF778" s="56">
        <f t="shared" si="23"/>
        <v>0</v>
      </c>
      <c r="AG778" s="250" t="str">
        <f t="shared" si="24"/>
        <v/>
      </c>
      <c r="AH778" s="250" t="str">
        <f t="shared" si="25"/>
        <v/>
      </c>
      <c r="AI778" s="250" t="str">
        <f t="shared" si="26"/>
        <v/>
      </c>
      <c r="AJ778" s="56">
        <f t="shared" si="28"/>
        <v>0</v>
      </c>
      <c r="AL778" s="56">
        <f t="shared" si="29"/>
        <v>0</v>
      </c>
      <c r="AO778" s="56">
        <f t="shared" si="30"/>
        <v>0</v>
      </c>
      <c r="AS778" s="56">
        <f t="shared" si="27"/>
        <v>162</v>
      </c>
      <c r="AT778" s="56">
        <f>AT777+AT$770</f>
        <v>181</v>
      </c>
      <c r="BB778" s="56"/>
    </row>
    <row r="779" spans="1:54" x14ac:dyDescent="0.25">
      <c r="A779" s="242"/>
      <c r="B779" s="247"/>
      <c r="C779" s="248" t="s">
        <v>502</v>
      </c>
      <c r="D779" s="247"/>
      <c r="E779" s="92"/>
      <c r="F779" s="1"/>
      <c r="AC779" s="9" t="str">
        <f t="shared" si="20"/>
        <v/>
      </c>
      <c r="AD779" s="11" t="str">
        <f t="shared" si="21"/>
        <v/>
      </c>
      <c r="AE779" s="249" t="str">
        <f t="shared" si="22"/>
        <v/>
      </c>
      <c r="AF779" s="56">
        <f t="shared" si="23"/>
        <v>0</v>
      </c>
      <c r="AG779" s="250" t="str">
        <f t="shared" si="24"/>
        <v/>
      </c>
      <c r="AH779" s="250" t="str">
        <f t="shared" si="25"/>
        <v/>
      </c>
      <c r="AI779" s="250" t="str">
        <f t="shared" si="26"/>
        <v/>
      </c>
      <c r="AJ779" s="56">
        <f t="shared" si="28"/>
        <v>0</v>
      </c>
      <c r="AL779" s="56">
        <f t="shared" si="29"/>
        <v>0</v>
      </c>
      <c r="AO779" s="56">
        <f t="shared" si="30"/>
        <v>0</v>
      </c>
      <c r="AS779" s="56">
        <f t="shared" si="27"/>
        <v>182</v>
      </c>
      <c r="AT779" s="56">
        <f>AT778+AT$770</f>
        <v>201</v>
      </c>
      <c r="BB779" s="56"/>
    </row>
    <row r="780" spans="1:54" x14ac:dyDescent="0.25">
      <c r="A780" s="242"/>
      <c r="B780" s="247" t="s">
        <v>503</v>
      </c>
      <c r="C780" s="248" t="s">
        <v>504</v>
      </c>
      <c r="D780" s="247" t="s">
        <v>487</v>
      </c>
      <c r="E780" s="92"/>
      <c r="F780" s="1"/>
      <c r="AC780" s="9" t="str">
        <f t="shared" si="20"/>
        <v/>
      </c>
      <c r="AD780" s="11">
        <f t="shared" si="21"/>
        <v>1</v>
      </c>
      <c r="AE780" s="249" t="str">
        <f t="shared" si="22"/>
        <v/>
      </c>
      <c r="AF780" s="56">
        <f t="shared" si="23"/>
        <v>1</v>
      </c>
      <c r="AG780" s="250" t="str">
        <f t="shared" si="24"/>
        <v/>
      </c>
      <c r="AH780" s="250" t="str">
        <f t="shared" si="25"/>
        <v/>
      </c>
      <c r="AI780" s="250">
        <f t="shared" si="26"/>
        <v>3</v>
      </c>
      <c r="AJ780" s="56">
        <f t="shared" si="28"/>
        <v>3</v>
      </c>
      <c r="AL780" s="56">
        <f t="shared" si="29"/>
        <v>3</v>
      </c>
      <c r="AO780" s="56">
        <f t="shared" si="30"/>
        <v>4</v>
      </c>
      <c r="BB780" s="56"/>
    </row>
    <row r="781" spans="1:54" ht="14.4" x14ac:dyDescent="0.3">
      <c r="A781" s="242"/>
      <c r="B781" s="247" t="s">
        <v>503</v>
      </c>
      <c r="C781" s="248" t="s">
        <v>505</v>
      </c>
      <c r="D781" s="247" t="s">
        <v>506</v>
      </c>
      <c r="E781" s="92"/>
      <c r="F781" s="1"/>
      <c r="AC781" s="9" t="str">
        <f t="shared" si="20"/>
        <v/>
      </c>
      <c r="AD781" s="11">
        <f t="shared" si="21"/>
        <v>1</v>
      </c>
      <c r="AE781" s="249" t="str">
        <f t="shared" si="22"/>
        <v/>
      </c>
      <c r="AF781" s="56">
        <f t="shared" si="23"/>
        <v>1</v>
      </c>
      <c r="AG781" s="250">
        <f t="shared" si="24"/>
        <v>1</v>
      </c>
      <c r="AH781" s="250" t="str">
        <f t="shared" si="25"/>
        <v/>
      </c>
      <c r="AI781" s="250" t="str">
        <f t="shared" si="26"/>
        <v/>
      </c>
      <c r="AJ781" s="56">
        <f t="shared" si="28"/>
        <v>1</v>
      </c>
      <c r="AL781" s="56">
        <f t="shared" si="29"/>
        <v>1</v>
      </c>
      <c r="AO781" s="56">
        <f t="shared" si="30"/>
        <v>2</v>
      </c>
      <c r="AR781" s="251" t="s">
        <v>507</v>
      </c>
      <c r="AS781" s="56" t="str">
        <f>IF(AQ257=0,AS783,"")</f>
        <v xml:space="preserve">The fact of not being rearrested should say something loud and clear. </v>
      </c>
      <c r="BB781" s="56"/>
    </row>
    <row r="782" spans="1:54" x14ac:dyDescent="0.25">
      <c r="A782" s="242"/>
      <c r="B782" s="247" t="s">
        <v>485</v>
      </c>
      <c r="C782" s="248" t="s">
        <v>508</v>
      </c>
      <c r="D782" s="247" t="s">
        <v>494</v>
      </c>
      <c r="E782" s="92"/>
      <c r="F782" s="1"/>
      <c r="AC782" s="9" t="str">
        <f t="shared" si="20"/>
        <v/>
      </c>
      <c r="AD782" s="11" t="str">
        <f t="shared" si="21"/>
        <v/>
      </c>
      <c r="AE782" s="249">
        <f t="shared" si="22"/>
        <v>2</v>
      </c>
      <c r="AF782" s="56">
        <f t="shared" si="23"/>
        <v>2</v>
      </c>
      <c r="AG782" s="250" t="str">
        <f t="shared" si="24"/>
        <v/>
      </c>
      <c r="AH782" s="250">
        <f t="shared" si="25"/>
        <v>2</v>
      </c>
      <c r="AI782" s="250" t="str">
        <f t="shared" si="26"/>
        <v/>
      </c>
      <c r="AJ782" s="56">
        <f t="shared" si="28"/>
        <v>2</v>
      </c>
      <c r="AL782" s="56">
        <f t="shared" si="29"/>
        <v>2</v>
      </c>
      <c r="AO782" s="56">
        <f t="shared" si="30"/>
        <v>4</v>
      </c>
      <c r="BB782" s="56"/>
    </row>
    <row r="783" spans="1:54" x14ac:dyDescent="0.25">
      <c r="A783" s="242"/>
      <c r="B783" s="247"/>
      <c r="C783" s="248" t="s">
        <v>509</v>
      </c>
      <c r="D783" s="247"/>
      <c r="E783" s="92"/>
      <c r="F783" s="1"/>
      <c r="AC783" s="9" t="str">
        <f t="shared" si="20"/>
        <v/>
      </c>
      <c r="AD783" s="11" t="str">
        <f t="shared" si="21"/>
        <v/>
      </c>
      <c r="AE783" s="249" t="str">
        <f t="shared" si="22"/>
        <v/>
      </c>
      <c r="AF783" s="56">
        <f t="shared" si="23"/>
        <v>0</v>
      </c>
      <c r="AG783" s="250" t="str">
        <f t="shared" si="24"/>
        <v/>
      </c>
      <c r="AH783" s="250" t="str">
        <f t="shared" si="25"/>
        <v/>
      </c>
      <c r="AI783" s="250" t="str">
        <f t="shared" si="26"/>
        <v/>
      </c>
      <c r="AJ783" s="56">
        <f t="shared" si="28"/>
        <v>0</v>
      </c>
      <c r="AL783" s="56">
        <f t="shared" si="29"/>
        <v>0</v>
      </c>
      <c r="AO783" s="56">
        <f t="shared" si="30"/>
        <v>0</v>
      </c>
      <c r="AS783" s="56" t="s">
        <v>510</v>
      </c>
      <c r="BB783" s="56"/>
    </row>
    <row r="784" spans="1:54" x14ac:dyDescent="0.25">
      <c r="A784" s="242"/>
      <c r="B784" s="247"/>
      <c r="C784" s="248" t="s">
        <v>511</v>
      </c>
      <c r="D784" s="247"/>
      <c r="E784" s="92"/>
      <c r="F784" s="1"/>
      <c r="AC784" s="9" t="str">
        <f t="shared" si="20"/>
        <v/>
      </c>
      <c r="AD784" s="11" t="str">
        <f t="shared" si="21"/>
        <v/>
      </c>
      <c r="AE784" s="249" t="str">
        <f t="shared" si="22"/>
        <v/>
      </c>
      <c r="AF784" s="56">
        <f t="shared" si="23"/>
        <v>0</v>
      </c>
      <c r="AG784" s="250" t="str">
        <f t="shared" si="24"/>
        <v/>
      </c>
      <c r="AH784" s="250" t="str">
        <f t="shared" si="25"/>
        <v/>
      </c>
      <c r="AI784" s="250" t="str">
        <f t="shared" si="26"/>
        <v/>
      </c>
      <c r="AJ784" s="56">
        <f t="shared" si="28"/>
        <v>0</v>
      </c>
      <c r="AL784" s="56">
        <f t="shared" si="29"/>
        <v>0</v>
      </c>
      <c r="AO784" s="56">
        <f t="shared" si="30"/>
        <v>0</v>
      </c>
      <c r="BB784" s="56"/>
    </row>
    <row r="785" spans="1:64" x14ac:dyDescent="0.25">
      <c r="A785" s="242"/>
      <c r="B785" s="247" t="s">
        <v>512</v>
      </c>
      <c r="C785" s="248" t="s">
        <v>513</v>
      </c>
      <c r="D785" s="247"/>
      <c r="E785" s="92"/>
      <c r="F785" s="1"/>
      <c r="AC785" s="9">
        <f t="shared" si="20"/>
        <v>0</v>
      </c>
      <c r="AD785" s="11" t="str">
        <f t="shared" si="21"/>
        <v/>
      </c>
      <c r="AE785" s="249" t="str">
        <f t="shared" si="22"/>
        <v/>
      </c>
      <c r="AF785" s="56">
        <f t="shared" si="23"/>
        <v>0</v>
      </c>
      <c r="AG785" s="250" t="str">
        <f t="shared" si="24"/>
        <v/>
      </c>
      <c r="AH785" s="250" t="str">
        <f t="shared" si="25"/>
        <v/>
      </c>
      <c r="AI785" s="250" t="str">
        <f t="shared" si="26"/>
        <v/>
      </c>
      <c r="AJ785" s="56">
        <f t="shared" si="28"/>
        <v>0</v>
      </c>
      <c r="AL785" s="56">
        <f t="shared" si="29"/>
        <v>0</v>
      </c>
      <c r="AO785" s="56">
        <f t="shared" si="30"/>
        <v>0</v>
      </c>
      <c r="AS785" s="56" t="str">
        <f>IF(AK827=0,"This claimant",AK827)</f>
        <v>this claimant</v>
      </c>
      <c r="AV785" s="56" t="s">
        <v>514</v>
      </c>
      <c r="BB785" s="56"/>
    </row>
    <row r="786" spans="1:64" x14ac:dyDescent="0.25">
      <c r="A786" s="242"/>
      <c r="B786" s="247" t="s">
        <v>485</v>
      </c>
      <c r="C786" s="248" t="s">
        <v>515</v>
      </c>
      <c r="D786" s="247" t="s">
        <v>487</v>
      </c>
      <c r="E786" s="92"/>
      <c r="F786" s="1"/>
      <c r="AC786" s="9" t="str">
        <f t="shared" si="20"/>
        <v/>
      </c>
      <c r="AD786" s="11" t="str">
        <f t="shared" si="21"/>
        <v/>
      </c>
      <c r="AE786" s="249">
        <f t="shared" si="22"/>
        <v>2</v>
      </c>
      <c r="AF786" s="56">
        <f t="shared" si="23"/>
        <v>2</v>
      </c>
      <c r="AG786" s="250" t="str">
        <f t="shared" si="24"/>
        <v/>
      </c>
      <c r="AH786" s="250" t="str">
        <f t="shared" si="25"/>
        <v/>
      </c>
      <c r="AI786" s="250">
        <f t="shared" si="26"/>
        <v>3</v>
      </c>
      <c r="AJ786" s="56">
        <f t="shared" si="28"/>
        <v>3</v>
      </c>
      <c r="AL786" s="56">
        <f t="shared" si="29"/>
        <v>3</v>
      </c>
      <c r="AO786" s="56">
        <f t="shared" si="30"/>
        <v>5</v>
      </c>
      <c r="BB786" s="56"/>
    </row>
    <row r="787" spans="1:64" x14ac:dyDescent="0.25">
      <c r="A787" s="242"/>
      <c r="B787" s="247" t="s">
        <v>485</v>
      </c>
      <c r="C787" s="248" t="s">
        <v>516</v>
      </c>
      <c r="D787" s="247" t="s">
        <v>487</v>
      </c>
      <c r="E787" s="92"/>
      <c r="F787" s="1"/>
      <c r="AC787" s="9" t="str">
        <f t="shared" si="20"/>
        <v/>
      </c>
      <c r="AD787" s="11" t="str">
        <f t="shared" si="21"/>
        <v/>
      </c>
      <c r="AE787" s="249">
        <f t="shared" si="22"/>
        <v>2</v>
      </c>
      <c r="AF787" s="56">
        <f t="shared" si="23"/>
        <v>2</v>
      </c>
      <c r="AG787" s="250" t="str">
        <f t="shared" si="24"/>
        <v/>
      </c>
      <c r="AH787" s="250" t="str">
        <f t="shared" si="25"/>
        <v/>
      </c>
      <c r="AI787" s="250">
        <f t="shared" si="26"/>
        <v>3</v>
      </c>
      <c r="AJ787" s="56">
        <f t="shared" si="28"/>
        <v>3</v>
      </c>
      <c r="AL787" s="56">
        <f t="shared" si="29"/>
        <v>3</v>
      </c>
      <c r="AO787" s="56">
        <f t="shared" si="30"/>
        <v>5</v>
      </c>
      <c r="AS787" s="60" t="str">
        <f>IF(AO790=0,"",CONCATENATE(AS785,AV785,AS790,"."))</f>
        <v>this claimant reports enduring so many of these consequences to the point of being cut off from opportunities to live independently.</v>
      </c>
      <c r="BB787" s="56"/>
    </row>
    <row r="788" spans="1:64" x14ac:dyDescent="0.25">
      <c r="A788" s="242"/>
      <c r="B788" s="247" t="s">
        <v>485</v>
      </c>
      <c r="C788" s="248" t="s">
        <v>517</v>
      </c>
      <c r="D788" s="247" t="s">
        <v>494</v>
      </c>
      <c r="E788" s="92"/>
      <c r="F788" s="1"/>
      <c r="AC788" s="9" t="str">
        <f t="shared" si="20"/>
        <v/>
      </c>
      <c r="AD788" s="11" t="str">
        <f t="shared" si="21"/>
        <v/>
      </c>
      <c r="AE788" s="249">
        <f t="shared" si="22"/>
        <v>2</v>
      </c>
      <c r="AF788" s="56">
        <f t="shared" si="23"/>
        <v>2</v>
      </c>
      <c r="AG788" s="250" t="str">
        <f t="shared" si="24"/>
        <v/>
      </c>
      <c r="AH788" s="250">
        <f t="shared" si="25"/>
        <v>2</v>
      </c>
      <c r="AI788" s="250" t="str">
        <f t="shared" si="26"/>
        <v/>
      </c>
      <c r="AJ788" s="56">
        <f t="shared" si="28"/>
        <v>2</v>
      </c>
      <c r="AL788" s="56">
        <f t="shared" si="29"/>
        <v>2</v>
      </c>
      <c r="AO788" s="56">
        <f t="shared" si="30"/>
        <v>4</v>
      </c>
      <c r="AS788" s="56" t="s">
        <v>518</v>
      </c>
      <c r="BB788" s="56"/>
    </row>
    <row r="789" spans="1:64" x14ac:dyDescent="0.25">
      <c r="A789" s="242"/>
      <c r="B789" s="247"/>
      <c r="C789" s="248" t="s">
        <v>519</v>
      </c>
      <c r="D789" s="247"/>
      <c r="E789" s="92"/>
      <c r="F789" s="1"/>
      <c r="AC789" s="9" t="str">
        <f t="shared" si="20"/>
        <v/>
      </c>
      <c r="AD789" s="11" t="str">
        <f t="shared" si="21"/>
        <v/>
      </c>
      <c r="AE789" s="249" t="str">
        <f t="shared" si="22"/>
        <v/>
      </c>
      <c r="AF789" s="56">
        <f t="shared" si="23"/>
        <v>0</v>
      </c>
      <c r="AG789" s="250" t="str">
        <f t="shared" si="24"/>
        <v/>
      </c>
      <c r="AH789" s="250" t="str">
        <f t="shared" si="25"/>
        <v/>
      </c>
      <c r="AI789" s="250" t="str">
        <f t="shared" si="26"/>
        <v/>
      </c>
      <c r="AJ789" s="56">
        <f t="shared" si="28"/>
        <v>0</v>
      </c>
      <c r="AL789" s="56">
        <f t="shared" si="29"/>
        <v>0</v>
      </c>
      <c r="AO789" s="56">
        <f t="shared" si="30"/>
        <v>0</v>
      </c>
      <c r="BB789" s="56"/>
    </row>
    <row r="790" spans="1:64" ht="15.6" x14ac:dyDescent="0.3">
      <c r="A790" s="242"/>
      <c r="B790" s="92"/>
      <c r="C790" s="92"/>
      <c r="D790" s="92"/>
      <c r="E790" s="92"/>
      <c r="F790" s="1"/>
      <c r="AO790" s="252">
        <f>SUM(AO770:AO789)</f>
        <v>37</v>
      </c>
      <c r="AS790" s="253" t="str">
        <f>(IF(AND(AO790&gt;AS770,AO790&lt;AT770),AV770,IF(AND(AO790&gt;AS771,AO790&lt;AT771),AV771,IF(AND(AO790&gt;AS772,AO790&lt;AT772),AV772,IF(AND(AO790&gt;AS773,AO790&lt;AT773),AV773,IF(AND(AO790&gt;AS774,AO790&lt;AT774),AV774,""))))))</f>
        <v>cut off from opportunities to live independently</v>
      </c>
      <c r="AT790" s="253"/>
      <c r="AU790" s="253"/>
      <c r="AV790" s="253"/>
      <c r="AW790" s="253"/>
      <c r="AX790" s="253"/>
      <c r="AY790" s="253"/>
      <c r="AZ790" s="253"/>
      <c r="BA790" s="253"/>
      <c r="BB790" s="253"/>
      <c r="BC790" s="253"/>
    </row>
    <row r="791" spans="1:64" ht="19.95" customHeight="1" x14ac:dyDescent="0.25">
      <c r="A791" s="242"/>
      <c r="B791" s="254" t="s">
        <v>520</v>
      </c>
      <c r="C791" s="246"/>
      <c r="D791" s="246"/>
      <c r="E791" s="92"/>
      <c r="F791" s="1"/>
      <c r="BB791" s="56"/>
    </row>
    <row r="792" spans="1:64" ht="75" customHeight="1" x14ac:dyDescent="0.25">
      <c r="A792" s="242"/>
      <c r="B792" s="584"/>
      <c r="C792" s="584"/>
      <c r="D792" s="584"/>
      <c r="E792" s="92"/>
      <c r="F792" s="1"/>
      <c r="AC792" s="585" t="str">
        <f>CONCATENATE(AK768,AS787,AS788)</f>
        <v>Collateral consequences create second-class citizens, often without measurable outcomes to test if meeting their intended purpose. Consequently, they can have the opposite effect, like enabling recidivism--even among the wrongly convicted. this claimant reports enduring so many of these consequences to the point of being cut off from opportunities to live independently. You can help change this.</v>
      </c>
      <c r="AD792" s="586"/>
      <c r="AE792" s="586"/>
      <c r="AF792" s="586"/>
      <c r="AG792" s="586"/>
      <c r="AH792" s="586"/>
      <c r="AI792" s="586"/>
      <c r="AJ792" s="586"/>
      <c r="AK792" s="586"/>
      <c r="AL792" s="586"/>
      <c r="AM792" s="586"/>
      <c r="AN792" s="586"/>
      <c r="AO792" s="586"/>
      <c r="AP792" s="586"/>
      <c r="AQ792" s="586"/>
      <c r="AR792" s="586"/>
      <c r="AS792" s="586"/>
      <c r="AT792" s="586"/>
      <c r="AU792" s="586"/>
      <c r="AV792" s="586"/>
      <c r="AW792" s="586"/>
      <c r="AX792" s="586"/>
      <c r="AY792" s="586"/>
      <c r="AZ792" s="586"/>
      <c r="BA792" s="586"/>
      <c r="BB792" s="586"/>
      <c r="BC792" s="586"/>
      <c r="BD792" s="587"/>
    </row>
    <row r="793" spans="1:64" x14ac:dyDescent="0.25">
      <c r="A793" s="242"/>
      <c r="B793" s="92"/>
      <c r="C793" s="92"/>
      <c r="D793" s="92"/>
      <c r="E793" s="92"/>
      <c r="F793" s="1"/>
      <c r="BB793" s="56"/>
    </row>
    <row r="794" spans="1:64" ht="15.6" x14ac:dyDescent="0.25">
      <c r="A794" s="244">
        <f>A767+1</f>
        <v>65</v>
      </c>
      <c r="B794" s="244" t="s">
        <v>521</v>
      </c>
      <c r="C794" s="244"/>
      <c r="D794" s="244"/>
      <c r="E794" s="92"/>
      <c r="F794" s="1"/>
      <c r="AC794" s="56">
        <v>0</v>
      </c>
      <c r="AD794" s="56">
        <f>AC794+1</f>
        <v>1</v>
      </c>
      <c r="AE794" s="56">
        <f>AD794+1</f>
        <v>2</v>
      </c>
      <c r="AF794" s="56">
        <f>AE794+1</f>
        <v>3</v>
      </c>
      <c r="AI794" s="56">
        <v>10</v>
      </c>
      <c r="AJ794" s="56">
        <f>AI794-1</f>
        <v>9</v>
      </c>
      <c r="AK794" s="56">
        <f t="shared" ref="AK794:AP794" si="31">AJ794-1</f>
        <v>8</v>
      </c>
      <c r="AL794" s="56">
        <f t="shared" si="31"/>
        <v>7</v>
      </c>
      <c r="AM794" s="56">
        <f t="shared" si="31"/>
        <v>6</v>
      </c>
      <c r="AN794" s="56">
        <f t="shared" si="31"/>
        <v>5</v>
      </c>
      <c r="AO794" s="56">
        <f t="shared" si="31"/>
        <v>4</v>
      </c>
      <c r="AP794" s="56">
        <f t="shared" si="31"/>
        <v>3</v>
      </c>
      <c r="BB794" s="56"/>
    </row>
    <row r="795" spans="1:64" ht="15.6" x14ac:dyDescent="0.3">
      <c r="A795" s="242"/>
      <c r="B795" s="245" t="s">
        <v>522</v>
      </c>
      <c r="C795" s="246"/>
      <c r="D795" s="246"/>
      <c r="E795" s="92"/>
      <c r="F795" s="1"/>
      <c r="AC795" s="56" t="str">
        <f>C1995</f>
        <v>not applicable</v>
      </c>
      <c r="AD795" s="56" t="str">
        <f>C1996</f>
        <v>temporary</v>
      </c>
      <c r="AE795" s="56" t="str">
        <f>C1997</f>
        <v>lasting</v>
      </c>
      <c r="AF795" s="56" t="str">
        <f>C1998</f>
        <v>permanent</v>
      </c>
      <c r="AI795" s="56" t="str">
        <f>C2002</f>
        <v>impacting everyone I know</v>
      </c>
      <c r="AJ795" s="56" t="str">
        <f>C2003</f>
        <v>impacting close friend(s)</v>
      </c>
      <c r="AK795" s="56" t="str">
        <f>C2004</f>
        <v>impacting close friends &amp; family</v>
      </c>
      <c r="AL795" s="56" t="str">
        <f>C2005</f>
        <v>impacting only family members</v>
      </c>
      <c r="AM795" s="56" t="str">
        <f>C2006</f>
        <v>impacting only my (then) partner</v>
      </c>
      <c r="AN795" s="56" t="str">
        <f>C2007</f>
        <v>impacting (then) partner &amp; kids</v>
      </c>
      <c r="AO795" s="56" t="str">
        <f>C2008</f>
        <v>impactig only my child(ren)</v>
      </c>
      <c r="AP795" s="56" t="str">
        <f>C2009</f>
        <v>impactig only my grandchild(ren)</v>
      </c>
      <c r="AX795" s="56">
        <v>360</v>
      </c>
      <c r="BI795" s="255">
        <f>SUM(AS797:AS808)</f>
        <v>106</v>
      </c>
      <c r="BJ795" s="256">
        <f>BI795/AX795</f>
        <v>0.29444444444444445</v>
      </c>
    </row>
    <row r="796" spans="1:64" ht="4.95" customHeight="1" x14ac:dyDescent="0.25">
      <c r="A796" s="242"/>
      <c r="B796" s="242"/>
      <c r="C796" s="242"/>
      <c r="D796" s="242"/>
      <c r="E796" s="92"/>
      <c r="F796" s="1"/>
    </row>
    <row r="797" spans="1:64" x14ac:dyDescent="0.25">
      <c r="A797" s="242"/>
      <c r="B797" s="247"/>
      <c r="C797" s="248" t="s">
        <v>523</v>
      </c>
      <c r="D797" s="257"/>
      <c r="E797" s="92"/>
      <c r="F797" s="1"/>
      <c r="AC797" s="9">
        <f>IF($B797=AC$795,AC$794,0)</f>
        <v>0</v>
      </c>
      <c r="AD797" s="11">
        <f t="shared" ref="AD797:AF808" si="32">IF($B797=AD$795,AD$794,0)</f>
        <v>0</v>
      </c>
      <c r="AE797" s="249">
        <f t="shared" si="32"/>
        <v>0</v>
      </c>
      <c r="AF797" s="258">
        <f t="shared" si="32"/>
        <v>0</v>
      </c>
      <c r="AG797" s="259">
        <f>MAX(AC797:AF797)</f>
        <v>0</v>
      </c>
      <c r="AH797" s="56">
        <f>AG797</f>
        <v>0</v>
      </c>
      <c r="AI797" s="250">
        <f>IF($D797=AI$795,AI$794,0)</f>
        <v>0</v>
      </c>
      <c r="AJ797" s="250">
        <f t="shared" ref="AJ797:AP808" si="33">IF($D797=AJ$795,AJ$794,0)</f>
        <v>0</v>
      </c>
      <c r="AK797" s="250">
        <f t="shared" si="33"/>
        <v>0</v>
      </c>
      <c r="AL797" s="250">
        <f t="shared" si="33"/>
        <v>0</v>
      </c>
      <c r="AM797" s="250">
        <f t="shared" si="33"/>
        <v>0</v>
      </c>
      <c r="AN797" s="250">
        <f t="shared" si="33"/>
        <v>0</v>
      </c>
      <c r="AO797" s="250">
        <f t="shared" si="33"/>
        <v>0</v>
      </c>
      <c r="AP797" s="250">
        <f t="shared" si="33"/>
        <v>0</v>
      </c>
      <c r="AQ797" s="259">
        <f>IF(AG797&gt;0,MAX(AI797:AP797),0)</f>
        <v>0</v>
      </c>
      <c r="AS797" s="260" t="str">
        <f t="shared" ref="AS797:AS808" si="34">IF(AND(B797="",D797=""),"",AG797*AQ797)</f>
        <v/>
      </c>
      <c r="AV797" s="56" t="str">
        <f>IF(AF797=3,BI804,BI802)</f>
        <v xml:space="preserve">have suffered from </v>
      </c>
      <c r="BD797" s="56" t="str">
        <f>IF(AS797&gt;0,C797,"")</f>
        <v>anxiety</v>
      </c>
      <c r="BF797" s="56" t="str">
        <f>IF(BD797="","",CONCATENATE(BD797,", "))</f>
        <v xml:space="preserve">anxiety, </v>
      </c>
      <c r="BI797" s="411">
        <v>0</v>
      </c>
      <c r="BJ797" s="411">
        <v>89</v>
      </c>
      <c r="BL797" s="56" t="s">
        <v>524</v>
      </c>
    </row>
    <row r="798" spans="1:64" x14ac:dyDescent="0.25">
      <c r="A798" s="242"/>
      <c r="B798" s="247"/>
      <c r="C798" s="248" t="s">
        <v>525</v>
      </c>
      <c r="D798" s="257"/>
      <c r="E798" s="92"/>
      <c r="F798" s="1"/>
      <c r="AC798" s="9">
        <f t="shared" ref="AC798:AC808" si="35">IF($B798=AC$795,AC$794,0)</f>
        <v>0</v>
      </c>
      <c r="AD798" s="11">
        <f t="shared" si="32"/>
        <v>0</v>
      </c>
      <c r="AE798" s="249">
        <f t="shared" si="32"/>
        <v>0</v>
      </c>
      <c r="AF798" s="258">
        <f t="shared" si="32"/>
        <v>0</v>
      </c>
      <c r="AG798" s="259">
        <f t="shared" ref="AG798:AG808" si="36">MAX(AC798:AF798)</f>
        <v>0</v>
      </c>
      <c r="AI798" s="250">
        <f t="shared" ref="AI798:AI808" si="37">IF($D798=AI$795,AI$794,0)</f>
        <v>0</v>
      </c>
      <c r="AJ798" s="250">
        <f t="shared" si="33"/>
        <v>0</v>
      </c>
      <c r="AK798" s="250">
        <f t="shared" si="33"/>
        <v>0</v>
      </c>
      <c r="AL798" s="250">
        <f t="shared" si="33"/>
        <v>0</v>
      </c>
      <c r="AM798" s="250">
        <f t="shared" si="33"/>
        <v>0</v>
      </c>
      <c r="AN798" s="250">
        <f t="shared" si="33"/>
        <v>0</v>
      </c>
      <c r="AO798" s="250">
        <f t="shared" si="33"/>
        <v>0</v>
      </c>
      <c r="AP798" s="250">
        <f t="shared" si="33"/>
        <v>0</v>
      </c>
      <c r="AQ798" s="259">
        <f t="shared" ref="AQ798:AQ808" si="38">IF(AG798&gt;0,MAX(AI798:AP798),0)</f>
        <v>0</v>
      </c>
      <c r="AS798" s="260" t="str">
        <f t="shared" si="34"/>
        <v/>
      </c>
      <c r="BI798" s="411">
        <f>BJ797</f>
        <v>89</v>
      </c>
      <c r="BJ798" s="411">
        <f>BI799</f>
        <v>100</v>
      </c>
    </row>
    <row r="799" spans="1:64" x14ac:dyDescent="0.25">
      <c r="A799" s="242"/>
      <c r="B799" s="247"/>
      <c r="C799" s="248" t="s">
        <v>526</v>
      </c>
      <c r="D799" s="257"/>
      <c r="E799" s="92"/>
      <c r="F799" s="1"/>
      <c r="AC799" s="9">
        <f t="shared" si="35"/>
        <v>0</v>
      </c>
      <c r="AD799" s="11">
        <f t="shared" si="32"/>
        <v>0</v>
      </c>
      <c r="AE799" s="249">
        <f t="shared" si="32"/>
        <v>0</v>
      </c>
      <c r="AF799" s="258">
        <f t="shared" si="32"/>
        <v>0</v>
      </c>
      <c r="AG799" s="259">
        <f t="shared" si="36"/>
        <v>0</v>
      </c>
      <c r="AH799" s="56">
        <f>AG799</f>
        <v>0</v>
      </c>
      <c r="AI799" s="250">
        <f t="shared" si="37"/>
        <v>0</v>
      </c>
      <c r="AJ799" s="250">
        <f t="shared" si="33"/>
        <v>0</v>
      </c>
      <c r="AK799" s="250">
        <f t="shared" si="33"/>
        <v>0</v>
      </c>
      <c r="AL799" s="250">
        <f t="shared" si="33"/>
        <v>0</v>
      </c>
      <c r="AM799" s="250">
        <f t="shared" si="33"/>
        <v>0</v>
      </c>
      <c r="AN799" s="250">
        <f t="shared" si="33"/>
        <v>0</v>
      </c>
      <c r="AO799" s="250">
        <f t="shared" si="33"/>
        <v>0</v>
      </c>
      <c r="AP799" s="250">
        <f t="shared" si="33"/>
        <v>0</v>
      </c>
      <c r="AQ799" s="259">
        <f t="shared" si="38"/>
        <v>0</v>
      </c>
      <c r="AS799" s="260" t="str">
        <f t="shared" si="34"/>
        <v/>
      </c>
      <c r="BD799" s="56" t="str">
        <f>IF(AS799&gt;0,C799,"")</f>
        <v>depression</v>
      </c>
      <c r="BF799" s="56" t="str">
        <f t="shared" ref="BF799:BF807" si="39">IF(BD799="","",CONCATENATE(BD799,", "))</f>
        <v xml:space="preserve">depression, </v>
      </c>
      <c r="BI799" s="411">
        <v>100</v>
      </c>
      <c r="BJ799" s="411">
        <v>121</v>
      </c>
    </row>
    <row r="800" spans="1:64" x14ac:dyDescent="0.25">
      <c r="A800" s="242"/>
      <c r="B800" s="247" t="s">
        <v>527</v>
      </c>
      <c r="C800" s="248" t="s">
        <v>528</v>
      </c>
      <c r="D800" s="257" t="s">
        <v>529</v>
      </c>
      <c r="E800" s="92"/>
      <c r="F800" s="1"/>
      <c r="AC800" s="9">
        <f t="shared" si="35"/>
        <v>0</v>
      </c>
      <c r="AD800" s="11">
        <f t="shared" si="32"/>
        <v>0</v>
      </c>
      <c r="AE800" s="249">
        <f t="shared" si="32"/>
        <v>2</v>
      </c>
      <c r="AF800" s="258">
        <f t="shared" si="32"/>
        <v>0</v>
      </c>
      <c r="AG800" s="259">
        <f t="shared" si="36"/>
        <v>2</v>
      </c>
      <c r="AH800" s="56">
        <f>AG800</f>
        <v>2</v>
      </c>
      <c r="AI800" s="250">
        <f t="shared" si="37"/>
        <v>0</v>
      </c>
      <c r="AJ800" s="250">
        <f t="shared" si="33"/>
        <v>0</v>
      </c>
      <c r="AK800" s="250">
        <f t="shared" si="33"/>
        <v>8</v>
      </c>
      <c r="AL800" s="250">
        <f t="shared" si="33"/>
        <v>0</v>
      </c>
      <c r="AM800" s="250">
        <f t="shared" si="33"/>
        <v>0</v>
      </c>
      <c r="AN800" s="250">
        <f t="shared" si="33"/>
        <v>0</v>
      </c>
      <c r="AO800" s="250">
        <f t="shared" si="33"/>
        <v>0</v>
      </c>
      <c r="AP800" s="250">
        <f t="shared" si="33"/>
        <v>0</v>
      </c>
      <c r="AQ800" s="259">
        <f t="shared" si="38"/>
        <v>8</v>
      </c>
      <c r="AS800" s="260">
        <f t="shared" si="34"/>
        <v>16</v>
      </c>
      <c r="BD800" s="56" t="str">
        <f>IF(AS800&gt;0,C800,"")</f>
        <v>divorce</v>
      </c>
      <c r="BF800" s="56" t="str">
        <f t="shared" si="39"/>
        <v xml:space="preserve">divorce, </v>
      </c>
      <c r="BI800" s="16">
        <f>BJ799</f>
        <v>121</v>
      </c>
      <c r="BJ800" s="16">
        <f>BI800+$BJ$797</f>
        <v>210</v>
      </c>
    </row>
    <row r="801" spans="1:71" x14ac:dyDescent="0.25">
      <c r="A801" s="242"/>
      <c r="B801" s="247" t="s">
        <v>527</v>
      </c>
      <c r="C801" s="248" t="s">
        <v>530</v>
      </c>
      <c r="D801" s="257" t="s">
        <v>531</v>
      </c>
      <c r="E801" s="92"/>
      <c r="F801" s="1"/>
      <c r="AC801" s="9">
        <f t="shared" si="35"/>
        <v>0</v>
      </c>
      <c r="AD801" s="11">
        <f t="shared" si="32"/>
        <v>0</v>
      </c>
      <c r="AE801" s="249">
        <f t="shared" si="32"/>
        <v>2</v>
      </c>
      <c r="AF801" s="258">
        <f t="shared" si="32"/>
        <v>0</v>
      </c>
      <c r="AG801" s="259">
        <f t="shared" si="36"/>
        <v>2</v>
      </c>
      <c r="AH801" s="56">
        <f>AG801</f>
        <v>2</v>
      </c>
      <c r="AI801" s="250">
        <f t="shared" si="37"/>
        <v>0</v>
      </c>
      <c r="AJ801" s="250">
        <f t="shared" si="33"/>
        <v>0</v>
      </c>
      <c r="AK801" s="250">
        <f t="shared" si="33"/>
        <v>0</v>
      </c>
      <c r="AL801" s="250">
        <f t="shared" si="33"/>
        <v>7</v>
      </c>
      <c r="AM801" s="250">
        <f t="shared" si="33"/>
        <v>0</v>
      </c>
      <c r="AN801" s="250">
        <f t="shared" si="33"/>
        <v>0</v>
      </c>
      <c r="AO801" s="250">
        <f t="shared" si="33"/>
        <v>0</v>
      </c>
      <c r="AP801" s="250">
        <f t="shared" si="33"/>
        <v>0</v>
      </c>
      <c r="AQ801" s="259">
        <f t="shared" si="38"/>
        <v>7</v>
      </c>
      <c r="AS801" s="260">
        <f t="shared" si="34"/>
        <v>14</v>
      </c>
      <c r="BD801" s="56" t="str">
        <f>IF(AS801&gt;0,C801,"")</f>
        <v>housing instability</v>
      </c>
      <c r="BF801" s="56" t="str">
        <f t="shared" si="39"/>
        <v xml:space="preserve">housing instability, </v>
      </c>
      <c r="BI801" s="16">
        <f>BJ800</f>
        <v>210</v>
      </c>
      <c r="BJ801" s="16">
        <f>BI801+$BJ$797</f>
        <v>299</v>
      </c>
      <c r="BL801" s="56" t="s">
        <v>532</v>
      </c>
    </row>
    <row r="802" spans="1:71" x14ac:dyDescent="0.25">
      <c r="A802" s="242"/>
      <c r="B802" s="247" t="s">
        <v>527</v>
      </c>
      <c r="C802" s="248" t="s">
        <v>533</v>
      </c>
      <c r="D802" s="257" t="s">
        <v>534</v>
      </c>
      <c r="E802" s="92"/>
      <c r="F802" s="1"/>
      <c r="AC802" s="9">
        <f t="shared" si="35"/>
        <v>0</v>
      </c>
      <c r="AD802" s="11">
        <f t="shared" si="32"/>
        <v>0</v>
      </c>
      <c r="AE802" s="249">
        <f t="shared" si="32"/>
        <v>2</v>
      </c>
      <c r="AF802" s="258">
        <f t="shared" si="32"/>
        <v>0</v>
      </c>
      <c r="AG802" s="259">
        <f t="shared" si="36"/>
        <v>2</v>
      </c>
      <c r="AI802" s="250">
        <f t="shared" si="37"/>
        <v>0</v>
      </c>
      <c r="AJ802" s="250">
        <f t="shared" si="33"/>
        <v>0</v>
      </c>
      <c r="AK802" s="250">
        <f t="shared" si="33"/>
        <v>0</v>
      </c>
      <c r="AL802" s="250">
        <f t="shared" si="33"/>
        <v>0</v>
      </c>
      <c r="AM802" s="250">
        <f t="shared" si="33"/>
        <v>0</v>
      </c>
      <c r="AN802" s="250">
        <f t="shared" si="33"/>
        <v>5</v>
      </c>
      <c r="AO802" s="250">
        <f t="shared" si="33"/>
        <v>0</v>
      </c>
      <c r="AP802" s="250">
        <f t="shared" si="33"/>
        <v>0</v>
      </c>
      <c r="AQ802" s="259">
        <f t="shared" si="38"/>
        <v>5</v>
      </c>
      <c r="AS802" s="260">
        <f t="shared" si="34"/>
        <v>10</v>
      </c>
      <c r="AV802" s="56" t="s">
        <v>535</v>
      </c>
      <c r="BI802" s="56" t="s">
        <v>536</v>
      </c>
    </row>
    <row r="803" spans="1:71" x14ac:dyDescent="0.25">
      <c r="A803" s="242"/>
      <c r="B803" s="247" t="s">
        <v>527</v>
      </c>
      <c r="C803" s="248" t="s">
        <v>537</v>
      </c>
      <c r="D803" s="257" t="s">
        <v>534</v>
      </c>
      <c r="E803" s="92"/>
      <c r="F803" s="1"/>
      <c r="AC803" s="9">
        <f t="shared" si="35"/>
        <v>0</v>
      </c>
      <c r="AD803" s="11">
        <f t="shared" si="32"/>
        <v>0</v>
      </c>
      <c r="AE803" s="249">
        <f t="shared" si="32"/>
        <v>2</v>
      </c>
      <c r="AF803" s="258">
        <f t="shared" si="32"/>
        <v>0</v>
      </c>
      <c r="AG803" s="259">
        <f t="shared" si="36"/>
        <v>2</v>
      </c>
      <c r="AI803" s="250">
        <f t="shared" si="37"/>
        <v>0</v>
      </c>
      <c r="AJ803" s="250">
        <f t="shared" si="33"/>
        <v>0</v>
      </c>
      <c r="AK803" s="250">
        <f t="shared" si="33"/>
        <v>0</v>
      </c>
      <c r="AL803" s="250">
        <f t="shared" si="33"/>
        <v>0</v>
      </c>
      <c r="AM803" s="250">
        <f t="shared" si="33"/>
        <v>0</v>
      </c>
      <c r="AN803" s="250">
        <f t="shared" si="33"/>
        <v>5</v>
      </c>
      <c r="AO803" s="250">
        <f t="shared" si="33"/>
        <v>0</v>
      </c>
      <c r="AP803" s="250">
        <f t="shared" si="33"/>
        <v>0</v>
      </c>
      <c r="AQ803" s="259">
        <f t="shared" si="38"/>
        <v>5</v>
      </c>
      <c r="AS803" s="260">
        <f t="shared" si="34"/>
        <v>10</v>
      </c>
      <c r="AV803" s="56" t="s">
        <v>538</v>
      </c>
      <c r="BI803" s="56" t="s">
        <v>539</v>
      </c>
    </row>
    <row r="804" spans="1:71" x14ac:dyDescent="0.25">
      <c r="A804" s="242"/>
      <c r="B804" s="247" t="s">
        <v>527</v>
      </c>
      <c r="C804" s="248" t="s">
        <v>540</v>
      </c>
      <c r="D804" s="257" t="s">
        <v>529</v>
      </c>
      <c r="E804" s="92"/>
      <c r="F804" s="1"/>
      <c r="AC804" s="9">
        <f t="shared" si="35"/>
        <v>0</v>
      </c>
      <c r="AD804" s="11">
        <f t="shared" si="32"/>
        <v>0</v>
      </c>
      <c r="AE804" s="249">
        <f t="shared" si="32"/>
        <v>2</v>
      </c>
      <c r="AF804" s="258">
        <f t="shared" si="32"/>
        <v>0</v>
      </c>
      <c r="AG804" s="259">
        <f t="shared" si="36"/>
        <v>2</v>
      </c>
      <c r="AI804" s="250">
        <f t="shared" si="37"/>
        <v>0</v>
      </c>
      <c r="AJ804" s="250">
        <f t="shared" si="33"/>
        <v>0</v>
      </c>
      <c r="AK804" s="250">
        <f t="shared" si="33"/>
        <v>8</v>
      </c>
      <c r="AL804" s="250">
        <f t="shared" si="33"/>
        <v>0</v>
      </c>
      <c r="AM804" s="250">
        <f t="shared" si="33"/>
        <v>0</v>
      </c>
      <c r="AN804" s="250">
        <f t="shared" si="33"/>
        <v>0</v>
      </c>
      <c r="AO804" s="250">
        <f t="shared" si="33"/>
        <v>0</v>
      </c>
      <c r="AP804" s="250">
        <f t="shared" si="33"/>
        <v>0</v>
      </c>
      <c r="AQ804" s="259">
        <f t="shared" si="38"/>
        <v>8</v>
      </c>
      <c r="AS804" s="260">
        <f t="shared" si="34"/>
        <v>16</v>
      </c>
      <c r="AV804" s="56" t="s">
        <v>541</v>
      </c>
      <c r="BI804" s="56" t="s">
        <v>542</v>
      </c>
    </row>
    <row r="805" spans="1:71" x14ac:dyDescent="0.25">
      <c r="A805" s="242"/>
      <c r="B805" s="247"/>
      <c r="C805" s="248" t="s">
        <v>543</v>
      </c>
      <c r="D805" s="257"/>
      <c r="E805" s="92"/>
      <c r="F805" s="1"/>
      <c r="AC805" s="9">
        <f t="shared" si="35"/>
        <v>0</v>
      </c>
      <c r="AD805" s="11">
        <f t="shared" si="32"/>
        <v>0</v>
      </c>
      <c r="AE805" s="249">
        <f t="shared" si="32"/>
        <v>0</v>
      </c>
      <c r="AF805" s="258">
        <f t="shared" si="32"/>
        <v>0</v>
      </c>
      <c r="AG805" s="259">
        <f t="shared" si="36"/>
        <v>0</v>
      </c>
      <c r="AI805" s="250">
        <f t="shared" si="37"/>
        <v>0</v>
      </c>
      <c r="AJ805" s="250">
        <f t="shared" si="33"/>
        <v>0</v>
      </c>
      <c r="AK805" s="250">
        <f t="shared" si="33"/>
        <v>0</v>
      </c>
      <c r="AL805" s="250">
        <f t="shared" si="33"/>
        <v>0</v>
      </c>
      <c r="AM805" s="250">
        <f t="shared" si="33"/>
        <v>0</v>
      </c>
      <c r="AN805" s="250">
        <f t="shared" si="33"/>
        <v>0</v>
      </c>
      <c r="AO805" s="250">
        <f t="shared" si="33"/>
        <v>0</v>
      </c>
      <c r="AP805" s="250">
        <f t="shared" si="33"/>
        <v>0</v>
      </c>
      <c r="AQ805" s="259">
        <f t="shared" si="38"/>
        <v>0</v>
      </c>
      <c r="AS805" s="260" t="str">
        <f t="shared" si="34"/>
        <v/>
      </c>
    </row>
    <row r="806" spans="1:71" x14ac:dyDescent="0.25">
      <c r="A806" s="242"/>
      <c r="B806" s="247" t="s">
        <v>527</v>
      </c>
      <c r="C806" s="248" t="s">
        <v>544</v>
      </c>
      <c r="D806" s="257" t="s">
        <v>545</v>
      </c>
      <c r="E806" s="92"/>
      <c r="F806" s="1"/>
      <c r="AC806" s="9">
        <f t="shared" si="35"/>
        <v>0</v>
      </c>
      <c r="AD806" s="11">
        <f t="shared" si="32"/>
        <v>0</v>
      </c>
      <c r="AE806" s="249">
        <f t="shared" si="32"/>
        <v>2</v>
      </c>
      <c r="AF806" s="258">
        <f t="shared" si="32"/>
        <v>0</v>
      </c>
      <c r="AG806" s="259">
        <f t="shared" si="36"/>
        <v>2</v>
      </c>
      <c r="AH806" s="56">
        <f>AG806</f>
        <v>2</v>
      </c>
      <c r="AI806" s="250">
        <f t="shared" si="37"/>
        <v>10</v>
      </c>
      <c r="AJ806" s="250">
        <f t="shared" si="33"/>
        <v>0</v>
      </c>
      <c r="AK806" s="250">
        <f t="shared" si="33"/>
        <v>0</v>
      </c>
      <c r="AL806" s="250">
        <f t="shared" si="33"/>
        <v>0</v>
      </c>
      <c r="AM806" s="250">
        <f t="shared" si="33"/>
        <v>0</v>
      </c>
      <c r="AN806" s="250">
        <f t="shared" si="33"/>
        <v>0</v>
      </c>
      <c r="AO806" s="250">
        <f t="shared" si="33"/>
        <v>0</v>
      </c>
      <c r="AP806" s="250">
        <f t="shared" si="33"/>
        <v>0</v>
      </c>
      <c r="AQ806" s="259">
        <f t="shared" si="38"/>
        <v>10</v>
      </c>
      <c r="AS806" s="260">
        <f t="shared" si="34"/>
        <v>20</v>
      </c>
      <c r="BD806" s="56" t="str">
        <f>IF(AS806&gt;0,C806,"")</f>
        <v>poverty</v>
      </c>
      <c r="BF806" s="56" t="str">
        <f t="shared" si="39"/>
        <v xml:space="preserve">poverty, </v>
      </c>
      <c r="BI806" s="56" t="str">
        <f>IF($AQ$809&gt;0,"family members","")</f>
        <v>family members</v>
      </c>
      <c r="BK806" s="56" t="str">
        <f>IF(BI806="","",CONCATENATE(BI806,", "))</f>
        <v xml:space="preserve">family members, </v>
      </c>
      <c r="BO806" s="56" t="str">
        <f>IF($AQ$809&gt;0,"family members and friends","")</f>
        <v>family members and friends</v>
      </c>
    </row>
    <row r="807" spans="1:71" x14ac:dyDescent="0.25">
      <c r="A807" s="242"/>
      <c r="B807" s="247" t="s">
        <v>527</v>
      </c>
      <c r="C807" s="248" t="s">
        <v>546</v>
      </c>
      <c r="D807" s="257" t="s">
        <v>545</v>
      </c>
      <c r="E807" s="92"/>
      <c r="F807" s="1"/>
      <c r="AC807" s="9">
        <f t="shared" si="35"/>
        <v>0</v>
      </c>
      <c r="AD807" s="11">
        <f t="shared" si="32"/>
        <v>0</v>
      </c>
      <c r="AE807" s="249">
        <f t="shared" si="32"/>
        <v>2</v>
      </c>
      <c r="AF807" s="258">
        <f t="shared" si="32"/>
        <v>0</v>
      </c>
      <c r="AG807" s="259">
        <f t="shared" si="36"/>
        <v>2</v>
      </c>
      <c r="AH807" s="56">
        <f>AG807</f>
        <v>2</v>
      </c>
      <c r="AI807" s="250">
        <f t="shared" si="37"/>
        <v>10</v>
      </c>
      <c r="AJ807" s="250">
        <f t="shared" si="33"/>
        <v>0</v>
      </c>
      <c r="AK807" s="250">
        <f t="shared" si="33"/>
        <v>0</v>
      </c>
      <c r="AL807" s="250">
        <f t="shared" si="33"/>
        <v>0</v>
      </c>
      <c r="AM807" s="250">
        <f t="shared" si="33"/>
        <v>0</v>
      </c>
      <c r="AN807" s="250">
        <f t="shared" si="33"/>
        <v>0</v>
      </c>
      <c r="AO807" s="250">
        <f t="shared" si="33"/>
        <v>0</v>
      </c>
      <c r="AP807" s="250">
        <f t="shared" si="33"/>
        <v>0</v>
      </c>
      <c r="AQ807" s="259">
        <f t="shared" si="38"/>
        <v>10</v>
      </c>
      <c r="AS807" s="260">
        <f t="shared" si="34"/>
        <v>20</v>
      </c>
      <c r="BD807" s="56" t="str">
        <f>IF(AS807&gt;0,C807,"")</f>
        <v>stigma</v>
      </c>
      <c r="BF807" s="56" t="str">
        <f t="shared" si="39"/>
        <v xml:space="preserve">stigma, </v>
      </c>
      <c r="BI807" s="56" t="str">
        <f>IF(AND($AQ$809&gt;96,$AQ$809&lt;109),"friends","")</f>
        <v/>
      </c>
      <c r="BK807" s="56" t="str">
        <f>IF(BI807="","",CONCATENATE(BI807,", "))</f>
        <v/>
      </c>
      <c r="BO807" s="56" t="str">
        <f>IF(BI808="",BO806,"")</f>
        <v/>
      </c>
    </row>
    <row r="808" spans="1:71" x14ac:dyDescent="0.25">
      <c r="A808" s="242"/>
      <c r="B808" s="247"/>
      <c r="C808" s="248" t="s">
        <v>547</v>
      </c>
      <c r="D808" s="257"/>
      <c r="E808" s="92"/>
      <c r="F808" s="1"/>
      <c r="AC808" s="9">
        <f t="shared" si="35"/>
        <v>0</v>
      </c>
      <c r="AD808" s="11">
        <f t="shared" si="32"/>
        <v>0</v>
      </c>
      <c r="AE808" s="249">
        <f t="shared" si="32"/>
        <v>0</v>
      </c>
      <c r="AF808" s="258">
        <f t="shared" si="32"/>
        <v>0</v>
      </c>
      <c r="AG808" s="259">
        <f t="shared" si="36"/>
        <v>0</v>
      </c>
      <c r="AI808" s="250">
        <f t="shared" si="37"/>
        <v>0</v>
      </c>
      <c r="AJ808" s="250">
        <f t="shared" si="33"/>
        <v>0</v>
      </c>
      <c r="AK808" s="250">
        <f t="shared" si="33"/>
        <v>0</v>
      </c>
      <c r="AL808" s="250">
        <f t="shared" si="33"/>
        <v>0</v>
      </c>
      <c r="AM808" s="250">
        <f t="shared" si="33"/>
        <v>0</v>
      </c>
      <c r="AN808" s="250">
        <f t="shared" si="33"/>
        <v>0</v>
      </c>
      <c r="AO808" s="250">
        <f t="shared" si="33"/>
        <v>0</v>
      </c>
      <c r="AP808" s="250">
        <f t="shared" si="33"/>
        <v>0</v>
      </c>
      <c r="AQ808" s="259">
        <f t="shared" si="38"/>
        <v>0</v>
      </c>
      <c r="AS808" s="260" t="str">
        <f t="shared" si="34"/>
        <v/>
      </c>
      <c r="BF808" s="16" t="str">
        <f>IF(AH809&gt;0,"among other things. ","")</f>
        <v xml:space="preserve">among other things. </v>
      </c>
      <c r="BI808" s="56" t="str">
        <f>IF(AND($AI$809&gt;8,$AI$809&lt;101)," many others ","")</f>
        <v xml:space="preserve"> many others </v>
      </c>
      <c r="BK808" s="56" t="str">
        <f>IF(BI808="","",CONCATENATE(BI808,", "))</f>
        <v xml:space="preserve"> many others , </v>
      </c>
    </row>
    <row r="809" spans="1:71" ht="15" customHeight="1" x14ac:dyDescent="0.25">
      <c r="A809" s="244"/>
      <c r="B809" s="244"/>
      <c r="C809" s="244"/>
      <c r="D809" s="244"/>
      <c r="E809" s="92"/>
      <c r="F809" s="1"/>
      <c r="AC809" s="56">
        <f t="shared" ref="AC809:AQ809" si="40">SUM(AC797:AC808)</f>
        <v>0</v>
      </c>
      <c r="AD809" s="56">
        <f t="shared" si="40"/>
        <v>0</v>
      </c>
      <c r="AE809" s="56">
        <f t="shared" si="40"/>
        <v>14</v>
      </c>
      <c r="AF809" s="56">
        <f t="shared" si="40"/>
        <v>0</v>
      </c>
      <c r="AG809" s="260">
        <f t="shared" si="40"/>
        <v>14</v>
      </c>
      <c r="AH809" s="56">
        <f t="shared" si="40"/>
        <v>8</v>
      </c>
      <c r="AI809" s="56">
        <f t="shared" si="40"/>
        <v>20</v>
      </c>
      <c r="AJ809" s="56">
        <f t="shared" si="40"/>
        <v>0</v>
      </c>
      <c r="AK809" s="56">
        <f t="shared" si="40"/>
        <v>16</v>
      </c>
      <c r="AL809" s="56">
        <f t="shared" si="40"/>
        <v>7</v>
      </c>
      <c r="AM809" s="56">
        <f t="shared" si="40"/>
        <v>0</v>
      </c>
      <c r="AN809" s="56">
        <f t="shared" si="40"/>
        <v>10</v>
      </c>
      <c r="AO809" s="56">
        <f t="shared" si="40"/>
        <v>0</v>
      </c>
      <c r="AP809" s="56">
        <f t="shared" si="40"/>
        <v>0</v>
      </c>
      <c r="AQ809" s="260">
        <f t="shared" si="40"/>
        <v>53</v>
      </c>
    </row>
    <row r="810" spans="1:71" ht="15" customHeight="1" x14ac:dyDescent="0.25">
      <c r="A810" s="242"/>
      <c r="B810" s="246" t="s">
        <v>548</v>
      </c>
      <c r="C810" s="246"/>
      <c r="D810" s="246"/>
      <c r="E810" s="92"/>
      <c r="F810" s="1"/>
      <c r="AC810" s="56" t="s">
        <v>549</v>
      </c>
      <c r="AN810" s="56" t="str">
        <f>IF($C$7=AD152,"this claimant",$C$7)</f>
        <v>Steph Turner</v>
      </c>
      <c r="AS810" s="262" t="s">
        <v>550</v>
      </c>
      <c r="AU810" s="56" t="str">
        <f>IF($C$7=AD152," This claimant",$C$7)</f>
        <v>Steph Turner</v>
      </c>
      <c r="AZ810" s="56" t="s">
        <v>551</v>
      </c>
      <c r="BB810" s="56"/>
      <c r="BD810" s="56" t="str">
        <f>IF(AND(AQ809&gt;BI797,AQ809&lt;BJ797),AV802,IF(AND(AQ809&gt;BI798,AQ809&lt;BJ798),AV803,IF(AND(AQ809&gt;BI799,AQ809&lt;BJ799),AV804,"")))</f>
        <v xml:space="preserve">family members </v>
      </c>
      <c r="BK810" s="263" t="str">
        <f>IF(BO806="",BK807,BO806)</f>
        <v>family members and friends</v>
      </c>
      <c r="BL810" s="263"/>
      <c r="BM810" s="263"/>
      <c r="BN810" s="263"/>
      <c r="BO810" s="263"/>
      <c r="BP810" s="263"/>
      <c r="BS810" s="263" t="str">
        <f>IF(BK808="",BO806,BK808)</f>
        <v xml:space="preserve"> many others , </v>
      </c>
    </row>
    <row r="811" spans="1:71" ht="30" customHeight="1" x14ac:dyDescent="0.35">
      <c r="A811" s="242"/>
      <c r="B811" s="584"/>
      <c r="C811" s="584"/>
      <c r="D811" s="584"/>
      <c r="E811" s="92"/>
      <c r="F811" s="1"/>
      <c r="AC811" s="588" t="str">
        <f>CONCATENATE(AC810,AN810,AS810,AU810,AZ810,BD810,AC812,AH812,BD812)</f>
        <v>Collateral consequences also impact others in Steph Turner's life. Steph Turner shares how family members have suffered from anxiety, depression, divorce, housing instability, poverty, stigma, among other things. You can help improve their lives too!</v>
      </c>
      <c r="AD811" s="589"/>
      <c r="AE811" s="589"/>
      <c r="AF811" s="589"/>
      <c r="AG811" s="589"/>
      <c r="AH811" s="589"/>
      <c r="AI811" s="589"/>
      <c r="AJ811" s="589"/>
      <c r="AK811" s="589"/>
      <c r="AL811" s="589"/>
      <c r="AM811" s="589"/>
      <c r="AN811" s="589"/>
      <c r="AO811" s="589"/>
      <c r="AP811" s="589"/>
      <c r="AQ811" s="589"/>
      <c r="AR811" s="589"/>
      <c r="AS811" s="589"/>
      <c r="AT811" s="589"/>
      <c r="AU811" s="589"/>
      <c r="AV811" s="589"/>
      <c r="AW811" s="589"/>
      <c r="AX811" s="589"/>
      <c r="AY811" s="589"/>
      <c r="AZ811" s="589"/>
      <c r="BA811" s="589"/>
      <c r="BB811" s="589"/>
      <c r="BC811" s="589"/>
      <c r="BD811" s="590"/>
      <c r="BI811" s="264"/>
    </row>
    <row r="812" spans="1:71" ht="15" customHeight="1" x14ac:dyDescent="0.25">
      <c r="A812" s="242"/>
      <c r="B812" s="92"/>
      <c r="C812" s="92"/>
      <c r="D812" s="92"/>
      <c r="E812" s="92"/>
      <c r="F812" s="1"/>
      <c r="AC812" s="56" t="str">
        <f>IF(BD810="","others have suffered. ","have suffered from ")</f>
        <v xml:space="preserve">have suffered from </v>
      </c>
      <c r="AH812" s="56" t="str">
        <f>IF(BD810="","",CONCATENATE(BF797,BF799,BF800,BF801,BF806,BF807,BF808))</f>
        <v xml:space="preserve">anxiety, depression, divorce, housing instability, poverty, stigma, among other things. </v>
      </c>
      <c r="BD812" s="56" t="s">
        <v>552</v>
      </c>
    </row>
    <row r="813" spans="1:71" ht="15" customHeight="1" x14ac:dyDescent="0.25">
      <c r="A813" s="244">
        <f>A794+1</f>
        <v>66</v>
      </c>
      <c r="B813" s="244" t="s">
        <v>553</v>
      </c>
      <c r="C813" s="244"/>
      <c r="D813" s="244"/>
      <c r="E813" s="92"/>
      <c r="F813" s="1"/>
      <c r="BB813" s="56"/>
    </row>
    <row r="814" spans="1:71" ht="15" customHeight="1" x14ac:dyDescent="0.3">
      <c r="A814" s="242"/>
      <c r="B814" s="245" t="s">
        <v>554</v>
      </c>
      <c r="C814" s="246"/>
      <c r="D814" s="246"/>
      <c r="E814" s="92"/>
      <c r="F814" s="1"/>
      <c r="BD814" s="56" t="str">
        <f>BK806</f>
        <v xml:space="preserve">family members, </v>
      </c>
      <c r="BF814" s="56" t="str">
        <f>BK807</f>
        <v/>
      </c>
      <c r="BG814" s="56" t="str">
        <f>BK808</f>
        <v xml:space="preserve"> many others , </v>
      </c>
    </row>
    <row r="815" spans="1:71" ht="15" customHeight="1" x14ac:dyDescent="0.25">
      <c r="A815" s="242"/>
      <c r="B815" s="92"/>
      <c r="C815" s="92"/>
      <c r="D815" s="92"/>
      <c r="E815" s="92"/>
      <c r="F815" s="1"/>
    </row>
    <row r="816" spans="1:71" ht="25.05" customHeight="1" x14ac:dyDescent="0.25">
      <c r="A816" s="92"/>
      <c r="B816" s="265" t="s">
        <v>555</v>
      </c>
      <c r="C816" s="265"/>
      <c r="D816" s="265"/>
      <c r="E816" s="92"/>
      <c r="F816" s="1"/>
      <c r="AC816" s="266" t="str">
        <f>B1918</f>
        <v>not challenged at all</v>
      </c>
      <c r="AD816" s="266" t="str">
        <f>B1919</f>
        <v>only slightly challenged</v>
      </c>
      <c r="AE816" s="266" t="str">
        <f>B1920</f>
        <v>moderately challenged</v>
      </c>
      <c r="AF816" s="266" t="str">
        <f>B1921</f>
        <v>significantly challenged</v>
      </c>
      <c r="AG816" s="266" t="str">
        <f>B1922</f>
        <v>severely challenged</v>
      </c>
    </row>
    <row r="817" spans="1:54" ht="14.4" thickBot="1" x14ac:dyDescent="0.3">
      <c r="A817" s="92"/>
      <c r="B817" s="595" t="s">
        <v>556</v>
      </c>
      <c r="C817" s="595"/>
      <c r="D817" s="595"/>
      <c r="E817" s="92"/>
      <c r="F817" s="1"/>
      <c r="AC817" s="56">
        <v>0</v>
      </c>
      <c r="AD817" s="56">
        <f>AC817+1</f>
        <v>1</v>
      </c>
      <c r="AE817" s="56">
        <f>AD817+1</f>
        <v>2</v>
      </c>
      <c r="AF817" s="56">
        <f>AE817+1</f>
        <v>3</v>
      </c>
      <c r="AG817" s="56">
        <f>AF817+1</f>
        <v>4</v>
      </c>
      <c r="AH817" s="267">
        <f>SUM(AH818:AH823)</f>
        <v>9</v>
      </c>
      <c r="AK817" s="56" t="s">
        <v>557</v>
      </c>
      <c r="AR817" s="56" t="str">
        <f>IF(AH817&gt;0,"and other ","")</f>
        <v xml:space="preserve">and other </v>
      </c>
      <c r="AU817" s="56" t="s">
        <v>558</v>
      </c>
      <c r="BB817" s="56"/>
    </row>
    <row r="818" spans="1:54" ht="15" thickTop="1" thickBot="1" x14ac:dyDescent="0.3">
      <c r="A818" s="92"/>
      <c r="B818" s="268" t="s">
        <v>559</v>
      </c>
      <c r="C818" s="92"/>
      <c r="D818" s="269" t="s">
        <v>560</v>
      </c>
      <c r="E818" s="92"/>
      <c r="F818" s="1"/>
      <c r="AC818" s="9">
        <f t="shared" ref="AC818:AG823" si="41">IF($D818=AC$816,AC$817,0)</f>
        <v>0</v>
      </c>
      <c r="AD818" s="236">
        <f t="shared" si="41"/>
        <v>0</v>
      </c>
      <c r="AE818" s="246">
        <f t="shared" si="41"/>
        <v>0</v>
      </c>
      <c r="AF818" s="249">
        <f t="shared" si="41"/>
        <v>3</v>
      </c>
      <c r="AG818" s="258">
        <f t="shared" si="41"/>
        <v>0</v>
      </c>
      <c r="AH818" s="60">
        <f t="shared" ref="AH818:AH823" si="42">MAX(AC818:AG818)</f>
        <v>3</v>
      </c>
      <c r="AL818" s="253" t="str">
        <f>IF(AND(AJ828&lt;=AH818,AH818&gt;0),B818,"")</f>
        <v>economic</v>
      </c>
      <c r="AM818" s="253"/>
      <c r="AN818" s="253"/>
      <c r="AO818" s="253"/>
      <c r="AP818" s="253" t="s">
        <v>561</v>
      </c>
      <c r="AQ818" s="253"/>
      <c r="AT818" s="56" t="str">
        <f t="shared" ref="AT818:AT823" si="43">IF(AL818="","",CONCATENATE(AL818,AP818))</f>
        <v xml:space="preserve">economic needs, </v>
      </c>
    </row>
    <row r="819" spans="1:54" ht="15" thickTop="1" thickBot="1" x14ac:dyDescent="0.3">
      <c r="A819" s="92"/>
      <c r="B819" s="268" t="s">
        <v>562</v>
      </c>
      <c r="C819" s="92"/>
      <c r="D819" s="269" t="s">
        <v>563</v>
      </c>
      <c r="E819" s="92"/>
      <c r="F819" s="1"/>
      <c r="AC819" s="9">
        <f t="shared" si="41"/>
        <v>0</v>
      </c>
      <c r="AD819" s="236">
        <f t="shared" si="41"/>
        <v>1</v>
      </c>
      <c r="AE819" s="246">
        <f t="shared" si="41"/>
        <v>0</v>
      </c>
      <c r="AF819" s="249">
        <f t="shared" si="41"/>
        <v>0</v>
      </c>
      <c r="AG819" s="258">
        <f t="shared" si="41"/>
        <v>0</v>
      </c>
      <c r="AH819" s="60">
        <f t="shared" si="42"/>
        <v>1</v>
      </c>
      <c r="AL819" s="253" t="str">
        <f>IF(AND(AJ829&lt;=AH819,AH819&gt;0),B819,"")</f>
        <v/>
      </c>
      <c r="AM819" s="253"/>
      <c r="AN819" s="253"/>
      <c r="AO819" s="253"/>
      <c r="AP819" s="253" t="s">
        <v>561</v>
      </c>
      <c r="AQ819" s="253"/>
      <c r="AT819" s="56" t="str">
        <f t="shared" si="43"/>
        <v/>
      </c>
    </row>
    <row r="820" spans="1:54" ht="15" thickTop="1" thickBot="1" x14ac:dyDescent="0.3">
      <c r="A820" s="92"/>
      <c r="B820" s="268" t="s">
        <v>564</v>
      </c>
      <c r="C820" s="92"/>
      <c r="D820" s="269" t="s">
        <v>565</v>
      </c>
      <c r="E820" s="92"/>
      <c r="F820" s="1"/>
      <c r="AC820" s="9">
        <f t="shared" si="41"/>
        <v>0</v>
      </c>
      <c r="AD820" s="236">
        <f t="shared" si="41"/>
        <v>0</v>
      </c>
      <c r="AE820" s="246">
        <f t="shared" si="41"/>
        <v>2</v>
      </c>
      <c r="AF820" s="249">
        <f t="shared" si="41"/>
        <v>0</v>
      </c>
      <c r="AG820" s="258">
        <f t="shared" si="41"/>
        <v>0</v>
      </c>
      <c r="AH820" s="60">
        <f t="shared" si="42"/>
        <v>2</v>
      </c>
      <c r="AL820" s="253" t="str">
        <f>IF(AND(AJ830&lt;=AH820,AH820&gt;0),B820,"")</f>
        <v>mental health</v>
      </c>
      <c r="AM820" s="253"/>
      <c r="AN820" s="253"/>
      <c r="AO820" s="253"/>
      <c r="AP820" s="253" t="s">
        <v>561</v>
      </c>
      <c r="AQ820" s="253"/>
      <c r="AT820" s="56" t="str">
        <f t="shared" si="43"/>
        <v xml:space="preserve">mental health needs, </v>
      </c>
    </row>
    <row r="821" spans="1:54" ht="15" thickTop="1" thickBot="1" x14ac:dyDescent="0.3">
      <c r="A821" s="92"/>
      <c r="B821" s="268" t="s">
        <v>566</v>
      </c>
      <c r="C821" s="92"/>
      <c r="D821" s="269" t="s">
        <v>560</v>
      </c>
      <c r="E821" s="92"/>
      <c r="F821" s="1"/>
      <c r="AC821" s="9">
        <f t="shared" si="41"/>
        <v>0</v>
      </c>
      <c r="AD821" s="236">
        <f t="shared" si="41"/>
        <v>0</v>
      </c>
      <c r="AE821" s="246">
        <f t="shared" si="41"/>
        <v>0</v>
      </c>
      <c r="AF821" s="249">
        <f t="shared" si="41"/>
        <v>3</v>
      </c>
      <c r="AG821" s="258">
        <f t="shared" si="41"/>
        <v>0</v>
      </c>
      <c r="AH821" s="60">
        <f t="shared" si="42"/>
        <v>3</v>
      </c>
      <c r="AL821" s="253" t="str">
        <f>IF(AND(AJ831&lt;=AH821,AH821&gt;0),B821,"")</f>
        <v>relationships</v>
      </c>
      <c r="AM821" s="253"/>
      <c r="AN821" s="253"/>
      <c r="AO821" s="253"/>
      <c r="AP821" s="253" t="s">
        <v>561</v>
      </c>
      <c r="AQ821" s="253"/>
      <c r="AT821" s="56" t="str">
        <f t="shared" si="43"/>
        <v xml:space="preserve">relationships needs, </v>
      </c>
    </row>
    <row r="822" spans="1:54" ht="15" thickTop="1" thickBot="1" x14ac:dyDescent="0.3">
      <c r="A822" s="92"/>
      <c r="B822" s="268" t="s">
        <v>567</v>
      </c>
      <c r="C822" s="92"/>
      <c r="D822" s="269" t="s">
        <v>568</v>
      </c>
      <c r="E822" s="92"/>
      <c r="F822" s="1"/>
      <c r="AC822" s="9">
        <f t="shared" si="41"/>
        <v>0</v>
      </c>
      <c r="AD822" s="236">
        <f t="shared" si="41"/>
        <v>0</v>
      </c>
      <c r="AE822" s="246">
        <f t="shared" si="41"/>
        <v>0</v>
      </c>
      <c r="AF822" s="249">
        <f t="shared" si="41"/>
        <v>0</v>
      </c>
      <c r="AG822" s="258">
        <f t="shared" si="41"/>
        <v>0</v>
      </c>
      <c r="AH822" s="60">
        <f t="shared" si="42"/>
        <v>0</v>
      </c>
      <c r="AL822" s="253" t="str">
        <f>IF(AND(AJ832&lt;=AH822,AH822&gt;0),B822,"")</f>
        <v/>
      </c>
      <c r="AM822" s="253"/>
      <c r="AN822" s="253"/>
      <c r="AO822" s="253"/>
      <c r="AP822" s="253" t="s">
        <v>561</v>
      </c>
      <c r="AQ822" s="253"/>
      <c r="AT822" s="56" t="str">
        <f t="shared" si="43"/>
        <v/>
      </c>
    </row>
    <row r="823" spans="1:54" ht="15" thickTop="1" thickBot="1" x14ac:dyDescent="0.3">
      <c r="A823" s="92"/>
      <c r="B823" s="268" t="s">
        <v>569</v>
      </c>
      <c r="C823" s="269"/>
      <c r="D823" s="269"/>
      <c r="E823" s="92"/>
      <c r="F823" s="1"/>
      <c r="AC823" s="9">
        <f t="shared" si="41"/>
        <v>0</v>
      </c>
      <c r="AD823" s="236">
        <f t="shared" si="41"/>
        <v>0</v>
      </c>
      <c r="AE823" s="246">
        <f t="shared" si="41"/>
        <v>0</v>
      </c>
      <c r="AF823" s="249">
        <f t="shared" si="41"/>
        <v>0</v>
      </c>
      <c r="AG823" s="258">
        <f t="shared" si="41"/>
        <v>0</v>
      </c>
      <c r="AH823" s="60">
        <f t="shared" si="42"/>
        <v>0</v>
      </c>
      <c r="AL823" s="253" t="str">
        <f>IF(AND(C823&lt;&gt;"",AJ833&gt;=AH823),C823,"")</f>
        <v/>
      </c>
      <c r="AM823" s="253"/>
      <c r="AN823" s="253"/>
      <c r="AO823" s="253"/>
      <c r="AP823" s="253" t="s">
        <v>561</v>
      </c>
      <c r="AQ823" s="253"/>
      <c r="AT823" s="56" t="str">
        <f t="shared" si="43"/>
        <v/>
      </c>
    </row>
    <row r="824" spans="1:54" ht="4.95" customHeight="1" thickTop="1" x14ac:dyDescent="0.25">
      <c r="A824" s="92"/>
      <c r="B824" s="268"/>
      <c r="C824" s="92"/>
      <c r="D824" s="92"/>
      <c r="E824" s="92"/>
      <c r="F824" s="1"/>
    </row>
    <row r="825" spans="1:54" x14ac:dyDescent="0.25">
      <c r="A825" s="92"/>
      <c r="B825" s="92"/>
      <c r="C825" s="92"/>
      <c r="D825" s="92"/>
      <c r="E825" s="92"/>
      <c r="F825" s="1"/>
    </row>
    <row r="826" spans="1:54" ht="25.05" customHeight="1" x14ac:dyDescent="0.25">
      <c r="A826" s="92"/>
      <c r="B826" s="265" t="s">
        <v>570</v>
      </c>
      <c r="C826" s="265"/>
      <c r="D826" s="265"/>
      <c r="E826" s="92"/>
      <c r="F826" s="1"/>
      <c r="AC826" s="266" t="str">
        <f>B1926</f>
        <v>I don't seek it nor think about it much</v>
      </c>
      <c r="AD826" s="266" t="str">
        <f>B1927</f>
        <v>I desire it but feel it's unlikely to happen</v>
      </c>
      <c r="AE826" s="266" t="str">
        <f>B1928</f>
        <v>I hope it'll happen but I can do little about it now</v>
      </c>
      <c r="AF826" s="266" t="str">
        <f>B1929</f>
        <v>I struggle to make it happen but unsuccessfully</v>
      </c>
      <c r="AG826" s="266" t="str">
        <f>B1930</f>
        <v>I feel I've reached it but not maintained it</v>
      </c>
      <c r="AH826" s="266" t="str">
        <f>B1931</f>
        <v>I sense I can maintain it with help like this</v>
      </c>
      <c r="AI826" s="266" t="str">
        <f>B1932</f>
        <v>I maintain it without help like this</v>
      </c>
    </row>
    <row r="827" spans="1:54" ht="14.4" thickBot="1" x14ac:dyDescent="0.3">
      <c r="A827" s="92"/>
      <c r="B827" s="595" t="s">
        <v>571</v>
      </c>
      <c r="C827" s="595"/>
      <c r="D827" s="595"/>
      <c r="E827" s="92"/>
      <c r="F827" s="1"/>
      <c r="AC827" s="56">
        <v>0</v>
      </c>
      <c r="AD827" s="56">
        <f t="shared" ref="AD827:AI827" si="44">AC827+1</f>
        <v>1</v>
      </c>
      <c r="AE827" s="56">
        <f t="shared" si="44"/>
        <v>2</v>
      </c>
      <c r="AF827" s="56">
        <f t="shared" si="44"/>
        <v>3</v>
      </c>
      <c r="AG827" s="56">
        <f t="shared" si="44"/>
        <v>4</v>
      </c>
      <c r="AH827" s="56">
        <f t="shared" si="44"/>
        <v>5</v>
      </c>
      <c r="AI827" s="56">
        <f t="shared" si="44"/>
        <v>6</v>
      </c>
      <c r="AJ827" s="267">
        <f>SUM(AJ828:AJ833)</f>
        <v>7</v>
      </c>
      <c r="AK827" s="56" t="str">
        <f>IF($AM$7="","this claimant",$C$7)</f>
        <v>this claimant</v>
      </c>
      <c r="AN827" s="56" t="s">
        <v>572</v>
      </c>
      <c r="AV827" s="56" t="str">
        <f>IF(AJ827&gt;0,"and other ","")</f>
        <v xml:space="preserve">and other </v>
      </c>
      <c r="AZ827" s="16" t="s">
        <v>573</v>
      </c>
      <c r="BB827" s="56"/>
    </row>
    <row r="828" spans="1:54" ht="15" thickTop="1" thickBot="1" x14ac:dyDescent="0.3">
      <c r="A828" s="92"/>
      <c r="B828" s="268" t="s">
        <v>574</v>
      </c>
      <c r="C828" s="92"/>
      <c r="D828" s="270" t="s">
        <v>575</v>
      </c>
      <c r="E828" s="92"/>
      <c r="F828" s="1"/>
      <c r="AC828" s="9">
        <f t="shared" ref="AC828:AI833" si="45">IF($D828=AC$826,AC$827,0)</f>
        <v>0</v>
      </c>
      <c r="AD828" s="10">
        <f t="shared" si="45"/>
        <v>0</v>
      </c>
      <c r="AE828" s="236">
        <f t="shared" si="45"/>
        <v>0</v>
      </c>
      <c r="AF828" s="246">
        <f t="shared" si="45"/>
        <v>3</v>
      </c>
      <c r="AG828" s="57">
        <f t="shared" si="45"/>
        <v>0</v>
      </c>
      <c r="AH828" s="249">
        <f t="shared" si="45"/>
        <v>0</v>
      </c>
      <c r="AI828" s="258">
        <f t="shared" si="45"/>
        <v>0</v>
      </c>
      <c r="AJ828" s="60">
        <f t="shared" ref="AJ828:AJ833" si="46">MAX(AC828:AG828)</f>
        <v>3</v>
      </c>
      <c r="AL828" s="253" t="str">
        <f>IF(AND(AJ838&lt;=AJ828,AJ828&gt;0),B828,"")</f>
        <v>income independence</v>
      </c>
      <c r="AM828" s="253"/>
      <c r="AN828" s="253"/>
      <c r="AO828" s="253"/>
      <c r="AP828" s="253"/>
      <c r="AQ828" s="253"/>
      <c r="AR828" s="253"/>
      <c r="AS828" s="253"/>
      <c r="AT828" s="56" t="s">
        <v>576</v>
      </c>
      <c r="AV828" s="56" t="str">
        <f t="shared" ref="AV828:AV833" si="47">IF(AL828="","",CONCATENATE(AL828,AT828))</f>
        <v xml:space="preserve">income independence, </v>
      </c>
      <c r="BB828" s="56"/>
    </row>
    <row r="829" spans="1:54" ht="15" thickTop="1" thickBot="1" x14ac:dyDescent="0.3">
      <c r="A829" s="92"/>
      <c r="B829" s="268" t="s">
        <v>577</v>
      </c>
      <c r="C829" s="92"/>
      <c r="D829" s="270" t="s">
        <v>578</v>
      </c>
      <c r="E829" s="92"/>
      <c r="F829" s="1"/>
      <c r="AC829" s="9">
        <f t="shared" si="45"/>
        <v>0</v>
      </c>
      <c r="AD829" s="10">
        <f t="shared" si="45"/>
        <v>0</v>
      </c>
      <c r="AE829" s="236">
        <f t="shared" si="45"/>
        <v>0</v>
      </c>
      <c r="AF829" s="246">
        <f t="shared" si="45"/>
        <v>0</v>
      </c>
      <c r="AG829" s="57">
        <f t="shared" si="45"/>
        <v>4</v>
      </c>
      <c r="AH829" s="249">
        <f t="shared" si="45"/>
        <v>0</v>
      </c>
      <c r="AI829" s="258">
        <f t="shared" si="45"/>
        <v>0</v>
      </c>
      <c r="AJ829" s="60">
        <f t="shared" si="46"/>
        <v>4</v>
      </c>
      <c r="AL829" s="253" t="str">
        <f>IF(AND(AJ839&lt;=AJ829,AJ829&gt;0),B829,"")</f>
        <v>maintaining healthy lifestyle</v>
      </c>
      <c r="AM829" s="253"/>
      <c r="AN829" s="253"/>
      <c r="AO829" s="253"/>
      <c r="AP829" s="253"/>
      <c r="AQ829" s="253"/>
      <c r="AR829" s="253"/>
      <c r="AS829" s="253"/>
      <c r="AT829" s="56" t="s">
        <v>576</v>
      </c>
      <c r="AV829" s="56" t="str">
        <f t="shared" si="47"/>
        <v xml:space="preserve">maintaining healthy lifestyle, </v>
      </c>
      <c r="BB829" s="56"/>
    </row>
    <row r="830" spans="1:54" ht="15" thickTop="1" thickBot="1" x14ac:dyDescent="0.3">
      <c r="A830" s="92"/>
      <c r="B830" s="268" t="s">
        <v>579</v>
      </c>
      <c r="C830" s="92"/>
      <c r="D830" s="270" t="s">
        <v>580</v>
      </c>
      <c r="E830" s="92"/>
      <c r="F830" s="1"/>
      <c r="AC830" s="9">
        <f t="shared" si="45"/>
        <v>0</v>
      </c>
      <c r="AD830" s="10">
        <f t="shared" si="45"/>
        <v>0</v>
      </c>
      <c r="AE830" s="236">
        <f t="shared" si="45"/>
        <v>0</v>
      </c>
      <c r="AF830" s="246">
        <f t="shared" si="45"/>
        <v>0</v>
      </c>
      <c r="AG830" s="57">
        <f t="shared" si="45"/>
        <v>0</v>
      </c>
      <c r="AH830" s="249">
        <f t="shared" si="45"/>
        <v>0</v>
      </c>
      <c r="AI830" s="258">
        <f t="shared" si="45"/>
        <v>6</v>
      </c>
      <c r="AJ830" s="60">
        <f t="shared" si="46"/>
        <v>0</v>
      </c>
      <c r="AL830" s="253" t="str">
        <f>IF(AND(AJ840&lt;=AJ830,AJ830&gt;0),B830,"")</f>
        <v/>
      </c>
      <c r="AM830" s="253"/>
      <c r="AN830" s="253"/>
      <c r="AO830" s="253"/>
      <c r="AP830" s="253"/>
      <c r="AQ830" s="253"/>
      <c r="AR830" s="253"/>
      <c r="AS830" s="253"/>
      <c r="AT830" s="56" t="s">
        <v>576</v>
      </c>
      <c r="AV830" s="56" t="str">
        <f t="shared" si="47"/>
        <v/>
      </c>
      <c r="BB830" s="56"/>
    </row>
    <row r="831" spans="1:54" ht="15" thickTop="1" thickBot="1" x14ac:dyDescent="0.3">
      <c r="A831" s="92"/>
      <c r="B831" s="268" t="s">
        <v>581</v>
      </c>
      <c r="C831" s="92"/>
      <c r="D831" s="270" t="s">
        <v>580</v>
      </c>
      <c r="E831" s="92"/>
      <c r="F831" s="1"/>
      <c r="AC831" s="9">
        <f t="shared" si="45"/>
        <v>0</v>
      </c>
      <c r="AD831" s="10">
        <f t="shared" si="45"/>
        <v>0</v>
      </c>
      <c r="AE831" s="236">
        <f t="shared" si="45"/>
        <v>0</v>
      </c>
      <c r="AF831" s="246">
        <f t="shared" si="45"/>
        <v>0</v>
      </c>
      <c r="AG831" s="57">
        <f t="shared" si="45"/>
        <v>0</v>
      </c>
      <c r="AH831" s="249">
        <f t="shared" si="45"/>
        <v>0</v>
      </c>
      <c r="AI831" s="258">
        <f t="shared" si="45"/>
        <v>6</v>
      </c>
      <c r="AJ831" s="60">
        <f t="shared" si="46"/>
        <v>0</v>
      </c>
      <c r="AL831" s="253" t="str">
        <f>IF(AND(AJ843&lt;=AJ831,AJ831&gt;0),B831,"")</f>
        <v/>
      </c>
      <c r="AM831" s="253"/>
      <c r="AN831" s="253"/>
      <c r="AO831" s="253"/>
      <c r="AP831" s="253"/>
      <c r="AQ831" s="253"/>
      <c r="AR831" s="253"/>
      <c r="AS831" s="253"/>
      <c r="AT831" s="56" t="s">
        <v>576</v>
      </c>
      <c r="AV831" s="56" t="str">
        <f t="shared" si="47"/>
        <v/>
      </c>
      <c r="BB831" s="56"/>
    </row>
    <row r="832" spans="1:54" ht="15" thickTop="1" thickBot="1" x14ac:dyDescent="0.3">
      <c r="A832" s="92"/>
      <c r="B832" s="268" t="s">
        <v>582</v>
      </c>
      <c r="C832" s="92"/>
      <c r="D832" s="270" t="s">
        <v>583</v>
      </c>
      <c r="E832" s="92"/>
      <c r="F832" s="1"/>
      <c r="AC832" s="9">
        <f t="shared" si="45"/>
        <v>0</v>
      </c>
      <c r="AD832" s="10">
        <f t="shared" si="45"/>
        <v>0</v>
      </c>
      <c r="AE832" s="236">
        <f t="shared" si="45"/>
        <v>0</v>
      </c>
      <c r="AF832" s="246">
        <f t="shared" si="45"/>
        <v>0</v>
      </c>
      <c r="AG832" s="57">
        <f t="shared" si="45"/>
        <v>0</v>
      </c>
      <c r="AH832" s="249">
        <f t="shared" si="45"/>
        <v>0</v>
      </c>
      <c r="AI832" s="258">
        <f t="shared" si="45"/>
        <v>0</v>
      </c>
      <c r="AJ832" s="60">
        <f t="shared" si="46"/>
        <v>0</v>
      </c>
      <c r="AL832" s="253" t="str">
        <f>IF(AND(AJ844&lt;=AJ832,AJ832&gt;0),B832,"")</f>
        <v/>
      </c>
      <c r="AM832" s="253"/>
      <c r="AN832" s="253"/>
      <c r="AO832" s="253"/>
      <c r="AP832" s="253"/>
      <c r="AQ832" s="253"/>
      <c r="AR832" s="253"/>
      <c r="AS832" s="253"/>
      <c r="AT832" s="56" t="s">
        <v>576</v>
      </c>
      <c r="AV832" s="56" t="str">
        <f t="shared" si="47"/>
        <v/>
      </c>
      <c r="BB832" s="56"/>
    </row>
    <row r="833" spans="1:60" ht="15" thickTop="1" thickBot="1" x14ac:dyDescent="0.3">
      <c r="A833" s="92"/>
      <c r="B833" s="268" t="s">
        <v>569</v>
      </c>
      <c r="C833" s="269"/>
      <c r="D833" s="270"/>
      <c r="E833" s="92"/>
      <c r="F833" s="1"/>
      <c r="AC833" s="9">
        <f t="shared" si="45"/>
        <v>0</v>
      </c>
      <c r="AD833" s="10">
        <f t="shared" si="45"/>
        <v>0</v>
      </c>
      <c r="AE833" s="236">
        <f t="shared" si="45"/>
        <v>0</v>
      </c>
      <c r="AF833" s="246">
        <f t="shared" si="45"/>
        <v>0</v>
      </c>
      <c r="AG833" s="57">
        <f t="shared" si="45"/>
        <v>0</v>
      </c>
      <c r="AH833" s="249">
        <f t="shared" si="45"/>
        <v>0</v>
      </c>
      <c r="AI833" s="258">
        <f t="shared" si="45"/>
        <v>0</v>
      </c>
      <c r="AJ833" s="60">
        <f t="shared" si="46"/>
        <v>0</v>
      </c>
      <c r="AL833" s="253" t="str">
        <f>IF(AND(AJ845&lt;=AJ833,AJ833&gt;0),C833,"")</f>
        <v/>
      </c>
      <c r="AM833" s="253"/>
      <c r="AN833" s="253"/>
      <c r="AO833" s="253"/>
      <c r="AP833" s="253"/>
      <c r="AQ833" s="253"/>
      <c r="AR833" s="253"/>
      <c r="AS833" s="253"/>
      <c r="AT833" s="56" t="s">
        <v>576</v>
      </c>
      <c r="AV833" s="56" t="str">
        <f t="shared" si="47"/>
        <v/>
      </c>
      <c r="BB833" s="56"/>
    </row>
    <row r="834" spans="1:60" ht="4.95" customHeight="1" thickTop="1" x14ac:dyDescent="0.25">
      <c r="A834" s="92"/>
      <c r="B834" s="268"/>
      <c r="C834" s="92"/>
      <c r="D834" s="92"/>
      <c r="E834" s="92"/>
      <c r="F834" s="1"/>
    </row>
    <row r="835" spans="1:60" ht="15" customHeight="1" thickBot="1" x14ac:dyDescent="0.3">
      <c r="A835" s="92"/>
      <c r="B835" s="246" t="s">
        <v>584</v>
      </c>
      <c r="C835" s="246"/>
      <c r="D835" s="246"/>
      <c r="E835" s="92"/>
      <c r="F835" s="1"/>
      <c r="AK835" s="56" t="s">
        <v>585</v>
      </c>
      <c r="AR835" s="56" t="s">
        <v>586</v>
      </c>
      <c r="BA835" s="56" t="str">
        <f>AK827</f>
        <v>this claimant</v>
      </c>
      <c r="BB835" s="56"/>
      <c r="BD835" s="271" t="s">
        <v>550</v>
      </c>
    </row>
    <row r="836" spans="1:60" ht="28.05" customHeight="1" thickTop="1" thickBot="1" x14ac:dyDescent="0.3">
      <c r="A836" s="92"/>
      <c r="B836" s="596"/>
      <c r="C836" s="597"/>
      <c r="D836" s="598"/>
      <c r="E836" s="92"/>
      <c r="F836" s="1"/>
      <c r="AC836" s="579" t="str">
        <f>CONCATENATE(AK817,AT818,AT819,AT820,AT821,AT822,AT823,AR817,AU817,AK827,AN827,AV828,AV829,AV830,AV831,AV832,AV827,AZ827,AK835,AR835,BA835,BD835)</f>
        <v xml:space="preserve">Despite challenging economic needs, mental health needs, relationships needs, and other needs, this claimant aspires toward income independence, maintaining healthy lifestyle, and other life improvements. Removing illicit discrimination will go a long way toward improving this claimant's life. </v>
      </c>
      <c r="AD836" s="580"/>
      <c r="AE836" s="580"/>
      <c r="AF836" s="580"/>
      <c r="AG836" s="580"/>
      <c r="AH836" s="580"/>
      <c r="AI836" s="580"/>
      <c r="AJ836" s="580"/>
      <c r="AK836" s="580"/>
      <c r="AL836" s="580"/>
      <c r="AM836" s="580"/>
      <c r="AN836" s="580"/>
      <c r="AO836" s="580"/>
      <c r="AP836" s="580"/>
      <c r="AQ836" s="580"/>
      <c r="AR836" s="580"/>
      <c r="AS836" s="580"/>
      <c r="AT836" s="580"/>
      <c r="AU836" s="580"/>
      <c r="AV836" s="580"/>
      <c r="AW836" s="580"/>
      <c r="AX836" s="580"/>
      <c r="AY836" s="580"/>
      <c r="AZ836" s="580"/>
      <c r="BA836" s="580"/>
      <c r="BB836" s="580"/>
      <c r="BC836" s="580"/>
      <c r="BD836" s="580"/>
      <c r="BE836" s="580"/>
      <c r="BF836" s="580"/>
      <c r="BG836" s="580"/>
      <c r="BH836" s="580"/>
    </row>
    <row r="837" spans="1:60" ht="10.050000000000001" customHeight="1" thickTop="1" x14ac:dyDescent="0.25">
      <c r="A837" s="92"/>
      <c r="B837" s="92"/>
      <c r="C837" s="92"/>
      <c r="D837" s="92"/>
      <c r="E837" s="92"/>
      <c r="F837" s="1"/>
    </row>
    <row r="838" spans="1:60" ht="15" customHeight="1" x14ac:dyDescent="0.25">
      <c r="A838" s="242"/>
      <c r="B838" s="92"/>
      <c r="C838" s="92"/>
      <c r="D838" s="92"/>
      <c r="E838" s="92"/>
      <c r="F838" s="1"/>
    </row>
    <row r="839" spans="1:60" ht="30" customHeight="1" x14ac:dyDescent="0.25">
      <c r="A839" s="46" t="s">
        <v>93</v>
      </c>
      <c r="B839" s="46" t="s">
        <v>587</v>
      </c>
      <c r="C839" s="46"/>
      <c r="D839" s="45"/>
      <c r="E839" s="45"/>
      <c r="F839" s="475" t="s">
        <v>949</v>
      </c>
    </row>
    <row r="840" spans="1:60" s="28" customFormat="1" ht="30" customHeight="1" x14ac:dyDescent="0.3">
      <c r="A840" s="48"/>
      <c r="B840" s="581" t="s">
        <v>588</v>
      </c>
      <c r="C840" s="581"/>
      <c r="D840" s="581"/>
      <c r="E840" s="49"/>
      <c r="F840" s="108"/>
      <c r="G840" s="238"/>
      <c r="H840" s="238"/>
      <c r="I840" s="238"/>
      <c r="J840" s="238"/>
      <c r="K840" s="238"/>
      <c r="L840" s="238"/>
      <c r="M840" s="238"/>
      <c r="N840" s="238"/>
      <c r="O840" s="238"/>
      <c r="P840" s="238"/>
      <c r="Q840" s="238"/>
      <c r="R840" s="238"/>
      <c r="S840" s="238"/>
      <c r="T840" s="238"/>
      <c r="U840" s="238"/>
      <c r="V840" s="238"/>
      <c r="W840" s="238"/>
      <c r="X840" s="238"/>
      <c r="Y840" s="238"/>
      <c r="Z840" s="238"/>
      <c r="BB840" s="272"/>
    </row>
    <row r="841" spans="1:60" s="28" customFormat="1" ht="30" customHeight="1" x14ac:dyDescent="0.3">
      <c r="A841" s="48"/>
      <c r="B841" s="581" t="s">
        <v>589</v>
      </c>
      <c r="C841" s="581"/>
      <c r="D841" s="581"/>
      <c r="E841" s="49"/>
      <c r="F841" s="108"/>
      <c r="G841" s="238"/>
      <c r="H841" s="238"/>
      <c r="I841" s="238"/>
      <c r="J841" s="238"/>
      <c r="K841" s="238"/>
      <c r="L841" s="238"/>
      <c r="M841" s="238"/>
      <c r="N841" s="238"/>
      <c r="O841" s="238"/>
      <c r="P841" s="238"/>
      <c r="Q841" s="238"/>
      <c r="R841" s="238"/>
      <c r="S841" s="238"/>
      <c r="T841" s="238"/>
      <c r="U841" s="238"/>
      <c r="V841" s="238"/>
      <c r="W841" s="238"/>
      <c r="X841" s="238"/>
      <c r="Y841" s="238"/>
      <c r="Z841" s="238"/>
      <c r="BB841" s="272"/>
    </row>
    <row r="842" spans="1:60" s="28" customFormat="1" ht="10.050000000000001" customHeight="1" x14ac:dyDescent="0.25">
      <c r="A842" s="273"/>
      <c r="B842" s="273"/>
      <c r="C842" s="273"/>
      <c r="D842" s="273"/>
      <c r="E842" s="107"/>
      <c r="F842" s="1"/>
      <c r="G842" s="238"/>
      <c r="H842" s="238"/>
      <c r="I842" s="238"/>
      <c r="J842" s="238"/>
      <c r="K842" s="238"/>
      <c r="L842" s="238"/>
      <c r="M842" s="238"/>
      <c r="N842" s="238"/>
      <c r="O842" s="238"/>
      <c r="P842" s="238"/>
      <c r="Q842" s="238"/>
      <c r="R842" s="238"/>
      <c r="S842" s="238"/>
      <c r="T842" s="238"/>
      <c r="U842" s="238"/>
      <c r="V842" s="238"/>
      <c r="W842" s="238"/>
      <c r="X842" s="238"/>
      <c r="Y842" s="238"/>
      <c r="Z842" s="238"/>
      <c r="BB842" s="272"/>
    </row>
    <row r="843" spans="1:60" ht="15.6" x14ac:dyDescent="0.25">
      <c r="A843" s="273">
        <f>A813+1</f>
        <v>67</v>
      </c>
      <c r="B843" s="273" t="s">
        <v>590</v>
      </c>
      <c r="C843" s="273"/>
      <c r="D843" s="273"/>
      <c r="E843" s="107"/>
      <c r="F843" s="1"/>
    </row>
    <row r="844" spans="1:60" ht="34.950000000000003" customHeight="1" x14ac:dyDescent="0.25">
      <c r="A844" s="274"/>
      <c r="B844" s="591" t="s">
        <v>591</v>
      </c>
      <c r="C844" s="591"/>
      <c r="D844" s="591"/>
      <c r="E844" s="107"/>
      <c r="F844" s="1"/>
    </row>
    <row r="845" spans="1:60" ht="75" customHeight="1" x14ac:dyDescent="0.25">
      <c r="A845" s="274"/>
      <c r="B845" s="592" t="str">
        <f>AF845</f>
        <v>Asexual person comes out as transgender in early 90s, gets falsely accused as being a “sexual predator” homophobic stereotype. Convicted without evidence. Must register as sex offender for life. Forced into poverty and homelessness.</v>
      </c>
      <c r="C845" s="592"/>
      <c r="D845" s="592"/>
      <c r="E845" s="107"/>
      <c r="F845" s="1"/>
      <c r="AF845" s="56" t="s">
        <v>592</v>
      </c>
    </row>
    <row r="846" spans="1:60" ht="10.050000000000001" customHeight="1" x14ac:dyDescent="0.25">
      <c r="A846" s="274"/>
      <c r="B846" s="107"/>
      <c r="C846" s="107"/>
      <c r="D846" s="107"/>
      <c r="E846" s="107"/>
      <c r="F846" s="1"/>
    </row>
    <row r="847" spans="1:60" ht="15.6" customHeight="1" x14ac:dyDescent="0.25">
      <c r="A847" s="273">
        <f>A843+1</f>
        <v>68</v>
      </c>
      <c r="B847" s="273" t="s">
        <v>593</v>
      </c>
      <c r="C847" s="273"/>
      <c r="D847" s="273"/>
      <c r="E847" s="107"/>
      <c r="F847" s="1"/>
    </row>
    <row r="848" spans="1:60" ht="34.950000000000003" customHeight="1" x14ac:dyDescent="0.25">
      <c r="A848" s="274"/>
      <c r="B848" s="593" t="s">
        <v>594</v>
      </c>
      <c r="C848" s="593"/>
      <c r="D848" s="593"/>
      <c r="E848" s="107"/>
      <c r="F848" s="1"/>
    </row>
    <row r="849" spans="1:52" ht="19.95" customHeight="1" thickBot="1" x14ac:dyDescent="0.3">
      <c r="A849" s="274"/>
      <c r="B849" s="275" t="s">
        <v>595</v>
      </c>
      <c r="C849" s="594" t="str">
        <f>IF(AG849="","",AG849)</f>
        <v>No other criminal history</v>
      </c>
      <c r="D849" s="594"/>
      <c r="E849" s="107"/>
      <c r="F849" s="1"/>
      <c r="AE849" s="56">
        <v>1</v>
      </c>
      <c r="AG849" s="56" t="str">
        <f>AD284</f>
        <v>No other criminal history</v>
      </c>
      <c r="AM849" s="56" t="s">
        <v>596</v>
      </c>
      <c r="AR849" s="56" t="str">
        <f t="shared" ref="AR849:AR858" si="48">CONCATENATE(B849,AM$849)</f>
        <v>Highlight 1 will display here</v>
      </c>
    </row>
    <row r="850" spans="1:52" ht="19.95" customHeight="1" thickBot="1" x14ac:dyDescent="0.3">
      <c r="A850" s="274"/>
      <c r="B850" s="275" t="s">
        <v>597</v>
      </c>
      <c r="C850" s="594" t="str">
        <f t="shared" ref="C850:C858" si="49">IF(AG850="","",AG850)</f>
        <v>Consistently maintained innocence, took no plea deals</v>
      </c>
      <c r="D850" s="594"/>
      <c r="E850" s="107"/>
      <c r="F850" s="1"/>
      <c r="AE850" s="56">
        <v>2</v>
      </c>
      <c r="AG850" s="56" t="str">
        <f>IF(AD186&gt;0,AZ850,"")</f>
        <v>Consistently maintained innocence, took no plea deals</v>
      </c>
      <c r="AR850" s="56" t="str">
        <f t="shared" si="48"/>
        <v>Highlight 2 will display here</v>
      </c>
      <c r="AZ850" s="5" t="s">
        <v>598</v>
      </c>
    </row>
    <row r="851" spans="1:52" ht="19.95" customHeight="1" thickBot="1" x14ac:dyDescent="0.3">
      <c r="A851" s="274"/>
      <c r="B851" s="275" t="s">
        <v>599</v>
      </c>
      <c r="C851" s="594" t="str">
        <f t="shared" si="49"/>
        <v>Transphobic investigation and prosecution</v>
      </c>
      <c r="D851" s="594"/>
      <c r="E851" s="107"/>
      <c r="F851" s="1"/>
      <c r="AE851" s="56">
        <v>3</v>
      </c>
      <c r="AG851" s="5" t="s">
        <v>600</v>
      </c>
      <c r="AH851" s="5"/>
      <c r="AR851" s="56" t="str">
        <f t="shared" si="48"/>
        <v>Highlight 3 will display here</v>
      </c>
    </row>
    <row r="852" spans="1:52" ht="19.95" customHeight="1" thickBot="1" x14ac:dyDescent="0.3">
      <c r="A852" s="274"/>
      <c r="B852" s="275" t="s">
        <v>601</v>
      </c>
      <c r="C852" s="594" t="str">
        <f t="shared" si="49"/>
        <v>Convicted without corroborating evidence</v>
      </c>
      <c r="D852" s="594"/>
      <c r="E852" s="107"/>
      <c r="F852" s="1"/>
      <c r="AE852" s="56">
        <v>4</v>
      </c>
      <c r="AG852" s="5" t="s">
        <v>602</v>
      </c>
      <c r="AH852" s="5"/>
      <c r="AR852" s="56" t="str">
        <f t="shared" si="48"/>
        <v>Highlight 4 will display here</v>
      </c>
    </row>
    <row r="853" spans="1:52" ht="19.95" customHeight="1" thickBot="1" x14ac:dyDescent="0.3">
      <c r="A853" s="274"/>
      <c r="B853" s="275" t="s">
        <v>603</v>
      </c>
      <c r="C853" s="594" t="str">
        <f t="shared" si="49"/>
        <v>Climate of sex abuse hysteria</v>
      </c>
      <c r="D853" s="594"/>
      <c r="E853" s="107"/>
      <c r="F853" s="1"/>
      <c r="AE853" s="56">
        <v>5</v>
      </c>
      <c r="AG853" s="5" t="s">
        <v>604</v>
      </c>
      <c r="AH853" s="5"/>
      <c r="AR853" s="56" t="str">
        <f t="shared" si="48"/>
        <v>Highlight 5 will display here</v>
      </c>
    </row>
    <row r="854" spans="1:52" ht="19.95" customHeight="1" thickBot="1" x14ac:dyDescent="0.3">
      <c r="A854" s="274"/>
      <c r="B854" s="275" t="s">
        <v>605</v>
      </c>
      <c r="C854" s="594" t="str">
        <f t="shared" si="49"/>
        <v>Media sensationalized coverage</v>
      </c>
      <c r="D854" s="594"/>
      <c r="E854" s="107"/>
      <c r="F854" s="1"/>
      <c r="AE854" s="56">
        <v>6</v>
      </c>
      <c r="AG854" s="5" t="s">
        <v>606</v>
      </c>
      <c r="AH854" s="5"/>
      <c r="AR854" s="56" t="str">
        <f t="shared" si="48"/>
        <v>Highlight 6 will display here</v>
      </c>
    </row>
    <row r="855" spans="1:52" ht="19.95" customHeight="1" thickBot="1" x14ac:dyDescent="0.3">
      <c r="A855" s="274"/>
      <c r="B855" s="275" t="s">
        <v>607</v>
      </c>
      <c r="C855" s="594" t="str">
        <f t="shared" si="49"/>
        <v>Exculpatory evidence overlooked with untested DNA</v>
      </c>
      <c r="D855" s="594"/>
      <c r="E855" s="107"/>
      <c r="F855" s="1"/>
      <c r="AE855" s="56">
        <v>7</v>
      </c>
      <c r="AG855" s="5" t="s">
        <v>608</v>
      </c>
      <c r="AH855" s="5"/>
      <c r="AR855" s="56" t="str">
        <f t="shared" si="48"/>
        <v>Highlight 7 will display here</v>
      </c>
    </row>
    <row r="856" spans="1:52" ht="19.95" customHeight="1" thickBot="1" x14ac:dyDescent="0.3">
      <c r="A856" s="274"/>
      <c r="B856" s="275" t="s">
        <v>609</v>
      </c>
      <c r="C856" s="594" t="str">
        <f t="shared" si="49"/>
        <v>Asexual transperson must register for life as "sex offender"</v>
      </c>
      <c r="D856" s="594"/>
      <c r="E856" s="107"/>
      <c r="F856" s="1"/>
      <c r="AE856" s="56">
        <v>8</v>
      </c>
      <c r="AG856" s="5" t="s">
        <v>610</v>
      </c>
      <c r="AH856" s="5"/>
      <c r="AR856" s="56" t="str">
        <f t="shared" si="48"/>
        <v>Highlight 8 will display here</v>
      </c>
    </row>
    <row r="857" spans="1:52" ht="19.95" customHeight="1" thickBot="1" x14ac:dyDescent="0.3">
      <c r="A857" s="274"/>
      <c r="B857" s="275" t="s">
        <v>611</v>
      </c>
      <c r="C857" s="594" t="str">
        <f t="shared" si="49"/>
        <v/>
      </c>
      <c r="D857" s="594"/>
      <c r="E857" s="107"/>
      <c r="F857" s="1"/>
      <c r="AE857" s="56">
        <v>9</v>
      </c>
      <c r="AG857" s="5"/>
      <c r="AH857" s="5"/>
      <c r="AR857" s="56" t="str">
        <f t="shared" si="48"/>
        <v>Highlight 9 will display here</v>
      </c>
    </row>
    <row r="858" spans="1:52" ht="19.95" customHeight="1" thickBot="1" x14ac:dyDescent="0.3">
      <c r="A858" s="274"/>
      <c r="B858" s="275" t="s">
        <v>612</v>
      </c>
      <c r="C858" s="594" t="str">
        <f t="shared" si="49"/>
        <v/>
      </c>
      <c r="D858" s="594"/>
      <c r="E858" s="107"/>
      <c r="F858" s="1"/>
      <c r="AE858" s="56">
        <v>10</v>
      </c>
      <c r="AG858" s="5"/>
      <c r="AH858" s="5"/>
      <c r="AR858" s="56" t="str">
        <f t="shared" si="48"/>
        <v>Highlight 10 will display here</v>
      </c>
    </row>
    <row r="859" spans="1:52" ht="15" customHeight="1" x14ac:dyDescent="0.25">
      <c r="A859" s="274"/>
      <c r="B859" s="274"/>
      <c r="C859" s="274"/>
      <c r="D859" s="274"/>
      <c r="E859" s="274"/>
      <c r="F859" s="1"/>
    </row>
    <row r="860" spans="1:52" ht="15" customHeight="1" x14ac:dyDescent="0.25">
      <c r="A860" s="273">
        <f>A847+1</f>
        <v>69</v>
      </c>
      <c r="B860" s="273" t="s">
        <v>613</v>
      </c>
      <c r="C860" s="274"/>
      <c r="D860" s="274"/>
      <c r="E860" s="274"/>
      <c r="F860" s="1"/>
    </row>
    <row r="861" spans="1:52" ht="30" customHeight="1" x14ac:dyDescent="0.25">
      <c r="A861" s="274"/>
      <c r="B861" s="593" t="s">
        <v>614</v>
      </c>
      <c r="C861" s="593"/>
      <c r="D861" s="593"/>
      <c r="E861" s="274"/>
      <c r="F861" s="1"/>
    </row>
    <row r="862" spans="1:52" ht="108" customHeight="1" x14ac:dyDescent="0.25">
      <c r="A862" s="274"/>
      <c r="B862" s="592" t="str">
        <f>AG862</f>
        <v>Prior to accepting herself as transgender, Janet (principal &amp; codefendant) often ran afoul of the law.  She appears to have suffered Asperger’s (high functioning autism), so was slow at responding to social cues. Overcoming shame of being gender different helped her escape cycles of self-defeating behaviors. She overcame dyslexia and other challenges to lead a healthy life, until this happened.</v>
      </c>
      <c r="C862" s="592"/>
      <c r="D862" s="592"/>
      <c r="E862" s="274"/>
      <c r="F862" s="1"/>
      <c r="AG862" s="56" t="s">
        <v>615</v>
      </c>
    </row>
    <row r="863" spans="1:52" ht="10.050000000000001" customHeight="1" x14ac:dyDescent="0.25">
      <c r="A863" s="274"/>
      <c r="B863" s="107"/>
      <c r="C863" s="107"/>
      <c r="D863" s="107"/>
      <c r="E863" s="107"/>
      <c r="F863" s="1"/>
    </row>
    <row r="864" spans="1:52" ht="15.6" customHeight="1" x14ac:dyDescent="0.25">
      <c r="A864" s="273">
        <f>A860+1</f>
        <v>70</v>
      </c>
      <c r="B864" s="273" t="s">
        <v>616</v>
      </c>
      <c r="C864" s="273"/>
      <c r="D864" s="273"/>
      <c r="E864" s="107"/>
      <c r="F864" s="1"/>
    </row>
    <row r="865" spans="1:35" ht="45" customHeight="1" x14ac:dyDescent="0.25">
      <c r="A865" s="274"/>
      <c r="B865" s="591" t="s">
        <v>617</v>
      </c>
      <c r="C865" s="591"/>
      <c r="D865" s="591"/>
      <c r="E865" s="107"/>
      <c r="F865" s="1"/>
    </row>
    <row r="866" spans="1:35" ht="16.95" customHeight="1" x14ac:dyDescent="0.25">
      <c r="A866" s="274"/>
      <c r="B866" s="276" t="s">
        <v>618</v>
      </c>
      <c r="C866" s="277"/>
      <c r="D866" s="277"/>
      <c r="E866" s="107"/>
      <c r="F866" s="1"/>
    </row>
    <row r="867" spans="1:35" ht="16.95" customHeight="1" x14ac:dyDescent="0.25">
      <c r="A867" s="274"/>
      <c r="B867" s="591" t="s">
        <v>619</v>
      </c>
      <c r="C867" s="591"/>
      <c r="D867" s="591"/>
      <c r="E867" s="107"/>
      <c r="F867" s="1"/>
    </row>
    <row r="868" spans="1:35" ht="16.95" customHeight="1" x14ac:dyDescent="0.25">
      <c r="A868" s="274"/>
      <c r="B868" s="591" t="s">
        <v>620</v>
      </c>
      <c r="C868" s="591"/>
      <c r="D868" s="591"/>
      <c r="E868" s="107"/>
      <c r="F868" s="1"/>
    </row>
    <row r="869" spans="1:35" ht="16.95" customHeight="1" x14ac:dyDescent="0.25">
      <c r="A869" s="274"/>
      <c r="B869" s="591" t="s">
        <v>621</v>
      </c>
      <c r="C869" s="591"/>
      <c r="D869" s="591"/>
      <c r="E869" s="107"/>
      <c r="F869" s="1"/>
    </row>
    <row r="870" spans="1:35" ht="16.95" customHeight="1" x14ac:dyDescent="0.25">
      <c r="A870" s="274"/>
      <c r="B870" s="591" t="s">
        <v>622</v>
      </c>
      <c r="C870" s="591"/>
      <c r="D870" s="591"/>
      <c r="E870" s="107"/>
      <c r="F870" s="1"/>
    </row>
    <row r="871" spans="1:35" ht="400.05" customHeight="1" x14ac:dyDescent="0.25">
      <c r="A871" s="274"/>
      <c r="B871" s="605" t="str">
        <f>AI871</f>
        <v>On July 7th, 1993, Steph Turner awoke to hear voices from the other room. Steph could hear her sister Janet talking to someone. That person left, but later returned with her irate mother to accuse Janet of an incredulous crime. You see, Janet was born male and now openly transgender, long before that was socially acceptable. And Janet had yet to fully transition.
At the height of the sex abuse hysteria in the early-90s, Steph came out as gender-nonconforming transgender. But living in a religiously conservative community, Steph kept it private. Steph soon came out to Janet, years after Janet had. They shared an apartment to rekindle their newfound bond. Both now freely embracing their feminine sides. Both felt asexual by not being loved for their full selves. Both drawn to the spirituality of transcending the gender divide.
A neighborhood child drew curious, peeping into Janet’s window to gawk at what she called the "man with lipstick." When caught not being home on time, the child leveled bizarre claims of sex abuse unbecoming from a child. Exposed to porn?
The child then dragged Steph into her transphobic-indoctrinated accusations. The child claimed Steph posed with her as if she, the young child, was stabbing Steph in the chest with a jelly stained butter knife. She claimed this was to scare her from talking to police, that we would say she was the aggressor. Unbelievable? Not if you already believe trans people are subhuman.
Child testimonies back then were often coached. Trans people were easily vilified. Since no corroborating evidence was necessary back then to convict for sexual misconduct, both transwomen were wrongly convicted and sentenced to long terms in men’s prisons, where Steph’s codefendant transgender sibling died in 2001.
Repeated efforts to overcome this wrongful conviction failed. After serving a full 12-year sentence, Steph was discharged and finished undergraduate and graduate degrees. But is required to register as a sex offender for life, destroying economic and other opportunities. Your support can help turn this around.</v>
      </c>
      <c r="C871" s="605"/>
      <c r="D871" s="605"/>
      <c r="E871" s="107"/>
      <c r="F871" s="1"/>
      <c r="AF871" s="278" t="s">
        <v>623</v>
      </c>
      <c r="AI871" s="278" t="s">
        <v>624</v>
      </c>
    </row>
    <row r="872" spans="1:35" ht="4.95" customHeight="1" x14ac:dyDescent="0.25">
      <c r="A872" s="274"/>
      <c r="B872" s="605"/>
      <c r="C872" s="605"/>
      <c r="D872" s="605"/>
      <c r="E872" s="107"/>
      <c r="F872" s="1"/>
    </row>
    <row r="873" spans="1:35" x14ac:dyDescent="0.25">
      <c r="A873" s="274"/>
      <c r="B873" s="605"/>
      <c r="C873" s="605"/>
      <c r="D873" s="605"/>
      <c r="E873" s="274"/>
      <c r="F873" s="1"/>
    </row>
    <row r="874" spans="1:35" x14ac:dyDescent="0.25">
      <c r="A874" s="274"/>
      <c r="B874" s="605"/>
      <c r="C874" s="605"/>
      <c r="D874" s="605"/>
      <c r="E874" s="107"/>
      <c r="F874" s="1"/>
    </row>
    <row r="875" spans="1:35" x14ac:dyDescent="0.25">
      <c r="A875" s="274"/>
      <c r="B875" s="605"/>
      <c r="C875" s="605"/>
      <c r="D875" s="605"/>
      <c r="E875" s="107"/>
      <c r="F875" s="1"/>
    </row>
    <row r="876" spans="1:35" x14ac:dyDescent="0.25">
      <c r="A876" s="274"/>
      <c r="B876" s="605"/>
      <c r="C876" s="605"/>
      <c r="D876" s="605"/>
      <c r="E876" s="107"/>
      <c r="F876" s="1"/>
    </row>
    <row r="877" spans="1:35" x14ac:dyDescent="0.25">
      <c r="A877" s="274"/>
      <c r="B877" s="605"/>
      <c r="C877" s="605"/>
      <c r="D877" s="605"/>
      <c r="E877" s="274"/>
      <c r="F877" s="1"/>
    </row>
    <row r="878" spans="1:35" ht="15.6" x14ac:dyDescent="0.25">
      <c r="A878" s="273"/>
      <c r="B878" s="605"/>
      <c r="C878" s="605"/>
      <c r="D878" s="605"/>
      <c r="E878" s="107"/>
      <c r="F878" s="1"/>
    </row>
    <row r="879" spans="1:35" ht="16.95" customHeight="1" x14ac:dyDescent="0.25">
      <c r="A879" s="274"/>
      <c r="B879" s="605"/>
      <c r="C879" s="605"/>
      <c r="D879" s="605"/>
      <c r="E879" s="274"/>
      <c r="F879" s="1"/>
    </row>
    <row r="880" spans="1:35" x14ac:dyDescent="0.25">
      <c r="A880" s="274"/>
      <c r="B880" s="107"/>
      <c r="C880" s="107"/>
      <c r="D880" s="107"/>
      <c r="E880" s="107"/>
      <c r="F880" s="1"/>
    </row>
    <row r="881" spans="1:54" ht="10.050000000000001" customHeight="1" x14ac:dyDescent="0.25">
      <c r="A881" s="274"/>
      <c r="B881" s="107"/>
      <c r="C881" s="107"/>
      <c r="D881" s="107"/>
      <c r="E881" s="107"/>
      <c r="F881" s="1"/>
    </row>
    <row r="882" spans="1:54" ht="30" hidden="1" customHeight="1" x14ac:dyDescent="0.25">
      <c r="A882" s="45" t="s">
        <v>95</v>
      </c>
      <c r="B882" s="46" t="s">
        <v>625</v>
      </c>
      <c r="C882" s="45"/>
      <c r="D882" s="45"/>
      <c r="E882" s="45"/>
      <c r="F882" s="45"/>
      <c r="BB882" s="56"/>
    </row>
    <row r="883" spans="1:54" ht="64.95" hidden="1" customHeight="1" x14ac:dyDescent="0.25">
      <c r="A883" s="48"/>
      <c r="B883" s="531" t="s">
        <v>626</v>
      </c>
      <c r="C883" s="531"/>
      <c r="D883" s="531"/>
      <c r="E883" s="49"/>
      <c r="F883" s="108"/>
      <c r="AO883" s="599" t="s">
        <v>627</v>
      </c>
      <c r="AP883" s="599"/>
      <c r="AQ883" s="599"/>
      <c r="BB883" s="56"/>
    </row>
    <row r="884" spans="1:54" ht="4.95" hidden="1" customHeight="1" x14ac:dyDescent="0.25">
      <c r="A884" s="253"/>
      <c r="B884" s="253"/>
      <c r="C884" s="253"/>
      <c r="D884" s="253"/>
      <c r="E884" s="253"/>
      <c r="F884" s="1"/>
      <c r="BB884" s="56"/>
    </row>
    <row r="885" spans="1:54" ht="25.05" hidden="1" customHeight="1" x14ac:dyDescent="0.25">
      <c r="A885" s="253"/>
      <c r="B885" s="265" t="s">
        <v>628</v>
      </c>
      <c r="C885" s="265"/>
      <c r="D885" s="265"/>
      <c r="E885" s="253"/>
      <c r="F885" s="1"/>
    </row>
    <row r="886" spans="1:54" ht="34.950000000000003" hidden="1" customHeight="1" x14ac:dyDescent="0.25">
      <c r="A886" s="253"/>
      <c r="B886" s="600" t="s">
        <v>629</v>
      </c>
      <c r="C886" s="600"/>
      <c r="D886" s="600"/>
      <c r="E886" s="253"/>
      <c r="F886" s="1"/>
      <c r="AC886" s="279" t="str">
        <f>D911</f>
        <v>Not at all</v>
      </c>
      <c r="AD886" s="279" t="str">
        <f>D912</f>
        <v>Mildly, but it didn’t bother me much</v>
      </c>
      <c r="AE886" s="279" t="str">
        <f>D913</f>
        <v>Moderately – it wasn’t pleasant at times</v>
      </c>
      <c r="AF886" s="279" t="str">
        <f>D914</f>
        <v>Severely – it bothered me a lot</v>
      </c>
    </row>
    <row r="887" spans="1:54" ht="4.95" hidden="1" customHeight="1" x14ac:dyDescent="0.3">
      <c r="A887" s="253"/>
      <c r="B887" s="280"/>
      <c r="C887" s="280"/>
      <c r="D887" s="280"/>
      <c r="E887" s="253"/>
      <c r="F887" s="1"/>
      <c r="AC887" s="80">
        <v>0</v>
      </c>
      <c r="AD887" s="80">
        <v>1</v>
      </c>
      <c r="AE887" s="80">
        <v>2</v>
      </c>
      <c r="AF887" s="80">
        <v>3</v>
      </c>
      <c r="AG887" s="80"/>
    </row>
    <row r="888" spans="1:54" ht="15" hidden="1" x14ac:dyDescent="0.3">
      <c r="A888" s="253"/>
      <c r="B888" s="281"/>
      <c r="C888" s="280"/>
      <c r="D888" s="282" t="s">
        <v>630</v>
      </c>
      <c r="E888" s="253"/>
      <c r="F888" s="1"/>
      <c r="AC888" s="80"/>
      <c r="AD888" s="80"/>
      <c r="AE888" s="80"/>
      <c r="AF888" s="80"/>
      <c r="AG888" s="80"/>
    </row>
    <row r="889" spans="1:54" ht="18" hidden="1" customHeight="1" thickTop="1" thickBot="1" x14ac:dyDescent="0.35">
      <c r="A889" s="253"/>
      <c r="B889" s="283" t="s">
        <v>631</v>
      </c>
      <c r="C889" s="280"/>
      <c r="D889" s="284"/>
      <c r="E889" s="253"/>
      <c r="F889" s="1"/>
      <c r="AC889" s="80">
        <f t="shared" ref="AC889:AF909" si="50">IF($D889=AC$886,AC$887,0)</f>
        <v>0</v>
      </c>
      <c r="AD889" s="80">
        <f t="shared" si="50"/>
        <v>0</v>
      </c>
      <c r="AE889" s="80">
        <f t="shared" si="50"/>
        <v>0</v>
      </c>
      <c r="AF889" s="80">
        <f t="shared" si="50"/>
        <v>0</v>
      </c>
      <c r="AG889" s="76">
        <f>SUM(AC889:AF889)</f>
        <v>0</v>
      </c>
    </row>
    <row r="890" spans="1:54" ht="18" hidden="1" customHeight="1" thickTop="1" thickBot="1" x14ac:dyDescent="0.35">
      <c r="A890" s="253"/>
      <c r="B890" s="283" t="s">
        <v>632</v>
      </c>
      <c r="C890" s="280"/>
      <c r="D890" s="284"/>
      <c r="E890" s="253"/>
      <c r="F890" s="1"/>
      <c r="AC890" s="80">
        <f t="shared" si="50"/>
        <v>0</v>
      </c>
      <c r="AD890" s="80">
        <f t="shared" si="50"/>
        <v>0</v>
      </c>
      <c r="AE890" s="80">
        <f t="shared" si="50"/>
        <v>0</v>
      </c>
      <c r="AF890" s="80">
        <f t="shared" si="50"/>
        <v>0</v>
      </c>
      <c r="AG890" s="76">
        <f t="shared" ref="AG890:AG909" si="51">SUM(AC890:AF890)</f>
        <v>0</v>
      </c>
    </row>
    <row r="891" spans="1:54" ht="18" hidden="1" customHeight="1" thickTop="1" thickBot="1" x14ac:dyDescent="0.35">
      <c r="A891" s="253"/>
      <c r="B891" s="283" t="s">
        <v>633</v>
      </c>
      <c r="C891" s="280"/>
      <c r="D891" s="284"/>
      <c r="E891" s="253"/>
      <c r="F891" s="1"/>
      <c r="AC891" s="80">
        <f t="shared" si="50"/>
        <v>0</v>
      </c>
      <c r="AD891" s="80">
        <f t="shared" si="50"/>
        <v>0</v>
      </c>
      <c r="AE891" s="80">
        <f t="shared" si="50"/>
        <v>0</v>
      </c>
      <c r="AF891" s="80">
        <f t="shared" si="50"/>
        <v>0</v>
      </c>
      <c r="AG891" s="76">
        <f t="shared" si="51"/>
        <v>0</v>
      </c>
    </row>
    <row r="892" spans="1:54" ht="18" hidden="1" customHeight="1" thickTop="1" thickBot="1" x14ac:dyDescent="0.35">
      <c r="A892" s="253"/>
      <c r="B892" s="283" t="s">
        <v>634</v>
      </c>
      <c r="C892" s="280"/>
      <c r="D892" s="284"/>
      <c r="E892" s="253"/>
      <c r="F892" s="1"/>
      <c r="AC892" s="80">
        <f t="shared" si="50"/>
        <v>0</v>
      </c>
      <c r="AD892" s="80">
        <f t="shared" si="50"/>
        <v>0</v>
      </c>
      <c r="AE892" s="80">
        <f t="shared" si="50"/>
        <v>0</v>
      </c>
      <c r="AF892" s="80">
        <f t="shared" si="50"/>
        <v>0</v>
      </c>
      <c r="AG892" s="76">
        <f t="shared" si="51"/>
        <v>0</v>
      </c>
    </row>
    <row r="893" spans="1:54" ht="18" hidden="1" customHeight="1" thickTop="1" thickBot="1" x14ac:dyDescent="0.35">
      <c r="A893" s="253"/>
      <c r="B893" s="283" t="s">
        <v>635</v>
      </c>
      <c r="C893" s="280"/>
      <c r="D893" s="284"/>
      <c r="E893" s="253"/>
      <c r="F893" s="1"/>
      <c r="AC893" s="80">
        <f t="shared" si="50"/>
        <v>0</v>
      </c>
      <c r="AD893" s="80">
        <f t="shared" si="50"/>
        <v>0</v>
      </c>
      <c r="AE893" s="80">
        <f t="shared" si="50"/>
        <v>0</v>
      </c>
      <c r="AF893" s="80">
        <f t="shared" si="50"/>
        <v>0</v>
      </c>
      <c r="AG893" s="76">
        <f t="shared" si="51"/>
        <v>0</v>
      </c>
    </row>
    <row r="894" spans="1:54" ht="18" hidden="1" customHeight="1" thickTop="1" thickBot="1" x14ac:dyDescent="0.35">
      <c r="A894" s="253"/>
      <c r="B894" s="283" t="s">
        <v>636</v>
      </c>
      <c r="C894" s="280"/>
      <c r="D894" s="284"/>
      <c r="E894" s="253"/>
      <c r="F894" s="1"/>
      <c r="AC894" s="80">
        <f t="shared" si="50"/>
        <v>0</v>
      </c>
      <c r="AD894" s="80">
        <f t="shared" si="50"/>
        <v>0</v>
      </c>
      <c r="AE894" s="80">
        <f t="shared" si="50"/>
        <v>0</v>
      </c>
      <c r="AF894" s="80">
        <f t="shared" si="50"/>
        <v>0</v>
      </c>
      <c r="AG894" s="76">
        <f t="shared" si="51"/>
        <v>0</v>
      </c>
    </row>
    <row r="895" spans="1:54" ht="18" hidden="1" customHeight="1" thickTop="1" thickBot="1" x14ac:dyDescent="0.35">
      <c r="A895" s="253"/>
      <c r="B895" s="283" t="s">
        <v>637</v>
      </c>
      <c r="C895" s="280"/>
      <c r="D895" s="284"/>
      <c r="E895" s="253"/>
      <c r="F895" s="1"/>
      <c r="AC895" s="80">
        <f t="shared" si="50"/>
        <v>0</v>
      </c>
      <c r="AD895" s="80">
        <f t="shared" si="50"/>
        <v>0</v>
      </c>
      <c r="AE895" s="80">
        <f t="shared" si="50"/>
        <v>0</v>
      </c>
      <c r="AF895" s="80">
        <f t="shared" si="50"/>
        <v>0</v>
      </c>
      <c r="AG895" s="76">
        <f t="shared" si="51"/>
        <v>0</v>
      </c>
    </row>
    <row r="896" spans="1:54" ht="18" hidden="1" customHeight="1" thickTop="1" thickBot="1" x14ac:dyDescent="0.35">
      <c r="A896" s="253"/>
      <c r="B896" s="283" t="s">
        <v>638</v>
      </c>
      <c r="C896" s="280"/>
      <c r="D896" s="284"/>
      <c r="E896" s="253"/>
      <c r="F896" s="1"/>
      <c r="AC896" s="80">
        <f t="shared" si="50"/>
        <v>0</v>
      </c>
      <c r="AD896" s="80">
        <f t="shared" si="50"/>
        <v>0</v>
      </c>
      <c r="AE896" s="80">
        <f t="shared" si="50"/>
        <v>0</v>
      </c>
      <c r="AF896" s="80">
        <f t="shared" si="50"/>
        <v>0</v>
      </c>
      <c r="AG896" s="76">
        <f t="shared" si="51"/>
        <v>0</v>
      </c>
    </row>
    <row r="897" spans="1:68" ht="18" hidden="1" customHeight="1" thickTop="1" thickBot="1" x14ac:dyDescent="0.35">
      <c r="A897" s="253"/>
      <c r="B897" s="283" t="s">
        <v>639</v>
      </c>
      <c r="C897" s="280"/>
      <c r="D897" s="284"/>
      <c r="E897" s="253"/>
      <c r="F897" s="1"/>
      <c r="AC897" s="80">
        <f t="shared" si="50"/>
        <v>0</v>
      </c>
      <c r="AD897" s="80">
        <f t="shared" si="50"/>
        <v>0</v>
      </c>
      <c r="AE897" s="80">
        <f t="shared" si="50"/>
        <v>0</v>
      </c>
      <c r="AF897" s="80">
        <f t="shared" si="50"/>
        <v>0</v>
      </c>
      <c r="AG897" s="76">
        <f t="shared" si="51"/>
        <v>0</v>
      </c>
    </row>
    <row r="898" spans="1:68" ht="18" hidden="1" customHeight="1" thickTop="1" thickBot="1" x14ac:dyDescent="0.35">
      <c r="A898" s="253"/>
      <c r="B898" s="283" t="s">
        <v>640</v>
      </c>
      <c r="C898" s="280"/>
      <c r="D898" s="284"/>
      <c r="E898" s="253"/>
      <c r="F898" s="1"/>
      <c r="AC898" s="80">
        <f t="shared" si="50"/>
        <v>0</v>
      </c>
      <c r="AD898" s="80">
        <f t="shared" si="50"/>
        <v>0</v>
      </c>
      <c r="AE898" s="80">
        <f t="shared" si="50"/>
        <v>0</v>
      </c>
      <c r="AF898" s="80">
        <f t="shared" si="50"/>
        <v>0</v>
      </c>
      <c r="AG898" s="76">
        <f t="shared" si="51"/>
        <v>0</v>
      </c>
    </row>
    <row r="899" spans="1:68" ht="18" hidden="1" customHeight="1" thickTop="1" thickBot="1" x14ac:dyDescent="0.35">
      <c r="A899" s="253"/>
      <c r="B899" s="283" t="s">
        <v>641</v>
      </c>
      <c r="C899" s="280"/>
      <c r="D899" s="284"/>
      <c r="E899" s="253"/>
      <c r="F899" s="1"/>
      <c r="AC899" s="80">
        <f t="shared" si="50"/>
        <v>0</v>
      </c>
      <c r="AD899" s="80">
        <f t="shared" si="50"/>
        <v>0</v>
      </c>
      <c r="AE899" s="80">
        <f t="shared" si="50"/>
        <v>0</v>
      </c>
      <c r="AF899" s="80">
        <f t="shared" si="50"/>
        <v>0</v>
      </c>
      <c r="AG899" s="76">
        <f t="shared" si="51"/>
        <v>0</v>
      </c>
    </row>
    <row r="900" spans="1:68" ht="18" hidden="1" customHeight="1" thickTop="1" thickBot="1" x14ac:dyDescent="0.35">
      <c r="A900" s="253"/>
      <c r="B900" s="283" t="s">
        <v>642</v>
      </c>
      <c r="C900" s="280"/>
      <c r="D900" s="284"/>
      <c r="E900" s="253"/>
      <c r="F900" s="1"/>
      <c r="AC900" s="80">
        <f t="shared" si="50"/>
        <v>0</v>
      </c>
      <c r="AD900" s="80">
        <f t="shared" si="50"/>
        <v>0</v>
      </c>
      <c r="AE900" s="80">
        <f t="shared" si="50"/>
        <v>0</v>
      </c>
      <c r="AF900" s="80">
        <f t="shared" si="50"/>
        <v>0</v>
      </c>
      <c r="AG900" s="76">
        <f t="shared" si="51"/>
        <v>0</v>
      </c>
    </row>
    <row r="901" spans="1:68" ht="18" hidden="1" customHeight="1" thickTop="1" thickBot="1" x14ac:dyDescent="0.35">
      <c r="A901" s="253"/>
      <c r="B901" s="283" t="s">
        <v>643</v>
      </c>
      <c r="C901" s="280"/>
      <c r="D901" s="284"/>
      <c r="E901" s="253"/>
      <c r="F901" s="1"/>
      <c r="AC901" s="80">
        <f t="shared" si="50"/>
        <v>0</v>
      </c>
      <c r="AD901" s="80">
        <f t="shared" si="50"/>
        <v>0</v>
      </c>
      <c r="AE901" s="80">
        <f t="shared" si="50"/>
        <v>0</v>
      </c>
      <c r="AF901" s="80">
        <f t="shared" si="50"/>
        <v>0</v>
      </c>
      <c r="AG901" s="76">
        <f t="shared" si="51"/>
        <v>0</v>
      </c>
    </row>
    <row r="902" spans="1:68" ht="18" hidden="1" customHeight="1" thickTop="1" thickBot="1" x14ac:dyDescent="0.35">
      <c r="A902" s="253"/>
      <c r="B902" s="283" t="s">
        <v>644</v>
      </c>
      <c r="C902" s="280"/>
      <c r="D902" s="284"/>
      <c r="E902" s="253"/>
      <c r="F902" s="1"/>
      <c r="AC902" s="80">
        <f t="shared" si="50"/>
        <v>0</v>
      </c>
      <c r="AD902" s="80">
        <f t="shared" si="50"/>
        <v>0</v>
      </c>
      <c r="AE902" s="80">
        <f t="shared" si="50"/>
        <v>0</v>
      </c>
      <c r="AF902" s="80">
        <f t="shared" si="50"/>
        <v>0</v>
      </c>
      <c r="AG902" s="76">
        <f t="shared" si="51"/>
        <v>0</v>
      </c>
    </row>
    <row r="903" spans="1:68" ht="18" hidden="1" customHeight="1" thickTop="1" thickBot="1" x14ac:dyDescent="0.35">
      <c r="A903" s="253"/>
      <c r="B903" s="283" t="s">
        <v>645</v>
      </c>
      <c r="C903" s="280"/>
      <c r="D903" s="284"/>
      <c r="E903" s="253"/>
      <c r="F903" s="1"/>
      <c r="AC903" s="80">
        <f t="shared" si="50"/>
        <v>0</v>
      </c>
      <c r="AD903" s="80">
        <f t="shared" si="50"/>
        <v>0</v>
      </c>
      <c r="AE903" s="80">
        <f t="shared" si="50"/>
        <v>0</v>
      </c>
      <c r="AF903" s="80">
        <f t="shared" si="50"/>
        <v>0</v>
      </c>
      <c r="AG903" s="76">
        <f t="shared" si="51"/>
        <v>0</v>
      </c>
    </row>
    <row r="904" spans="1:68" ht="18" hidden="1" customHeight="1" thickTop="1" thickBot="1" x14ac:dyDescent="0.35">
      <c r="A904" s="253"/>
      <c r="B904" s="283" t="s">
        <v>646</v>
      </c>
      <c r="C904" s="280"/>
      <c r="D904" s="284"/>
      <c r="E904" s="253"/>
      <c r="F904" s="1"/>
      <c r="AC904" s="80">
        <f t="shared" si="50"/>
        <v>0</v>
      </c>
      <c r="AD904" s="80">
        <f t="shared" si="50"/>
        <v>0</v>
      </c>
      <c r="AE904" s="80">
        <f t="shared" si="50"/>
        <v>0</v>
      </c>
      <c r="AF904" s="80">
        <f t="shared" si="50"/>
        <v>0</v>
      </c>
      <c r="AG904" s="76">
        <f t="shared" si="51"/>
        <v>0</v>
      </c>
    </row>
    <row r="905" spans="1:68" ht="18" hidden="1" customHeight="1" thickTop="1" thickBot="1" x14ac:dyDescent="0.35">
      <c r="A905" s="253"/>
      <c r="B905" s="283" t="s">
        <v>647</v>
      </c>
      <c r="C905" s="280"/>
      <c r="D905" s="284"/>
      <c r="E905" s="253"/>
      <c r="F905" s="1"/>
      <c r="AC905" s="80">
        <f t="shared" si="50"/>
        <v>0</v>
      </c>
      <c r="AD905" s="80">
        <f t="shared" si="50"/>
        <v>0</v>
      </c>
      <c r="AE905" s="80">
        <f t="shared" si="50"/>
        <v>0</v>
      </c>
      <c r="AF905" s="80">
        <f t="shared" si="50"/>
        <v>0</v>
      </c>
      <c r="AG905" s="76">
        <f t="shared" si="51"/>
        <v>0</v>
      </c>
    </row>
    <row r="906" spans="1:68" ht="18" hidden="1" customHeight="1" thickTop="1" thickBot="1" x14ac:dyDescent="0.35">
      <c r="A906" s="253"/>
      <c r="B906" s="283" t="s">
        <v>648</v>
      </c>
      <c r="C906" s="280"/>
      <c r="D906" s="284"/>
      <c r="E906" s="253"/>
      <c r="F906" s="1"/>
      <c r="AC906" s="80">
        <f t="shared" si="50"/>
        <v>0</v>
      </c>
      <c r="AD906" s="80">
        <f t="shared" si="50"/>
        <v>0</v>
      </c>
      <c r="AE906" s="80">
        <f t="shared" si="50"/>
        <v>0</v>
      </c>
      <c r="AF906" s="80">
        <f t="shared" si="50"/>
        <v>0</v>
      </c>
      <c r="AG906" s="76">
        <f t="shared" si="51"/>
        <v>0</v>
      </c>
    </row>
    <row r="907" spans="1:68" ht="18" hidden="1" customHeight="1" thickTop="1" thickBot="1" x14ac:dyDescent="0.35">
      <c r="A907" s="253"/>
      <c r="B907" s="283" t="s">
        <v>649</v>
      </c>
      <c r="C907" s="280"/>
      <c r="D907" s="284"/>
      <c r="E907" s="253"/>
      <c r="F907" s="1"/>
      <c r="AC907" s="80">
        <f t="shared" si="50"/>
        <v>0</v>
      </c>
      <c r="AD907" s="80">
        <f t="shared" si="50"/>
        <v>0</v>
      </c>
      <c r="AE907" s="80">
        <f t="shared" si="50"/>
        <v>0</v>
      </c>
      <c r="AF907" s="80">
        <f t="shared" si="50"/>
        <v>0</v>
      </c>
      <c r="AG907" s="76">
        <f t="shared" si="51"/>
        <v>0</v>
      </c>
    </row>
    <row r="908" spans="1:68" ht="18" hidden="1" customHeight="1" thickTop="1" thickBot="1" x14ac:dyDescent="0.35">
      <c r="A908" s="253"/>
      <c r="B908" s="283" t="s">
        <v>650</v>
      </c>
      <c r="C908" s="280"/>
      <c r="D908" s="284"/>
      <c r="E908" s="253"/>
      <c r="F908" s="1"/>
      <c r="AC908" s="80">
        <f t="shared" si="50"/>
        <v>0</v>
      </c>
      <c r="AD908" s="80">
        <f t="shared" si="50"/>
        <v>0</v>
      </c>
      <c r="AE908" s="80">
        <f t="shared" si="50"/>
        <v>0</v>
      </c>
      <c r="AF908" s="80">
        <f t="shared" si="50"/>
        <v>0</v>
      </c>
      <c r="AG908" s="76">
        <f t="shared" si="51"/>
        <v>0</v>
      </c>
    </row>
    <row r="909" spans="1:68" ht="18" hidden="1" customHeight="1" thickTop="1" thickBot="1" x14ac:dyDescent="0.35">
      <c r="A909" s="253"/>
      <c r="B909" s="283" t="s">
        <v>651</v>
      </c>
      <c r="C909" s="280"/>
      <c r="D909" s="284"/>
      <c r="E909" s="253"/>
      <c r="F909" s="1"/>
      <c r="AC909" s="80">
        <f t="shared" si="50"/>
        <v>0</v>
      </c>
      <c r="AD909" s="80">
        <f t="shared" si="50"/>
        <v>0</v>
      </c>
      <c r="AE909" s="80">
        <f t="shared" si="50"/>
        <v>0</v>
      </c>
      <c r="AF909" s="80">
        <f t="shared" si="50"/>
        <v>0</v>
      </c>
      <c r="AG909" s="76">
        <f t="shared" si="51"/>
        <v>0</v>
      </c>
      <c r="AJ909" s="76">
        <f>SUM(AG889:AG909)</f>
        <v>0</v>
      </c>
    </row>
    <row r="910" spans="1:68" ht="10.050000000000001" hidden="1" customHeight="1" thickTop="1" x14ac:dyDescent="0.3">
      <c r="A910" s="253"/>
      <c r="B910" s="280"/>
      <c r="C910" s="280"/>
      <c r="D910" s="280"/>
      <c r="E910" s="253"/>
      <c r="F910" s="1"/>
      <c r="AC910" s="80"/>
      <c r="AD910" s="80"/>
      <c r="AE910" s="80"/>
      <c r="AF910" s="80"/>
    </row>
    <row r="911" spans="1:68" ht="14.4" hidden="1" x14ac:dyDescent="0.3">
      <c r="A911" s="253"/>
      <c r="B911" s="280"/>
      <c r="C911" s="280"/>
      <c r="D911" s="285" t="s">
        <v>652</v>
      </c>
      <c r="E911" s="253"/>
      <c r="F911" s="1"/>
      <c r="AC911" s="80"/>
      <c r="AD911" s="80"/>
      <c r="AE911" s="80"/>
      <c r="AF911" s="80"/>
      <c r="AG911" s="76">
        <f>SUM(AG889:AG910)</f>
        <v>0</v>
      </c>
    </row>
    <row r="912" spans="1:68" ht="14.4" hidden="1" x14ac:dyDescent="0.3">
      <c r="A912" s="253"/>
      <c r="B912" s="286" t="s">
        <v>653</v>
      </c>
      <c r="C912" s="280"/>
      <c r="D912" s="285" t="s">
        <v>654</v>
      </c>
      <c r="E912" s="253"/>
      <c r="F912" s="1"/>
      <c r="AC912" s="80">
        <v>0</v>
      </c>
      <c r="AD912" s="80">
        <v>21</v>
      </c>
      <c r="AE912" s="80"/>
      <c r="AF912" s="80"/>
      <c r="AG912" s="80"/>
      <c r="AQ912" s="80" t="s">
        <v>655</v>
      </c>
      <c r="AR912" s="80"/>
      <c r="AS912" s="80"/>
      <c r="BB912" s="56"/>
      <c r="BP912" s="16"/>
    </row>
    <row r="913" spans="1:68" ht="14.4" hidden="1" x14ac:dyDescent="0.3">
      <c r="A913" s="253"/>
      <c r="B913" s="286" t="s">
        <v>656</v>
      </c>
      <c r="C913" s="280"/>
      <c r="D913" s="285" t="s">
        <v>657</v>
      </c>
      <c r="E913" s="253"/>
      <c r="F913" s="1"/>
      <c r="AC913" s="80">
        <f>AD912</f>
        <v>21</v>
      </c>
      <c r="AD913" s="80">
        <v>36</v>
      </c>
      <c r="AE913" s="80"/>
      <c r="AF913" s="80"/>
      <c r="AG913" s="80"/>
      <c r="AQ913" s="56" t="s">
        <v>658</v>
      </c>
      <c r="AR913" s="80"/>
      <c r="AS913" s="80"/>
      <c r="BB913" s="56" t="str">
        <f>AG914</f>
        <v>low anxiety</v>
      </c>
      <c r="BF913" s="56" t="s">
        <v>659</v>
      </c>
      <c r="BP913" s="16"/>
    </row>
    <row r="914" spans="1:68" ht="15" hidden="1" thickBot="1" x14ac:dyDescent="0.35">
      <c r="A914" s="253"/>
      <c r="B914" s="286" t="s">
        <v>660</v>
      </c>
      <c r="C914" s="287"/>
      <c r="D914" s="285" t="s">
        <v>661</v>
      </c>
      <c r="E914" s="253"/>
      <c r="F914" s="1"/>
      <c r="AC914" s="80">
        <f>AD913</f>
        <v>36</v>
      </c>
      <c r="AD914" s="80">
        <f>(21*3)+1</f>
        <v>64</v>
      </c>
      <c r="AE914" s="80"/>
      <c r="AF914" s="80"/>
      <c r="AG914" s="288" t="str">
        <f>IF(AND(AG911&gt;=AC912,AG911&lt;AD912),B912,IF(AND(AG911&gt;=AC913,AG911&lt;AD913),B913,IF(AND(AG911&gt;=AC914,AE1094&lt;AD914),B914,"")))</f>
        <v>low anxiety</v>
      </c>
      <c r="AH914" s="280"/>
      <c r="AI914" s="280"/>
      <c r="AJ914" s="253"/>
    </row>
    <row r="915" spans="1:68" ht="14.4" hidden="1" x14ac:dyDescent="0.3">
      <c r="A915" s="253"/>
      <c r="B915" s="286"/>
      <c r="C915" s="287"/>
      <c r="D915" s="280"/>
      <c r="E915" s="253"/>
      <c r="F915" s="1"/>
      <c r="G915" s="289"/>
      <c r="H915" s="289"/>
      <c r="I915" s="289"/>
      <c r="J915" s="289"/>
      <c r="K915" s="289"/>
      <c r="L915" s="289"/>
      <c r="M915" s="289"/>
      <c r="N915" s="289"/>
      <c r="O915" s="289"/>
      <c r="P915" s="289"/>
      <c r="Q915" s="289"/>
      <c r="R915" s="289"/>
      <c r="S915" s="289"/>
      <c r="T915" s="289"/>
      <c r="U915" s="289"/>
      <c r="V915" s="289"/>
      <c r="W915" s="289"/>
      <c r="X915" s="289"/>
      <c r="Y915" s="289"/>
      <c r="Z915" s="289"/>
      <c r="AA915" s="80"/>
      <c r="AB915" s="80"/>
      <c r="AC915" s="80"/>
      <c r="AD915" s="80"/>
      <c r="AE915" s="80"/>
    </row>
    <row r="916" spans="1:68" ht="14.4" hidden="1" x14ac:dyDescent="0.3">
      <c r="A916" s="253"/>
      <c r="B916" s="286"/>
      <c r="C916" s="280"/>
      <c r="D916" s="287"/>
      <c r="E916" s="253"/>
      <c r="F916" s="1"/>
      <c r="G916" s="289"/>
      <c r="H916" s="289"/>
      <c r="I916" s="289"/>
      <c r="J916" s="289"/>
      <c r="K916" s="289"/>
      <c r="L916" s="289"/>
      <c r="M916" s="289"/>
      <c r="N916" s="289"/>
      <c r="O916" s="289"/>
      <c r="P916" s="289"/>
      <c r="Q916" s="289"/>
      <c r="R916" s="289"/>
      <c r="S916" s="289"/>
      <c r="T916" s="289"/>
      <c r="U916" s="289"/>
      <c r="V916" s="289"/>
      <c r="W916" s="289"/>
      <c r="X916" s="289"/>
      <c r="Y916" s="289"/>
      <c r="Z916" s="289"/>
      <c r="AA916" s="80"/>
      <c r="AB916" s="80"/>
      <c r="BB916" s="56"/>
    </row>
    <row r="917" spans="1:68" ht="31.95" hidden="1" customHeight="1" x14ac:dyDescent="0.3">
      <c r="A917" s="253"/>
      <c r="B917" s="601" t="str">
        <f>CONCATENATE(AG917,AN917,AO917,AZ917)</f>
        <v>You understandably experience some anxiety, considering the many challenges you face from such a conviction. You can rule out a purely biological source for such anxiety.</v>
      </c>
      <c r="C917" s="602"/>
      <c r="D917" s="602"/>
      <c r="E917" s="253"/>
      <c r="F917" s="1"/>
      <c r="G917" s="289"/>
      <c r="H917" s="289"/>
      <c r="I917" s="289"/>
      <c r="J917" s="289"/>
      <c r="K917" s="289"/>
      <c r="L917" s="289"/>
      <c r="M917" s="289"/>
      <c r="N917" s="289"/>
      <c r="O917" s="289"/>
      <c r="P917" s="289"/>
      <c r="Q917" s="289"/>
      <c r="R917" s="289"/>
      <c r="S917" s="289"/>
      <c r="T917" s="289"/>
      <c r="U917" s="289"/>
      <c r="V917" s="289"/>
      <c r="W917" s="289"/>
      <c r="X917" s="289"/>
      <c r="Y917" s="289"/>
      <c r="Z917" s="289"/>
      <c r="AA917" s="80"/>
      <c r="AB917" s="80"/>
      <c r="AG917" s="28" t="s">
        <v>662</v>
      </c>
      <c r="AN917" s="56" t="str">
        <f>IF(AG911&lt;AC913,"some anxiety",AG914)</f>
        <v>some anxiety</v>
      </c>
      <c r="AO917" s="120" t="s">
        <v>663</v>
      </c>
      <c r="AZ917" s="56" t="s">
        <v>664</v>
      </c>
    </row>
    <row r="918" spans="1:68" ht="10.050000000000001" hidden="1" customHeight="1" x14ac:dyDescent="0.3">
      <c r="A918" s="253"/>
      <c r="B918" s="286"/>
      <c r="C918" s="280"/>
      <c r="D918" s="287"/>
      <c r="E918" s="253"/>
      <c r="F918" s="1"/>
      <c r="G918" s="289"/>
      <c r="H918" s="289"/>
      <c r="I918" s="289"/>
      <c r="J918" s="289"/>
      <c r="K918" s="289"/>
      <c r="L918" s="289"/>
      <c r="M918" s="289"/>
      <c r="N918" s="289"/>
      <c r="O918" s="289"/>
      <c r="P918" s="289"/>
      <c r="Q918" s="289"/>
      <c r="R918" s="289"/>
      <c r="S918" s="289"/>
      <c r="T918" s="289"/>
      <c r="U918" s="289"/>
      <c r="V918" s="289"/>
      <c r="W918" s="289"/>
      <c r="X918" s="289"/>
      <c r="Y918" s="289"/>
      <c r="Z918" s="289"/>
      <c r="AA918" s="80"/>
      <c r="AB918" s="80"/>
      <c r="AC918" s="80"/>
    </row>
    <row r="919" spans="1:68" ht="60" hidden="1" customHeight="1" x14ac:dyDescent="0.3">
      <c r="A919" s="253"/>
      <c r="B919" s="601" t="s">
        <v>665</v>
      </c>
      <c r="C919" s="602"/>
      <c r="D919" s="602"/>
      <c r="E919" s="253"/>
      <c r="F919" s="1"/>
      <c r="G919" s="289"/>
      <c r="H919" s="289"/>
      <c r="I919" s="289"/>
      <c r="J919" s="289"/>
      <c r="K919" s="289"/>
      <c r="L919" s="289"/>
      <c r="M919" s="289"/>
      <c r="N919" s="289"/>
      <c r="O919" s="289"/>
      <c r="P919" s="289"/>
      <c r="Q919" s="289"/>
      <c r="R919" s="289"/>
      <c r="S919" s="289"/>
      <c r="T919" s="289"/>
      <c r="U919" s="289"/>
      <c r="V919" s="289"/>
      <c r="W919" s="289"/>
      <c r="X919" s="289"/>
      <c r="Y919" s="289"/>
      <c r="Z919" s="289"/>
      <c r="AA919" s="80"/>
      <c r="AB919" s="80"/>
      <c r="AC919" s="80"/>
      <c r="AD919" s="56" t="str">
        <f>AN152</f>
        <v>Steph</v>
      </c>
      <c r="AF919" s="56" t="s">
        <v>666</v>
      </c>
      <c r="AM919" s="56" t="str">
        <f>AN917</f>
        <v>some anxiety</v>
      </c>
      <c r="AQ919" s="56" t="s">
        <v>667</v>
      </c>
      <c r="AZ919" s="56" t="str">
        <f>IF(AG911=0,"","The wrongful conviction produces plenty to be anxious about. ")</f>
        <v/>
      </c>
      <c r="BB919" s="56"/>
      <c r="BF919" s="56" t="s">
        <v>668</v>
      </c>
    </row>
    <row r="920" spans="1:68" ht="4.95" hidden="1" customHeight="1" x14ac:dyDescent="0.3">
      <c r="A920" s="253"/>
      <c r="B920" s="253"/>
      <c r="C920" s="253"/>
      <c r="D920" s="253"/>
      <c r="E920" s="253"/>
      <c r="F920" s="1"/>
      <c r="G920" s="289"/>
      <c r="H920" s="289"/>
      <c r="I920" s="289"/>
      <c r="J920" s="289"/>
      <c r="K920" s="289"/>
      <c r="L920" s="289"/>
      <c r="M920" s="289"/>
      <c r="N920" s="289"/>
      <c r="O920" s="289"/>
      <c r="P920" s="289"/>
      <c r="Q920" s="289"/>
      <c r="R920" s="289"/>
      <c r="S920" s="289"/>
      <c r="T920" s="289"/>
      <c r="U920" s="289"/>
      <c r="V920" s="289"/>
      <c r="W920" s="289"/>
      <c r="X920" s="289"/>
      <c r="Y920" s="289"/>
      <c r="Z920" s="289"/>
      <c r="AA920" s="80"/>
      <c r="AB920" s="80"/>
      <c r="AC920" s="80"/>
      <c r="AD920" s="56" t="str">
        <f>CONCATENATE(AD919,AF919,AM919,AQ919,AZ919,BF919)</f>
        <v>Steph understandably experiences some anxiety from the wrongful conviction. Once hired, much of that should clear up. If not, Value Relating can help.</v>
      </c>
      <c r="BB920" s="56"/>
    </row>
    <row r="921" spans="1:68" ht="4.95" hidden="1" customHeight="1" x14ac:dyDescent="0.25">
      <c r="A921" s="253"/>
      <c r="B921" s="290"/>
      <c r="C921" s="253"/>
      <c r="D921" s="253"/>
      <c r="E921" s="253"/>
      <c r="F921" s="1"/>
    </row>
    <row r="922" spans="1:68" ht="25.05" hidden="1" customHeight="1" x14ac:dyDescent="0.25">
      <c r="A922" s="253"/>
      <c r="B922" s="265" t="s">
        <v>669</v>
      </c>
      <c r="C922" s="265"/>
      <c r="D922" s="265"/>
      <c r="E922" s="253"/>
      <c r="F922" s="1"/>
    </row>
    <row r="923" spans="1:68" ht="34.950000000000003" hidden="1" customHeight="1" x14ac:dyDescent="0.25">
      <c r="A923" s="253"/>
      <c r="B923" s="600" t="str">
        <f>B886</f>
        <v>Rate each item to your level of experience. Your responses let us know the level of your current need. If taken later we can compare the scores to help see if we are helping or not.</v>
      </c>
      <c r="C923" s="600"/>
      <c r="D923" s="600"/>
      <c r="E923" s="253"/>
      <c r="F923" s="1"/>
    </row>
    <row r="924" spans="1:68" ht="14.55" hidden="1" customHeight="1" x14ac:dyDescent="0.25">
      <c r="A924" s="253"/>
      <c r="B924" s="290"/>
      <c r="C924" s="253"/>
      <c r="D924" s="253"/>
      <c r="E924" s="253"/>
      <c r="F924" s="1"/>
    </row>
    <row r="925" spans="1:68" ht="14.55" hidden="1" customHeight="1" thickBot="1" x14ac:dyDescent="0.35">
      <c r="A925" s="253"/>
      <c r="B925" s="291"/>
      <c r="C925" s="280"/>
      <c r="D925" s="282" t="str">
        <f>D888</f>
        <v>Pick best answer from pulldown menu.</v>
      </c>
      <c r="E925" s="280"/>
      <c r="F925" s="1"/>
      <c r="G925" s="289"/>
      <c r="H925" s="289"/>
      <c r="I925" s="289"/>
      <c r="J925" s="289"/>
      <c r="K925" s="289"/>
      <c r="L925" s="289"/>
      <c r="M925" s="289"/>
      <c r="N925" s="289"/>
      <c r="O925" s="289"/>
      <c r="P925" s="289"/>
      <c r="Q925" s="289"/>
      <c r="R925" s="289"/>
      <c r="S925" s="289"/>
      <c r="T925" s="289"/>
      <c r="U925" s="289"/>
      <c r="V925" s="289"/>
      <c r="W925" s="289"/>
      <c r="X925" s="289"/>
      <c r="Y925" s="289"/>
      <c r="Z925" s="289"/>
      <c r="AA925" s="80"/>
      <c r="AB925" s="80"/>
      <c r="AC925" s="80"/>
      <c r="AD925" s="80"/>
    </row>
    <row r="926" spans="1:68" ht="19.95" hidden="1" customHeight="1" thickTop="1" thickBot="1" x14ac:dyDescent="0.35">
      <c r="A926" s="253"/>
      <c r="B926" s="292">
        <v>1</v>
      </c>
      <c r="C926" s="603" t="str">
        <f>AD926</f>
        <v>sadness</v>
      </c>
      <c r="D926" s="604"/>
      <c r="E926" s="253"/>
      <c r="F926" s="1"/>
      <c r="AD926" s="293" t="s">
        <v>670</v>
      </c>
      <c r="AE926" s="80"/>
      <c r="AF926" s="80"/>
      <c r="AG926" s="80">
        <f>IF(AND(C926&lt;&gt;"",C926=AD926),0,1)</f>
        <v>0</v>
      </c>
      <c r="AH926" s="80"/>
    </row>
    <row r="927" spans="1:68" ht="12" hidden="1" customHeight="1" thickTop="1" x14ac:dyDescent="0.3">
      <c r="A927" s="253"/>
      <c r="B927" s="294">
        <v>0</v>
      </c>
      <c r="C927" s="295" t="s">
        <v>671</v>
      </c>
      <c r="D927" s="280"/>
      <c r="E927" s="253"/>
      <c r="F927" s="1"/>
      <c r="AD927" s="80"/>
      <c r="AE927" s="80"/>
      <c r="AF927" s="80">
        <f>IF(C$926=C927,B927,0)</f>
        <v>0</v>
      </c>
      <c r="AG927" s="80"/>
      <c r="AH927" s="80"/>
    </row>
    <row r="928" spans="1:68" ht="12" hidden="1" customHeight="1" x14ac:dyDescent="0.3">
      <c r="A928" s="253"/>
      <c r="B928" s="294">
        <v>1</v>
      </c>
      <c r="C928" s="295" t="s">
        <v>672</v>
      </c>
      <c r="D928" s="280"/>
      <c r="E928" s="253"/>
      <c r="F928" s="1"/>
      <c r="AD928" s="80"/>
      <c r="AE928" s="80"/>
      <c r="AF928" s="80">
        <f>IF(C$926=C928,B928,0)</f>
        <v>0</v>
      </c>
      <c r="AG928" s="80"/>
      <c r="AH928" s="80"/>
    </row>
    <row r="929" spans="1:34" ht="12" hidden="1" customHeight="1" x14ac:dyDescent="0.3">
      <c r="A929" s="253"/>
      <c r="B929" s="294">
        <v>2</v>
      </c>
      <c r="C929" s="295" t="s">
        <v>673</v>
      </c>
      <c r="D929" s="280"/>
      <c r="E929" s="253"/>
      <c r="F929" s="1"/>
      <c r="AD929" s="80"/>
      <c r="AE929" s="80"/>
      <c r="AF929" s="80">
        <f>IF(C$926=C929,B929,0)</f>
        <v>0</v>
      </c>
      <c r="AG929" s="80"/>
      <c r="AH929" s="80"/>
    </row>
    <row r="930" spans="1:34" ht="12" hidden="1" customHeight="1" thickBot="1" x14ac:dyDescent="0.35">
      <c r="A930" s="253"/>
      <c r="B930" s="294">
        <v>3</v>
      </c>
      <c r="C930" s="295" t="s">
        <v>674</v>
      </c>
      <c r="D930" s="280"/>
      <c r="E930" s="253"/>
      <c r="F930" s="1"/>
      <c r="AD930" s="80"/>
      <c r="AE930" s="80"/>
      <c r="AF930" s="80">
        <f>IF(C$926=C930,B930,0)</f>
        <v>0</v>
      </c>
      <c r="AG930" s="80"/>
      <c r="AH930" s="80"/>
    </row>
    <row r="931" spans="1:34" ht="19.95" hidden="1" customHeight="1" thickTop="1" thickBot="1" x14ac:dyDescent="0.35">
      <c r="A931" s="253"/>
      <c r="B931" s="292">
        <v>2</v>
      </c>
      <c r="C931" s="603" t="str">
        <f>AD931</f>
        <v>hope</v>
      </c>
      <c r="D931" s="604"/>
      <c r="E931" s="253"/>
      <c r="F931" s="1"/>
      <c r="AD931" s="293" t="s">
        <v>675</v>
      </c>
      <c r="AE931" s="80"/>
      <c r="AF931" s="80"/>
      <c r="AG931" s="80">
        <f>IF(AND(C931&lt;&gt;"",C931=AD931),0,1)</f>
        <v>0</v>
      </c>
      <c r="AH931" s="80"/>
    </row>
    <row r="932" spans="1:34" ht="12" hidden="1" customHeight="1" thickTop="1" x14ac:dyDescent="0.3">
      <c r="A932" s="253"/>
      <c r="B932" s="294">
        <v>0</v>
      </c>
      <c r="C932" s="295" t="s">
        <v>676</v>
      </c>
      <c r="D932" s="280"/>
      <c r="E932" s="253"/>
      <c r="F932" s="1"/>
      <c r="AD932" s="80"/>
      <c r="AE932" s="80"/>
      <c r="AF932" s="80">
        <f>IF(C$931=C932,B932,0)</f>
        <v>0</v>
      </c>
      <c r="AG932" s="80"/>
      <c r="AH932" s="80"/>
    </row>
    <row r="933" spans="1:34" ht="12" hidden="1" customHeight="1" x14ac:dyDescent="0.3">
      <c r="A933" s="253"/>
      <c r="B933" s="294">
        <v>1</v>
      </c>
      <c r="C933" s="295" t="s">
        <v>677</v>
      </c>
      <c r="D933" s="280"/>
      <c r="E933" s="253"/>
      <c r="F933" s="1"/>
      <c r="AD933" s="80"/>
      <c r="AE933" s="80"/>
      <c r="AF933" s="80">
        <f>IF(C$931=C933,B933,0)</f>
        <v>0</v>
      </c>
      <c r="AG933" s="80"/>
      <c r="AH933" s="80"/>
    </row>
    <row r="934" spans="1:34" ht="12" hidden="1" customHeight="1" x14ac:dyDescent="0.3">
      <c r="A934" s="253"/>
      <c r="B934" s="294">
        <v>2</v>
      </c>
      <c r="C934" s="295" t="s">
        <v>678</v>
      </c>
      <c r="D934" s="280"/>
      <c r="E934" s="253"/>
      <c r="F934" s="1"/>
      <c r="AD934" s="80"/>
      <c r="AE934" s="80"/>
      <c r="AF934" s="80">
        <f>IF(C$931=C934,B934,0)</f>
        <v>0</v>
      </c>
      <c r="AG934" s="80"/>
      <c r="AH934" s="80"/>
    </row>
    <row r="935" spans="1:34" ht="12" hidden="1" customHeight="1" thickBot="1" x14ac:dyDescent="0.35">
      <c r="A935" s="253"/>
      <c r="B935" s="294">
        <v>3</v>
      </c>
      <c r="C935" s="295" t="s">
        <v>679</v>
      </c>
      <c r="D935" s="280"/>
      <c r="E935" s="253"/>
      <c r="F935" s="1"/>
      <c r="AD935" s="80"/>
      <c r="AE935" s="80"/>
      <c r="AF935" s="80">
        <f>IF(C$931=C935,B935,0)</f>
        <v>0</v>
      </c>
      <c r="AG935" s="80"/>
      <c r="AH935" s="80"/>
    </row>
    <row r="936" spans="1:34" ht="19.95" hidden="1" customHeight="1" thickTop="1" thickBot="1" x14ac:dyDescent="0.35">
      <c r="A936" s="253"/>
      <c r="B936" s="292">
        <v>3</v>
      </c>
      <c r="C936" s="603" t="str">
        <f>AD936</f>
        <v>failures</v>
      </c>
      <c r="D936" s="604"/>
      <c r="E936" s="253"/>
      <c r="F936" s="1"/>
      <c r="AD936" s="293" t="s">
        <v>680</v>
      </c>
      <c r="AE936" s="80"/>
      <c r="AF936" s="80"/>
      <c r="AG936" s="80">
        <f>IF(AND(C936&lt;&gt;"",C936=AD936),0,1)</f>
        <v>0</v>
      </c>
      <c r="AH936" s="80"/>
    </row>
    <row r="937" spans="1:34" ht="12" hidden="1" customHeight="1" thickTop="1" x14ac:dyDescent="0.3">
      <c r="A937" s="253"/>
      <c r="B937" s="294">
        <v>0</v>
      </c>
      <c r="C937" s="295" t="s">
        <v>681</v>
      </c>
      <c r="D937" s="280"/>
      <c r="E937" s="253"/>
      <c r="F937" s="1"/>
      <c r="AD937" s="80"/>
      <c r="AE937" s="80"/>
      <c r="AF937" s="80">
        <f>IF(C$936=C937,B937,0)</f>
        <v>0</v>
      </c>
      <c r="AG937" s="80"/>
      <c r="AH937" s="80"/>
    </row>
    <row r="938" spans="1:34" ht="12" hidden="1" customHeight="1" x14ac:dyDescent="0.3">
      <c r="A938" s="253"/>
      <c r="B938" s="294">
        <v>1</v>
      </c>
      <c r="C938" s="295" t="s">
        <v>682</v>
      </c>
      <c r="D938" s="280"/>
      <c r="E938" s="253"/>
      <c r="F938" s="1"/>
      <c r="AD938" s="80"/>
      <c r="AE938" s="80"/>
      <c r="AF938" s="80">
        <f>IF(C$936=C938,B938,0)</f>
        <v>0</v>
      </c>
      <c r="AG938" s="80"/>
      <c r="AH938" s="80"/>
    </row>
    <row r="939" spans="1:34" ht="12" hidden="1" customHeight="1" x14ac:dyDescent="0.3">
      <c r="A939" s="253"/>
      <c r="B939" s="294">
        <v>2</v>
      </c>
      <c r="C939" s="295" t="s">
        <v>683</v>
      </c>
      <c r="D939" s="280"/>
      <c r="E939" s="253"/>
      <c r="F939" s="1"/>
      <c r="AD939" s="80"/>
      <c r="AE939" s="80"/>
      <c r="AF939" s="80">
        <f>IF(C$936=C939,B939,0)</f>
        <v>0</v>
      </c>
      <c r="AG939" s="80"/>
      <c r="AH939" s="80"/>
    </row>
    <row r="940" spans="1:34" ht="12" hidden="1" customHeight="1" thickBot="1" x14ac:dyDescent="0.35">
      <c r="A940" s="253"/>
      <c r="B940" s="294">
        <v>3</v>
      </c>
      <c r="C940" s="295" t="s">
        <v>684</v>
      </c>
      <c r="D940" s="280"/>
      <c r="E940" s="253"/>
      <c r="F940" s="1"/>
      <c r="AD940" s="80"/>
      <c r="AE940" s="80"/>
      <c r="AF940" s="80">
        <f>IF(C$936=C940,B940,0)</f>
        <v>0</v>
      </c>
      <c r="AG940" s="80"/>
      <c r="AH940" s="80"/>
    </row>
    <row r="941" spans="1:34" ht="19.95" hidden="1" customHeight="1" thickTop="1" thickBot="1" x14ac:dyDescent="0.35">
      <c r="A941" s="253"/>
      <c r="B941" s="292">
        <v>4</v>
      </c>
      <c r="C941" s="603" t="str">
        <f>AD941</f>
        <v>satisfaction</v>
      </c>
      <c r="D941" s="604"/>
      <c r="E941" s="253"/>
      <c r="F941" s="1"/>
      <c r="AD941" s="293" t="s">
        <v>685</v>
      </c>
      <c r="AE941" s="80"/>
      <c r="AF941" s="80"/>
      <c r="AG941" s="80">
        <f>IF(AND(C941&lt;&gt;"",C941=AD941),0,1)</f>
        <v>0</v>
      </c>
      <c r="AH941" s="80"/>
    </row>
    <row r="942" spans="1:34" ht="12" hidden="1" customHeight="1" thickTop="1" x14ac:dyDescent="0.3">
      <c r="A942" s="253"/>
      <c r="B942" s="294">
        <v>0</v>
      </c>
      <c r="C942" s="295" t="s">
        <v>686</v>
      </c>
      <c r="D942" s="280"/>
      <c r="E942" s="253"/>
      <c r="F942" s="1"/>
      <c r="AD942" s="80"/>
      <c r="AE942" s="80"/>
      <c r="AF942" s="80">
        <f>IF(C$941=C942,B942,0)</f>
        <v>0</v>
      </c>
      <c r="AG942" s="80"/>
      <c r="AH942" s="80"/>
    </row>
    <row r="943" spans="1:34" ht="12" hidden="1" customHeight="1" x14ac:dyDescent="0.3">
      <c r="A943" s="253"/>
      <c r="B943" s="294">
        <v>1</v>
      </c>
      <c r="C943" s="295" t="s">
        <v>687</v>
      </c>
      <c r="D943" s="280"/>
      <c r="E943" s="253"/>
      <c r="F943" s="1"/>
      <c r="AD943" s="80"/>
      <c r="AE943" s="80"/>
      <c r="AF943" s="80">
        <f>IF(C$941=C943,B943,0)</f>
        <v>0</v>
      </c>
      <c r="AG943" s="80"/>
      <c r="AH943" s="80"/>
    </row>
    <row r="944" spans="1:34" ht="12" hidden="1" customHeight="1" x14ac:dyDescent="0.3">
      <c r="A944" s="253"/>
      <c r="B944" s="294">
        <v>2</v>
      </c>
      <c r="C944" s="295" t="s">
        <v>688</v>
      </c>
      <c r="D944" s="280"/>
      <c r="E944" s="253"/>
      <c r="F944" s="1"/>
      <c r="AD944" s="80"/>
      <c r="AE944" s="80"/>
      <c r="AF944" s="80">
        <f>IF(C$941=C944,B944,0)</f>
        <v>0</v>
      </c>
      <c r="AG944" s="80"/>
      <c r="AH944" s="80"/>
    </row>
    <row r="945" spans="1:34" ht="12" hidden="1" customHeight="1" thickBot="1" x14ac:dyDescent="0.35">
      <c r="A945" s="253"/>
      <c r="B945" s="294">
        <v>3</v>
      </c>
      <c r="C945" s="295" t="s">
        <v>689</v>
      </c>
      <c r="D945" s="280"/>
      <c r="E945" s="253"/>
      <c r="F945" s="1"/>
      <c r="AD945" s="80"/>
      <c r="AE945" s="80"/>
      <c r="AF945" s="80">
        <f>IF(C$941=C945,B945,0)</f>
        <v>0</v>
      </c>
      <c r="AG945" s="80"/>
      <c r="AH945" s="80"/>
    </row>
    <row r="946" spans="1:34" ht="19.95" hidden="1" customHeight="1" thickTop="1" thickBot="1" x14ac:dyDescent="0.35">
      <c r="A946" s="253"/>
      <c r="B946" s="292">
        <v>5</v>
      </c>
      <c r="C946" s="603" t="str">
        <f>AD946</f>
        <v>guilt</v>
      </c>
      <c r="D946" s="604"/>
      <c r="E946" s="253"/>
      <c r="F946" s="1"/>
      <c r="AD946" s="293" t="s">
        <v>690</v>
      </c>
      <c r="AE946" s="80"/>
      <c r="AF946" s="80"/>
      <c r="AG946" s="80">
        <f>IF(AND(C946&lt;&gt;"",C946=AD946),0,1)</f>
        <v>0</v>
      </c>
      <c r="AH946" s="80"/>
    </row>
    <row r="947" spans="1:34" ht="12" hidden="1" customHeight="1" thickTop="1" x14ac:dyDescent="0.3">
      <c r="A947" s="253"/>
      <c r="B947" s="294">
        <v>0</v>
      </c>
      <c r="C947" s="295" t="s">
        <v>691</v>
      </c>
      <c r="D947" s="280"/>
      <c r="E947" s="253"/>
      <c r="F947" s="1"/>
      <c r="AD947" s="80"/>
      <c r="AE947" s="80"/>
      <c r="AF947" s="80">
        <f>IF(C$946=C947,B947,0)</f>
        <v>0</v>
      </c>
      <c r="AG947" s="80"/>
      <c r="AH947" s="80"/>
    </row>
    <row r="948" spans="1:34" ht="12" hidden="1" customHeight="1" x14ac:dyDescent="0.3">
      <c r="A948" s="253"/>
      <c r="B948" s="294">
        <v>1</v>
      </c>
      <c r="C948" s="295" t="s">
        <v>692</v>
      </c>
      <c r="D948" s="280"/>
      <c r="E948" s="253"/>
      <c r="F948" s="1"/>
      <c r="AD948" s="80"/>
      <c r="AE948" s="80"/>
      <c r="AF948" s="80">
        <f>IF(C$946=C948,B948,0)</f>
        <v>0</v>
      </c>
      <c r="AG948" s="80"/>
      <c r="AH948" s="80"/>
    </row>
    <row r="949" spans="1:34" ht="12" hidden="1" customHeight="1" x14ac:dyDescent="0.3">
      <c r="A949" s="253"/>
      <c r="B949" s="294">
        <v>2</v>
      </c>
      <c r="C949" s="295" t="s">
        <v>693</v>
      </c>
      <c r="D949" s="280"/>
      <c r="E949" s="253"/>
      <c r="F949" s="1"/>
      <c r="AD949" s="80"/>
      <c r="AE949" s="80"/>
      <c r="AF949" s="80">
        <f>IF(C$946=C949,B949,0)</f>
        <v>0</v>
      </c>
      <c r="AG949" s="80"/>
      <c r="AH949" s="80"/>
    </row>
    <row r="950" spans="1:34" ht="12" hidden="1" customHeight="1" thickBot="1" x14ac:dyDescent="0.35">
      <c r="A950" s="253"/>
      <c r="B950" s="294">
        <v>3</v>
      </c>
      <c r="C950" s="295" t="s">
        <v>694</v>
      </c>
      <c r="D950" s="280"/>
      <c r="E950" s="253"/>
      <c r="F950" s="1"/>
      <c r="AD950" s="80"/>
      <c r="AE950" s="80"/>
      <c r="AF950" s="80">
        <f>IF(C$946=C950,B950,0)</f>
        <v>0</v>
      </c>
      <c r="AG950" s="80"/>
      <c r="AH950" s="80"/>
    </row>
    <row r="951" spans="1:34" ht="19.95" hidden="1" customHeight="1" thickTop="1" thickBot="1" x14ac:dyDescent="0.35">
      <c r="A951" s="253"/>
      <c r="B951" s="292">
        <v>6</v>
      </c>
      <c r="C951" s="603" t="str">
        <f>AD951</f>
        <v>punished</v>
      </c>
      <c r="D951" s="604"/>
      <c r="E951" s="253"/>
      <c r="F951" s="1"/>
      <c r="AD951" s="293" t="s">
        <v>695</v>
      </c>
      <c r="AE951" s="80"/>
      <c r="AF951" s="80"/>
      <c r="AG951" s="80">
        <f>IF(AND(C951&lt;&gt;"",C951=AD951),0,1)</f>
        <v>0</v>
      </c>
      <c r="AH951" s="80"/>
    </row>
    <row r="952" spans="1:34" ht="12" hidden="1" customHeight="1" thickTop="1" x14ac:dyDescent="0.3">
      <c r="A952" s="253"/>
      <c r="B952" s="294">
        <v>0</v>
      </c>
      <c r="C952" s="295" t="s">
        <v>696</v>
      </c>
      <c r="D952" s="280"/>
      <c r="E952" s="253"/>
      <c r="F952" s="1"/>
      <c r="AD952" s="80"/>
      <c r="AE952" s="80"/>
      <c r="AF952" s="80">
        <f>IF(C$951=C952,B952,0)</f>
        <v>0</v>
      </c>
      <c r="AG952" s="80"/>
      <c r="AH952" s="80"/>
    </row>
    <row r="953" spans="1:34" ht="12" hidden="1" customHeight="1" x14ac:dyDescent="0.3">
      <c r="A953" s="253"/>
      <c r="B953" s="294">
        <v>1</v>
      </c>
      <c r="C953" s="295" t="s">
        <v>697</v>
      </c>
      <c r="D953" s="280"/>
      <c r="E953" s="253"/>
      <c r="F953" s="1"/>
      <c r="AD953" s="80"/>
      <c r="AE953" s="80"/>
      <c r="AF953" s="80">
        <f>IF(C$951=C953,B953,0)</f>
        <v>0</v>
      </c>
      <c r="AG953" s="80"/>
      <c r="AH953" s="80"/>
    </row>
    <row r="954" spans="1:34" ht="12" hidden="1" customHeight="1" x14ac:dyDescent="0.3">
      <c r="A954" s="253"/>
      <c r="B954" s="294">
        <v>2</v>
      </c>
      <c r="C954" s="295" t="s">
        <v>698</v>
      </c>
      <c r="D954" s="280"/>
      <c r="E954" s="253"/>
      <c r="F954" s="1"/>
      <c r="AD954" s="80"/>
      <c r="AE954" s="80"/>
      <c r="AF954" s="80">
        <f>IF(C$951=C954,B954,0)</f>
        <v>0</v>
      </c>
      <c r="AG954" s="80"/>
      <c r="AH954" s="80"/>
    </row>
    <row r="955" spans="1:34" ht="12" hidden="1" customHeight="1" thickBot="1" x14ac:dyDescent="0.35">
      <c r="A955" s="253"/>
      <c r="B955" s="294">
        <v>3</v>
      </c>
      <c r="C955" s="295" t="s">
        <v>699</v>
      </c>
      <c r="D955" s="280"/>
      <c r="E955" s="253"/>
      <c r="F955" s="1"/>
      <c r="AD955" s="80"/>
      <c r="AE955" s="80"/>
      <c r="AF955" s="80">
        <f>IF(C$951=C955,B955,0)</f>
        <v>0</v>
      </c>
      <c r="AG955" s="80"/>
      <c r="AH955" s="80"/>
    </row>
    <row r="956" spans="1:34" ht="19.95" hidden="1" customHeight="1" thickTop="1" thickBot="1" x14ac:dyDescent="0.35">
      <c r="A956" s="253"/>
      <c r="B956" s="292">
        <v>7</v>
      </c>
      <c r="C956" s="603" t="str">
        <f>AD956</f>
        <v>self-loath</v>
      </c>
      <c r="D956" s="604"/>
      <c r="E956" s="253"/>
      <c r="F956" s="1"/>
      <c r="AD956" s="293" t="s">
        <v>700</v>
      </c>
      <c r="AE956" s="80"/>
      <c r="AF956" s="80"/>
      <c r="AG956" s="80">
        <f>IF(AND(C956&lt;&gt;"",C956=AD956),0,1)</f>
        <v>0</v>
      </c>
      <c r="AH956" s="80"/>
    </row>
    <row r="957" spans="1:34" ht="12" hidden="1" customHeight="1" thickTop="1" x14ac:dyDescent="0.3">
      <c r="A957" s="253"/>
      <c r="B957" s="294">
        <v>0</v>
      </c>
      <c r="C957" s="295" t="s">
        <v>701</v>
      </c>
      <c r="D957" s="280"/>
      <c r="E957" s="253"/>
      <c r="F957" s="1"/>
      <c r="AD957" s="80"/>
      <c r="AE957" s="80"/>
      <c r="AF957" s="80">
        <f>IF(C$956=C957,B957,0)</f>
        <v>0</v>
      </c>
      <c r="AG957" s="80"/>
      <c r="AH957" s="80"/>
    </row>
    <row r="958" spans="1:34" ht="12" hidden="1" customHeight="1" x14ac:dyDescent="0.3">
      <c r="A958" s="253"/>
      <c r="B958" s="294">
        <v>1</v>
      </c>
      <c r="C958" s="295" t="s">
        <v>702</v>
      </c>
      <c r="D958" s="280"/>
      <c r="E958" s="253"/>
      <c r="F958" s="1"/>
      <c r="AD958" s="80"/>
      <c r="AE958" s="80"/>
      <c r="AF958" s="80">
        <f>IF(C$956=C958,B958,0)</f>
        <v>0</v>
      </c>
      <c r="AG958" s="80"/>
      <c r="AH958" s="80"/>
    </row>
    <row r="959" spans="1:34" ht="12" hidden="1" customHeight="1" x14ac:dyDescent="0.3">
      <c r="A959" s="253"/>
      <c r="B959" s="294">
        <v>2</v>
      </c>
      <c r="C959" s="295" t="s">
        <v>703</v>
      </c>
      <c r="D959" s="280"/>
      <c r="E959" s="253"/>
      <c r="F959" s="1"/>
      <c r="AD959" s="80"/>
      <c r="AE959" s="80"/>
      <c r="AF959" s="80">
        <f>IF(C$956=C959,B959,0)</f>
        <v>0</v>
      </c>
      <c r="AG959" s="80"/>
      <c r="AH959" s="80"/>
    </row>
    <row r="960" spans="1:34" ht="12" hidden="1" customHeight="1" thickBot="1" x14ac:dyDescent="0.35">
      <c r="A960" s="253"/>
      <c r="B960" s="294">
        <v>3</v>
      </c>
      <c r="C960" s="295" t="s">
        <v>704</v>
      </c>
      <c r="D960" s="280"/>
      <c r="E960" s="253"/>
      <c r="F960" s="1"/>
      <c r="AD960" s="80"/>
      <c r="AE960" s="80"/>
      <c r="AF960" s="80">
        <f>IF(C$956=C960,B960,0)</f>
        <v>0</v>
      </c>
      <c r="AG960" s="80"/>
      <c r="AH960" s="80"/>
    </row>
    <row r="961" spans="1:34" ht="19.95" hidden="1" customHeight="1" thickTop="1" thickBot="1" x14ac:dyDescent="0.35">
      <c r="A961" s="253"/>
      <c r="B961" s="292">
        <v>8</v>
      </c>
      <c r="C961" s="603" t="str">
        <f>AD961</f>
        <v>faults</v>
      </c>
      <c r="D961" s="604"/>
      <c r="E961" s="253"/>
      <c r="F961" s="1"/>
      <c r="AD961" s="293" t="s">
        <v>705</v>
      </c>
      <c r="AE961" s="80"/>
      <c r="AF961" s="80"/>
      <c r="AG961" s="80">
        <f>IF(AND(C961&lt;&gt;"",C961=AD961),0,1)</f>
        <v>0</v>
      </c>
      <c r="AH961" s="80"/>
    </row>
    <row r="962" spans="1:34" ht="12" hidden="1" customHeight="1" thickTop="1" x14ac:dyDescent="0.3">
      <c r="A962" s="253"/>
      <c r="B962" s="294">
        <v>0</v>
      </c>
      <c r="C962" s="295" t="s">
        <v>706</v>
      </c>
      <c r="D962" s="280"/>
      <c r="E962" s="253"/>
      <c r="F962" s="1"/>
      <c r="AD962" s="80"/>
      <c r="AE962" s="80"/>
      <c r="AF962" s="80">
        <f>IF(C$961=C962,B962,0)</f>
        <v>0</v>
      </c>
      <c r="AG962" s="80"/>
      <c r="AH962" s="80"/>
    </row>
    <row r="963" spans="1:34" ht="12" hidden="1" customHeight="1" x14ac:dyDescent="0.3">
      <c r="A963" s="253"/>
      <c r="B963" s="294">
        <v>1</v>
      </c>
      <c r="C963" s="295" t="s">
        <v>707</v>
      </c>
      <c r="D963" s="280"/>
      <c r="E963" s="253"/>
      <c r="F963" s="1"/>
      <c r="AD963" s="80"/>
      <c r="AE963" s="80"/>
      <c r="AF963" s="80">
        <f>IF(C$961=C963,B963,0)</f>
        <v>0</v>
      </c>
      <c r="AG963" s="80"/>
      <c r="AH963" s="80"/>
    </row>
    <row r="964" spans="1:34" ht="12" hidden="1" customHeight="1" x14ac:dyDescent="0.3">
      <c r="A964" s="253"/>
      <c r="B964" s="294">
        <v>2</v>
      </c>
      <c r="C964" s="295" t="s">
        <v>708</v>
      </c>
      <c r="D964" s="280"/>
      <c r="E964" s="253"/>
      <c r="F964" s="1"/>
      <c r="AD964" s="80"/>
      <c r="AE964" s="80"/>
      <c r="AF964" s="80">
        <f>IF(C$961=C964,B964,0)</f>
        <v>0</v>
      </c>
      <c r="AG964" s="80"/>
      <c r="AH964" s="80"/>
    </row>
    <row r="965" spans="1:34" ht="12" hidden="1" customHeight="1" thickBot="1" x14ac:dyDescent="0.35">
      <c r="A965" s="253"/>
      <c r="B965" s="294">
        <v>3</v>
      </c>
      <c r="C965" s="295" t="s">
        <v>709</v>
      </c>
      <c r="D965" s="280"/>
      <c r="E965" s="253"/>
      <c r="F965" s="1"/>
      <c r="AD965" s="80"/>
      <c r="AE965" s="80"/>
      <c r="AF965" s="80">
        <f>IF(C$961=C965,B965,0)</f>
        <v>0</v>
      </c>
      <c r="AG965" s="80"/>
      <c r="AH965" s="80"/>
    </row>
    <row r="966" spans="1:34" ht="19.95" hidden="1" customHeight="1" thickTop="1" thickBot="1" x14ac:dyDescent="0.35">
      <c r="A966" s="253"/>
      <c r="B966" s="292">
        <v>9</v>
      </c>
      <c r="C966" s="603" t="str">
        <f>AD966</f>
        <v>suicidal thoughts</v>
      </c>
      <c r="D966" s="604"/>
      <c r="E966" s="253"/>
      <c r="F966" s="1"/>
      <c r="AD966" s="293" t="s">
        <v>710</v>
      </c>
      <c r="AE966" s="80"/>
      <c r="AF966" s="80"/>
      <c r="AG966" s="80">
        <f>IF(AND(C966&lt;&gt;"",C966=AD966),0,1)</f>
        <v>0</v>
      </c>
      <c r="AH966" s="80"/>
    </row>
    <row r="967" spans="1:34" ht="12" hidden="1" customHeight="1" thickTop="1" x14ac:dyDescent="0.3">
      <c r="A967" s="253"/>
      <c r="B967" s="294">
        <v>0</v>
      </c>
      <c r="C967" s="295" t="s">
        <v>711</v>
      </c>
      <c r="D967" s="280"/>
      <c r="E967" s="253"/>
      <c r="F967" s="1"/>
      <c r="AD967" s="80"/>
      <c r="AE967" s="80"/>
      <c r="AF967" s="80">
        <f>IF(C$966=C967,B967,0)</f>
        <v>0</v>
      </c>
      <c r="AG967" s="80"/>
      <c r="AH967" s="80"/>
    </row>
    <row r="968" spans="1:34" ht="12" hidden="1" customHeight="1" x14ac:dyDescent="0.3">
      <c r="A968" s="253"/>
      <c r="B968" s="294">
        <v>1</v>
      </c>
      <c r="C968" s="295" t="s">
        <v>712</v>
      </c>
      <c r="D968" s="280"/>
      <c r="E968" s="253"/>
      <c r="F968" s="1"/>
      <c r="AD968" s="80"/>
      <c r="AE968" s="80"/>
      <c r="AF968" s="80">
        <f>IF(C$966=C968,B968,0)</f>
        <v>0</v>
      </c>
      <c r="AG968" s="80"/>
      <c r="AH968" s="80"/>
    </row>
    <row r="969" spans="1:34" ht="12" hidden="1" customHeight="1" x14ac:dyDescent="0.3">
      <c r="A969" s="253"/>
      <c r="B969" s="294">
        <v>2</v>
      </c>
      <c r="C969" s="295" t="s">
        <v>713</v>
      </c>
      <c r="D969" s="280"/>
      <c r="E969" s="253"/>
      <c r="F969" s="1"/>
      <c r="AD969" s="80"/>
      <c r="AE969" s="80"/>
      <c r="AF969" s="80">
        <f>IF(C$966=C969,B969,0)</f>
        <v>0</v>
      </c>
      <c r="AG969" s="80"/>
      <c r="AH969" s="80"/>
    </row>
    <row r="970" spans="1:34" ht="12" hidden="1" customHeight="1" thickBot="1" x14ac:dyDescent="0.35">
      <c r="A970" s="253"/>
      <c r="B970" s="294">
        <v>3</v>
      </c>
      <c r="C970" s="295" t="s">
        <v>714</v>
      </c>
      <c r="D970" s="280"/>
      <c r="E970" s="253"/>
      <c r="F970" s="1"/>
      <c r="AD970" s="80"/>
      <c r="AE970" s="80"/>
      <c r="AF970" s="80">
        <f>IF(C$966=C970,B970,0)</f>
        <v>0</v>
      </c>
      <c r="AG970" s="80"/>
      <c r="AH970" s="80"/>
    </row>
    <row r="971" spans="1:34" ht="19.95" hidden="1" customHeight="1" thickTop="1" thickBot="1" x14ac:dyDescent="0.35">
      <c r="A971" s="253"/>
      <c r="B971" s="292">
        <v>10</v>
      </c>
      <c r="C971" s="603" t="str">
        <f>AD971</f>
        <v>crying</v>
      </c>
      <c r="D971" s="604"/>
      <c r="E971" s="253"/>
      <c r="F971" s="1"/>
      <c r="AD971" s="293" t="s">
        <v>715</v>
      </c>
      <c r="AE971" s="80"/>
      <c r="AF971" s="80"/>
      <c r="AG971" s="80">
        <f>IF(AND(C971&lt;&gt;"",C971=AD971),0,1)</f>
        <v>0</v>
      </c>
      <c r="AH971" s="80"/>
    </row>
    <row r="972" spans="1:34" ht="12" hidden="1" customHeight="1" thickTop="1" x14ac:dyDescent="0.3">
      <c r="A972" s="253"/>
      <c r="B972" s="294">
        <v>0</v>
      </c>
      <c r="C972" s="295" t="s">
        <v>716</v>
      </c>
      <c r="D972" s="280"/>
      <c r="E972" s="253"/>
      <c r="F972" s="1"/>
      <c r="AD972" s="80"/>
      <c r="AE972" s="80"/>
      <c r="AF972" s="80">
        <f>IF(C$971=C972,B972,0)</f>
        <v>0</v>
      </c>
      <c r="AG972" s="80"/>
      <c r="AH972" s="80"/>
    </row>
    <row r="973" spans="1:34" ht="12" hidden="1" customHeight="1" x14ac:dyDescent="0.3">
      <c r="A973" s="253"/>
      <c r="B973" s="294">
        <v>1</v>
      </c>
      <c r="C973" s="295" t="s">
        <v>717</v>
      </c>
      <c r="D973" s="280"/>
      <c r="E973" s="253"/>
      <c r="F973" s="1"/>
      <c r="AD973" s="80"/>
      <c r="AE973" s="80"/>
      <c r="AF973" s="80">
        <f>IF(C$971=C973,B973,0)</f>
        <v>0</v>
      </c>
      <c r="AG973" s="80"/>
      <c r="AH973" s="80"/>
    </row>
    <row r="974" spans="1:34" ht="12" hidden="1" customHeight="1" x14ac:dyDescent="0.3">
      <c r="A974" s="253"/>
      <c r="B974" s="294">
        <v>2</v>
      </c>
      <c r="C974" s="295" t="s">
        <v>718</v>
      </c>
      <c r="D974" s="280"/>
      <c r="E974" s="253"/>
      <c r="F974" s="1"/>
      <c r="AD974" s="80"/>
      <c r="AE974" s="80"/>
      <c r="AF974" s="80">
        <f>IF(C$971=C974,B974,0)</f>
        <v>0</v>
      </c>
      <c r="AG974" s="80"/>
      <c r="AH974" s="80"/>
    </row>
    <row r="975" spans="1:34" ht="12" hidden="1" customHeight="1" thickBot="1" x14ac:dyDescent="0.35">
      <c r="A975" s="253"/>
      <c r="B975" s="294">
        <v>3</v>
      </c>
      <c r="C975" s="295" t="s">
        <v>719</v>
      </c>
      <c r="D975" s="280"/>
      <c r="E975" s="253"/>
      <c r="F975" s="1"/>
      <c r="AD975" s="80"/>
      <c r="AE975" s="80"/>
      <c r="AF975" s="80">
        <f>IF(C$971=C975,B975,0)</f>
        <v>0</v>
      </c>
      <c r="AG975" s="80"/>
      <c r="AH975" s="80"/>
    </row>
    <row r="976" spans="1:34" ht="19.95" hidden="1" customHeight="1" thickTop="1" thickBot="1" x14ac:dyDescent="0.35">
      <c r="A976" s="253"/>
      <c r="B976" s="292">
        <v>11</v>
      </c>
      <c r="C976" s="603" t="str">
        <f>AD976</f>
        <v>irritability</v>
      </c>
      <c r="D976" s="604"/>
      <c r="E976" s="253"/>
      <c r="F976" s="1"/>
      <c r="AD976" s="293" t="s">
        <v>720</v>
      </c>
      <c r="AE976" s="80"/>
      <c r="AF976" s="80"/>
      <c r="AG976" s="80">
        <f>IF(AND(C976&lt;&gt;"",C976=AD976),0,1)</f>
        <v>0</v>
      </c>
      <c r="AH976" s="80"/>
    </row>
    <row r="977" spans="1:34" ht="12" hidden="1" customHeight="1" thickTop="1" x14ac:dyDescent="0.3">
      <c r="A977" s="253"/>
      <c r="B977" s="294">
        <v>0</v>
      </c>
      <c r="C977" s="295" t="s">
        <v>721</v>
      </c>
      <c r="D977" s="280"/>
      <c r="E977" s="253"/>
      <c r="F977" s="1"/>
      <c r="AD977" s="80"/>
      <c r="AE977" s="80"/>
      <c r="AF977" s="80">
        <f>IF(C$976=C977,B977,0)</f>
        <v>0</v>
      </c>
      <c r="AG977" s="80"/>
      <c r="AH977" s="80"/>
    </row>
    <row r="978" spans="1:34" ht="12" hidden="1" customHeight="1" x14ac:dyDescent="0.3">
      <c r="A978" s="253"/>
      <c r="B978" s="294">
        <v>1</v>
      </c>
      <c r="C978" s="295" t="s">
        <v>722</v>
      </c>
      <c r="D978" s="280"/>
      <c r="E978" s="253"/>
      <c r="F978" s="1"/>
      <c r="AD978" s="80"/>
      <c r="AE978" s="80"/>
      <c r="AF978" s="80">
        <f>IF(C$976=C978,B978,0)</f>
        <v>0</v>
      </c>
      <c r="AG978" s="80"/>
      <c r="AH978" s="80"/>
    </row>
    <row r="979" spans="1:34" ht="12" hidden="1" customHeight="1" x14ac:dyDescent="0.3">
      <c r="A979" s="253"/>
      <c r="B979" s="294">
        <v>2</v>
      </c>
      <c r="C979" s="295" t="s">
        <v>723</v>
      </c>
      <c r="D979" s="280"/>
      <c r="E979" s="253"/>
      <c r="F979" s="1"/>
      <c r="AD979" s="80"/>
      <c r="AE979" s="80"/>
      <c r="AF979" s="80">
        <f>IF(C$976=C979,B979,0)</f>
        <v>0</v>
      </c>
      <c r="AG979" s="80"/>
      <c r="AH979" s="80"/>
    </row>
    <row r="980" spans="1:34" ht="12" hidden="1" customHeight="1" thickBot="1" x14ac:dyDescent="0.35">
      <c r="A980" s="253"/>
      <c r="B980" s="294">
        <v>3</v>
      </c>
      <c r="C980" s="295" t="s">
        <v>724</v>
      </c>
      <c r="D980" s="280"/>
      <c r="E980" s="253"/>
      <c r="F980" s="1"/>
      <c r="AD980" s="80"/>
      <c r="AE980" s="80"/>
      <c r="AF980" s="80">
        <f>IF(C$976=C980,B980,0)</f>
        <v>0</v>
      </c>
      <c r="AG980" s="80"/>
      <c r="AH980" s="80"/>
    </row>
    <row r="981" spans="1:34" ht="19.95" hidden="1" customHeight="1" thickTop="1" thickBot="1" x14ac:dyDescent="0.35">
      <c r="A981" s="253"/>
      <c r="B981" s="292">
        <v>12</v>
      </c>
      <c r="C981" s="603" t="str">
        <f>AD981</f>
        <v>socializing</v>
      </c>
      <c r="D981" s="604"/>
      <c r="E981" s="253"/>
      <c r="F981" s="1"/>
      <c r="AD981" s="293" t="s">
        <v>725</v>
      </c>
      <c r="AE981" s="80"/>
      <c r="AF981" s="80"/>
      <c r="AG981" s="80">
        <f>IF(AND(C981&lt;&gt;"",C981=AD981),0,1)</f>
        <v>0</v>
      </c>
      <c r="AH981" s="80"/>
    </row>
    <row r="982" spans="1:34" ht="12" hidden="1" customHeight="1" thickTop="1" x14ac:dyDescent="0.3">
      <c r="A982" s="253"/>
      <c r="B982" s="294">
        <v>0</v>
      </c>
      <c r="C982" s="295" t="s">
        <v>726</v>
      </c>
      <c r="D982" s="280"/>
      <c r="E982" s="253"/>
      <c r="F982" s="1"/>
      <c r="AD982" s="80"/>
      <c r="AE982" s="80"/>
      <c r="AF982" s="80">
        <f>IF(C$981=C982,B982,0)</f>
        <v>0</v>
      </c>
      <c r="AG982" s="80"/>
      <c r="AH982" s="80"/>
    </row>
    <row r="983" spans="1:34" ht="12" hidden="1" customHeight="1" x14ac:dyDescent="0.3">
      <c r="A983" s="253"/>
      <c r="B983" s="294">
        <v>1</v>
      </c>
      <c r="C983" s="295" t="s">
        <v>727</v>
      </c>
      <c r="D983" s="280"/>
      <c r="E983" s="253"/>
      <c r="F983" s="1"/>
      <c r="AD983" s="80"/>
      <c r="AE983" s="80"/>
      <c r="AF983" s="80">
        <f>IF(C$981=C983,B983,0)</f>
        <v>0</v>
      </c>
      <c r="AG983" s="80"/>
      <c r="AH983" s="80"/>
    </row>
    <row r="984" spans="1:34" ht="12" hidden="1" customHeight="1" x14ac:dyDescent="0.3">
      <c r="A984" s="253"/>
      <c r="B984" s="294">
        <v>2</v>
      </c>
      <c r="C984" s="295" t="s">
        <v>728</v>
      </c>
      <c r="D984" s="280"/>
      <c r="E984" s="253"/>
      <c r="F984" s="1"/>
      <c r="AD984" s="80"/>
      <c r="AE984" s="80"/>
      <c r="AF984" s="80">
        <f>IF(C$981=C984,B984,0)</f>
        <v>0</v>
      </c>
      <c r="AG984" s="80"/>
      <c r="AH984" s="80"/>
    </row>
    <row r="985" spans="1:34" ht="12" hidden="1" customHeight="1" thickBot="1" x14ac:dyDescent="0.35">
      <c r="A985" s="253"/>
      <c r="B985" s="294">
        <v>3</v>
      </c>
      <c r="C985" s="295" t="s">
        <v>729</v>
      </c>
      <c r="D985" s="280"/>
      <c r="E985" s="253"/>
      <c r="F985" s="1"/>
      <c r="AD985" s="80"/>
      <c r="AE985" s="80"/>
      <c r="AF985" s="80">
        <f>IF(C$981=C985,B985,0)</f>
        <v>0</v>
      </c>
      <c r="AG985" s="80"/>
      <c r="AH985" s="80"/>
    </row>
    <row r="986" spans="1:34" ht="19.95" hidden="1" customHeight="1" thickTop="1" thickBot="1" x14ac:dyDescent="0.35">
      <c r="A986" s="253"/>
      <c r="B986" s="292">
        <v>13</v>
      </c>
      <c r="C986" s="603" t="str">
        <f>AD986</f>
        <v>decisiveness</v>
      </c>
      <c r="D986" s="604"/>
      <c r="E986" s="253"/>
      <c r="F986" s="1"/>
      <c r="AD986" s="293" t="s">
        <v>730</v>
      </c>
      <c r="AE986" s="80"/>
      <c r="AF986" s="80"/>
      <c r="AG986" s="80">
        <f>IF(AND(C986&lt;&gt;"",C986=AD986),0,1)</f>
        <v>0</v>
      </c>
      <c r="AH986" s="80"/>
    </row>
    <row r="987" spans="1:34" ht="12" hidden="1" customHeight="1" thickTop="1" x14ac:dyDescent="0.3">
      <c r="A987" s="253"/>
      <c r="B987" s="294">
        <v>0</v>
      </c>
      <c r="C987" s="295" t="s">
        <v>731</v>
      </c>
      <c r="D987" s="280"/>
      <c r="E987" s="253"/>
      <c r="F987" s="1"/>
      <c r="AD987" s="80"/>
      <c r="AE987" s="80"/>
      <c r="AF987" s="80">
        <f>IF(C$986=C987,B987,0)</f>
        <v>0</v>
      </c>
      <c r="AG987" s="80"/>
      <c r="AH987" s="80"/>
    </row>
    <row r="988" spans="1:34" ht="12" hidden="1" customHeight="1" x14ac:dyDescent="0.3">
      <c r="A988" s="253"/>
      <c r="B988" s="294">
        <v>1</v>
      </c>
      <c r="C988" s="295" t="s">
        <v>732</v>
      </c>
      <c r="D988" s="280"/>
      <c r="E988" s="253"/>
      <c r="F988" s="1"/>
      <c r="AD988" s="80"/>
      <c r="AE988" s="80"/>
      <c r="AF988" s="80">
        <f>IF(C$986=C988,B988,0)</f>
        <v>0</v>
      </c>
      <c r="AG988" s="80"/>
      <c r="AH988" s="80"/>
    </row>
    <row r="989" spans="1:34" ht="12" hidden="1" customHeight="1" x14ac:dyDescent="0.3">
      <c r="A989" s="253"/>
      <c r="B989" s="294">
        <v>2</v>
      </c>
      <c r="C989" s="295" t="s">
        <v>733</v>
      </c>
      <c r="D989" s="280"/>
      <c r="E989" s="253"/>
      <c r="F989" s="1"/>
      <c r="AD989" s="80"/>
      <c r="AE989" s="80"/>
      <c r="AF989" s="80">
        <f>IF(C$986=C989,B989,0)</f>
        <v>0</v>
      </c>
      <c r="AG989" s="80"/>
      <c r="AH989" s="80"/>
    </row>
    <row r="990" spans="1:34" ht="12" hidden="1" customHeight="1" thickBot="1" x14ac:dyDescent="0.35">
      <c r="A990" s="253"/>
      <c r="B990" s="294">
        <v>3</v>
      </c>
      <c r="C990" s="295" t="s">
        <v>734</v>
      </c>
      <c r="D990" s="280"/>
      <c r="E990" s="253"/>
      <c r="F990" s="1"/>
      <c r="AD990" s="80"/>
      <c r="AE990" s="80"/>
      <c r="AF990" s="80">
        <f>IF(C$986=C990,B990,0)</f>
        <v>0</v>
      </c>
      <c r="AG990" s="80"/>
      <c r="AH990" s="80"/>
    </row>
    <row r="991" spans="1:34" ht="19.95" hidden="1" customHeight="1" thickTop="1" thickBot="1" x14ac:dyDescent="0.35">
      <c r="A991" s="253"/>
      <c r="B991" s="292">
        <v>14</v>
      </c>
      <c r="C991" s="603" t="str">
        <f>AD991</f>
        <v>self-image</v>
      </c>
      <c r="D991" s="604"/>
      <c r="E991" s="253"/>
      <c r="F991" s="1"/>
      <c r="AD991" s="293" t="s">
        <v>735</v>
      </c>
      <c r="AE991" s="80"/>
      <c r="AF991" s="80"/>
      <c r="AG991" s="80">
        <f>IF(AND(C991&lt;&gt;"",C991=AD991),0,1)</f>
        <v>0</v>
      </c>
      <c r="AH991" s="80"/>
    </row>
    <row r="992" spans="1:34" ht="12" hidden="1" customHeight="1" thickTop="1" x14ac:dyDescent="0.3">
      <c r="A992" s="253"/>
      <c r="B992" s="294">
        <v>0</v>
      </c>
      <c r="C992" s="295" t="s">
        <v>736</v>
      </c>
      <c r="D992" s="280"/>
      <c r="E992" s="253"/>
      <c r="F992" s="1"/>
      <c r="AD992" s="80"/>
      <c r="AE992" s="80"/>
      <c r="AF992" s="80">
        <f>IF(C$991=C992,B992,0)</f>
        <v>0</v>
      </c>
      <c r="AG992" s="80"/>
      <c r="AH992" s="80"/>
    </row>
    <row r="993" spans="1:34" ht="12" hidden="1" customHeight="1" x14ac:dyDescent="0.3">
      <c r="A993" s="253"/>
      <c r="B993" s="294">
        <v>1</v>
      </c>
      <c r="C993" s="295" t="s">
        <v>737</v>
      </c>
      <c r="D993" s="280"/>
      <c r="E993" s="253"/>
      <c r="F993" s="1"/>
      <c r="AD993" s="80"/>
      <c r="AE993" s="80"/>
      <c r="AF993" s="80">
        <f>IF(C$991=C993,B993,0)</f>
        <v>0</v>
      </c>
      <c r="AG993" s="80"/>
      <c r="AH993" s="80"/>
    </row>
    <row r="994" spans="1:34" ht="12" hidden="1" customHeight="1" x14ac:dyDescent="0.3">
      <c r="A994" s="253"/>
      <c r="B994" s="294">
        <v>2</v>
      </c>
      <c r="C994" s="295" t="s">
        <v>738</v>
      </c>
      <c r="D994" s="280"/>
      <c r="E994" s="253"/>
      <c r="F994" s="1"/>
      <c r="AD994" s="80"/>
      <c r="AE994" s="80"/>
      <c r="AF994" s="80">
        <f>IF(C$991=C994,B994,0)</f>
        <v>0</v>
      </c>
      <c r="AG994" s="80"/>
      <c r="AH994" s="80"/>
    </row>
    <row r="995" spans="1:34" ht="12" hidden="1" customHeight="1" thickBot="1" x14ac:dyDescent="0.35">
      <c r="A995" s="253"/>
      <c r="B995" s="294">
        <v>3</v>
      </c>
      <c r="C995" s="295" t="s">
        <v>739</v>
      </c>
      <c r="D995" s="280"/>
      <c r="E995" s="253"/>
      <c r="F995" s="1"/>
      <c r="AD995" s="80"/>
      <c r="AE995" s="80"/>
      <c r="AF995" s="80">
        <f>IF(C$991=C995,B995,0)</f>
        <v>0</v>
      </c>
      <c r="AG995" s="80"/>
      <c r="AH995" s="80"/>
    </row>
    <row r="996" spans="1:34" ht="19.95" hidden="1" customHeight="1" thickTop="1" thickBot="1" x14ac:dyDescent="0.35">
      <c r="A996" s="253"/>
      <c r="B996" s="292">
        <v>15</v>
      </c>
      <c r="C996" s="603" t="str">
        <f>AD996</f>
        <v>effort</v>
      </c>
      <c r="D996" s="604"/>
      <c r="E996" s="253"/>
      <c r="F996" s="1"/>
      <c r="AD996" s="293" t="s">
        <v>740</v>
      </c>
      <c r="AE996" s="80"/>
      <c r="AF996" s="80"/>
      <c r="AG996" s="80">
        <f>IF(AND(C996&lt;&gt;"",C996=AD996),0,1)</f>
        <v>0</v>
      </c>
      <c r="AH996" s="80"/>
    </row>
    <row r="997" spans="1:34" ht="12" hidden="1" customHeight="1" thickTop="1" x14ac:dyDescent="0.3">
      <c r="A997" s="253"/>
      <c r="B997" s="294">
        <v>0</v>
      </c>
      <c r="C997" s="295" t="s">
        <v>741</v>
      </c>
      <c r="D997" s="280"/>
      <c r="E997" s="253"/>
      <c r="F997" s="1"/>
      <c r="AD997" s="80"/>
      <c r="AE997" s="80"/>
      <c r="AF997" s="80">
        <f>IF(C$996=C997,B997,0)</f>
        <v>0</v>
      </c>
      <c r="AG997" s="80"/>
      <c r="AH997" s="80"/>
    </row>
    <row r="998" spans="1:34" ht="12" hidden="1" customHeight="1" x14ac:dyDescent="0.3">
      <c r="A998" s="253"/>
      <c r="B998" s="294">
        <v>1</v>
      </c>
      <c r="C998" s="295" t="s">
        <v>742</v>
      </c>
      <c r="D998" s="280"/>
      <c r="E998" s="253"/>
      <c r="F998" s="1"/>
      <c r="AD998" s="80"/>
      <c r="AE998" s="80"/>
      <c r="AF998" s="80">
        <f>IF(C$996=C998,B998,0)</f>
        <v>0</v>
      </c>
      <c r="AG998" s="80"/>
      <c r="AH998" s="80"/>
    </row>
    <row r="999" spans="1:34" ht="12" hidden="1" customHeight="1" x14ac:dyDescent="0.3">
      <c r="A999" s="253"/>
      <c r="B999" s="294">
        <v>2</v>
      </c>
      <c r="C999" s="295" t="s">
        <v>743</v>
      </c>
      <c r="D999" s="280"/>
      <c r="E999" s="253"/>
      <c r="F999" s="1"/>
      <c r="AD999" s="80"/>
      <c r="AE999" s="80"/>
      <c r="AF999" s="80">
        <f>IF(C$996=C999,B999,0)</f>
        <v>0</v>
      </c>
      <c r="AG999" s="80"/>
      <c r="AH999" s="80"/>
    </row>
    <row r="1000" spans="1:34" ht="12" hidden="1" customHeight="1" thickBot="1" x14ac:dyDescent="0.35">
      <c r="A1000" s="253"/>
      <c r="B1000" s="294">
        <v>3</v>
      </c>
      <c r="C1000" s="295" t="s">
        <v>744</v>
      </c>
      <c r="D1000" s="280"/>
      <c r="E1000" s="253"/>
      <c r="F1000" s="1"/>
      <c r="AD1000" s="80"/>
      <c r="AE1000" s="80"/>
      <c r="AF1000" s="80">
        <f>IF(C$996=C1000,B1000,0)</f>
        <v>0</v>
      </c>
      <c r="AG1000" s="80"/>
      <c r="AH1000" s="80"/>
    </row>
    <row r="1001" spans="1:34" ht="19.95" hidden="1" customHeight="1" thickTop="1" thickBot="1" x14ac:dyDescent="0.35">
      <c r="A1001" s="253"/>
      <c r="B1001" s="292">
        <v>16</v>
      </c>
      <c r="C1001" s="603" t="str">
        <f>AD1001</f>
        <v>sleep</v>
      </c>
      <c r="D1001" s="604"/>
      <c r="E1001" s="253"/>
      <c r="F1001" s="1"/>
      <c r="AD1001" s="293" t="s">
        <v>745</v>
      </c>
      <c r="AE1001" s="80"/>
      <c r="AF1001" s="80"/>
      <c r="AG1001" s="80">
        <f>IF(AND(C1001&lt;&gt;"",C1001=AD1001),0,1)</f>
        <v>0</v>
      </c>
      <c r="AH1001" s="80"/>
    </row>
    <row r="1002" spans="1:34" ht="12" hidden="1" customHeight="1" thickTop="1" x14ac:dyDescent="0.3">
      <c r="A1002" s="253"/>
      <c r="B1002" s="294">
        <v>0</v>
      </c>
      <c r="C1002" s="295" t="s">
        <v>746</v>
      </c>
      <c r="D1002" s="280"/>
      <c r="E1002" s="253"/>
      <c r="F1002" s="1"/>
      <c r="AD1002" s="80"/>
      <c r="AE1002" s="80"/>
      <c r="AF1002" s="80">
        <f>IF(C$1001=C1002,B1002,0)</f>
        <v>0</v>
      </c>
      <c r="AG1002" s="80"/>
      <c r="AH1002" s="80"/>
    </row>
    <row r="1003" spans="1:34" ht="12" hidden="1" customHeight="1" x14ac:dyDescent="0.3">
      <c r="A1003" s="253"/>
      <c r="B1003" s="294">
        <v>1</v>
      </c>
      <c r="C1003" s="295" t="s">
        <v>747</v>
      </c>
      <c r="D1003" s="280"/>
      <c r="E1003" s="253"/>
      <c r="F1003" s="1"/>
      <c r="AD1003" s="80"/>
      <c r="AE1003" s="80"/>
      <c r="AF1003" s="80">
        <f>IF(C$1001=C1003,B1003,0)</f>
        <v>0</v>
      </c>
      <c r="AG1003" s="80"/>
      <c r="AH1003" s="80"/>
    </row>
    <row r="1004" spans="1:34" ht="12" hidden="1" customHeight="1" x14ac:dyDescent="0.3">
      <c r="A1004" s="253"/>
      <c r="B1004" s="294">
        <v>2</v>
      </c>
      <c r="C1004" s="295" t="s">
        <v>748</v>
      </c>
      <c r="D1004" s="280"/>
      <c r="E1004" s="253"/>
      <c r="F1004" s="1"/>
      <c r="AD1004" s="80"/>
      <c r="AE1004" s="80"/>
      <c r="AF1004" s="80">
        <f>IF(C$1001=C1004,B1004,0)</f>
        <v>0</v>
      </c>
      <c r="AG1004" s="80"/>
      <c r="AH1004" s="80"/>
    </row>
    <row r="1005" spans="1:34" ht="12" hidden="1" customHeight="1" thickBot="1" x14ac:dyDescent="0.35">
      <c r="A1005" s="253"/>
      <c r="B1005" s="294">
        <v>3</v>
      </c>
      <c r="C1005" s="295" t="s">
        <v>749</v>
      </c>
      <c r="D1005" s="280"/>
      <c r="E1005" s="253"/>
      <c r="F1005" s="1"/>
      <c r="AD1005" s="80"/>
      <c r="AE1005" s="80"/>
      <c r="AF1005" s="80">
        <f>IF(C$1001=C1005,B1005,0)</f>
        <v>0</v>
      </c>
      <c r="AG1005" s="80"/>
      <c r="AH1005" s="80"/>
    </row>
    <row r="1006" spans="1:34" ht="19.95" hidden="1" customHeight="1" thickTop="1" thickBot="1" x14ac:dyDescent="0.35">
      <c r="A1006" s="253"/>
      <c r="B1006" s="292">
        <v>17</v>
      </c>
      <c r="C1006" s="603" t="str">
        <f>AD1006</f>
        <v>tiredness</v>
      </c>
      <c r="D1006" s="604"/>
      <c r="E1006" s="253"/>
      <c r="F1006" s="1"/>
      <c r="AD1006" s="293" t="s">
        <v>750</v>
      </c>
      <c r="AE1006" s="80"/>
      <c r="AF1006" s="80"/>
      <c r="AG1006" s="80">
        <f>IF(AND(C1006&lt;&gt;"",C1006=AD1006),0,1)</f>
        <v>0</v>
      </c>
      <c r="AH1006" s="80"/>
    </row>
    <row r="1007" spans="1:34" ht="12" hidden="1" customHeight="1" thickTop="1" x14ac:dyDescent="0.3">
      <c r="A1007" s="253"/>
      <c r="B1007" s="294">
        <v>0</v>
      </c>
      <c r="C1007" s="295" t="s">
        <v>751</v>
      </c>
      <c r="D1007" s="280"/>
      <c r="E1007" s="253"/>
      <c r="F1007" s="1"/>
      <c r="AD1007" s="80"/>
      <c r="AE1007" s="80"/>
      <c r="AF1007" s="80">
        <f>IF(C$1006=C1007,B1007,0)</f>
        <v>0</v>
      </c>
      <c r="AG1007" s="80"/>
      <c r="AH1007" s="80"/>
    </row>
    <row r="1008" spans="1:34" ht="12" hidden="1" customHeight="1" x14ac:dyDescent="0.3">
      <c r="A1008" s="253"/>
      <c r="B1008" s="294">
        <v>1</v>
      </c>
      <c r="C1008" s="295" t="s">
        <v>752</v>
      </c>
      <c r="D1008" s="280"/>
      <c r="E1008" s="253"/>
      <c r="F1008" s="1"/>
      <c r="AD1008" s="80"/>
      <c r="AE1008" s="80"/>
      <c r="AF1008" s="80">
        <f>IF(C$1006=C1008,B1008,0)</f>
        <v>0</v>
      </c>
      <c r="AG1008" s="80"/>
      <c r="AH1008" s="80"/>
    </row>
    <row r="1009" spans="1:34" ht="12" hidden="1" customHeight="1" x14ac:dyDescent="0.3">
      <c r="A1009" s="253"/>
      <c r="B1009" s="294">
        <v>2</v>
      </c>
      <c r="C1009" s="295" t="s">
        <v>753</v>
      </c>
      <c r="D1009" s="280"/>
      <c r="E1009" s="253"/>
      <c r="F1009" s="1"/>
      <c r="AD1009" s="80"/>
      <c r="AE1009" s="80"/>
      <c r="AF1009" s="80">
        <f>IF(C$1006=C1009,B1009,0)</f>
        <v>0</v>
      </c>
      <c r="AG1009" s="80"/>
      <c r="AH1009" s="80"/>
    </row>
    <row r="1010" spans="1:34" ht="12" hidden="1" customHeight="1" thickBot="1" x14ac:dyDescent="0.35">
      <c r="A1010" s="253"/>
      <c r="B1010" s="294">
        <v>3</v>
      </c>
      <c r="C1010" s="295" t="s">
        <v>754</v>
      </c>
      <c r="D1010" s="280"/>
      <c r="E1010" s="253"/>
      <c r="F1010" s="1"/>
      <c r="AD1010" s="80"/>
      <c r="AE1010" s="80"/>
      <c r="AF1010" s="80">
        <f>IF(C$1006=C1010,B1010,0)</f>
        <v>0</v>
      </c>
      <c r="AG1010" s="80"/>
      <c r="AH1010" s="80"/>
    </row>
    <row r="1011" spans="1:34" ht="19.95" hidden="1" customHeight="1" thickTop="1" thickBot="1" x14ac:dyDescent="0.35">
      <c r="A1011" s="253"/>
      <c r="B1011" s="292">
        <v>18</v>
      </c>
      <c r="C1011" s="603" t="str">
        <f>AD1011</f>
        <v>appetite</v>
      </c>
      <c r="D1011" s="604"/>
      <c r="E1011" s="253"/>
      <c r="F1011" s="1"/>
      <c r="AD1011" s="293" t="s">
        <v>755</v>
      </c>
      <c r="AE1011" s="80"/>
      <c r="AF1011" s="80"/>
      <c r="AG1011" s="80">
        <f>IF(AND(C1011&lt;&gt;"",C1011=AD1011),0,1)</f>
        <v>0</v>
      </c>
      <c r="AH1011" s="80"/>
    </row>
    <row r="1012" spans="1:34" ht="12" hidden="1" customHeight="1" thickTop="1" x14ac:dyDescent="0.3">
      <c r="A1012" s="253"/>
      <c r="B1012" s="294">
        <v>0</v>
      </c>
      <c r="C1012" s="295" t="s">
        <v>756</v>
      </c>
      <c r="D1012" s="280"/>
      <c r="E1012" s="253"/>
      <c r="F1012" s="1"/>
      <c r="AD1012" s="80"/>
      <c r="AE1012" s="80"/>
      <c r="AF1012" s="80">
        <f>IF(C$1011=C1012,B1012,0)</f>
        <v>0</v>
      </c>
      <c r="AG1012" s="80"/>
      <c r="AH1012" s="80"/>
    </row>
    <row r="1013" spans="1:34" ht="12" hidden="1" customHeight="1" x14ac:dyDescent="0.3">
      <c r="A1013" s="253"/>
      <c r="B1013" s="294">
        <v>1</v>
      </c>
      <c r="C1013" s="295" t="s">
        <v>757</v>
      </c>
      <c r="D1013" s="280"/>
      <c r="E1013" s="253"/>
      <c r="F1013" s="1"/>
      <c r="AD1013" s="80"/>
      <c r="AE1013" s="80"/>
      <c r="AF1013" s="80">
        <f>IF(C$1011=C1013,B1013,0)</f>
        <v>0</v>
      </c>
      <c r="AG1013" s="80"/>
      <c r="AH1013" s="80"/>
    </row>
    <row r="1014" spans="1:34" ht="12" hidden="1" customHeight="1" x14ac:dyDescent="0.3">
      <c r="A1014" s="253"/>
      <c r="B1014" s="294">
        <v>2</v>
      </c>
      <c r="C1014" s="295" t="s">
        <v>758</v>
      </c>
      <c r="D1014" s="280"/>
      <c r="E1014" s="253"/>
      <c r="F1014" s="1"/>
      <c r="AD1014" s="80"/>
      <c r="AE1014" s="80"/>
      <c r="AF1014" s="80">
        <f>IF(C$1011=C1014,B1014,0)</f>
        <v>0</v>
      </c>
      <c r="AG1014" s="80"/>
      <c r="AH1014" s="80"/>
    </row>
    <row r="1015" spans="1:34" ht="12" hidden="1" customHeight="1" thickBot="1" x14ac:dyDescent="0.35">
      <c r="A1015" s="253"/>
      <c r="B1015" s="294">
        <v>3</v>
      </c>
      <c r="C1015" s="295" t="s">
        <v>759</v>
      </c>
      <c r="D1015" s="280"/>
      <c r="E1015" s="253"/>
      <c r="F1015" s="1"/>
      <c r="AD1015" s="80"/>
      <c r="AE1015" s="80"/>
      <c r="AF1015" s="80">
        <f>IF(C$1011=C1015,B1015,0)</f>
        <v>0</v>
      </c>
      <c r="AG1015" s="80"/>
      <c r="AH1015" s="80"/>
    </row>
    <row r="1016" spans="1:34" ht="19.95" hidden="1" customHeight="1" thickTop="1" thickBot="1" x14ac:dyDescent="0.35">
      <c r="A1016" s="253"/>
      <c r="B1016" s="292">
        <v>19</v>
      </c>
      <c r="C1016" s="603" t="str">
        <f>AD1016</f>
        <v>weight loss</v>
      </c>
      <c r="D1016" s="604"/>
      <c r="E1016" s="253"/>
      <c r="F1016" s="1"/>
      <c r="AD1016" s="293" t="s">
        <v>760</v>
      </c>
      <c r="AE1016" s="80"/>
      <c r="AF1016" s="80"/>
      <c r="AG1016" s="80">
        <f>IF(AND(C1016&lt;&gt;"",C1016=AD1016),0,1)</f>
        <v>0</v>
      </c>
      <c r="AH1016" s="80"/>
    </row>
    <row r="1017" spans="1:34" ht="12" hidden="1" customHeight="1" thickTop="1" x14ac:dyDescent="0.3">
      <c r="A1017" s="253"/>
      <c r="B1017" s="294">
        <v>0</v>
      </c>
      <c r="C1017" s="295" t="s">
        <v>761</v>
      </c>
      <c r="D1017" s="280"/>
      <c r="E1017" s="253"/>
      <c r="F1017" s="1"/>
      <c r="AD1017" s="80"/>
      <c r="AE1017" s="80"/>
      <c r="AF1017" s="80">
        <f>IF(C$1016=C1017,B1017,0)</f>
        <v>0</v>
      </c>
      <c r="AG1017" s="80"/>
      <c r="AH1017" s="80"/>
    </row>
    <row r="1018" spans="1:34" ht="12" hidden="1" customHeight="1" x14ac:dyDescent="0.3">
      <c r="A1018" s="253"/>
      <c r="B1018" s="294">
        <v>1</v>
      </c>
      <c r="C1018" s="295" t="s">
        <v>762</v>
      </c>
      <c r="D1018" s="280"/>
      <c r="E1018" s="253"/>
      <c r="F1018" s="1"/>
      <c r="AD1018" s="80"/>
      <c r="AE1018" s="80"/>
      <c r="AF1018" s="80">
        <f>IF(C$1016=C1018,B1018,0)</f>
        <v>0</v>
      </c>
      <c r="AG1018" s="80"/>
      <c r="AH1018" s="80"/>
    </row>
    <row r="1019" spans="1:34" ht="12" hidden="1" customHeight="1" x14ac:dyDescent="0.3">
      <c r="A1019" s="253"/>
      <c r="B1019" s="294">
        <v>2</v>
      </c>
      <c r="C1019" s="295" t="s">
        <v>763</v>
      </c>
      <c r="D1019" s="280"/>
      <c r="E1019" s="253"/>
      <c r="F1019" s="1"/>
      <c r="AD1019" s="80"/>
      <c r="AE1019" s="80"/>
      <c r="AF1019" s="80">
        <f>IF(C$1016=C1019,B1019,0)</f>
        <v>0</v>
      </c>
      <c r="AG1019" s="80"/>
      <c r="AH1019" s="80"/>
    </row>
    <row r="1020" spans="1:34" ht="12" hidden="1" customHeight="1" thickBot="1" x14ac:dyDescent="0.35">
      <c r="A1020" s="253"/>
      <c r="B1020" s="294">
        <v>3</v>
      </c>
      <c r="C1020" s="295" t="s">
        <v>764</v>
      </c>
      <c r="D1020" s="280"/>
      <c r="E1020" s="253"/>
      <c r="F1020" s="1"/>
      <c r="AD1020" s="80"/>
      <c r="AE1020" s="80"/>
      <c r="AF1020" s="80">
        <f>IF(C$1016=C1020,B1020,0)</f>
        <v>0</v>
      </c>
      <c r="AG1020" s="80"/>
      <c r="AH1020" s="80"/>
    </row>
    <row r="1021" spans="1:34" ht="19.95" hidden="1" customHeight="1" thickTop="1" thickBot="1" x14ac:dyDescent="0.35">
      <c r="A1021" s="253"/>
      <c r="B1021" s="292">
        <v>20</v>
      </c>
      <c r="C1021" s="603" t="str">
        <f>AD1021</f>
        <v>worries</v>
      </c>
      <c r="D1021" s="604"/>
      <c r="E1021" s="253"/>
      <c r="F1021" s="1"/>
      <c r="AD1021" s="293" t="s">
        <v>765</v>
      </c>
      <c r="AE1021" s="80"/>
      <c r="AF1021" s="80"/>
      <c r="AG1021" s="80">
        <f>IF(AND(C1021&lt;&gt;"",C1021=AD1021),0,1)</f>
        <v>0</v>
      </c>
      <c r="AH1021" s="80"/>
    </row>
    <row r="1022" spans="1:34" ht="12" hidden="1" customHeight="1" thickTop="1" x14ac:dyDescent="0.3">
      <c r="A1022" s="253"/>
      <c r="B1022" s="294">
        <v>0</v>
      </c>
      <c r="C1022" s="295" t="s">
        <v>766</v>
      </c>
      <c r="D1022" s="280"/>
      <c r="E1022" s="253"/>
      <c r="F1022" s="1"/>
      <c r="AD1022" s="80"/>
      <c r="AE1022" s="80"/>
      <c r="AF1022" s="80">
        <f>IF(C$1021=C1022,B1022,0)</f>
        <v>0</v>
      </c>
      <c r="AG1022" s="80"/>
      <c r="AH1022" s="80"/>
    </row>
    <row r="1023" spans="1:34" ht="12" hidden="1" customHeight="1" x14ac:dyDescent="0.3">
      <c r="A1023" s="253"/>
      <c r="B1023" s="294">
        <v>1</v>
      </c>
      <c r="C1023" s="295" t="s">
        <v>767</v>
      </c>
      <c r="D1023" s="280"/>
      <c r="E1023" s="253"/>
      <c r="F1023" s="1"/>
      <c r="AD1023" s="80"/>
      <c r="AE1023" s="80"/>
      <c r="AF1023" s="80">
        <f>IF(C$1021=C1023,B1023,0)</f>
        <v>0</v>
      </c>
      <c r="AG1023" s="80"/>
      <c r="AH1023" s="80"/>
    </row>
    <row r="1024" spans="1:34" ht="12" hidden="1" customHeight="1" x14ac:dyDescent="0.3">
      <c r="A1024" s="253"/>
      <c r="B1024" s="294">
        <v>2</v>
      </c>
      <c r="C1024" s="295" t="s">
        <v>768</v>
      </c>
      <c r="D1024" s="280"/>
      <c r="E1024" s="253"/>
      <c r="F1024" s="1"/>
      <c r="AD1024" s="80"/>
      <c r="AE1024" s="80"/>
      <c r="AF1024" s="80">
        <f>IF(C$1021=C1024,B1024,0)</f>
        <v>0</v>
      </c>
      <c r="AG1024" s="80"/>
      <c r="AH1024" s="80"/>
    </row>
    <row r="1025" spans="1:54" ht="12" hidden="1" customHeight="1" thickBot="1" x14ac:dyDescent="0.35">
      <c r="A1025" s="253"/>
      <c r="B1025" s="294">
        <v>3</v>
      </c>
      <c r="C1025" s="295" t="s">
        <v>769</v>
      </c>
      <c r="D1025" s="280"/>
      <c r="E1025" s="253"/>
      <c r="F1025" s="1"/>
      <c r="AD1025" s="80"/>
      <c r="AE1025" s="80"/>
      <c r="AF1025" s="80">
        <f>IF(C$1021=C1025,B1025,0)</f>
        <v>0</v>
      </c>
      <c r="AG1025" s="80"/>
      <c r="AH1025" s="80"/>
    </row>
    <row r="1026" spans="1:54" ht="19.95" hidden="1" customHeight="1" thickTop="1" thickBot="1" x14ac:dyDescent="0.35">
      <c r="A1026" s="253"/>
      <c r="B1026" s="292">
        <v>21</v>
      </c>
      <c r="C1026" s="603" t="str">
        <f>AD1026</f>
        <v>sexual interest</v>
      </c>
      <c r="D1026" s="604"/>
      <c r="E1026" s="253"/>
      <c r="F1026" s="1"/>
      <c r="AD1026" s="293" t="s">
        <v>770</v>
      </c>
      <c r="AE1026" s="80"/>
      <c r="AF1026" s="80"/>
      <c r="AG1026" s="80">
        <f>IF(AND(C1026&lt;&gt;"",C1026=AD1026),0,1)</f>
        <v>0</v>
      </c>
      <c r="AH1026" s="80"/>
      <c r="AK1026" s="80" t="s">
        <v>655</v>
      </c>
      <c r="AL1026" s="80"/>
      <c r="AM1026" s="56" t="s">
        <v>771</v>
      </c>
      <c r="AY1026" s="56" t="str">
        <f>AT1039</f>
        <v/>
      </c>
      <c r="AZ1026" s="56" t="s">
        <v>772</v>
      </c>
    </row>
    <row r="1027" spans="1:54" ht="14.55" hidden="1" customHeight="1" thickTop="1" x14ac:dyDescent="0.3">
      <c r="A1027" s="253"/>
      <c r="B1027" s="294">
        <v>0</v>
      </c>
      <c r="C1027" s="295" t="s">
        <v>773</v>
      </c>
      <c r="D1027" s="280"/>
      <c r="E1027" s="253"/>
      <c r="F1027" s="1"/>
      <c r="AD1027" s="80"/>
      <c r="AE1027" s="80"/>
      <c r="AF1027" s="80">
        <f>IF(C$1026=C1027,B1027,0)</f>
        <v>0</v>
      </c>
      <c r="AG1027" s="80"/>
      <c r="AH1027" s="80"/>
    </row>
    <row r="1028" spans="1:54" ht="14.55" hidden="1" customHeight="1" x14ac:dyDescent="0.3">
      <c r="A1028" s="253"/>
      <c r="B1028" s="294">
        <v>1</v>
      </c>
      <c r="C1028" s="295" t="s">
        <v>774</v>
      </c>
      <c r="D1028" s="280"/>
      <c r="E1028" s="253"/>
      <c r="F1028" s="1"/>
      <c r="AD1028" s="80"/>
      <c r="AE1028" s="80"/>
      <c r="AF1028" s="80">
        <f>IF(C$1026=C1028,B1028,0)</f>
        <v>0</v>
      </c>
      <c r="AG1028" s="80"/>
      <c r="AH1028" s="80"/>
    </row>
    <row r="1029" spans="1:54" ht="14.55" hidden="1" customHeight="1" x14ac:dyDescent="0.3">
      <c r="A1029" s="253"/>
      <c r="B1029" s="294">
        <v>2</v>
      </c>
      <c r="C1029" s="295" t="s">
        <v>775</v>
      </c>
      <c r="D1029" s="280"/>
      <c r="E1029" s="253"/>
      <c r="F1029" s="1"/>
      <c r="AD1029" s="80"/>
      <c r="AE1029" s="80"/>
      <c r="AF1029" s="80">
        <f>IF(C$1026=C1029,B1029,0)</f>
        <v>0</v>
      </c>
      <c r="AG1029" s="80"/>
      <c r="AH1029" s="80"/>
    </row>
    <row r="1030" spans="1:54" ht="14.55" hidden="1" customHeight="1" x14ac:dyDescent="0.3">
      <c r="A1030" s="253"/>
      <c r="B1030" s="294">
        <v>3</v>
      </c>
      <c r="C1030" s="295" t="s">
        <v>776</v>
      </c>
      <c r="D1030" s="280"/>
      <c r="E1030" s="253"/>
      <c r="F1030" s="1"/>
      <c r="AD1030" s="80"/>
      <c r="AE1030" s="80"/>
      <c r="AF1030" s="80">
        <f>IF(C$1026=C1030,B1030,0)</f>
        <v>0</v>
      </c>
      <c r="AG1030" s="80"/>
      <c r="AH1030" s="80"/>
    </row>
    <row r="1031" spans="1:54" ht="14.55" hidden="1" customHeight="1" thickTop="1" x14ac:dyDescent="0.3">
      <c r="A1031" s="253"/>
      <c r="B1031" s="280"/>
      <c r="C1031" s="280"/>
      <c r="D1031" s="280"/>
      <c r="E1031" s="253"/>
      <c r="F1031" s="1"/>
      <c r="AD1031" s="80"/>
      <c r="AE1031" s="80"/>
      <c r="AF1031" s="80"/>
      <c r="AG1031" s="80"/>
      <c r="AH1031" s="80"/>
    </row>
    <row r="1032" spans="1:54" ht="14.55" hidden="1" customHeight="1" x14ac:dyDescent="0.3">
      <c r="A1032" s="253"/>
      <c r="B1032" s="280"/>
      <c r="C1032" s="296" t="s">
        <v>777</v>
      </c>
      <c r="D1032" s="280"/>
      <c r="E1032" s="253"/>
      <c r="F1032" s="1"/>
      <c r="AD1032" s="80"/>
      <c r="AE1032" s="80"/>
      <c r="AF1032" s="60" t="s">
        <v>778</v>
      </c>
      <c r="AG1032" s="80"/>
      <c r="AH1032" s="80"/>
      <c r="AK1032" s="267">
        <f t="shared" ref="AK1032:AK1038" si="52">AH817</f>
        <v>9</v>
      </c>
      <c r="AL1032" s="267">
        <f t="shared" ref="AL1032:AL1038" si="53">AJ827</f>
        <v>7</v>
      </c>
      <c r="AN1032" s="56" t="str">
        <f>IF(AL1032&gt;=AK1032,B817,B827)</f>
        <v>Rate each item by importance in your life right now, so we can best serve your needs.</v>
      </c>
    </row>
    <row r="1033" spans="1:54" ht="14.55" hidden="1" customHeight="1" x14ac:dyDescent="0.3">
      <c r="A1033" s="253"/>
      <c r="B1033" s="280"/>
      <c r="C1033" s="295" t="s">
        <v>779</v>
      </c>
      <c r="D1033" s="280"/>
      <c r="E1033" s="253"/>
      <c r="F1033" s="1"/>
      <c r="AD1033" s="80"/>
      <c r="AE1033" s="80"/>
      <c r="AF1033" s="120">
        <v>1</v>
      </c>
      <c r="AG1033" s="120">
        <v>10</v>
      </c>
      <c r="AH1033" s="80"/>
      <c r="AK1033" s="297">
        <f t="shared" si="52"/>
        <v>3</v>
      </c>
      <c r="AL1033" s="297">
        <f t="shared" si="53"/>
        <v>3</v>
      </c>
      <c r="AT1033" s="56" t="str">
        <f t="shared" ref="AT1033:AT1038" si="54">IF(AL1033&gt;=AK1033,B818,B828)</f>
        <v>economic</v>
      </c>
    </row>
    <row r="1034" spans="1:54" ht="14.55" hidden="1" customHeight="1" x14ac:dyDescent="0.3">
      <c r="A1034" s="253"/>
      <c r="B1034" s="280"/>
      <c r="C1034" s="295" t="s">
        <v>780</v>
      </c>
      <c r="D1034" s="280"/>
      <c r="E1034" s="253"/>
      <c r="F1034" s="1"/>
      <c r="AD1034" s="80"/>
      <c r="AE1034" s="80"/>
      <c r="AF1034" s="120">
        <v>11</v>
      </c>
      <c r="AG1034" s="120">
        <v>16</v>
      </c>
      <c r="AH1034" s="80"/>
      <c r="AK1034" s="297">
        <f t="shared" si="52"/>
        <v>1</v>
      </c>
      <c r="AL1034" s="297">
        <f t="shared" si="53"/>
        <v>4</v>
      </c>
      <c r="AT1034" s="56" t="str">
        <f t="shared" si="54"/>
        <v>physical health</v>
      </c>
    </row>
    <row r="1035" spans="1:54" ht="14.55" hidden="1" customHeight="1" x14ac:dyDescent="0.3">
      <c r="A1035" s="253"/>
      <c r="B1035" s="280"/>
      <c r="C1035" s="295" t="s">
        <v>781</v>
      </c>
      <c r="D1035" s="280"/>
      <c r="E1035" s="253"/>
      <c r="F1035" s="1"/>
      <c r="AD1035" s="80"/>
      <c r="AE1035" s="80"/>
      <c r="AF1035" s="120">
        <v>17</v>
      </c>
      <c r="AG1035" s="120">
        <v>20</v>
      </c>
      <c r="AH1035" s="80"/>
      <c r="AK1035" s="297">
        <f t="shared" si="52"/>
        <v>2</v>
      </c>
      <c r="AL1035" s="297">
        <f t="shared" si="53"/>
        <v>0</v>
      </c>
      <c r="AT1035" s="56" t="str">
        <f t="shared" si="54"/>
        <v>overcoming depression &amp; anxiety</v>
      </c>
    </row>
    <row r="1036" spans="1:54" ht="14.55" hidden="1" customHeight="1" x14ac:dyDescent="0.3">
      <c r="A1036" s="253"/>
      <c r="B1036" s="280"/>
      <c r="C1036" s="295" t="s">
        <v>782</v>
      </c>
      <c r="D1036" s="280"/>
      <c r="E1036" s="253"/>
      <c r="F1036" s="1"/>
      <c r="AD1036" s="80"/>
      <c r="AE1036" s="80"/>
      <c r="AF1036" s="120">
        <v>21</v>
      </c>
      <c r="AG1036" s="120">
        <v>30</v>
      </c>
      <c r="AH1036" s="80"/>
      <c r="AK1036" s="297">
        <f t="shared" si="52"/>
        <v>3</v>
      </c>
      <c r="AL1036" s="297">
        <f t="shared" si="53"/>
        <v>0</v>
      </c>
      <c r="AT1036" s="56" t="str">
        <f t="shared" si="54"/>
        <v>restoring familiy ties</v>
      </c>
    </row>
    <row r="1037" spans="1:54" ht="14.55" hidden="1" customHeight="1" x14ac:dyDescent="0.3">
      <c r="A1037" s="253"/>
      <c r="B1037" s="280"/>
      <c r="C1037" s="295" t="s">
        <v>783</v>
      </c>
      <c r="D1037" s="280"/>
      <c r="E1037" s="253"/>
      <c r="F1037" s="1"/>
      <c r="AD1037" s="80"/>
      <c r="AE1037" s="80"/>
      <c r="AF1037" s="120">
        <v>31</v>
      </c>
      <c r="AG1037" s="120">
        <v>40</v>
      </c>
      <c r="AH1037" s="80"/>
      <c r="AK1037" s="297">
        <f t="shared" si="52"/>
        <v>0</v>
      </c>
      <c r="AL1037" s="297">
        <f t="shared" si="53"/>
        <v>0</v>
      </c>
      <c r="AT1037" s="56" t="str">
        <f t="shared" si="54"/>
        <v>will-to-live</v>
      </c>
    </row>
    <row r="1038" spans="1:54" ht="14.55" hidden="1" customHeight="1" thickBot="1" x14ac:dyDescent="0.35">
      <c r="A1038" s="253"/>
      <c r="B1038" s="280"/>
      <c r="C1038" s="298" t="s">
        <v>784</v>
      </c>
      <c r="D1038" s="280"/>
      <c r="E1038" s="253"/>
      <c r="F1038" s="1"/>
      <c r="AD1038" s="80"/>
      <c r="AE1038" s="80"/>
      <c r="AF1038" s="120">
        <v>41</v>
      </c>
      <c r="AG1038" s="120">
        <f>21*3</f>
        <v>63</v>
      </c>
      <c r="AH1038" s="80"/>
      <c r="AK1038" s="297">
        <f t="shared" si="52"/>
        <v>0</v>
      </c>
      <c r="AL1038" s="297">
        <f t="shared" si="53"/>
        <v>0</v>
      </c>
      <c r="AT1038" s="56" t="str">
        <f t="shared" si="54"/>
        <v>OTHER:</v>
      </c>
    </row>
    <row r="1039" spans="1:54" ht="14.55" hidden="1" customHeight="1" thickTop="1" thickBot="1" x14ac:dyDescent="0.35">
      <c r="A1039" s="253"/>
      <c r="B1039" s="280"/>
      <c r="C1039" s="280"/>
      <c r="D1039" s="280"/>
      <c r="E1039" s="253"/>
      <c r="F1039" s="1"/>
      <c r="AE1039" s="80"/>
      <c r="AF1039" s="299">
        <f>SUM(AF926:AF1031)</f>
        <v>0</v>
      </c>
      <c r="AG1039" s="300">
        <f>SUM(AG926:AG1031)</f>
        <v>0</v>
      </c>
      <c r="AH1039" s="80">
        <v>21</v>
      </c>
      <c r="AN1039" s="606" t="str">
        <f>IF(AG1039=AH1039,AT1039,"")</f>
        <v/>
      </c>
      <c r="AO1039" s="607"/>
      <c r="AT1039" s="608" t="str">
        <f>IF(AND(AF1039&gt;AF1033,AF1039&lt;AG1033),C1033,IF(AND(AF1039&gt;AF1034,AF1039&lt;AG1034),C1034,IF(AND(AF1039&gt;AF1035,AF1039&lt;AG1035),C1035,IF(AND(AF1039&gt;AF1036,AF1039&lt;AG1036),C1036,IF(AND(AF1039&gt;AF1037,AF1039&lt;AG1037),C1037,IF(AND(AF1039&gt;AF1038,AF1039&lt;AG1038),C1038,""))))))</f>
        <v/>
      </c>
      <c r="AU1039" s="609"/>
      <c r="AV1039" s="609"/>
      <c r="AW1039" s="609"/>
      <c r="AX1039" s="609"/>
      <c r="AY1039" s="609"/>
      <c r="AZ1039" s="609"/>
      <c r="BA1039" s="609"/>
      <c r="BB1039" s="609"/>
    </row>
    <row r="1040" spans="1:54" ht="48" hidden="1" customHeight="1" x14ac:dyDescent="0.25">
      <c r="A1040" s="253"/>
      <c r="B1040" s="610" t="str">
        <f>CONCATENATE(AG1040,AN1040,AO1040,AZ1040)</f>
        <v>You understandably experience some depression, considering the many challenges you face from such a conviction. You can rule out a purely biological source for such depression.</v>
      </c>
      <c r="C1040" s="611"/>
      <c r="D1040" s="612"/>
      <c r="E1040" s="253"/>
      <c r="F1040" s="1"/>
      <c r="AG1040" s="28" t="s">
        <v>662</v>
      </c>
      <c r="AN1040" s="56" t="str">
        <f>IF(AG1039&lt;AH1039,"some depression",AT1039)</f>
        <v>some depression</v>
      </c>
      <c r="AO1040" s="120" t="s">
        <v>663</v>
      </c>
      <c r="AZ1040" s="56" t="s">
        <v>785</v>
      </c>
    </row>
    <row r="1041" spans="1:58" ht="4.95" hidden="1" customHeight="1" x14ac:dyDescent="0.25">
      <c r="A1041" s="253"/>
      <c r="B1041" s="253"/>
      <c r="C1041" s="253"/>
      <c r="D1041" s="253"/>
      <c r="E1041" s="253"/>
      <c r="F1041" s="1"/>
    </row>
    <row r="1042" spans="1:58" ht="72" hidden="1" customHeight="1" x14ac:dyDescent="0.25">
      <c r="A1042" s="253"/>
      <c r="B1042" s="610" t="s">
        <v>786</v>
      </c>
      <c r="C1042" s="611"/>
      <c r="D1042" s="612"/>
      <c r="E1042" s="253"/>
      <c r="F1042" s="1"/>
      <c r="AD1042" s="56" t="str">
        <f>AN152</f>
        <v>Steph</v>
      </c>
      <c r="AF1042" s="56" t="s">
        <v>666</v>
      </c>
      <c r="AM1042" s="56" t="str">
        <f>AN1040</f>
        <v>some depression</v>
      </c>
      <c r="AQ1042" s="56" t="s">
        <v>667</v>
      </c>
      <c r="AZ1042" s="56" t="str">
        <f>IF(AT1033="","","The wrongful conviction produces plenty of depressing economic conditions. ")</f>
        <v xml:space="preserve">The wrongful conviction produces plenty of depressing economic conditions. </v>
      </c>
      <c r="BB1042" s="56"/>
      <c r="BF1042" s="56" t="s">
        <v>668</v>
      </c>
    </row>
    <row r="1043" spans="1:58" ht="10.050000000000001" hidden="1" customHeight="1" x14ac:dyDescent="0.25">
      <c r="A1043" s="253"/>
      <c r="B1043" s="253"/>
      <c r="C1043" s="253"/>
      <c r="D1043" s="253"/>
      <c r="E1043" s="253"/>
      <c r="F1043" s="1"/>
      <c r="AD1043" s="56" t="str">
        <f>CONCATENATE(AD1042,AF1042,AM1042,AQ1042,AZ1042,BF1042)</f>
        <v>Steph understandably experiences some depression from the wrongful conviction. The wrongful conviction produces plenty of depressing economic conditions. Once hired, much of that should clear up. If not, Value Relating can help.</v>
      </c>
    </row>
    <row r="1044" spans="1:58" ht="17.399999999999999" hidden="1" x14ac:dyDescent="0.25">
      <c r="A1044" s="253"/>
      <c r="B1044" s="265" t="s">
        <v>787</v>
      </c>
      <c r="C1044" s="265"/>
      <c r="D1044" s="265"/>
      <c r="E1044" s="253"/>
      <c r="F1044" s="1"/>
    </row>
    <row r="1045" spans="1:58" ht="30" hidden="1" customHeight="1" x14ac:dyDescent="0.25">
      <c r="A1045" s="253"/>
      <c r="B1045" s="599"/>
      <c r="C1045" s="599"/>
      <c r="D1045" s="599"/>
      <c r="E1045" s="253"/>
      <c r="F1045" s="1"/>
    </row>
    <row r="1046" spans="1:58" ht="15" hidden="1" x14ac:dyDescent="0.25">
      <c r="A1046" s="253"/>
      <c r="B1046" s="301" t="s">
        <v>788</v>
      </c>
      <c r="C1046" s="253"/>
      <c r="D1046" s="301" t="s">
        <v>789</v>
      </c>
      <c r="E1046" s="253"/>
      <c r="F1046" s="1"/>
    </row>
    <row r="1047" spans="1:58" hidden="1" x14ac:dyDescent="0.25">
      <c r="A1047" s="253"/>
      <c r="B1047" s="253"/>
      <c r="C1047" s="298"/>
      <c r="D1047" s="253"/>
      <c r="E1047" s="253"/>
      <c r="F1047" s="1"/>
    </row>
    <row r="1048" spans="1:58" hidden="1" x14ac:dyDescent="0.25">
      <c r="A1048" s="253"/>
      <c r="B1048" s="253"/>
      <c r="C1048" s="253"/>
      <c r="D1048" s="253"/>
      <c r="E1048" s="253"/>
      <c r="F1048" s="1"/>
    </row>
    <row r="1049" spans="1:58" ht="15" hidden="1" x14ac:dyDescent="0.25">
      <c r="A1049" s="253"/>
      <c r="B1049" s="301" t="s">
        <v>790</v>
      </c>
      <c r="C1049" s="253"/>
      <c r="D1049" s="301" t="str">
        <f>D1046</f>
        <v>anticipated results</v>
      </c>
      <c r="E1049" s="253"/>
      <c r="F1049" s="1"/>
    </row>
    <row r="1050" spans="1:58" hidden="1" x14ac:dyDescent="0.25">
      <c r="A1050" s="253"/>
      <c r="B1050" s="253"/>
      <c r="C1050" s="253"/>
      <c r="D1050" s="253"/>
      <c r="E1050" s="253"/>
      <c r="F1050" s="1"/>
    </row>
    <row r="1051" spans="1:58" hidden="1" x14ac:dyDescent="0.25">
      <c r="A1051" s="253"/>
      <c r="B1051" s="253"/>
      <c r="C1051" s="253"/>
      <c r="D1051" s="253"/>
      <c r="E1051" s="253"/>
      <c r="F1051" s="1"/>
    </row>
    <row r="1052" spans="1:58" ht="15" hidden="1" x14ac:dyDescent="0.25">
      <c r="A1052" s="253"/>
      <c r="B1052" s="301" t="s">
        <v>791</v>
      </c>
      <c r="C1052" s="253"/>
      <c r="D1052" s="301" t="str">
        <f>D1049</f>
        <v>anticipated results</v>
      </c>
      <c r="E1052" s="253"/>
      <c r="F1052" s="1"/>
    </row>
    <row r="1053" spans="1:58" hidden="1" x14ac:dyDescent="0.25">
      <c r="A1053" s="253"/>
      <c r="B1053" s="253"/>
      <c r="C1053" s="253"/>
      <c r="D1053" s="253"/>
      <c r="E1053" s="253"/>
      <c r="F1053" s="1"/>
    </row>
    <row r="1054" spans="1:58" hidden="1" x14ac:dyDescent="0.25">
      <c r="A1054" s="253"/>
      <c r="B1054" s="253"/>
      <c r="C1054" s="253"/>
      <c r="D1054" s="253"/>
      <c r="E1054" s="253"/>
      <c r="F1054" s="1"/>
    </row>
    <row r="1055" spans="1:58" hidden="1" x14ac:dyDescent="0.25">
      <c r="A1055" s="253"/>
      <c r="B1055" s="253" t="s">
        <v>792</v>
      </c>
      <c r="C1055" s="253"/>
      <c r="D1055" s="302">
        <f ca="1">IF(AD208=0,0,AD208)</f>
        <v>600000</v>
      </c>
      <c r="E1055" s="253"/>
      <c r="F1055" s="1"/>
    </row>
    <row r="1056" spans="1:58" hidden="1" x14ac:dyDescent="0.25">
      <c r="A1056" s="253"/>
      <c r="B1056" s="253"/>
      <c r="C1056" s="253"/>
      <c r="D1056" s="302" t="s">
        <v>793</v>
      </c>
      <c r="E1056" s="253"/>
      <c r="F1056" s="1"/>
    </row>
    <row r="1057" spans="1:54" hidden="1" x14ac:dyDescent="0.25">
      <c r="A1057" s="253"/>
      <c r="B1057" s="253"/>
      <c r="C1057" s="302" t="s">
        <v>794</v>
      </c>
      <c r="D1057" s="302">
        <f ca="1">D1055-50000</f>
        <v>550000</v>
      </c>
      <c r="E1057" s="253"/>
      <c r="F1057" s="1"/>
    </row>
    <row r="1058" spans="1:54" hidden="1" x14ac:dyDescent="0.25">
      <c r="A1058" s="253"/>
      <c r="B1058" s="253"/>
      <c r="C1058" s="253"/>
      <c r="D1058" s="302" t="s">
        <v>795</v>
      </c>
      <c r="E1058" s="253"/>
      <c r="F1058" s="1"/>
    </row>
    <row r="1059" spans="1:54" hidden="1" x14ac:dyDescent="0.25">
      <c r="A1059" s="253"/>
      <c r="B1059" s="253"/>
      <c r="C1059" s="253"/>
      <c r="D1059" s="253"/>
      <c r="E1059" s="253"/>
      <c r="F1059" s="1"/>
      <c r="BB1059" s="56"/>
    </row>
    <row r="1060" spans="1:54" hidden="1" x14ac:dyDescent="0.25">
      <c r="A1060" s="92"/>
      <c r="B1060" s="253"/>
      <c r="C1060" s="253"/>
      <c r="D1060" s="253"/>
      <c r="E1060" s="253"/>
      <c r="F1060" s="1"/>
      <c r="BB1060" s="56"/>
    </row>
    <row r="1061" spans="1:54" ht="10.050000000000001" hidden="1" customHeight="1" x14ac:dyDescent="0.25">
      <c r="A1061" s="253"/>
      <c r="B1061" s="253"/>
      <c r="C1061" s="253"/>
      <c r="D1061" s="253"/>
      <c r="E1061" s="253"/>
      <c r="F1061" s="1"/>
      <c r="BB1061" s="56"/>
    </row>
    <row r="1062" spans="1:54" ht="30" customHeight="1" x14ac:dyDescent="0.25">
      <c r="A1062" s="46" t="s">
        <v>95</v>
      </c>
      <c r="B1062" s="46" t="s">
        <v>796</v>
      </c>
      <c r="C1062" s="46"/>
      <c r="D1062" s="45"/>
      <c r="E1062" s="45"/>
      <c r="F1062" s="475" t="s">
        <v>949</v>
      </c>
      <c r="AE1062" s="56" t="str">
        <f>IF(AT1039="","",CONCATENATE(AG1040,AN1040,AO1040,AZ1040,AG1042,AO1042,BF1042))</f>
        <v/>
      </c>
      <c r="BB1062" s="56"/>
    </row>
    <row r="1063" spans="1:54" ht="17.399999999999999" x14ac:dyDescent="0.25">
      <c r="A1063" s="48"/>
      <c r="B1063" s="531" t="str">
        <f>CONCATENATE(AI1063,AJ1063)</f>
        <v>Michigan's compensation statue, along with some challenges to receive such a claim.</v>
      </c>
      <c r="C1063" s="531"/>
      <c r="D1063" s="531"/>
      <c r="E1063" s="49"/>
      <c r="F1063" s="48"/>
      <c r="AC1063" s="60" t="str">
        <f>B208</f>
        <v>Michigan</v>
      </c>
      <c r="AF1063" s="56" t="s">
        <v>797</v>
      </c>
      <c r="AI1063" s="56" t="str">
        <f>IF(AC1063="",AF1063,AC1063)</f>
        <v>Michigan</v>
      </c>
      <c r="AJ1063" s="56" t="s">
        <v>798</v>
      </c>
      <c r="BB1063" s="56"/>
    </row>
    <row r="1064" spans="1:54" x14ac:dyDescent="0.25">
      <c r="A1064" s="303"/>
      <c r="B1064" s="303"/>
      <c r="C1064" s="303"/>
      <c r="D1064" s="303"/>
      <c r="E1064" s="303"/>
      <c r="F1064" s="1"/>
      <c r="BB1064" s="56"/>
    </row>
    <row r="1065" spans="1:54" ht="14.4" thickBot="1" x14ac:dyDescent="0.3">
      <c r="A1065" s="303"/>
      <c r="B1065" s="303"/>
      <c r="C1065" s="303"/>
      <c r="D1065" s="304" t="str">
        <f>IF($B$208="","",B208)</f>
        <v>Michigan</v>
      </c>
      <c r="E1065" s="303"/>
      <c r="F1065" s="1"/>
      <c r="BB1065" s="56"/>
    </row>
    <row r="1066" spans="1:54" ht="25.95" customHeight="1" thickBot="1" x14ac:dyDescent="0.3">
      <c r="A1066" s="303"/>
      <c r="B1066" s="305" t="s">
        <v>799</v>
      </c>
      <c r="C1066" s="617" t="str">
        <f>IF($B$208="","",D2221)</f>
        <v>MCLS 691.1751 et seq</v>
      </c>
      <c r="D1066" s="618"/>
      <c r="E1066" s="303"/>
      <c r="F1066" s="1"/>
      <c r="BB1066" s="56"/>
    </row>
    <row r="1067" spans="1:54" ht="14.4" thickBot="1" x14ac:dyDescent="0.3">
      <c r="A1067" s="303"/>
      <c r="B1067" s="303"/>
      <c r="C1067" s="303"/>
      <c r="D1067" s="303"/>
      <c r="E1067" s="303"/>
      <c r="F1067" s="1"/>
      <c r="BB1067" s="56"/>
    </row>
    <row r="1068" spans="1:54" ht="15" customHeight="1" x14ac:dyDescent="0.25">
      <c r="A1068" s="303"/>
      <c r="B1068" s="306" t="s">
        <v>800</v>
      </c>
      <c r="C1068" s="619" t="str">
        <f>IF($B$208="","",D2222)</f>
        <v>Judgment of conviction was reversed or vacated and charges were dismissed or found not guilty on retrial.</v>
      </c>
      <c r="D1068" s="620"/>
      <c r="E1068" s="303"/>
      <c r="F1068" s="1"/>
      <c r="BB1068" s="56"/>
    </row>
    <row r="1069" spans="1:54" x14ac:dyDescent="0.25">
      <c r="A1069" s="303"/>
      <c r="B1069" s="303"/>
      <c r="C1069" s="621"/>
      <c r="D1069" s="622"/>
      <c r="E1069" s="303"/>
      <c r="F1069" s="1"/>
      <c r="BB1069" s="56"/>
    </row>
    <row r="1070" spans="1:54" x14ac:dyDescent="0.25">
      <c r="A1070" s="303"/>
      <c r="B1070" s="303"/>
      <c r="C1070" s="621"/>
      <c r="D1070" s="622"/>
      <c r="E1070" s="303"/>
      <c r="F1070" s="1"/>
      <c r="BB1070" s="56"/>
    </row>
    <row r="1071" spans="1:54" x14ac:dyDescent="0.25">
      <c r="A1071" s="303"/>
      <c r="B1071" s="303"/>
      <c r="C1071" s="621"/>
      <c r="D1071" s="622"/>
      <c r="E1071" s="303"/>
      <c r="F1071" s="1"/>
      <c r="BB1071" s="56"/>
    </row>
    <row r="1072" spans="1:54" x14ac:dyDescent="0.25">
      <c r="A1072" s="303"/>
      <c r="B1072" s="303"/>
      <c r="C1072" s="621"/>
      <c r="D1072" s="622"/>
      <c r="E1072" s="303"/>
      <c r="F1072" s="1"/>
      <c r="BB1072" s="56"/>
    </row>
    <row r="1073" spans="1:54" x14ac:dyDescent="0.25">
      <c r="A1073" s="303"/>
      <c r="B1073" s="303"/>
      <c r="C1073" s="621"/>
      <c r="D1073" s="622"/>
      <c r="E1073" s="303"/>
      <c r="F1073" s="1"/>
      <c r="BB1073" s="56"/>
    </row>
    <row r="1074" spans="1:54" ht="14.4" thickBot="1" x14ac:dyDescent="0.3">
      <c r="A1074" s="303"/>
      <c r="B1074" s="303"/>
      <c r="C1074" s="623"/>
      <c r="D1074" s="624"/>
      <c r="E1074" s="303"/>
      <c r="F1074" s="1"/>
      <c r="BB1074" s="56"/>
    </row>
    <row r="1075" spans="1:54" ht="14.4" thickBot="1" x14ac:dyDescent="0.3">
      <c r="A1075" s="303"/>
      <c r="B1075" s="303"/>
      <c r="C1075" s="303"/>
      <c r="D1075" s="303"/>
      <c r="E1075" s="303"/>
      <c r="F1075" s="1"/>
      <c r="BB1075" s="56"/>
    </row>
    <row r="1076" spans="1:54" ht="15" x14ac:dyDescent="0.25">
      <c r="A1076" s="303"/>
      <c r="B1076" s="306" t="s">
        <v>801</v>
      </c>
      <c r="C1076" s="619" t="str">
        <f>IF($B$208="","",D2223)</f>
        <v>Clear and convincing</v>
      </c>
      <c r="D1076" s="620"/>
      <c r="E1076" s="303"/>
      <c r="F1076" s="1"/>
      <c r="BB1076" s="56"/>
    </row>
    <row r="1077" spans="1:54" ht="15" x14ac:dyDescent="0.25">
      <c r="A1077" s="303"/>
      <c r="B1077" s="306" t="s">
        <v>802</v>
      </c>
      <c r="C1077" s="621"/>
      <c r="D1077" s="622"/>
      <c r="E1077" s="303"/>
      <c r="F1077" s="1"/>
      <c r="BB1077" s="56"/>
    </row>
    <row r="1078" spans="1:54" ht="14.4" thickBot="1" x14ac:dyDescent="0.3">
      <c r="A1078" s="303"/>
      <c r="B1078" s="303"/>
      <c r="C1078" s="623"/>
      <c r="D1078" s="624"/>
      <c r="E1078" s="303"/>
      <c r="F1078" s="1"/>
      <c r="BB1078" s="56"/>
    </row>
    <row r="1079" spans="1:54" ht="15.6" thickBot="1" x14ac:dyDescent="0.3">
      <c r="A1079" s="303"/>
      <c r="B1079" s="306"/>
      <c r="C1079" s="303"/>
      <c r="D1079" s="303"/>
      <c r="E1079" s="303"/>
      <c r="F1079" s="1"/>
      <c r="BB1079" s="56"/>
    </row>
    <row r="1080" spans="1:54" ht="15" x14ac:dyDescent="0.25">
      <c r="A1080" s="303"/>
      <c r="B1080" s="306" t="s">
        <v>803</v>
      </c>
      <c r="C1080" s="619" t="str">
        <f>IF($B$208="","",D2224)</f>
        <v>Court of Claims</v>
      </c>
      <c r="D1080" s="620"/>
      <c r="E1080" s="303"/>
      <c r="F1080" s="1"/>
      <c r="BB1080" s="56"/>
    </row>
    <row r="1081" spans="1:54" ht="15.6" thickBot="1" x14ac:dyDescent="0.3">
      <c r="A1081" s="303"/>
      <c r="B1081" s="306" t="s">
        <v>804</v>
      </c>
      <c r="C1081" s="623"/>
      <c r="D1081" s="624"/>
      <c r="E1081" s="303"/>
      <c r="F1081" s="1"/>
      <c r="BB1081" s="56"/>
    </row>
    <row r="1082" spans="1:54" ht="14.4" thickBot="1" x14ac:dyDescent="0.3">
      <c r="A1082" s="303"/>
      <c r="B1082" s="303"/>
      <c r="C1082" s="303"/>
      <c r="D1082" s="303"/>
      <c r="E1082" s="303"/>
      <c r="F1082" s="1"/>
      <c r="BB1082" s="56"/>
    </row>
    <row r="1083" spans="1:54" ht="16.2" thickBot="1" x14ac:dyDescent="0.35">
      <c r="A1083" s="303"/>
      <c r="B1083" s="306" t="s">
        <v>805</v>
      </c>
      <c r="C1083" s="307" t="str">
        <f>IF($B$208="","",D2225)</f>
        <v>3 years</v>
      </c>
      <c r="D1083" s="308"/>
      <c r="E1083" s="303"/>
      <c r="F1083" s="1"/>
      <c r="BB1083" s="56"/>
    </row>
    <row r="1084" spans="1:54" ht="14.4" thickBot="1" x14ac:dyDescent="0.3">
      <c r="A1084" s="303"/>
      <c r="B1084" s="303"/>
      <c r="C1084" s="303"/>
      <c r="D1084" s="303"/>
      <c r="E1084" s="303"/>
      <c r="F1084" s="1"/>
      <c r="BB1084" s="56"/>
    </row>
    <row r="1085" spans="1:54" ht="15.6" x14ac:dyDescent="0.3">
      <c r="A1085" s="303"/>
      <c r="B1085" s="306" t="s">
        <v>806</v>
      </c>
      <c r="C1085" s="309" t="str">
        <f>IF($B$208="","",D2226)</f>
        <v>not provided</v>
      </c>
      <c r="D1085" s="310"/>
      <c r="E1085" s="303"/>
      <c r="F1085" s="1"/>
      <c r="BB1085" s="56"/>
    </row>
    <row r="1086" spans="1:54" ht="15.6" thickBot="1" x14ac:dyDescent="0.3">
      <c r="A1086" s="303"/>
      <c r="B1086" s="306" t="s">
        <v>807</v>
      </c>
      <c r="C1086" s="311"/>
      <c r="D1086" s="312"/>
      <c r="E1086" s="303"/>
      <c r="F1086" s="1"/>
      <c r="BB1086" s="56"/>
    </row>
    <row r="1087" spans="1:54" ht="15.6" thickBot="1" x14ac:dyDescent="0.3">
      <c r="A1087" s="303"/>
      <c r="B1087" s="306"/>
      <c r="C1087" s="303"/>
      <c r="D1087" s="303"/>
      <c r="E1087" s="303"/>
      <c r="F1087" s="1"/>
      <c r="BB1087" s="56"/>
    </row>
    <row r="1088" spans="1:54" ht="15.6" x14ac:dyDescent="0.3">
      <c r="A1088" s="303"/>
      <c r="B1088" s="306" t="s">
        <v>808</v>
      </c>
      <c r="C1088" s="313">
        <f>IF($B$208="","",D2227)</f>
        <v>50000</v>
      </c>
      <c r="D1088" s="310"/>
      <c r="E1088" s="303"/>
      <c r="F1088" s="1"/>
      <c r="BB1088" s="56"/>
    </row>
    <row r="1089" spans="1:62" ht="15.6" thickBot="1" x14ac:dyDescent="0.3">
      <c r="A1089" s="303"/>
      <c r="B1089" s="306" t="s">
        <v>809</v>
      </c>
      <c r="C1089" s="311"/>
      <c r="D1089" s="312"/>
      <c r="E1089" s="303"/>
      <c r="F1089" s="1"/>
      <c r="BB1089" s="56"/>
    </row>
    <row r="1090" spans="1:62" ht="14.4" thickBot="1" x14ac:dyDescent="0.3">
      <c r="A1090" s="303"/>
      <c r="B1090" s="303"/>
      <c r="C1090" s="303"/>
      <c r="D1090" s="303"/>
      <c r="E1090" s="303"/>
      <c r="F1090" s="1"/>
      <c r="BB1090" s="56"/>
    </row>
    <row r="1091" spans="1:62" ht="15.6" x14ac:dyDescent="0.3">
      <c r="A1091" s="303"/>
      <c r="B1091" s="306" t="s">
        <v>810</v>
      </c>
      <c r="C1091" s="313" t="str">
        <f>IF($B$208="","",D2228)</f>
        <v>conditional</v>
      </c>
      <c r="D1091" s="314"/>
      <c r="E1091" s="303"/>
      <c r="F1091" s="1"/>
      <c r="BB1091" s="56"/>
    </row>
    <row r="1092" spans="1:62" ht="15.6" thickBot="1" x14ac:dyDescent="0.3">
      <c r="A1092" s="303"/>
      <c r="B1092" s="306" t="s">
        <v>811</v>
      </c>
      <c r="C1092" s="315"/>
      <c r="D1092" s="316"/>
      <c r="E1092" s="303"/>
      <c r="F1092" s="1"/>
    </row>
    <row r="1093" spans="1:62" ht="14.4" thickBot="1" x14ac:dyDescent="0.3">
      <c r="A1093" s="303"/>
      <c r="B1093" s="303"/>
      <c r="C1093" s="320"/>
      <c r="D1093" s="320"/>
      <c r="E1093" s="303"/>
      <c r="F1093" s="1"/>
    </row>
    <row r="1094" spans="1:62" ht="15.6" x14ac:dyDescent="0.3">
      <c r="A1094" s="303"/>
      <c r="B1094" s="306" t="s">
        <v>812</v>
      </c>
      <c r="C1094" s="313">
        <f>IF(AC1063="","",C1088*AE264)</f>
        <v>600000</v>
      </c>
      <c r="D1094" s="314"/>
      <c r="E1094" s="303"/>
      <c r="F1094" s="1"/>
    </row>
    <row r="1095" spans="1:62" ht="15.6" thickBot="1" x14ac:dyDescent="0.3">
      <c r="A1095" s="303"/>
      <c r="B1095" s="306" t="s">
        <v>813</v>
      </c>
      <c r="C1095" s="315"/>
      <c r="D1095" s="316"/>
      <c r="E1095" s="303"/>
      <c r="F1095" s="1"/>
    </row>
    <row r="1096" spans="1:62" x14ac:dyDescent="0.25">
      <c r="A1096" s="303"/>
      <c r="B1096" s="303"/>
      <c r="C1096" s="303"/>
      <c r="D1096" s="303"/>
      <c r="E1096" s="303"/>
      <c r="F1096" s="1"/>
    </row>
    <row r="1097" spans="1:62" x14ac:dyDescent="0.25">
      <c r="A1097" s="303"/>
      <c r="B1097" s="303"/>
      <c r="C1097" s="303"/>
      <c r="D1097" s="303"/>
      <c r="E1097" s="303"/>
      <c r="F1097" s="1"/>
    </row>
    <row r="1098" spans="1:62" ht="3" customHeight="1" x14ac:dyDescent="0.25">
      <c r="A1098" s="303"/>
      <c r="B1098" s="303"/>
      <c r="C1098" s="303"/>
      <c r="D1098" s="303"/>
      <c r="E1098" s="303"/>
      <c r="F1098" s="1"/>
    </row>
    <row r="1099" spans="1:62" ht="4.95" customHeight="1" x14ac:dyDescent="0.25">
      <c r="A1099" s="303"/>
      <c r="B1099" s="303"/>
      <c r="C1099" s="303"/>
      <c r="D1099" s="303"/>
      <c r="E1099" s="303"/>
      <c r="F1099" s="1"/>
    </row>
    <row r="1100" spans="1:62" ht="4.95" customHeight="1" x14ac:dyDescent="0.25">
      <c r="A1100" s="303"/>
      <c r="B1100" s="303"/>
      <c r="C1100" s="303"/>
      <c r="D1100" s="303"/>
      <c r="E1100" s="303"/>
      <c r="F1100" s="1"/>
    </row>
    <row r="1101" spans="1:62" ht="21" x14ac:dyDescent="0.4">
      <c r="A1101" s="303"/>
      <c r="B1101" s="318">
        <v>2200</v>
      </c>
      <c r="C1101" s="319" t="s">
        <v>814</v>
      </c>
      <c r="D1101" s="303"/>
      <c r="E1101" s="303"/>
      <c r="F1101" s="1"/>
    </row>
    <row r="1102" spans="1:62" ht="60" customHeight="1" x14ac:dyDescent="0.25">
      <c r="A1102" s="303"/>
      <c r="B1102" s="625" t="str">
        <f>CONCATENATE(AC1102,AJ1102,AK1102,AS1102,BI1102,AC1103,AJ1103,AK1103,AO1103,BD1103)</f>
        <v>you can potentially earn around 92% more than your current income. By removing employment discrimination from this wrongful conviction, you could earn up to $2034 more per month. That's about $469 more per week. Hidden costs of anxiety and depression could also drop significantly. Share that with your supporters!</v>
      </c>
      <c r="C1102" s="625"/>
      <c r="D1102" s="625"/>
      <c r="E1102" s="303"/>
      <c r="F1102" s="1"/>
      <c r="AC1102" s="56" t="s">
        <v>815</v>
      </c>
      <c r="AJ1102" s="154">
        <f>ROUND((BJ1103*100),0)</f>
        <v>92</v>
      </c>
      <c r="AK1102" s="56" t="s">
        <v>816</v>
      </c>
      <c r="AS1102" s="56" t="s">
        <v>817</v>
      </c>
      <c r="BI1102" s="321">
        <f>ROUND(BH1103,0)</f>
        <v>2034</v>
      </c>
    </row>
    <row r="1103" spans="1:62" x14ac:dyDescent="0.25">
      <c r="A1103" s="303"/>
      <c r="B1103" s="303"/>
      <c r="C1103" s="303"/>
      <c r="D1103" s="303"/>
      <c r="E1103" s="303"/>
      <c r="F1103" s="1"/>
      <c r="AC1103" s="56" t="s">
        <v>818</v>
      </c>
      <c r="AF1103" s="322"/>
      <c r="AJ1103" s="322" t="str">
        <f>FIXED(BI1103,0,0)</f>
        <v>469</v>
      </c>
      <c r="AK1103" s="56" t="s">
        <v>819</v>
      </c>
      <c r="AO1103" s="56" t="s">
        <v>820</v>
      </c>
      <c r="BD1103" s="56" t="s">
        <v>821</v>
      </c>
      <c r="BG1103" s="322">
        <f>IF(BH2241=0,BH2293,BH2241)</f>
        <v>24413</v>
      </c>
      <c r="BH1103" s="322">
        <f>IF(BI2241=0,BI2293,BI2241)</f>
        <v>2034.4166666666667</v>
      </c>
      <c r="BI1103" s="322">
        <f>IF(BJ2241=0,BJ2293,BJ2241)</f>
        <v>469.48076923076923</v>
      </c>
      <c r="BJ1103" s="113">
        <f>IF(BK2241=0,BK2293,BK2241)</f>
        <v>0.91733363393830081</v>
      </c>
    </row>
    <row r="1104" spans="1:62" ht="30" hidden="1" customHeight="1" x14ac:dyDescent="0.25">
      <c r="A1104" s="45" t="s">
        <v>822</v>
      </c>
      <c r="B1104" s="46" t="s">
        <v>823</v>
      </c>
      <c r="C1104" s="45"/>
      <c r="D1104" s="45"/>
      <c r="E1104" s="45"/>
      <c r="F1104" s="45"/>
      <c r="AF1104" s="322"/>
      <c r="AJ1104" s="322"/>
      <c r="BG1104" s="322"/>
      <c r="BH1104" s="322"/>
      <c r="BI1104" s="322"/>
      <c r="BJ1104" s="113"/>
    </row>
    <row r="1105" spans="1:62" ht="60" hidden="1" customHeight="1" x14ac:dyDescent="0.25">
      <c r="A1105" s="48"/>
      <c r="B1105" s="531"/>
      <c r="C1105" s="531"/>
      <c r="D1105" s="531"/>
      <c r="E1105" s="49"/>
      <c r="F1105" s="48"/>
      <c r="AF1105" s="322"/>
      <c r="AJ1105" s="322"/>
      <c r="BG1105" s="322"/>
      <c r="BH1105" s="322"/>
      <c r="BI1105" s="322"/>
      <c r="BJ1105" s="113"/>
    </row>
    <row r="1106" spans="1:62" ht="14.4" hidden="1" x14ac:dyDescent="0.3">
      <c r="A1106" s="323"/>
      <c r="B1106" s="323"/>
      <c r="C1106" s="323"/>
      <c r="D1106" s="324"/>
      <c r="E1106" s="323"/>
      <c r="F1106" s="1"/>
      <c r="AF1106" s="322"/>
      <c r="AJ1106" s="322"/>
      <c r="BG1106" s="322"/>
      <c r="BH1106" s="322"/>
      <c r="BI1106" s="322"/>
      <c r="BJ1106" s="113"/>
    </row>
    <row r="1107" spans="1:62" ht="15.6" hidden="1" x14ac:dyDescent="0.3">
      <c r="A1107" s="323"/>
      <c r="B1107" s="325" t="s">
        <v>824</v>
      </c>
      <c r="C1107" s="323"/>
      <c r="D1107" s="323"/>
      <c r="E1107" s="323"/>
      <c r="F1107" s="1"/>
      <c r="AF1107" s="322"/>
      <c r="AJ1107" s="322"/>
      <c r="BG1107" s="322"/>
      <c r="BH1107" s="322"/>
      <c r="BI1107" s="322"/>
      <c r="BJ1107" s="113"/>
    </row>
    <row r="1108" spans="1:62" hidden="1" x14ac:dyDescent="0.25">
      <c r="A1108" s="323"/>
      <c r="B1108" s="107" t="s">
        <v>825</v>
      </c>
      <c r="C1108" s="107"/>
      <c r="D1108" s="107"/>
      <c r="E1108" s="323"/>
      <c r="F1108" s="1"/>
      <c r="AF1108" s="322"/>
      <c r="AJ1108" s="322"/>
      <c r="BG1108" s="322"/>
      <c r="BH1108" s="322"/>
      <c r="BI1108" s="322"/>
      <c r="BJ1108" s="113"/>
    </row>
    <row r="1109" spans="1:62" hidden="1" x14ac:dyDescent="0.25">
      <c r="A1109" s="323"/>
      <c r="B1109" s="107" t="s">
        <v>826</v>
      </c>
      <c r="C1109" s="107"/>
      <c r="D1109" s="107"/>
      <c r="E1109" s="323"/>
      <c r="F1109" s="1"/>
      <c r="AF1109" s="322"/>
      <c r="AJ1109" s="322"/>
      <c r="BG1109" s="322"/>
      <c r="BH1109" s="322"/>
      <c r="BI1109" s="322"/>
      <c r="BJ1109" s="113"/>
    </row>
    <row r="1110" spans="1:62" hidden="1" x14ac:dyDescent="0.25">
      <c r="A1110" s="323"/>
      <c r="B1110" s="107" t="s">
        <v>827</v>
      </c>
      <c r="C1110" s="107" t="s">
        <v>828</v>
      </c>
      <c r="D1110" s="107"/>
      <c r="E1110" s="323"/>
      <c r="F1110" s="1"/>
      <c r="AF1110" s="322"/>
      <c r="AJ1110" s="322"/>
      <c r="BG1110" s="322"/>
      <c r="BH1110" s="322"/>
      <c r="BI1110" s="322"/>
      <c r="BJ1110" s="113"/>
    </row>
    <row r="1111" spans="1:62" hidden="1" x14ac:dyDescent="0.25">
      <c r="A1111" s="323"/>
      <c r="B1111" s="107" t="s">
        <v>829</v>
      </c>
      <c r="C1111" s="107"/>
      <c r="D1111" s="107"/>
      <c r="E1111" s="323"/>
      <c r="F1111" s="1"/>
      <c r="AF1111" s="322"/>
      <c r="AJ1111" s="322"/>
      <c r="BG1111" s="322"/>
      <c r="BH1111" s="322"/>
      <c r="BI1111" s="322"/>
      <c r="BJ1111" s="113"/>
    </row>
    <row r="1112" spans="1:62" hidden="1" x14ac:dyDescent="0.25">
      <c r="A1112" s="323"/>
      <c r="B1112" s="326" t="s">
        <v>830</v>
      </c>
      <c r="C1112" s="107"/>
      <c r="D1112" s="107"/>
      <c r="E1112" s="323"/>
      <c r="F1112" s="1"/>
      <c r="AF1112" s="322"/>
      <c r="AJ1112" s="322"/>
      <c r="BG1112" s="322"/>
      <c r="BH1112" s="322"/>
      <c r="BI1112" s="322"/>
      <c r="BJ1112" s="113"/>
    </row>
    <row r="1113" spans="1:62" hidden="1" x14ac:dyDescent="0.25">
      <c r="A1113" s="323"/>
      <c r="B1113" s="326" t="s">
        <v>831</v>
      </c>
      <c r="C1113" s="107"/>
      <c r="D1113" s="107"/>
      <c r="E1113" s="323"/>
      <c r="F1113" s="1"/>
      <c r="AF1113" s="322"/>
      <c r="AJ1113" s="322"/>
      <c r="BG1113" s="322"/>
      <c r="BH1113" s="322"/>
      <c r="BI1113" s="322"/>
      <c r="BJ1113" s="113"/>
    </row>
    <row r="1114" spans="1:62" hidden="1" x14ac:dyDescent="0.25">
      <c r="A1114" s="323"/>
      <c r="B1114" s="326" t="s">
        <v>832</v>
      </c>
      <c r="C1114" s="107"/>
      <c r="D1114" s="107"/>
      <c r="E1114" s="323"/>
      <c r="F1114" s="1"/>
      <c r="AF1114" s="322"/>
      <c r="AJ1114" s="322"/>
      <c r="BG1114" s="322"/>
      <c r="BH1114" s="322"/>
      <c r="BI1114" s="322"/>
      <c r="BJ1114" s="113"/>
    </row>
    <row r="1115" spans="1:62" hidden="1" x14ac:dyDescent="0.25">
      <c r="A1115" s="323"/>
      <c r="B1115" s="326" t="s">
        <v>833</v>
      </c>
      <c r="C1115" s="107"/>
      <c r="D1115" s="107"/>
      <c r="E1115" s="323"/>
      <c r="F1115" s="1"/>
      <c r="AF1115" s="322"/>
      <c r="AJ1115" s="322"/>
      <c r="BG1115" s="322"/>
      <c r="BH1115" s="322"/>
      <c r="BI1115" s="322"/>
      <c r="BJ1115" s="113"/>
    </row>
    <row r="1116" spans="1:62" hidden="1" x14ac:dyDescent="0.25">
      <c r="A1116" s="323"/>
      <c r="B1116" s="326" t="s">
        <v>834</v>
      </c>
      <c r="C1116" s="107"/>
      <c r="D1116" s="107"/>
      <c r="E1116" s="323"/>
      <c r="F1116" s="1"/>
      <c r="AF1116" s="322"/>
      <c r="AJ1116" s="322"/>
      <c r="BG1116" s="322"/>
      <c r="BH1116" s="322"/>
      <c r="BI1116" s="322"/>
      <c r="BJ1116" s="113"/>
    </row>
    <row r="1117" spans="1:62" hidden="1" x14ac:dyDescent="0.25">
      <c r="A1117" s="323"/>
      <c r="B1117" s="326" t="s">
        <v>835</v>
      </c>
      <c r="C1117" s="107"/>
      <c r="D1117" s="107"/>
      <c r="E1117" s="323"/>
      <c r="F1117" s="1"/>
      <c r="AF1117" s="322"/>
      <c r="AJ1117" s="322"/>
      <c r="BG1117" s="322"/>
      <c r="BH1117" s="322"/>
      <c r="BI1117" s="322"/>
      <c r="BJ1117" s="113"/>
    </row>
    <row r="1118" spans="1:62" hidden="1" x14ac:dyDescent="0.25">
      <c r="A1118" s="323"/>
      <c r="B1118" s="327" t="s">
        <v>836</v>
      </c>
      <c r="C1118" s="107"/>
      <c r="D1118" s="107"/>
      <c r="E1118" s="323"/>
      <c r="F1118" s="1"/>
      <c r="AF1118" s="322"/>
      <c r="AJ1118" s="322"/>
      <c r="BG1118" s="322"/>
      <c r="BH1118" s="322"/>
      <c r="BI1118" s="322"/>
      <c r="BJ1118" s="113"/>
    </row>
    <row r="1119" spans="1:62" hidden="1" x14ac:dyDescent="0.25">
      <c r="A1119" s="323"/>
      <c r="B1119" s="107" t="s">
        <v>837</v>
      </c>
      <c r="C1119" s="107"/>
      <c r="D1119" s="107"/>
      <c r="E1119" s="323"/>
      <c r="F1119" s="1"/>
      <c r="AF1119" s="322"/>
      <c r="AJ1119" s="322"/>
      <c r="BG1119" s="322"/>
      <c r="BH1119" s="322"/>
      <c r="BI1119" s="322"/>
      <c r="BJ1119" s="113"/>
    </row>
    <row r="1120" spans="1:62" hidden="1" x14ac:dyDescent="0.25">
      <c r="A1120" s="323"/>
      <c r="B1120" s="107" t="s">
        <v>838</v>
      </c>
      <c r="C1120" s="107"/>
      <c r="D1120" s="107"/>
      <c r="E1120" s="323"/>
      <c r="F1120" s="1"/>
      <c r="AF1120" s="322"/>
      <c r="AJ1120" s="322"/>
      <c r="BG1120" s="322"/>
      <c r="BH1120" s="322"/>
      <c r="BI1120" s="322"/>
      <c r="BJ1120" s="113"/>
    </row>
    <row r="1121" spans="1:62" hidden="1" x14ac:dyDescent="0.25">
      <c r="A1121" s="323"/>
      <c r="B1121" s="107" t="s">
        <v>839</v>
      </c>
      <c r="C1121" s="107"/>
      <c r="D1121" s="107"/>
      <c r="E1121" s="323"/>
      <c r="F1121" s="1"/>
      <c r="AF1121" s="322"/>
      <c r="AJ1121" s="322"/>
      <c r="BG1121" s="322"/>
      <c r="BH1121" s="322"/>
      <c r="BI1121" s="322"/>
      <c r="BJ1121" s="113"/>
    </row>
    <row r="1122" spans="1:62" ht="4.95" hidden="1" customHeight="1" x14ac:dyDescent="0.25">
      <c r="A1122" s="323"/>
      <c r="B1122" s="107"/>
      <c r="C1122" s="107"/>
      <c r="D1122" s="107"/>
      <c r="E1122" s="323"/>
      <c r="F1122" s="1"/>
      <c r="AF1122" s="322"/>
      <c r="AJ1122" s="322"/>
      <c r="BG1122" s="322"/>
      <c r="BH1122" s="322"/>
      <c r="BI1122" s="322"/>
      <c r="BJ1122" s="113"/>
    </row>
    <row r="1123" spans="1:62" hidden="1" x14ac:dyDescent="0.25">
      <c r="A1123" s="323"/>
      <c r="B1123" s="323"/>
      <c r="C1123" s="323"/>
      <c r="D1123" s="323"/>
      <c r="E1123" s="323"/>
      <c r="F1123" s="1"/>
      <c r="AF1123" s="322"/>
      <c r="AJ1123" s="322"/>
      <c r="BG1123" s="322"/>
      <c r="BH1123" s="322"/>
      <c r="BI1123" s="322"/>
      <c r="BJ1123" s="113"/>
    </row>
    <row r="1124" spans="1:62" ht="20.399999999999999" hidden="1" x14ac:dyDescent="0.35">
      <c r="A1124" s="328" t="s">
        <v>840</v>
      </c>
      <c r="B1124" s="329" t="s">
        <v>841</v>
      </c>
      <c r="C1124" s="323"/>
      <c r="D1124" s="323"/>
      <c r="E1124" s="323"/>
      <c r="F1124" s="1"/>
      <c r="AF1124" s="322"/>
      <c r="AJ1124" s="322"/>
      <c r="BG1124" s="322"/>
      <c r="BH1124" s="322"/>
      <c r="BI1124" s="322"/>
      <c r="BJ1124" s="113"/>
    </row>
    <row r="1125" spans="1:62" hidden="1" x14ac:dyDescent="0.25">
      <c r="A1125" s="323"/>
      <c r="B1125" s="323"/>
      <c r="C1125" s="323"/>
      <c r="D1125" s="323"/>
      <c r="E1125" s="323"/>
      <c r="F1125" s="1"/>
      <c r="AF1125" s="322"/>
      <c r="AJ1125" s="322"/>
      <c r="BG1125" s="322"/>
      <c r="BH1125" s="322"/>
      <c r="BI1125" s="322"/>
      <c r="BJ1125" s="113"/>
    </row>
    <row r="1126" spans="1:62" hidden="1" x14ac:dyDescent="0.25">
      <c r="A1126" s="323"/>
      <c r="B1126" s="323" t="s">
        <v>842</v>
      </c>
      <c r="C1126" s="323"/>
      <c r="D1126" s="323"/>
      <c r="E1126" s="323"/>
      <c r="F1126" s="1"/>
      <c r="AF1126" s="322"/>
      <c r="AJ1126" s="322"/>
      <c r="BG1126" s="322"/>
      <c r="BH1126" s="322"/>
      <c r="BI1126" s="322"/>
      <c r="BJ1126" s="113"/>
    </row>
    <row r="1127" spans="1:62" hidden="1" x14ac:dyDescent="0.25">
      <c r="A1127" s="323"/>
      <c r="B1127" s="323"/>
      <c r="C1127" s="323"/>
      <c r="D1127" s="323"/>
      <c r="E1127" s="323"/>
      <c r="F1127" s="1"/>
      <c r="AF1127" s="322"/>
      <c r="AJ1127" s="322"/>
      <c r="BG1127" s="322"/>
      <c r="BH1127" s="322"/>
      <c r="BI1127" s="322"/>
      <c r="BJ1127" s="113"/>
    </row>
    <row r="1128" spans="1:62" hidden="1" x14ac:dyDescent="0.25">
      <c r="A1128" s="323"/>
      <c r="B1128" s="323"/>
      <c r="C1128" s="323"/>
      <c r="D1128" s="323"/>
      <c r="E1128" s="323"/>
      <c r="F1128" s="1"/>
      <c r="AF1128" s="322"/>
      <c r="AJ1128" s="322"/>
      <c r="BG1128" s="322"/>
      <c r="BH1128" s="322"/>
      <c r="BI1128" s="322"/>
      <c r="BJ1128" s="113"/>
    </row>
    <row r="1129" spans="1:62" hidden="1" x14ac:dyDescent="0.25">
      <c r="A1129" s="323"/>
      <c r="B1129" s="323"/>
      <c r="C1129" s="323"/>
      <c r="D1129" s="323"/>
      <c r="E1129" s="323"/>
      <c r="F1129" s="1"/>
      <c r="AF1129" s="322"/>
      <c r="AJ1129" s="322"/>
      <c r="BG1129" s="322"/>
      <c r="BH1129" s="322"/>
      <c r="BI1129" s="322"/>
      <c r="BJ1129" s="113"/>
    </row>
    <row r="1130" spans="1:62" hidden="1" x14ac:dyDescent="0.25">
      <c r="A1130" s="323"/>
      <c r="B1130" s="323"/>
      <c r="C1130" s="323"/>
      <c r="D1130" s="323"/>
      <c r="E1130" s="323"/>
      <c r="F1130" s="1"/>
      <c r="AF1130" s="322"/>
      <c r="AJ1130" s="322"/>
      <c r="BG1130" s="322"/>
      <c r="BH1130" s="322"/>
      <c r="BI1130" s="322"/>
      <c r="BJ1130" s="113"/>
    </row>
    <row r="1131" spans="1:62" hidden="1" x14ac:dyDescent="0.25">
      <c r="A1131" s="323"/>
      <c r="B1131" s="323"/>
      <c r="C1131" s="323"/>
      <c r="D1131" s="323"/>
      <c r="E1131" s="323"/>
      <c r="F1131" s="1"/>
      <c r="AF1131" s="322"/>
      <c r="AJ1131" s="322"/>
      <c r="BG1131" s="322"/>
      <c r="BH1131" s="322"/>
      <c r="BI1131" s="322"/>
      <c r="BJ1131" s="113"/>
    </row>
    <row r="1132" spans="1:62" hidden="1" x14ac:dyDescent="0.25">
      <c r="A1132" s="323"/>
      <c r="B1132" s="323"/>
      <c r="C1132" s="323"/>
      <c r="D1132" s="323"/>
      <c r="E1132" s="323"/>
      <c r="F1132" s="1"/>
      <c r="AF1132" s="322"/>
      <c r="AJ1132" s="322"/>
      <c r="BG1132" s="322"/>
      <c r="BH1132" s="322"/>
      <c r="BI1132" s="322"/>
      <c r="BJ1132" s="113"/>
    </row>
    <row r="1133" spans="1:62" hidden="1" x14ac:dyDescent="0.25">
      <c r="A1133" s="323"/>
      <c r="B1133" s="323"/>
      <c r="C1133" s="323"/>
      <c r="D1133" s="323"/>
      <c r="E1133" s="323"/>
      <c r="F1133" s="1"/>
      <c r="AF1133" s="322"/>
      <c r="AJ1133" s="322"/>
      <c r="BG1133" s="322"/>
      <c r="BH1133" s="322"/>
      <c r="BI1133" s="322"/>
      <c r="BJ1133" s="113"/>
    </row>
    <row r="1134" spans="1:62" hidden="1" x14ac:dyDescent="0.25">
      <c r="A1134" s="323"/>
      <c r="B1134" s="323"/>
      <c r="C1134" s="323"/>
      <c r="D1134" s="323"/>
      <c r="E1134" s="323"/>
      <c r="F1134" s="1"/>
      <c r="AF1134" s="322"/>
      <c r="AJ1134" s="322"/>
      <c r="BG1134" s="322"/>
      <c r="BH1134" s="322"/>
      <c r="BI1134" s="322"/>
      <c r="BJ1134" s="113"/>
    </row>
    <row r="1135" spans="1:62" hidden="1" x14ac:dyDescent="0.25">
      <c r="A1135" s="323"/>
      <c r="B1135" s="323"/>
      <c r="C1135" s="323"/>
      <c r="D1135" s="323"/>
      <c r="E1135" s="323"/>
      <c r="F1135" s="1"/>
      <c r="AF1135" s="322"/>
      <c r="AJ1135" s="322"/>
      <c r="BG1135" s="322"/>
      <c r="BH1135" s="322"/>
      <c r="BI1135" s="322"/>
      <c r="BJ1135" s="113"/>
    </row>
    <row r="1136" spans="1:62" hidden="1" x14ac:dyDescent="0.25">
      <c r="A1136" s="323"/>
      <c r="B1136" s="323"/>
      <c r="C1136" s="323"/>
      <c r="D1136" s="323"/>
      <c r="E1136" s="323"/>
      <c r="F1136" s="1"/>
      <c r="AF1136" s="322"/>
      <c r="AJ1136" s="322"/>
      <c r="BG1136" s="322"/>
      <c r="BH1136" s="322"/>
      <c r="BI1136" s="322"/>
      <c r="BJ1136" s="113"/>
    </row>
    <row r="1137" spans="1:62" hidden="1" x14ac:dyDescent="0.25">
      <c r="A1137" s="323"/>
      <c r="B1137" s="323"/>
      <c r="C1137" s="323"/>
      <c r="D1137" s="323"/>
      <c r="E1137" s="323"/>
      <c r="F1137" s="1"/>
      <c r="AF1137" s="322"/>
      <c r="AJ1137" s="322"/>
      <c r="BG1137" s="322"/>
      <c r="BH1137" s="322"/>
      <c r="BI1137" s="322"/>
      <c r="BJ1137" s="113"/>
    </row>
    <row r="1138" spans="1:62" hidden="1" x14ac:dyDescent="0.25">
      <c r="A1138" s="323"/>
      <c r="B1138" s="323"/>
      <c r="C1138" s="323"/>
      <c r="D1138" s="323"/>
      <c r="E1138" s="323"/>
      <c r="F1138" s="1"/>
      <c r="AF1138" s="322"/>
      <c r="AJ1138" s="322"/>
      <c r="BG1138" s="322"/>
      <c r="BH1138" s="322"/>
      <c r="BI1138" s="322"/>
      <c r="BJ1138" s="113"/>
    </row>
    <row r="1139" spans="1:62" ht="20.399999999999999" hidden="1" x14ac:dyDescent="0.35">
      <c r="A1139" s="328"/>
      <c r="B1139" s="329"/>
      <c r="C1139" s="323"/>
      <c r="D1139" s="323"/>
      <c r="E1139" s="323"/>
      <c r="F1139" s="1"/>
      <c r="AF1139" s="322"/>
      <c r="AJ1139" s="322"/>
      <c r="BG1139" s="322"/>
      <c r="BH1139" s="322"/>
      <c r="BI1139" s="322"/>
      <c r="BJ1139" s="113"/>
    </row>
    <row r="1140" spans="1:62" hidden="1" x14ac:dyDescent="0.25">
      <c r="A1140" s="323"/>
      <c r="B1140" s="323"/>
      <c r="C1140" s="323"/>
      <c r="D1140" s="323"/>
      <c r="E1140" s="323"/>
      <c r="F1140" s="1"/>
      <c r="AF1140" s="322"/>
      <c r="AJ1140" s="322"/>
      <c r="BG1140" s="322"/>
      <c r="BH1140" s="322"/>
      <c r="BI1140" s="322"/>
      <c r="BJ1140" s="113"/>
    </row>
    <row r="1141" spans="1:62" hidden="1" x14ac:dyDescent="0.25">
      <c r="A1141" s="323"/>
      <c r="B1141" s="323"/>
      <c r="C1141" s="323"/>
      <c r="D1141" s="323"/>
      <c r="E1141" s="323"/>
      <c r="F1141" s="1"/>
      <c r="AF1141" s="322"/>
      <c r="AJ1141" s="322"/>
      <c r="BG1141" s="322"/>
      <c r="BH1141" s="322"/>
      <c r="BI1141" s="322"/>
      <c r="BJ1141" s="113"/>
    </row>
    <row r="1142" spans="1:62" hidden="1" x14ac:dyDescent="0.25">
      <c r="A1142" s="323"/>
      <c r="B1142" s="323"/>
      <c r="C1142" s="323"/>
      <c r="D1142" s="323"/>
      <c r="E1142" s="323"/>
      <c r="F1142" s="1"/>
      <c r="AF1142" s="322"/>
      <c r="AJ1142" s="322"/>
      <c r="BG1142" s="322"/>
      <c r="BH1142" s="322"/>
      <c r="BI1142" s="322"/>
      <c r="BJ1142" s="113"/>
    </row>
    <row r="1143" spans="1:62" hidden="1" x14ac:dyDescent="0.25">
      <c r="A1143" s="323"/>
      <c r="B1143" s="323"/>
      <c r="C1143" s="323"/>
      <c r="D1143" s="323"/>
      <c r="E1143" s="323"/>
      <c r="F1143" s="1"/>
      <c r="AF1143" s="322"/>
      <c r="AJ1143" s="322"/>
      <c r="BG1143" s="322"/>
      <c r="BH1143" s="322"/>
      <c r="BI1143" s="322"/>
      <c r="BJ1143" s="113"/>
    </row>
    <row r="1144" spans="1:62" hidden="1" x14ac:dyDescent="0.25">
      <c r="A1144" s="323"/>
      <c r="B1144" s="323"/>
      <c r="C1144" s="323"/>
      <c r="D1144" s="323"/>
      <c r="E1144" s="323"/>
      <c r="F1144" s="1"/>
      <c r="AF1144" s="322"/>
      <c r="AG1144" s="330"/>
      <c r="AJ1144" s="322"/>
      <c r="BG1144" s="322"/>
      <c r="BH1144" s="322"/>
      <c r="BI1144" s="322"/>
      <c r="BJ1144" s="113"/>
    </row>
    <row r="1145" spans="1:62" hidden="1" x14ac:dyDescent="0.25">
      <c r="A1145" s="323"/>
      <c r="B1145" s="323"/>
      <c r="C1145" s="323"/>
      <c r="D1145" s="323"/>
      <c r="E1145" s="323"/>
      <c r="F1145" s="1"/>
      <c r="AF1145" s="322"/>
      <c r="AG1145" s="331">
        <v>5</v>
      </c>
      <c r="AJ1145" s="322"/>
      <c r="BG1145" s="322"/>
      <c r="BH1145" s="322"/>
      <c r="BI1145" s="322"/>
      <c r="BJ1145" s="113"/>
    </row>
    <row r="1146" spans="1:62" hidden="1" x14ac:dyDescent="0.25">
      <c r="A1146" s="323"/>
      <c r="B1146" s="323"/>
      <c r="C1146" s="323"/>
      <c r="D1146" s="323"/>
      <c r="E1146" s="323"/>
      <c r="F1146" s="1"/>
      <c r="AF1146" s="322"/>
      <c r="AG1146" s="330"/>
      <c r="AJ1146" s="322"/>
      <c r="BG1146" s="322"/>
      <c r="BH1146" s="322"/>
      <c r="BI1146" s="322"/>
      <c r="BJ1146" s="113"/>
    </row>
    <row r="1147" spans="1:62" hidden="1" x14ac:dyDescent="0.25">
      <c r="A1147" s="323"/>
      <c r="B1147" s="323"/>
      <c r="C1147" s="323"/>
      <c r="D1147" s="323"/>
      <c r="E1147" s="323"/>
      <c r="F1147" s="1"/>
      <c r="AF1147" s="322"/>
      <c r="AG1147" s="330"/>
      <c r="AJ1147" s="322"/>
      <c r="BG1147" s="322"/>
      <c r="BH1147" s="322"/>
      <c r="BI1147" s="322"/>
      <c r="BJ1147" s="113"/>
    </row>
    <row r="1148" spans="1:62" hidden="1" x14ac:dyDescent="0.25">
      <c r="A1148" s="323"/>
      <c r="B1148" s="323"/>
      <c r="C1148" s="323"/>
      <c r="D1148" s="323"/>
      <c r="E1148" s="323"/>
      <c r="F1148" s="1"/>
      <c r="AF1148" s="322"/>
      <c r="AG1148" s="331">
        <v>25</v>
      </c>
      <c r="AJ1148" s="322"/>
      <c r="BG1148" s="322"/>
      <c r="BH1148" s="322"/>
      <c r="BI1148" s="322"/>
      <c r="BJ1148" s="113"/>
    </row>
    <row r="1149" spans="1:62" hidden="1" x14ac:dyDescent="0.25">
      <c r="A1149" s="323"/>
      <c r="B1149" s="323"/>
      <c r="C1149" s="323"/>
      <c r="D1149" s="323"/>
      <c r="E1149" s="323"/>
      <c r="F1149" s="1"/>
      <c r="AF1149" s="322"/>
      <c r="AG1149" s="330"/>
      <c r="AJ1149" s="322"/>
      <c r="BG1149" s="322"/>
      <c r="BH1149" s="322"/>
      <c r="BI1149" s="322"/>
      <c r="BJ1149" s="113"/>
    </row>
    <row r="1150" spans="1:62" hidden="1" x14ac:dyDescent="0.25">
      <c r="A1150" s="323"/>
      <c r="B1150" s="323"/>
      <c r="C1150" s="323"/>
      <c r="D1150" s="323"/>
      <c r="E1150" s="323"/>
      <c r="F1150" s="1"/>
      <c r="AF1150" s="322"/>
      <c r="AG1150" s="331">
        <v>50</v>
      </c>
      <c r="AJ1150" s="322"/>
      <c r="BG1150" s="322"/>
      <c r="BH1150" s="322"/>
      <c r="BI1150" s="322"/>
      <c r="BJ1150" s="113"/>
    </row>
    <row r="1151" spans="1:62" hidden="1" x14ac:dyDescent="0.25">
      <c r="A1151" s="323"/>
      <c r="B1151" s="323"/>
      <c r="C1151" s="323"/>
      <c r="D1151" s="323"/>
      <c r="E1151" s="323"/>
      <c r="F1151" s="1"/>
      <c r="AF1151" s="322"/>
      <c r="AG1151" s="330"/>
      <c r="AJ1151" s="322"/>
      <c r="BG1151" s="322"/>
      <c r="BH1151" s="322"/>
      <c r="BI1151" s="322"/>
      <c r="BJ1151" s="113"/>
    </row>
    <row r="1152" spans="1:62" hidden="1" x14ac:dyDescent="0.25">
      <c r="A1152" s="323"/>
      <c r="B1152" s="323"/>
      <c r="C1152" s="323"/>
      <c r="D1152" s="323"/>
      <c r="E1152" s="323"/>
      <c r="F1152" s="1"/>
      <c r="AF1152" s="322"/>
      <c r="AG1152" s="331">
        <v>100</v>
      </c>
      <c r="AJ1152" s="322"/>
      <c r="BG1152" s="322"/>
      <c r="BH1152" s="322"/>
      <c r="BI1152" s="322"/>
      <c r="BJ1152" s="113"/>
    </row>
    <row r="1153" spans="1:62" hidden="1" x14ac:dyDescent="0.25">
      <c r="A1153" s="323"/>
      <c r="B1153" s="323"/>
      <c r="C1153" s="323"/>
      <c r="D1153" s="323"/>
      <c r="E1153" s="323"/>
      <c r="F1153" s="1"/>
      <c r="AF1153" s="322"/>
      <c r="AJ1153" s="322"/>
      <c r="BG1153" s="322"/>
      <c r="BH1153" s="322"/>
      <c r="BI1153" s="322"/>
      <c r="BJ1153" s="113"/>
    </row>
    <row r="1154" spans="1:62" hidden="1" x14ac:dyDescent="0.25">
      <c r="A1154" s="323"/>
      <c r="B1154" s="323"/>
      <c r="C1154" s="323"/>
      <c r="D1154" s="323"/>
      <c r="E1154" s="323"/>
      <c r="F1154" s="1"/>
      <c r="AF1154" s="322"/>
      <c r="AJ1154" s="322"/>
      <c r="BG1154" s="322"/>
      <c r="BH1154" s="322"/>
      <c r="BI1154" s="322"/>
      <c r="BJ1154" s="113"/>
    </row>
    <row r="1155" spans="1:62" hidden="1" x14ac:dyDescent="0.25">
      <c r="A1155" s="323"/>
      <c r="B1155" s="323"/>
      <c r="C1155" s="323"/>
      <c r="D1155" s="323"/>
      <c r="E1155" s="323"/>
      <c r="F1155" s="1"/>
      <c r="AF1155" s="322"/>
      <c r="AJ1155" s="322"/>
      <c r="BG1155" s="322"/>
      <c r="BH1155" s="322"/>
      <c r="BI1155" s="322"/>
      <c r="BJ1155" s="113"/>
    </row>
    <row r="1156" spans="1:62" hidden="1" x14ac:dyDescent="0.25">
      <c r="A1156" s="323"/>
      <c r="B1156" s="323"/>
      <c r="C1156" s="323"/>
      <c r="D1156" s="323"/>
      <c r="E1156" s="323"/>
      <c r="F1156" s="1"/>
      <c r="AF1156" s="322"/>
      <c r="AJ1156" s="322"/>
      <c r="BG1156" s="322"/>
      <c r="BH1156" s="322"/>
      <c r="BI1156" s="322"/>
      <c r="BJ1156" s="113"/>
    </row>
    <row r="1157" spans="1:62" hidden="1" x14ac:dyDescent="0.25">
      <c r="A1157" s="323"/>
      <c r="B1157" s="323"/>
      <c r="C1157" s="323"/>
      <c r="D1157" s="323"/>
      <c r="E1157" s="323"/>
      <c r="F1157" s="1"/>
      <c r="AF1157" s="322"/>
      <c r="AJ1157" s="322"/>
      <c r="BG1157" s="322"/>
      <c r="BH1157" s="322"/>
      <c r="BI1157" s="322"/>
      <c r="BJ1157" s="113"/>
    </row>
    <row r="1158" spans="1:62" hidden="1" x14ac:dyDescent="0.25">
      <c r="A1158" s="323"/>
      <c r="B1158" s="323"/>
      <c r="C1158" s="323"/>
      <c r="D1158" s="323"/>
      <c r="E1158" s="323"/>
      <c r="F1158" s="1"/>
      <c r="AF1158" s="322"/>
      <c r="AJ1158" s="322"/>
      <c r="BG1158" s="322"/>
      <c r="BH1158" s="322"/>
      <c r="BI1158" s="322"/>
      <c r="BJ1158" s="113"/>
    </row>
    <row r="1159" spans="1:62" hidden="1" x14ac:dyDescent="0.25">
      <c r="A1159" s="323"/>
      <c r="B1159" s="323"/>
      <c r="C1159" s="323"/>
      <c r="D1159" s="323"/>
      <c r="E1159" s="323"/>
      <c r="F1159" s="1"/>
      <c r="AF1159" s="322"/>
      <c r="AJ1159" s="322"/>
      <c r="BG1159" s="322"/>
      <c r="BH1159" s="322"/>
      <c r="BI1159" s="322"/>
      <c r="BJ1159" s="113"/>
    </row>
    <row r="1160" spans="1:62" hidden="1" x14ac:dyDescent="0.25">
      <c r="A1160" s="323"/>
      <c r="B1160" s="323"/>
      <c r="C1160" s="323"/>
      <c r="D1160" s="323"/>
      <c r="E1160" s="323"/>
      <c r="F1160" s="1"/>
      <c r="AF1160" s="322"/>
      <c r="AJ1160" s="322"/>
      <c r="BG1160" s="322"/>
      <c r="BH1160" s="322"/>
      <c r="BI1160" s="322"/>
      <c r="BJ1160" s="113"/>
    </row>
    <row r="1161" spans="1:62" hidden="1" x14ac:dyDescent="0.25">
      <c r="A1161" s="323"/>
      <c r="B1161" s="323"/>
      <c r="C1161" s="323"/>
      <c r="D1161" s="323"/>
      <c r="E1161" s="323"/>
      <c r="F1161" s="1"/>
      <c r="AF1161" s="322"/>
      <c r="AJ1161" s="322"/>
      <c r="BG1161" s="322"/>
      <c r="BH1161" s="322"/>
      <c r="BI1161" s="322"/>
      <c r="BJ1161" s="113"/>
    </row>
    <row r="1162" spans="1:62" hidden="1" x14ac:dyDescent="0.25">
      <c r="A1162" s="323"/>
      <c r="B1162" s="323"/>
      <c r="C1162" s="323"/>
      <c r="D1162" s="323"/>
      <c r="E1162" s="323"/>
      <c r="F1162" s="1"/>
      <c r="AF1162" s="322"/>
      <c r="AJ1162" s="322"/>
      <c r="BG1162" s="322"/>
      <c r="BH1162" s="322"/>
      <c r="BI1162" s="322"/>
      <c r="BJ1162" s="113"/>
    </row>
    <row r="1163" spans="1:62" hidden="1" x14ac:dyDescent="0.25">
      <c r="A1163" s="323"/>
      <c r="B1163" s="323"/>
      <c r="C1163" s="323"/>
      <c r="D1163" s="323"/>
      <c r="E1163" s="323"/>
      <c r="F1163" s="1"/>
      <c r="AF1163" s="322"/>
      <c r="AJ1163" s="322"/>
      <c r="BG1163" s="322"/>
      <c r="BH1163" s="322"/>
      <c r="BI1163" s="322"/>
      <c r="BJ1163" s="113"/>
    </row>
    <row r="1164" spans="1:62" hidden="1" x14ac:dyDescent="0.25">
      <c r="A1164" s="323"/>
      <c r="B1164" s="323"/>
      <c r="C1164" s="323"/>
      <c r="D1164" s="323"/>
      <c r="E1164" s="323"/>
      <c r="F1164" s="1"/>
      <c r="AF1164" s="322"/>
      <c r="AJ1164" s="322"/>
      <c r="BG1164" s="322"/>
      <c r="BH1164" s="322"/>
      <c r="BI1164" s="322"/>
      <c r="BJ1164" s="113"/>
    </row>
    <row r="1165" spans="1:62" hidden="1" x14ac:dyDescent="0.25">
      <c r="A1165" s="323"/>
      <c r="B1165" s="323"/>
      <c r="C1165" s="323"/>
      <c r="D1165" s="323"/>
      <c r="E1165" s="323"/>
      <c r="F1165" s="1"/>
      <c r="AF1165" s="322"/>
      <c r="AJ1165" s="322"/>
      <c r="BG1165" s="322"/>
      <c r="BH1165" s="322"/>
      <c r="BI1165" s="322"/>
      <c r="BJ1165" s="113"/>
    </row>
    <row r="1166" spans="1:62" hidden="1" x14ac:dyDescent="0.25">
      <c r="A1166" s="323"/>
      <c r="B1166" s="323"/>
      <c r="C1166" s="323"/>
      <c r="D1166" s="323"/>
      <c r="E1166" s="323"/>
      <c r="F1166" s="1"/>
      <c r="AF1166" s="322"/>
      <c r="AJ1166" s="322"/>
      <c r="BG1166" s="322"/>
      <c r="BH1166" s="322"/>
      <c r="BI1166" s="322"/>
      <c r="BJ1166" s="113"/>
    </row>
    <row r="1167" spans="1:62" hidden="1" x14ac:dyDescent="0.25">
      <c r="A1167" s="323"/>
      <c r="B1167" s="323"/>
      <c r="C1167" s="323"/>
      <c r="D1167" s="323"/>
      <c r="E1167" s="323"/>
      <c r="F1167" s="1"/>
      <c r="AF1167" s="322"/>
      <c r="AJ1167" s="322"/>
      <c r="BG1167" s="322"/>
      <c r="BH1167" s="322"/>
      <c r="BI1167" s="322"/>
      <c r="BJ1167" s="113"/>
    </row>
    <row r="1168" spans="1:62" hidden="1" x14ac:dyDescent="0.25">
      <c r="A1168" s="323"/>
      <c r="B1168" s="323"/>
      <c r="C1168" s="323"/>
      <c r="D1168" s="323"/>
      <c r="E1168" s="323"/>
      <c r="F1168" s="1"/>
      <c r="AF1168" s="322"/>
      <c r="AJ1168" s="322"/>
      <c r="BG1168" s="322"/>
      <c r="BH1168" s="322"/>
      <c r="BI1168" s="322"/>
      <c r="BJ1168" s="113"/>
    </row>
    <row r="1169" spans="1:62" hidden="1" x14ac:dyDescent="0.25">
      <c r="A1169" s="323"/>
      <c r="B1169" s="323"/>
      <c r="C1169" s="323"/>
      <c r="D1169" s="323"/>
      <c r="E1169" s="323"/>
      <c r="F1169" s="1"/>
      <c r="AF1169" s="322"/>
      <c r="AJ1169" s="322"/>
      <c r="BG1169" s="322"/>
      <c r="BH1169" s="322"/>
      <c r="BI1169" s="322"/>
      <c r="BJ1169" s="113"/>
    </row>
    <row r="1170" spans="1:62" hidden="1" x14ac:dyDescent="0.25">
      <c r="A1170" s="323"/>
      <c r="B1170" s="323"/>
      <c r="C1170" s="323"/>
      <c r="D1170" s="323"/>
      <c r="E1170" s="323"/>
      <c r="F1170" s="1"/>
      <c r="AF1170" s="322"/>
      <c r="AJ1170" s="322"/>
      <c r="BG1170" s="322"/>
      <c r="BH1170" s="322"/>
      <c r="BI1170" s="322"/>
      <c r="BJ1170" s="113"/>
    </row>
    <row r="1171" spans="1:62" hidden="1" x14ac:dyDescent="0.25">
      <c r="A1171" s="323"/>
      <c r="B1171" s="323"/>
      <c r="C1171" s="323"/>
      <c r="D1171" s="323"/>
      <c r="E1171" s="323"/>
      <c r="F1171" s="1"/>
      <c r="AF1171" s="322"/>
      <c r="AJ1171" s="322"/>
      <c r="BG1171" s="322"/>
      <c r="BH1171" s="322"/>
      <c r="BI1171" s="322"/>
      <c r="BJ1171" s="113"/>
    </row>
    <row r="1172" spans="1:62" hidden="1" x14ac:dyDescent="0.25">
      <c r="A1172" s="323"/>
      <c r="B1172" s="323"/>
      <c r="C1172" s="323"/>
      <c r="D1172" s="323"/>
      <c r="E1172" s="323"/>
      <c r="F1172" s="1"/>
      <c r="AF1172" s="322"/>
      <c r="AJ1172" s="322"/>
      <c r="BG1172" s="322"/>
      <c r="BH1172" s="322"/>
      <c r="BI1172" s="322"/>
      <c r="BJ1172" s="113"/>
    </row>
    <row r="1173" spans="1:62" hidden="1" x14ac:dyDescent="0.25">
      <c r="A1173" s="323"/>
      <c r="B1173" s="323"/>
      <c r="C1173" s="323"/>
      <c r="D1173" s="323"/>
      <c r="E1173" s="323"/>
      <c r="F1173" s="1"/>
      <c r="AF1173" s="322"/>
      <c r="AJ1173" s="322"/>
      <c r="BG1173" s="322"/>
      <c r="BH1173" s="322"/>
      <c r="BI1173" s="322"/>
      <c r="BJ1173" s="113"/>
    </row>
    <row r="1174" spans="1:62" hidden="1" x14ac:dyDescent="0.25">
      <c r="A1174" s="323"/>
      <c r="B1174" s="323"/>
      <c r="C1174" s="323"/>
      <c r="D1174" s="323"/>
      <c r="E1174" s="323"/>
      <c r="F1174" s="1"/>
      <c r="AF1174" s="322"/>
      <c r="AJ1174" s="322"/>
      <c r="BG1174" s="322"/>
      <c r="BH1174" s="322"/>
      <c r="BI1174" s="322"/>
      <c r="BJ1174" s="113"/>
    </row>
    <row r="1175" spans="1:62" hidden="1" x14ac:dyDescent="0.25">
      <c r="A1175" s="323"/>
      <c r="B1175" s="323"/>
      <c r="C1175" s="323"/>
      <c r="D1175" s="323"/>
      <c r="E1175" s="323"/>
      <c r="F1175" s="1"/>
      <c r="AF1175" s="322"/>
      <c r="AJ1175" s="322"/>
      <c r="BG1175" s="322"/>
      <c r="BH1175" s="322"/>
      <c r="BI1175" s="322"/>
      <c r="BJ1175" s="113"/>
    </row>
    <row r="1176" spans="1:62" hidden="1" x14ac:dyDescent="0.25">
      <c r="A1176" s="323"/>
      <c r="B1176" s="323"/>
      <c r="C1176" s="323"/>
      <c r="D1176" s="323"/>
      <c r="E1176" s="323"/>
      <c r="F1176" s="1"/>
      <c r="AF1176" s="322"/>
      <c r="AJ1176" s="322"/>
      <c r="BG1176" s="322"/>
      <c r="BH1176" s="322"/>
      <c r="BI1176" s="322"/>
      <c r="BJ1176" s="113"/>
    </row>
    <row r="1177" spans="1:62" hidden="1" x14ac:dyDescent="0.25">
      <c r="A1177" s="323"/>
      <c r="B1177" s="323"/>
      <c r="C1177" s="323"/>
      <c r="D1177" s="323"/>
      <c r="E1177" s="323"/>
      <c r="F1177" s="1"/>
      <c r="AF1177" s="322"/>
      <c r="AJ1177" s="322"/>
      <c r="BG1177" s="322"/>
      <c r="BH1177" s="322"/>
      <c r="BI1177" s="322"/>
      <c r="BJ1177" s="113"/>
    </row>
    <row r="1178" spans="1:62" hidden="1" x14ac:dyDescent="0.25">
      <c r="A1178" s="323"/>
      <c r="B1178" s="323"/>
      <c r="C1178" s="323"/>
      <c r="D1178" s="323"/>
      <c r="E1178" s="323"/>
      <c r="F1178" s="1"/>
      <c r="AF1178" s="322"/>
      <c r="AJ1178" s="322"/>
      <c r="BG1178" s="322"/>
      <c r="BH1178" s="322"/>
      <c r="BI1178" s="322"/>
      <c r="BJ1178" s="113"/>
    </row>
    <row r="1179" spans="1:62" hidden="1" x14ac:dyDescent="0.25">
      <c r="A1179" s="323"/>
      <c r="B1179" s="323"/>
      <c r="C1179" s="323"/>
      <c r="D1179" s="323"/>
      <c r="E1179" s="323"/>
      <c r="F1179" s="1"/>
      <c r="AF1179" s="322"/>
      <c r="AJ1179" s="322"/>
      <c r="BG1179" s="322"/>
      <c r="BH1179" s="322"/>
      <c r="BI1179" s="322"/>
      <c r="BJ1179" s="113"/>
    </row>
    <row r="1180" spans="1:62" hidden="1" x14ac:dyDescent="0.25">
      <c r="A1180" s="323"/>
      <c r="B1180" s="323"/>
      <c r="C1180" s="323"/>
      <c r="D1180" s="323"/>
      <c r="E1180" s="323"/>
      <c r="F1180" s="1"/>
      <c r="AF1180" s="322"/>
      <c r="AJ1180" s="322"/>
      <c r="BG1180" s="322"/>
      <c r="BH1180" s="322"/>
      <c r="BI1180" s="322"/>
      <c r="BJ1180" s="113"/>
    </row>
    <row r="1181" spans="1:62" hidden="1" x14ac:dyDescent="0.25">
      <c r="A1181" s="323"/>
      <c r="B1181" s="323"/>
      <c r="C1181" s="323"/>
      <c r="D1181" s="323"/>
      <c r="E1181" s="323"/>
      <c r="F1181" s="1"/>
      <c r="AF1181" s="322"/>
      <c r="AJ1181" s="322"/>
      <c r="BG1181" s="322"/>
      <c r="BH1181" s="322"/>
      <c r="BI1181" s="322"/>
      <c r="BJ1181" s="113"/>
    </row>
    <row r="1182" spans="1:62" hidden="1" x14ac:dyDescent="0.25">
      <c r="A1182" s="323"/>
      <c r="B1182" s="323"/>
      <c r="C1182" s="323"/>
      <c r="D1182" s="323"/>
      <c r="E1182" s="323"/>
      <c r="F1182" s="1"/>
      <c r="AF1182" s="322"/>
      <c r="AJ1182" s="322"/>
      <c r="BG1182" s="322"/>
      <c r="BH1182" s="322"/>
      <c r="BI1182" s="322"/>
      <c r="BJ1182" s="113"/>
    </row>
    <row r="1183" spans="1:62" hidden="1" x14ac:dyDescent="0.25">
      <c r="A1183" s="323"/>
      <c r="B1183" s="323"/>
      <c r="C1183" s="323"/>
      <c r="D1183" s="323"/>
      <c r="E1183" s="323"/>
      <c r="F1183" s="1"/>
      <c r="AF1183" s="322"/>
      <c r="AJ1183" s="322"/>
      <c r="BG1183" s="322"/>
      <c r="BH1183" s="322"/>
      <c r="BI1183" s="322"/>
      <c r="BJ1183" s="113"/>
    </row>
    <row r="1184" spans="1:62" hidden="1" x14ac:dyDescent="0.25">
      <c r="A1184" s="323"/>
      <c r="B1184" s="323"/>
      <c r="C1184" s="323"/>
      <c r="D1184" s="323"/>
      <c r="E1184" s="323"/>
      <c r="F1184" s="1"/>
      <c r="AF1184" s="322"/>
      <c r="AJ1184" s="322"/>
      <c r="BG1184" s="322"/>
      <c r="BH1184" s="322"/>
      <c r="BI1184" s="322"/>
      <c r="BJ1184" s="113"/>
    </row>
    <row r="1185" spans="1:66" hidden="1" x14ac:dyDescent="0.25">
      <c r="A1185" s="323"/>
      <c r="B1185" s="323"/>
      <c r="C1185" s="323"/>
      <c r="D1185" s="323"/>
      <c r="E1185" s="323"/>
      <c r="F1185" s="1"/>
      <c r="AF1185" s="322"/>
      <c r="AJ1185" s="322"/>
      <c r="BG1185" s="322"/>
      <c r="BH1185" s="322"/>
      <c r="BI1185" s="322"/>
      <c r="BJ1185" s="113"/>
    </row>
    <row r="1186" spans="1:66" hidden="1" x14ac:dyDescent="0.25">
      <c r="A1186" s="323"/>
      <c r="B1186" s="323"/>
      <c r="C1186" s="323"/>
      <c r="D1186" s="323"/>
      <c r="E1186" s="323"/>
      <c r="F1186" s="1"/>
      <c r="AF1186" s="322"/>
      <c r="AJ1186" s="322"/>
      <c r="BG1186" s="322"/>
      <c r="BH1186" s="322"/>
      <c r="BI1186" s="322"/>
      <c r="BJ1186" s="113"/>
    </row>
    <row r="1187" spans="1:66" hidden="1" x14ac:dyDescent="0.25">
      <c r="A1187" s="323"/>
      <c r="B1187" s="323"/>
      <c r="C1187" s="323"/>
      <c r="D1187" s="323"/>
      <c r="E1187" s="323"/>
      <c r="F1187" s="1"/>
      <c r="AF1187" s="322"/>
      <c r="AJ1187" s="322"/>
      <c r="BG1187" s="322"/>
      <c r="BH1187" s="322"/>
      <c r="BI1187" s="322"/>
      <c r="BJ1187" s="113"/>
    </row>
    <row r="1188" spans="1:66" hidden="1" x14ac:dyDescent="0.25">
      <c r="A1188" s="323"/>
      <c r="B1188" s="323"/>
      <c r="C1188" s="323"/>
      <c r="D1188" s="323"/>
      <c r="E1188" s="323"/>
      <c r="F1188" s="1"/>
      <c r="AF1188" s="322"/>
      <c r="AJ1188" s="322"/>
      <c r="BG1188" s="322"/>
      <c r="BH1188" s="322"/>
      <c r="BI1188" s="322"/>
      <c r="BJ1188" s="113"/>
    </row>
    <row r="1189" spans="1:66" hidden="1" x14ac:dyDescent="0.25">
      <c r="A1189" s="323"/>
      <c r="B1189" s="323"/>
      <c r="C1189" s="323"/>
      <c r="D1189" s="323"/>
      <c r="E1189" s="323"/>
      <c r="F1189" s="1"/>
      <c r="AF1189" s="322"/>
      <c r="AJ1189" s="322"/>
      <c r="BG1189" s="322"/>
      <c r="BH1189" s="322"/>
      <c r="BI1189" s="322"/>
      <c r="BJ1189" s="113"/>
    </row>
    <row r="1190" spans="1:66" hidden="1" x14ac:dyDescent="0.25">
      <c r="A1190" s="323"/>
      <c r="B1190" s="323"/>
      <c r="C1190" s="323"/>
      <c r="D1190" s="323"/>
      <c r="E1190" s="323"/>
      <c r="F1190" s="1"/>
      <c r="AF1190" s="322"/>
      <c r="AJ1190" s="322"/>
      <c r="BG1190" s="322"/>
      <c r="BH1190" s="322"/>
      <c r="BI1190" s="322"/>
      <c r="BJ1190" s="113"/>
    </row>
    <row r="1191" spans="1:66" hidden="1" x14ac:dyDescent="0.25">
      <c r="A1191" s="323"/>
      <c r="B1191" s="323"/>
      <c r="C1191" s="323"/>
      <c r="D1191" s="323"/>
      <c r="E1191" s="323"/>
      <c r="F1191" s="1"/>
      <c r="AF1191" s="322"/>
      <c r="AJ1191" s="322"/>
      <c r="BG1191" s="322"/>
      <c r="BH1191" s="322"/>
      <c r="BI1191" s="322"/>
      <c r="BJ1191" s="113"/>
    </row>
    <row r="1192" spans="1:66" hidden="1" x14ac:dyDescent="0.25">
      <c r="A1192" s="323"/>
      <c r="B1192" s="323"/>
      <c r="C1192" s="323"/>
      <c r="D1192" s="323"/>
      <c r="E1192" s="323"/>
      <c r="F1192" s="1"/>
      <c r="AF1192" s="322"/>
      <c r="AJ1192" s="322"/>
      <c r="BG1192" s="322"/>
      <c r="BH1192" s="322"/>
      <c r="BI1192" s="322"/>
      <c r="BJ1192" s="113"/>
    </row>
    <row r="1193" spans="1:66" hidden="1" x14ac:dyDescent="0.25">
      <c r="A1193" s="323"/>
      <c r="B1193" s="323"/>
      <c r="C1193" s="323"/>
      <c r="D1193" s="323"/>
      <c r="E1193" s="323"/>
      <c r="F1193" s="1"/>
      <c r="AF1193" s="322"/>
      <c r="AJ1193" s="322"/>
      <c r="BG1193" s="322"/>
      <c r="BH1193" s="322"/>
      <c r="BI1193" s="322"/>
      <c r="BJ1193" s="113"/>
    </row>
    <row r="1194" spans="1:66" ht="19.95" hidden="1" customHeight="1" x14ac:dyDescent="0.25">
      <c r="A1194" s="323"/>
      <c r="B1194" s="323"/>
      <c r="C1194" s="323"/>
      <c r="D1194" s="323"/>
      <c r="E1194" s="323"/>
      <c r="F1194" s="1"/>
      <c r="AF1194" s="322"/>
      <c r="AJ1194" s="322"/>
      <c r="BG1194" s="322"/>
      <c r="BH1194" s="322"/>
      <c r="BI1194" s="322"/>
      <c r="BJ1194" s="113"/>
    </row>
    <row r="1195" spans="1:66" ht="10.050000000000001" hidden="1" customHeight="1" x14ac:dyDescent="0.25">
      <c r="A1195" s="323"/>
      <c r="B1195" s="323"/>
      <c r="C1195" s="323"/>
      <c r="D1195" s="323"/>
      <c r="E1195" s="323"/>
      <c r="F1195" s="1"/>
      <c r="AF1195" s="322"/>
      <c r="AJ1195" s="322"/>
      <c r="BG1195" s="322"/>
      <c r="BH1195" s="322"/>
      <c r="BI1195" s="322"/>
      <c r="BJ1195" s="113"/>
    </row>
    <row r="1196" spans="1:66" ht="30" hidden="1" customHeight="1" x14ac:dyDescent="0.25">
      <c r="A1196" s="45" t="s">
        <v>98</v>
      </c>
      <c r="B1196" s="45" t="s">
        <v>843</v>
      </c>
      <c r="C1196" s="45"/>
      <c r="D1196" s="45"/>
      <c r="E1196" s="45"/>
      <c r="F1196" s="45"/>
      <c r="AC1196" s="60">
        <f>AC1202+AC1212+AC1222+AC1232+AC1242+AC1252+AC1262+AC1272+AC1282+AC1292+AC1302+AC1312+AC1322+AC1332+AC1342+AC1352+AC1362+AC1372+AC1382+AC1392+AC1402+AC1412+AC1422+AC1432</f>
        <v>1</v>
      </c>
      <c r="AD1196" s="56" t="s">
        <v>844</v>
      </c>
      <c r="AL1196" s="332" t="str">
        <f>TEXT(AC1196,"0")</f>
        <v>1</v>
      </c>
      <c r="AM1196" s="332"/>
      <c r="BN1196" s="333" t="str">
        <f>IF(NOT(C1205=AM1205),C1205,"")</f>
        <v/>
      </c>
    </row>
    <row r="1197" spans="1:66" ht="19.95" hidden="1" customHeight="1" x14ac:dyDescent="0.25">
      <c r="A1197" s="48"/>
      <c r="B1197" s="581" t="str">
        <f>BD1197</f>
        <v>Build up your Support Team, one supporter at a time.</v>
      </c>
      <c r="C1197" s="581"/>
      <c r="D1197" s="581"/>
      <c r="E1197" s="49"/>
      <c r="F1197" s="108"/>
      <c r="AC1197" s="334">
        <f>(AJ1197)/AC1196</f>
        <v>45</v>
      </c>
      <c r="AD1197" s="56" t="s">
        <v>845</v>
      </c>
      <c r="AJ1197" s="437">
        <f>50-5</f>
        <v>45</v>
      </c>
      <c r="AL1197" s="56">
        <v>50</v>
      </c>
      <c r="AO1197" s="56" t="s">
        <v>846</v>
      </c>
      <c r="BD1197" s="56" t="s">
        <v>847</v>
      </c>
    </row>
    <row r="1198" spans="1:66" ht="4.95" hidden="1" customHeight="1" x14ac:dyDescent="0.25">
      <c r="A1198" s="336"/>
      <c r="B1198" s="337"/>
      <c r="C1198" s="337"/>
      <c r="D1198" s="337"/>
      <c r="E1198" s="338"/>
      <c r="F1198" s="1"/>
      <c r="AC1198" s="334"/>
      <c r="AJ1198" s="437"/>
    </row>
    <row r="1199" spans="1:66" ht="75" hidden="1" customHeight="1" x14ac:dyDescent="0.25">
      <c r="A1199" s="338"/>
      <c r="B1199" s="339" t="s">
        <v>848</v>
      </c>
      <c r="C1199" s="613" t="str">
        <f>AC1200</f>
        <v>Invite supporters to help cover the weekly support fee, after claimant and proxy covers 10%. For step 1, you and your proxy will cover $5 while your support team covers the remaining $45. Later, for group video-chat, you and your proxy covers $10 while your support team covers the remaining $90. Only $45 to go for weekly support.</v>
      </c>
      <c r="D1199" s="613"/>
      <c r="E1199" s="338"/>
      <c r="F1199" s="1"/>
      <c r="AC1199" s="614">
        <f ca="1">TODAY()</f>
        <v>44336</v>
      </c>
      <c r="AD1199" s="614"/>
      <c r="AE1199" s="614"/>
      <c r="AF1199" s="615">
        <f ca="1">AC1199-365</f>
        <v>43971</v>
      </c>
      <c r="AG1199" s="615"/>
      <c r="AH1199" s="615"/>
      <c r="AI1199" s="615">
        <f ca="1">AC1199+365</f>
        <v>44701</v>
      </c>
      <c r="AJ1199" s="616"/>
      <c r="AK1199" s="616"/>
      <c r="AO1199" s="58" t="str">
        <f>IF(BD1201&lt;0,"Once over that amount, you can cover the possibility of attrition, when you may lose some supporters.","")</f>
        <v/>
      </c>
      <c r="BH1199" s="58" t="s">
        <v>849</v>
      </c>
    </row>
    <row r="1200" spans="1:66" ht="15" hidden="1" customHeight="1" thickBot="1" x14ac:dyDescent="0.4">
      <c r="A1200" s="338"/>
      <c r="B1200" s="340"/>
      <c r="C1200" s="341"/>
      <c r="D1200" s="342"/>
      <c r="E1200" s="338"/>
      <c r="F1200" s="1"/>
      <c r="AC1200" s="343" t="str">
        <f>CONCATENATE(AE1200,AZ1200)</f>
        <v>Invite supporters to help cover the weekly support fee, after claimant and proxy covers 10%. For step 1, you and your proxy will cover $5 while your support team covers the remaining $45. Later, for group video-chat, you and your proxy covers $10 while your support team covers the remaining $90. Only $45 to go for weekly support.</v>
      </c>
      <c r="AD1200" s="344"/>
      <c r="AE1200" s="343" t="s">
        <v>850</v>
      </c>
      <c r="AF1200" s="344"/>
      <c r="AG1200" s="344"/>
      <c r="AH1200" s="344"/>
      <c r="AI1200" s="344"/>
      <c r="AJ1200" s="345"/>
      <c r="AK1200" s="345"/>
      <c r="AZ1200" s="56" t="str">
        <f>IF(BD1201&gt;=0,CONCATENATE(BB1200,BF1200),AO1199)</f>
        <v>Only $45 to go for weekly support.</v>
      </c>
      <c r="BB1200" s="56" t="s">
        <v>851</v>
      </c>
      <c r="BD1200" s="346" t="str">
        <f>DOLLAR(AJ1197-(SUM(BD1207:BD1438)),0)</f>
        <v>$45</v>
      </c>
      <c r="BF1200" s="343" t="str">
        <f>CONCATENATE(BD1200,BH1199)</f>
        <v>$45 to go for weekly support.</v>
      </c>
    </row>
    <row r="1201" spans="1:69" ht="16.8" hidden="1" thickTop="1" thickBot="1" x14ac:dyDescent="0.35">
      <c r="A1201" s="347">
        <f>IF(C1201="",0,1+A1197)</f>
        <v>1</v>
      </c>
      <c r="B1201" s="348" t="s">
        <v>852</v>
      </c>
      <c r="C1201" s="349" t="str">
        <f>AM1201</f>
        <v>FIRST NAME</v>
      </c>
      <c r="D1201" s="350" t="str">
        <f>AQ1201</f>
        <v>LAST NAME</v>
      </c>
      <c r="E1201" s="338"/>
      <c r="F1201" s="1"/>
      <c r="AC1201" s="333" t="str">
        <f>IF(NOT(C1201=AM1201),C1201,"")</f>
        <v/>
      </c>
      <c r="AH1201" s="333" t="str">
        <f>IF(NOT(D1201=AQ1201),D1201,"")</f>
        <v/>
      </c>
      <c r="AM1201" s="351" t="s">
        <v>853</v>
      </c>
      <c r="AQ1201" s="351" t="s">
        <v>107</v>
      </c>
      <c r="BB1201" s="56"/>
      <c r="BD1201" s="322">
        <f>AJ1197-(SUM(BD1207:BD1439))</f>
        <v>45</v>
      </c>
      <c r="BM1201" s="352" t="s">
        <v>854</v>
      </c>
      <c r="BN1201" s="289" t="s">
        <v>855</v>
      </c>
    </row>
    <row r="1202" spans="1:69" ht="15.6" hidden="1" thickTop="1" thickBot="1" x14ac:dyDescent="0.35">
      <c r="A1202" s="336"/>
      <c r="B1202" s="338" t="s">
        <v>856</v>
      </c>
      <c r="C1202" s="353"/>
      <c r="D1202" s="5"/>
      <c r="E1202" s="338"/>
      <c r="F1202" s="1"/>
      <c r="AC1202" s="56">
        <f>IF(C1202="",0,1)</f>
        <v>0</v>
      </c>
      <c r="AE1202" s="56">
        <f>IF($AC$1202=1,AC$1197,0)</f>
        <v>0</v>
      </c>
      <c r="BB1202" s="56"/>
      <c r="BM1202" s="352" t="s">
        <v>857</v>
      </c>
      <c r="BN1202" s="289" t="s">
        <v>858</v>
      </c>
    </row>
    <row r="1203" spans="1:69" ht="13.95" hidden="1" customHeight="1" thickTop="1" thickBot="1" x14ac:dyDescent="0.35">
      <c r="A1203" s="336"/>
      <c r="B1203" s="354" t="s">
        <v>859</v>
      </c>
      <c r="C1203" s="353"/>
      <c r="D1203" s="355" t="str">
        <f>AS1203</f>
        <v>AWARENESS OF ISSUE</v>
      </c>
      <c r="E1203" s="338"/>
      <c r="F1203" s="1"/>
      <c r="AM1203" s="356"/>
      <c r="AN1203" s="356"/>
      <c r="AO1203" s="356"/>
      <c r="AP1203" s="356"/>
      <c r="AS1203" s="56" t="s">
        <v>860</v>
      </c>
      <c r="BB1203" s="56"/>
      <c r="BM1203" s="352" t="s">
        <v>861</v>
      </c>
      <c r="BN1203" s="289" t="s">
        <v>862</v>
      </c>
    </row>
    <row r="1204" spans="1:69" ht="13.95" hidden="1" customHeight="1" thickTop="1" thickBot="1" x14ac:dyDescent="0.35">
      <c r="A1204" s="336"/>
      <c r="B1204" s="348" t="s">
        <v>863</v>
      </c>
      <c r="C1204" s="357" t="s">
        <v>864</v>
      </c>
      <c r="D1204" s="357" t="s">
        <v>865</v>
      </c>
      <c r="E1204" s="338"/>
      <c r="F1204" s="1"/>
      <c r="AS1204" s="56" t="str">
        <f>CONCATENATE(AS1205,AX1205,AZ1205)</f>
        <v>This contribution is 0% of the average contribution.</v>
      </c>
      <c r="BB1204" s="56"/>
      <c r="BM1204" s="352" t="s">
        <v>866</v>
      </c>
      <c r="BN1204" s="289" t="s">
        <v>867</v>
      </c>
    </row>
    <row r="1205" spans="1:69" ht="13.95" hidden="1" customHeight="1" thickTop="1" thickBot="1" x14ac:dyDescent="0.35">
      <c r="A1205" s="336"/>
      <c r="B1205" s="337" t="s">
        <v>868</v>
      </c>
      <c r="C1205" s="358" t="str">
        <f>AM1205</f>
        <v>YYYY-MM-DD</v>
      </c>
      <c r="D1205" s="358" t="str">
        <f>AM1205</f>
        <v>YYYY-MM-DD</v>
      </c>
      <c r="E1205" s="338"/>
      <c r="F1205" s="1"/>
      <c r="AH1205" s="616" t="str">
        <f>IF(NOT(D1205=AQ1205),D1205,"")</f>
        <v>YYYY-MM-DD</v>
      </c>
      <c r="AI1205" s="616"/>
      <c r="AM1205" s="351" t="s">
        <v>869</v>
      </c>
      <c r="AQ1205" s="351"/>
      <c r="AS1205" s="56" t="s">
        <v>870</v>
      </c>
      <c r="AX1205" s="359">
        <f>ROUND((BB1207*100),0)</f>
        <v>0</v>
      </c>
      <c r="AZ1205" s="56" t="s">
        <v>871</v>
      </c>
      <c r="BB1205" s="56"/>
      <c r="BM1205" s="352" t="s">
        <v>872</v>
      </c>
      <c r="BN1205" s="289" t="s">
        <v>873</v>
      </c>
    </row>
    <row r="1206" spans="1:69" ht="13.95" hidden="1" customHeight="1" thickTop="1" thickBot="1" x14ac:dyDescent="0.3">
      <c r="A1206" s="336"/>
      <c r="B1206" s="337" t="s">
        <v>874</v>
      </c>
      <c r="C1206" s="360"/>
      <c r="D1206" s="361" t="str">
        <f>AC1206</f>
        <v/>
      </c>
      <c r="E1206" s="338"/>
      <c r="F1206" s="1"/>
      <c r="AC1206" s="58" t="str">
        <f>IF(AND(AC$1196&gt;0,C1206=BN$1201),BM$1201,IF(AND(AC$1196&gt;0,C1206=BN$1202),BM$1202,IF(AND(AC$1196&gt;0,C1206=BN$1203),BM$1203,IF(AND(AC$1196&gt;0,C1206=BN$1204),BM$1204,IF(AND(AC$1196&gt;0,C1206=BN$1205),BM$1205,"")))))</f>
        <v/>
      </c>
      <c r="AI1206" s="626">
        <f>AV1207/AL$1197</f>
        <v>0</v>
      </c>
      <c r="AJ1206" s="626"/>
      <c r="AK1206" s="56" t="s">
        <v>875</v>
      </c>
      <c r="AO1206" s="11" t="str">
        <f>IF(AI1206=0,"none",(AI1206*100))</f>
        <v>none</v>
      </c>
      <c r="AP1206" s="56" t="str">
        <f>IF(AO1206="none"," of weekly support cost.","% of weekly support cost.")</f>
        <v xml:space="preserve"> of weekly support cost.</v>
      </c>
      <c r="BB1206" s="56"/>
      <c r="BQ1206" s="56" t="s">
        <v>876</v>
      </c>
    </row>
    <row r="1207" spans="1:69" ht="13.95" hidden="1" customHeight="1" thickTop="1" thickBot="1" x14ac:dyDescent="0.3">
      <c r="A1207" s="336"/>
      <c r="B1207" s="337" t="s">
        <v>877</v>
      </c>
      <c r="C1207" s="362"/>
      <c r="D1207" s="337" t="str">
        <f>IF(NOT(AV1207&gt;0),"",AC1207)</f>
        <v/>
      </c>
      <c r="E1207" s="338"/>
      <c r="F1207" s="1"/>
      <c r="AC1207" s="263" t="str">
        <f>CONCATENATE(AO1207,AT1207)</f>
        <v>Weekly contribution: $0.00</v>
      </c>
      <c r="AO1207" s="56" t="s">
        <v>878</v>
      </c>
      <c r="AT1207" s="263" t="str">
        <f>DOLLAR(AV1207)</f>
        <v>$0.00</v>
      </c>
      <c r="AV1207" s="338">
        <f>IF(AND(D1206=BM$1205,C1207=B$2043),D$2043,IF(AND(D1206=BM$1205,C1207=B$2044),D$2044,IF(AND(D1206=BM$1205,C1207=B$2045),D$2045,IF(AND(D1206=BM$1205,C1207=B$2046),D$2046,IF(AND(D1206=BM$1205,C1207=B$2047),D$2047,IF(AND(D1206=BM$1205,C1207=B$2048),D$2048,0))))))</f>
        <v>0</v>
      </c>
      <c r="AX1207" s="11" t="str">
        <f>DOLLAR(AZ1207)</f>
        <v>$45.00</v>
      </c>
      <c r="AZ1207" s="363">
        <f>$AJ$1197-AV1207</f>
        <v>45</v>
      </c>
      <c r="BB1207" s="359"/>
      <c r="BD1207" s="322">
        <f>AV1207</f>
        <v>0</v>
      </c>
      <c r="BQ1207" s="56" t="s">
        <v>879</v>
      </c>
    </row>
    <row r="1208" spans="1:69" ht="13.95" hidden="1" customHeight="1" thickTop="1" x14ac:dyDescent="0.25">
      <c r="A1208" s="336"/>
      <c r="B1208" s="337"/>
      <c r="C1208" s="337" t="str">
        <f>CONCATENATE(AK1206,AO1206,AP1206)</f>
        <v>This covers none of weekly support cost.</v>
      </c>
      <c r="D1208" s="337" t="str">
        <f>BF$1200</f>
        <v>$45 to go for weekly support.</v>
      </c>
      <c r="E1208" s="338"/>
      <c r="F1208" s="1"/>
      <c r="AC1208" s="56" t="s">
        <v>880</v>
      </c>
      <c r="AI1208" s="154">
        <f>MIN(D1206,AE1202)</f>
        <v>0</v>
      </c>
      <c r="AJ1208" s="56">
        <f>ROUND(AI1208,2)</f>
        <v>0</v>
      </c>
      <c r="AK1208" s="56" t="str">
        <f>CONCATENATE(AC1208,AJ1208)</f>
        <v>contribution per exchange: $0</v>
      </c>
      <c r="BQ1208" s="56" t="s">
        <v>881</v>
      </c>
    </row>
    <row r="1209" spans="1:69" ht="13.95" hidden="1" customHeight="1" x14ac:dyDescent="0.25">
      <c r="A1209" s="336"/>
      <c r="B1209" s="337"/>
      <c r="C1209" s="337"/>
      <c r="D1209" s="337"/>
      <c r="E1209" s="338"/>
      <c r="F1209" s="1"/>
      <c r="BQ1209" s="56" t="s">
        <v>882</v>
      </c>
    </row>
    <row r="1210" spans="1:69" ht="4.95" hidden="1" customHeight="1" thickBot="1" x14ac:dyDescent="0.3">
      <c r="A1210" s="338"/>
      <c r="B1210" s="340"/>
      <c r="C1210" s="341"/>
      <c r="D1210" s="338"/>
      <c r="E1210" s="338"/>
      <c r="F1210" s="1"/>
      <c r="AC1210" s="334"/>
      <c r="AJ1210" s="437"/>
      <c r="BB1210" s="56"/>
    </row>
    <row r="1211" spans="1:69" ht="16.8" hidden="1" thickTop="1" thickBot="1" x14ac:dyDescent="0.3">
      <c r="A1211" s="347">
        <f>IF(C1211="",0,1+A1201)</f>
        <v>2</v>
      </c>
      <c r="B1211" s="348" t="s">
        <v>883</v>
      </c>
      <c r="C1211" s="349" t="str">
        <f>AM1211</f>
        <v>FIRST NAME</v>
      </c>
      <c r="D1211" s="350" t="str">
        <f>AQ1211</f>
        <v>LAST NAME</v>
      </c>
      <c r="E1211" s="338"/>
      <c r="F1211" s="1"/>
      <c r="AC1211" s="333" t="str">
        <f>IF(NOT(C1211=AM1211),C1211,"")</f>
        <v/>
      </c>
      <c r="AH1211" s="333" t="str">
        <f>IF(NOT(D1211=AQ1211),D1211,"")</f>
        <v/>
      </c>
      <c r="AM1211" s="351" t="s">
        <v>853</v>
      </c>
      <c r="AQ1211" s="351" t="s">
        <v>107</v>
      </c>
      <c r="BB1211" s="56"/>
    </row>
    <row r="1212" spans="1:69" ht="15" hidden="1" thickTop="1" thickBot="1" x14ac:dyDescent="0.3">
      <c r="A1212" s="336"/>
      <c r="B1212" s="338" t="s">
        <v>856</v>
      </c>
      <c r="C1212" s="353" t="s">
        <v>884</v>
      </c>
      <c r="D1212" s="5"/>
      <c r="E1212" s="338"/>
      <c r="F1212" s="1"/>
      <c r="AC1212" s="56">
        <f>IF(C1212="",0,1)</f>
        <v>1</v>
      </c>
      <c r="AE1212" s="56">
        <f>IF($AC$1202=1,AC$1197,0)</f>
        <v>0</v>
      </c>
      <c r="BB1212" s="56"/>
    </row>
    <row r="1213" spans="1:69" ht="13.95" hidden="1" customHeight="1" thickTop="1" thickBot="1" x14ac:dyDescent="0.3">
      <c r="A1213" s="336"/>
      <c r="B1213" s="354" t="s">
        <v>859</v>
      </c>
      <c r="C1213" s="353"/>
      <c r="D1213" s="355" t="str">
        <f>AS1213</f>
        <v>AWARENESS OF ISSUE</v>
      </c>
      <c r="E1213" s="338"/>
      <c r="F1213" s="1"/>
      <c r="AM1213" s="356"/>
      <c r="AN1213" s="356"/>
      <c r="AO1213" s="356"/>
      <c r="AP1213" s="356"/>
      <c r="AS1213" s="56" t="str">
        <f>AS1203</f>
        <v>AWARENESS OF ISSUE</v>
      </c>
      <c r="BB1213" s="56"/>
    </row>
    <row r="1214" spans="1:69" ht="13.95" hidden="1" customHeight="1" thickTop="1" thickBot="1" x14ac:dyDescent="0.3">
      <c r="A1214" s="336"/>
      <c r="B1214" s="348" t="s">
        <v>863</v>
      </c>
      <c r="C1214" s="357" t="s">
        <v>864</v>
      </c>
      <c r="D1214" s="357" t="s">
        <v>865</v>
      </c>
      <c r="E1214" s="338"/>
      <c r="F1214" s="1"/>
      <c r="BB1214" s="56"/>
    </row>
    <row r="1215" spans="1:69" ht="13.95" hidden="1" customHeight="1" thickTop="1" thickBot="1" x14ac:dyDescent="0.3">
      <c r="A1215" s="336"/>
      <c r="B1215" s="337" t="s">
        <v>868</v>
      </c>
      <c r="C1215" s="358" t="str">
        <f>AM1215</f>
        <v>YYYY-MM-DD</v>
      </c>
      <c r="D1215" s="358" t="str">
        <f>AM1215</f>
        <v>YYYY-MM-DD</v>
      </c>
      <c r="E1215" s="338"/>
      <c r="F1215" s="1"/>
      <c r="AH1215" s="616" t="str">
        <f>IF(NOT(D1215=AQ1215),D1215,"")</f>
        <v>YYYY-MM-DD</v>
      </c>
      <c r="AI1215" s="616"/>
      <c r="AM1215" s="351" t="s">
        <v>869</v>
      </c>
      <c r="AQ1215" s="351"/>
      <c r="BB1215" s="56"/>
    </row>
    <row r="1216" spans="1:69" ht="13.95" hidden="1" customHeight="1" thickTop="1" thickBot="1" x14ac:dyDescent="0.3">
      <c r="A1216" s="336"/>
      <c r="B1216" s="337" t="s">
        <v>874</v>
      </c>
      <c r="C1216" s="360"/>
      <c r="D1216" s="361" t="str">
        <f>AC1216</f>
        <v/>
      </c>
      <c r="E1216" s="338"/>
      <c r="F1216" s="1"/>
      <c r="AC1216" s="58" t="str">
        <f>IF(AND(AC$1196&gt;0,C1216=BN$1201),BM$1201,IF(AND(AC$1196&gt;0,C1216=BN$1202),BM$1202,IF(AND(AC$1196&gt;0,C1216=BN$1203),BM$1203,IF(AND(AC$1196&gt;0,C1216=BN$1204),BM$1204,IF(AND(AC$1196&gt;0,C1216=BN$1205),BM$1205,"")))))</f>
        <v/>
      </c>
      <c r="AI1216" s="626">
        <f>AV1217/AL$1197</f>
        <v>0</v>
      </c>
      <c r="AJ1216" s="626"/>
      <c r="AK1216" s="56" t="s">
        <v>875</v>
      </c>
      <c r="AO1216" s="11" t="str">
        <f>IF(AI1216=0,"none",(AI1216*100))</f>
        <v>none</v>
      </c>
      <c r="AP1216" s="56" t="str">
        <f>IF(AO1216="none"," of weekly support cost.","% of weekly support cost.")</f>
        <v xml:space="preserve"> of weekly support cost.</v>
      </c>
      <c r="BB1216" s="56"/>
    </row>
    <row r="1217" spans="1:56" ht="13.95" hidden="1" customHeight="1" thickTop="1" thickBot="1" x14ac:dyDescent="0.3">
      <c r="A1217" s="336"/>
      <c r="B1217" s="337" t="s">
        <v>877</v>
      </c>
      <c r="C1217" s="362"/>
      <c r="D1217" s="337" t="str">
        <f>IF(NOT(AV1217&gt;0),"",AC1217)</f>
        <v/>
      </c>
      <c r="E1217" s="338"/>
      <c r="F1217" s="1"/>
      <c r="AC1217" s="263" t="str">
        <f>CONCATENATE(AO1217,AT1217)</f>
        <v>Weekly contribution: $0.00</v>
      </c>
      <c r="AO1217" s="56" t="s">
        <v>878</v>
      </c>
      <c r="AT1217" s="263" t="str">
        <f>DOLLAR(AV1217)</f>
        <v>$0.00</v>
      </c>
      <c r="AV1217" s="338">
        <f>IF(AND(D1216=BM$1205,C1217=B$2043),D$2043,IF(AND(D1216=BM$1205,C1217=B$2044),D$2044,IF(AND(D1216=BM$1205,C1217=B$2045),D$2045,IF(AND(D1216=BM$1205,C1217=B$2046),D$2046,IF(AND(D1216=BM$1205,C1217=B$2047),D$2047,IF(AND(D1216=BM$1205,C1217=B$2048),D$2048,0))))))</f>
        <v>0</v>
      </c>
      <c r="AX1217" s="11" t="str">
        <f>DOLLAR(AZ1217)</f>
        <v>$45.00</v>
      </c>
      <c r="AZ1217" s="363">
        <f>$AJ$1197-AV1217</f>
        <v>45</v>
      </c>
      <c r="BB1217" s="359"/>
      <c r="BD1217" s="322">
        <f>AV1217</f>
        <v>0</v>
      </c>
    </row>
    <row r="1218" spans="1:56" ht="13.95" hidden="1" customHeight="1" thickTop="1" x14ac:dyDescent="0.25">
      <c r="A1218" s="336"/>
      <c r="B1218" s="337"/>
      <c r="C1218" s="337" t="str">
        <f>CONCATENATE(AK1216,AO1216,AP1216)</f>
        <v>This covers none of weekly support cost.</v>
      </c>
      <c r="D1218" s="337" t="str">
        <f>BF$1200</f>
        <v>$45 to go for weekly support.</v>
      </c>
      <c r="E1218" s="338"/>
      <c r="F1218" s="1"/>
      <c r="AC1218" s="56" t="s">
        <v>880</v>
      </c>
      <c r="AI1218" s="154">
        <f>MIN(D1216,AE1212)</f>
        <v>0</v>
      </c>
      <c r="AJ1218" s="56">
        <f>ROUND(AI1218,2)</f>
        <v>0</v>
      </c>
      <c r="AK1218" s="56" t="str">
        <f>CONCATENATE(AC1218,AJ1218)</f>
        <v>contribution per exchange: $0</v>
      </c>
    </row>
    <row r="1219" spans="1:56" ht="13.95" hidden="1" customHeight="1" x14ac:dyDescent="0.25">
      <c r="A1219" s="336"/>
      <c r="B1219" s="337"/>
      <c r="C1219" s="337"/>
      <c r="D1219" s="337"/>
      <c r="E1219" s="338"/>
      <c r="F1219" s="1"/>
    </row>
    <row r="1220" spans="1:56" ht="4.95" hidden="1" customHeight="1" thickBot="1" x14ac:dyDescent="0.3">
      <c r="A1220" s="338"/>
      <c r="B1220" s="340"/>
      <c r="C1220" s="341"/>
      <c r="D1220" s="338"/>
      <c r="E1220" s="338"/>
      <c r="F1220" s="1"/>
      <c r="AC1220" s="334"/>
      <c r="AJ1220" s="437"/>
      <c r="BB1220" s="56"/>
    </row>
    <row r="1221" spans="1:56" ht="16.8" hidden="1" thickTop="1" thickBot="1" x14ac:dyDescent="0.3">
      <c r="A1221" s="347">
        <f>IF(C1221="",0,1+A1211)</f>
        <v>3</v>
      </c>
      <c r="B1221" s="348" t="s">
        <v>885</v>
      </c>
      <c r="C1221" s="349" t="str">
        <f>AM1221</f>
        <v>FIRST NAME</v>
      </c>
      <c r="D1221" s="350" t="str">
        <f>AQ1221</f>
        <v>LAST NAME</v>
      </c>
      <c r="E1221" s="338"/>
      <c r="F1221" s="1"/>
      <c r="AC1221" s="333" t="str">
        <f>IF(NOT(C1221=AM1221),C1221,"")</f>
        <v/>
      </c>
      <c r="AH1221" s="333" t="str">
        <f>IF(NOT(D1221=AQ1221),D1221,"")</f>
        <v/>
      </c>
      <c r="AM1221" s="351" t="s">
        <v>853</v>
      </c>
      <c r="AQ1221" s="351" t="s">
        <v>107</v>
      </c>
      <c r="BB1221" s="56"/>
    </row>
    <row r="1222" spans="1:56" ht="15" hidden="1" thickTop="1" thickBot="1" x14ac:dyDescent="0.3">
      <c r="A1222" s="336"/>
      <c r="B1222" s="338" t="s">
        <v>856</v>
      </c>
      <c r="C1222" s="353"/>
      <c r="D1222" s="5"/>
      <c r="E1222" s="338"/>
      <c r="F1222" s="1"/>
      <c r="AC1222" s="56">
        <f>IF(C1222="",0,1)</f>
        <v>0</v>
      </c>
      <c r="AE1222" s="56">
        <f>IF($AC$1202=1,AC$1197,0)</f>
        <v>0</v>
      </c>
      <c r="BB1222" s="56"/>
    </row>
    <row r="1223" spans="1:56" ht="13.95" hidden="1" customHeight="1" thickTop="1" thickBot="1" x14ac:dyDescent="0.3">
      <c r="A1223" s="336"/>
      <c r="B1223" s="354" t="s">
        <v>859</v>
      </c>
      <c r="C1223" s="353"/>
      <c r="D1223" s="355" t="str">
        <f>AS1223</f>
        <v>AWARENESS OF ISSUE</v>
      </c>
      <c r="E1223" s="338"/>
      <c r="F1223" s="1"/>
      <c r="AM1223" s="356"/>
      <c r="AN1223" s="356"/>
      <c r="AO1223" s="356"/>
      <c r="AP1223" s="356"/>
      <c r="AS1223" s="56" t="str">
        <f>AS1213</f>
        <v>AWARENESS OF ISSUE</v>
      </c>
      <c r="BB1223" s="56"/>
    </row>
    <row r="1224" spans="1:56" ht="13.95" hidden="1" customHeight="1" thickTop="1" thickBot="1" x14ac:dyDescent="0.3">
      <c r="A1224" s="336"/>
      <c r="B1224" s="348" t="s">
        <v>863</v>
      </c>
      <c r="C1224" s="357" t="s">
        <v>864</v>
      </c>
      <c r="D1224" s="357" t="s">
        <v>865</v>
      </c>
      <c r="E1224" s="338"/>
      <c r="F1224" s="1"/>
      <c r="BB1224" s="56"/>
    </row>
    <row r="1225" spans="1:56" ht="13.95" hidden="1" customHeight="1" thickTop="1" thickBot="1" x14ac:dyDescent="0.3">
      <c r="A1225" s="336"/>
      <c r="B1225" s="337" t="s">
        <v>868</v>
      </c>
      <c r="C1225" s="358" t="str">
        <f>AM1225</f>
        <v>YYYY-MM-DD</v>
      </c>
      <c r="D1225" s="358" t="str">
        <f>AM1225</f>
        <v>YYYY-MM-DD</v>
      </c>
      <c r="E1225" s="338"/>
      <c r="F1225" s="1"/>
      <c r="AH1225" s="616" t="str">
        <f>IF(NOT(D1225=AQ1225),D1225,"")</f>
        <v>YYYY-MM-DD</v>
      </c>
      <c r="AI1225" s="616"/>
      <c r="AM1225" s="351" t="s">
        <v>869</v>
      </c>
      <c r="AQ1225" s="351"/>
      <c r="BB1225" s="56"/>
    </row>
    <row r="1226" spans="1:56" ht="13.95" hidden="1" customHeight="1" thickTop="1" thickBot="1" x14ac:dyDescent="0.3">
      <c r="A1226" s="336"/>
      <c r="B1226" s="337" t="s">
        <v>874</v>
      </c>
      <c r="C1226" s="360"/>
      <c r="D1226" s="361" t="str">
        <f>AC1226</f>
        <v/>
      </c>
      <c r="E1226" s="338"/>
      <c r="F1226" s="1"/>
      <c r="AC1226" s="58" t="str">
        <f>IF(AND(AC$1196&gt;0,C1226=BN$1201),BM$1201,IF(AND(AC$1196&gt;0,C1226=BN$1202),BM$1202,IF(AND(AC$1196&gt;0,C1226=BN$1203),BM$1203,IF(AND(AC$1196&gt;0,C1226=BN$1204),BM$1204,IF(AND(AC$1196&gt;0,C1226=BN$1205),BM$1205,"")))))</f>
        <v/>
      </c>
      <c r="AI1226" s="626">
        <f>AV1227/AL$1197</f>
        <v>0</v>
      </c>
      <c r="AJ1226" s="626"/>
      <c r="AK1226" s="56" t="s">
        <v>875</v>
      </c>
      <c r="AO1226" s="11" t="str">
        <f>IF(AI1226=0,"none",(AI1226*100))</f>
        <v>none</v>
      </c>
      <c r="AP1226" s="56" t="str">
        <f>IF(AO1226="none"," of weekly support cost.","% of weekly support cost.")</f>
        <v xml:space="preserve"> of weekly support cost.</v>
      </c>
      <c r="BB1226" s="56"/>
    </row>
    <row r="1227" spans="1:56" ht="13.95" hidden="1" customHeight="1" thickTop="1" thickBot="1" x14ac:dyDescent="0.3">
      <c r="A1227" s="336"/>
      <c r="B1227" s="337" t="s">
        <v>877</v>
      </c>
      <c r="C1227" s="362"/>
      <c r="D1227" s="337" t="str">
        <f>IF(NOT(AV1227&gt;0),"",AC1227)</f>
        <v/>
      </c>
      <c r="E1227" s="338"/>
      <c r="F1227" s="1"/>
      <c r="AC1227" s="263" t="str">
        <f>CONCATENATE(AO1227,AT1227)</f>
        <v>Weekly contribution: $0.00</v>
      </c>
      <c r="AO1227" s="56" t="s">
        <v>878</v>
      </c>
      <c r="AT1227" s="263" t="str">
        <f>DOLLAR(AV1227)</f>
        <v>$0.00</v>
      </c>
      <c r="AV1227" s="338">
        <f>IF(AND(D1226=BM$1205,C1227=B$2043),D$2043,IF(AND(D1226=BM$1205,C1227=B$2044),D$2044,IF(AND(D1226=BM$1205,C1227=B$2045),D$2045,IF(AND(D1226=BM$1205,C1227=B$2046),D$2046,IF(AND(D1226=BM$1205,C1227=B$2047),D$2047,IF(AND(D1226=BM$1205,C1227=B$2048),D$2048,0))))))</f>
        <v>0</v>
      </c>
      <c r="AX1227" s="11" t="str">
        <f>DOLLAR(AZ1227)</f>
        <v>$45.00</v>
      </c>
      <c r="AZ1227" s="363">
        <f>$AJ$1197-AV1227</f>
        <v>45</v>
      </c>
      <c r="BB1227" s="56"/>
      <c r="BD1227" s="322">
        <f>AV1227</f>
        <v>0</v>
      </c>
    </row>
    <row r="1228" spans="1:56" ht="13.95" hidden="1" customHeight="1" thickTop="1" x14ac:dyDescent="0.25">
      <c r="A1228" s="336"/>
      <c r="B1228" s="337"/>
      <c r="C1228" s="337" t="str">
        <f>CONCATENATE(AK1226,AO1226,AP1226)</f>
        <v>This covers none of weekly support cost.</v>
      </c>
      <c r="D1228" s="337" t="str">
        <f>BF$1200</f>
        <v>$45 to go for weekly support.</v>
      </c>
      <c r="E1228" s="338"/>
      <c r="F1228" s="1"/>
      <c r="AC1228" s="56" t="s">
        <v>880</v>
      </c>
      <c r="AI1228" s="154">
        <f>MIN(D1226,AE1222)</f>
        <v>0</v>
      </c>
      <c r="AJ1228" s="56">
        <f>ROUND(AI1228,2)</f>
        <v>0</v>
      </c>
      <c r="AK1228" s="56" t="str">
        <f>CONCATENATE(AC1228,AJ1228)</f>
        <v>contribution per exchange: $0</v>
      </c>
    </row>
    <row r="1229" spans="1:56" ht="13.95" hidden="1" customHeight="1" x14ac:dyDescent="0.25">
      <c r="A1229" s="336"/>
      <c r="B1229" s="337"/>
      <c r="C1229" s="337"/>
      <c r="D1229" s="337"/>
      <c r="E1229" s="338"/>
      <c r="F1229" s="1"/>
    </row>
    <row r="1230" spans="1:56" ht="4.95" hidden="1" customHeight="1" thickBot="1" x14ac:dyDescent="0.3">
      <c r="A1230" s="338"/>
      <c r="B1230" s="340"/>
      <c r="C1230" s="341"/>
      <c r="D1230" s="338"/>
      <c r="E1230" s="338"/>
      <c r="F1230" s="1"/>
      <c r="AC1230" s="334"/>
      <c r="AJ1230" s="437"/>
      <c r="BB1230" s="56"/>
    </row>
    <row r="1231" spans="1:56" ht="16.8" hidden="1" thickTop="1" thickBot="1" x14ac:dyDescent="0.3">
      <c r="A1231" s="347">
        <f>IF(C1231="",0,1+A1221)</f>
        <v>4</v>
      </c>
      <c r="B1231" s="348" t="s">
        <v>886</v>
      </c>
      <c r="C1231" s="349" t="str">
        <f>AM1231</f>
        <v>FIRST NAME</v>
      </c>
      <c r="D1231" s="350" t="str">
        <f>AQ1231</f>
        <v>LAST NAME</v>
      </c>
      <c r="E1231" s="338"/>
      <c r="F1231" s="1"/>
      <c r="AC1231" s="333" t="str">
        <f>IF(NOT(C1231=AM1231),C1231,"")</f>
        <v/>
      </c>
      <c r="AH1231" s="333" t="str">
        <f>IF(NOT(D1231=AQ1231),D1231,"")</f>
        <v/>
      </c>
      <c r="AM1231" s="351" t="s">
        <v>853</v>
      </c>
      <c r="AQ1231" s="351" t="s">
        <v>107</v>
      </c>
      <c r="BB1231" s="56"/>
    </row>
    <row r="1232" spans="1:56" ht="15" hidden="1" thickTop="1" thickBot="1" x14ac:dyDescent="0.3">
      <c r="A1232" s="336"/>
      <c r="B1232" s="338" t="s">
        <v>856</v>
      </c>
      <c r="C1232" s="353"/>
      <c r="D1232" s="5"/>
      <c r="E1232" s="338"/>
      <c r="F1232" s="1"/>
      <c r="AC1232" s="56">
        <f>IF(C1232="",0,1)</f>
        <v>0</v>
      </c>
      <c r="AE1232" s="56">
        <f>IF($AC$1202=1,AC$1197,0)</f>
        <v>0</v>
      </c>
      <c r="BB1232" s="56"/>
    </row>
    <row r="1233" spans="1:56" ht="13.95" hidden="1" customHeight="1" thickTop="1" thickBot="1" x14ac:dyDescent="0.3">
      <c r="A1233" s="336"/>
      <c r="B1233" s="354" t="s">
        <v>859</v>
      </c>
      <c r="C1233" s="353"/>
      <c r="D1233" s="355" t="str">
        <f>AS1233</f>
        <v>AWARENESS OF ISSUE</v>
      </c>
      <c r="E1233" s="338"/>
      <c r="F1233" s="1"/>
      <c r="AM1233" s="356"/>
      <c r="AN1233" s="356"/>
      <c r="AO1233" s="356"/>
      <c r="AP1233" s="356"/>
      <c r="AS1233" s="56" t="str">
        <f>AS1223</f>
        <v>AWARENESS OF ISSUE</v>
      </c>
      <c r="BB1233" s="56"/>
    </row>
    <row r="1234" spans="1:56" ht="13.95" hidden="1" customHeight="1" thickTop="1" thickBot="1" x14ac:dyDescent="0.3">
      <c r="A1234" s="336"/>
      <c r="B1234" s="348" t="s">
        <v>863</v>
      </c>
      <c r="C1234" s="357" t="s">
        <v>864</v>
      </c>
      <c r="D1234" s="357" t="s">
        <v>865</v>
      </c>
      <c r="E1234" s="338"/>
      <c r="F1234" s="1"/>
      <c r="BB1234" s="56"/>
    </row>
    <row r="1235" spans="1:56" ht="13.95" hidden="1" customHeight="1" thickTop="1" thickBot="1" x14ac:dyDescent="0.3">
      <c r="A1235" s="336"/>
      <c r="B1235" s="337" t="s">
        <v>868</v>
      </c>
      <c r="C1235" s="358" t="str">
        <f>AM1235</f>
        <v>YYYY-MM-DD</v>
      </c>
      <c r="D1235" s="358" t="str">
        <f>AM1235</f>
        <v>YYYY-MM-DD</v>
      </c>
      <c r="E1235" s="338"/>
      <c r="F1235" s="1"/>
      <c r="AH1235" s="616" t="str">
        <f>IF(NOT(D1235=AQ1235),D1235,"")</f>
        <v>YYYY-MM-DD</v>
      </c>
      <c r="AI1235" s="616"/>
      <c r="AM1235" s="351" t="s">
        <v>869</v>
      </c>
      <c r="AQ1235" s="351"/>
      <c r="BB1235" s="56"/>
    </row>
    <row r="1236" spans="1:56" ht="13.95" hidden="1" customHeight="1" thickTop="1" thickBot="1" x14ac:dyDescent="0.3">
      <c r="A1236" s="336"/>
      <c r="B1236" s="337" t="s">
        <v>874</v>
      </c>
      <c r="C1236" s="360"/>
      <c r="D1236" s="361" t="str">
        <f>AC1236</f>
        <v/>
      </c>
      <c r="E1236" s="338"/>
      <c r="F1236" s="1"/>
      <c r="AC1236" s="58" t="str">
        <f>IF(AND(AC$1196&gt;0,C1236=BN$1201),BM$1201,IF(AND(AC$1196&gt;0,C1236=BN$1202),BM$1202,IF(AND(AC$1196&gt;0,C1236=BN$1203),BM$1203,IF(AND(AC$1196&gt;0,C1236=BN$1204),BM$1204,IF(AND(AC$1196&gt;0,C1236=BN$1205),BM$1205,"")))))</f>
        <v/>
      </c>
      <c r="AI1236" s="626">
        <f>AV1237/AL$1197</f>
        <v>0</v>
      </c>
      <c r="AJ1236" s="626"/>
      <c r="AK1236" s="56" t="s">
        <v>875</v>
      </c>
      <c r="AO1236" s="11" t="str">
        <f>IF(AI1236=0,"none",(AI1236*100))</f>
        <v>none</v>
      </c>
      <c r="AP1236" s="56" t="str">
        <f>IF(AO1236="none"," of weekly support cost.","% of weekly support cost.")</f>
        <v xml:space="preserve"> of weekly support cost.</v>
      </c>
      <c r="BB1236" s="56"/>
    </row>
    <row r="1237" spans="1:56" ht="13.95" hidden="1" customHeight="1" thickTop="1" thickBot="1" x14ac:dyDescent="0.3">
      <c r="A1237" s="336"/>
      <c r="B1237" s="337" t="s">
        <v>877</v>
      </c>
      <c r="C1237" s="362"/>
      <c r="D1237" s="337" t="str">
        <f>IF(NOT(AV1237&gt;0),"",AC1237)</f>
        <v/>
      </c>
      <c r="E1237" s="338"/>
      <c r="F1237" s="1"/>
      <c r="AC1237" s="263" t="str">
        <f>CONCATENATE(AO1237,AT1237)</f>
        <v>Weekly contribution: $0.00</v>
      </c>
      <c r="AO1237" s="56" t="s">
        <v>878</v>
      </c>
      <c r="AT1237" s="263" t="str">
        <f>DOLLAR(AV1237)</f>
        <v>$0.00</v>
      </c>
      <c r="AV1237" s="338">
        <f>IF(AND(D1236=BM$1205,C1237=B$2043),D$2043,IF(AND(D1236=BM$1205,C1237=B$2044),D$2044,IF(AND(D1236=BM$1205,C1237=B$2045),D$2045,IF(AND(D1236=BM$1205,C1237=B$2046),D$2046,IF(AND(D1236=BM$1205,C1237=B$2047),D$2047,IF(AND(D1236=BM$1205,C1237=B$2048),D$2048,0))))))</f>
        <v>0</v>
      </c>
      <c r="AX1237" s="11" t="str">
        <f>DOLLAR(AZ1237)</f>
        <v>$45.00</v>
      </c>
      <c r="AZ1237" s="363">
        <f>$AJ$1197-AV1237</f>
        <v>45</v>
      </c>
      <c r="BB1237" s="56"/>
      <c r="BD1237" s="322">
        <f>AV1237</f>
        <v>0</v>
      </c>
    </row>
    <row r="1238" spans="1:56" ht="13.95" hidden="1" customHeight="1" thickTop="1" x14ac:dyDescent="0.25">
      <c r="A1238" s="336"/>
      <c r="B1238" s="337"/>
      <c r="C1238" s="337" t="str">
        <f>CONCATENATE(AK1236,AO1236,AP1236)</f>
        <v>This covers none of weekly support cost.</v>
      </c>
      <c r="D1238" s="337" t="str">
        <f>BF$1200</f>
        <v>$45 to go for weekly support.</v>
      </c>
      <c r="E1238" s="338"/>
      <c r="F1238" s="1"/>
      <c r="AC1238" s="56" t="s">
        <v>880</v>
      </c>
      <c r="AI1238" s="154">
        <f>MIN(D1236,AE1232)</f>
        <v>0</v>
      </c>
      <c r="AJ1238" s="56">
        <f>ROUND(AI1238,2)</f>
        <v>0</v>
      </c>
      <c r="AK1238" s="56" t="str">
        <f>CONCATENATE(AC1238,AJ1238)</f>
        <v>contribution per exchange: $0</v>
      </c>
    </row>
    <row r="1239" spans="1:56" ht="13.95" hidden="1" customHeight="1" x14ac:dyDescent="0.25">
      <c r="A1239" s="336"/>
      <c r="B1239" s="337"/>
      <c r="C1239" s="337"/>
      <c r="D1239" s="337"/>
      <c r="E1239" s="338"/>
      <c r="F1239" s="1"/>
    </row>
    <row r="1240" spans="1:56" ht="4.95" hidden="1" customHeight="1" thickBot="1" x14ac:dyDescent="0.3">
      <c r="A1240" s="338"/>
      <c r="B1240" s="340"/>
      <c r="C1240" s="341"/>
      <c r="D1240" s="338"/>
      <c r="E1240" s="338"/>
      <c r="F1240" s="1"/>
      <c r="AC1240" s="334"/>
      <c r="AJ1240" s="437"/>
      <c r="BB1240" s="56"/>
    </row>
    <row r="1241" spans="1:56" ht="16.8" hidden="1" thickTop="1" thickBot="1" x14ac:dyDescent="0.3">
      <c r="A1241" s="347">
        <f>IF(C1241="",0,1+A1231)</f>
        <v>5</v>
      </c>
      <c r="B1241" s="348" t="s">
        <v>887</v>
      </c>
      <c r="C1241" s="349" t="str">
        <f>AM1241</f>
        <v>FIRST NAME</v>
      </c>
      <c r="D1241" s="350" t="str">
        <f>AQ1241</f>
        <v>LAST NAME</v>
      </c>
      <c r="E1241" s="338"/>
      <c r="F1241" s="1"/>
      <c r="AC1241" s="333" t="str">
        <f>IF(NOT(C1241=AM1241),C1241,"")</f>
        <v/>
      </c>
      <c r="AH1241" s="333" t="str">
        <f>IF(NOT(D1241=AQ1241),D1241,"")</f>
        <v/>
      </c>
      <c r="AM1241" s="351" t="s">
        <v>853</v>
      </c>
      <c r="AQ1241" s="351" t="s">
        <v>107</v>
      </c>
      <c r="BB1241" s="56"/>
    </row>
    <row r="1242" spans="1:56" ht="15" hidden="1" thickTop="1" thickBot="1" x14ac:dyDescent="0.3">
      <c r="A1242" s="336"/>
      <c r="B1242" s="338" t="s">
        <v>856</v>
      </c>
      <c r="C1242" s="353"/>
      <c r="D1242" s="5"/>
      <c r="E1242" s="338"/>
      <c r="F1242" s="1"/>
      <c r="AC1242" s="56">
        <f>IF(C1242="",0,1)</f>
        <v>0</v>
      </c>
      <c r="AE1242" s="56">
        <f>IF($AC$1202=1,AC$1197,0)</f>
        <v>0</v>
      </c>
      <c r="BB1242" s="56"/>
    </row>
    <row r="1243" spans="1:56" ht="13.95" hidden="1" customHeight="1" thickTop="1" thickBot="1" x14ac:dyDescent="0.3">
      <c r="A1243" s="336"/>
      <c r="B1243" s="354" t="s">
        <v>859</v>
      </c>
      <c r="C1243" s="353"/>
      <c r="D1243" s="355" t="str">
        <f>AS1243</f>
        <v>AWARENESS OF ISSUE</v>
      </c>
      <c r="E1243" s="338"/>
      <c r="F1243" s="1"/>
      <c r="AM1243" s="356"/>
      <c r="AN1243" s="356"/>
      <c r="AO1243" s="356"/>
      <c r="AP1243" s="356"/>
      <c r="AS1243" s="56" t="str">
        <f>AS1233</f>
        <v>AWARENESS OF ISSUE</v>
      </c>
      <c r="BB1243" s="56"/>
    </row>
    <row r="1244" spans="1:56" ht="13.95" hidden="1" customHeight="1" thickTop="1" thickBot="1" x14ac:dyDescent="0.3">
      <c r="A1244" s="336"/>
      <c r="B1244" s="348" t="s">
        <v>863</v>
      </c>
      <c r="C1244" s="357" t="s">
        <v>864</v>
      </c>
      <c r="D1244" s="357" t="s">
        <v>865</v>
      </c>
      <c r="E1244" s="338"/>
      <c r="F1244" s="1"/>
      <c r="BB1244" s="56"/>
    </row>
    <row r="1245" spans="1:56" ht="13.95" hidden="1" customHeight="1" thickTop="1" thickBot="1" x14ac:dyDescent="0.3">
      <c r="A1245" s="336"/>
      <c r="B1245" s="337" t="s">
        <v>868</v>
      </c>
      <c r="C1245" s="358" t="str">
        <f>AM1245</f>
        <v>YYYY-MM-DD</v>
      </c>
      <c r="D1245" s="358" t="str">
        <f>AM1245</f>
        <v>YYYY-MM-DD</v>
      </c>
      <c r="E1245" s="338"/>
      <c r="F1245" s="1"/>
      <c r="AH1245" s="616" t="str">
        <f>IF(NOT(D1245=AQ1245),D1245,"")</f>
        <v>YYYY-MM-DD</v>
      </c>
      <c r="AI1245" s="616"/>
      <c r="AM1245" s="351" t="s">
        <v>869</v>
      </c>
      <c r="AQ1245" s="351"/>
      <c r="BB1245" s="56"/>
    </row>
    <row r="1246" spans="1:56" ht="13.95" hidden="1" customHeight="1" thickTop="1" thickBot="1" x14ac:dyDescent="0.3">
      <c r="A1246" s="336"/>
      <c r="B1246" s="337" t="s">
        <v>874</v>
      </c>
      <c r="C1246" s="360"/>
      <c r="D1246" s="361" t="str">
        <f>AC1246</f>
        <v/>
      </c>
      <c r="E1246" s="338"/>
      <c r="F1246" s="1"/>
      <c r="AC1246" s="58" t="str">
        <f>IF(AND(AC$1196&gt;0,C1246=BN$1201),BM$1201,IF(AND(AC$1196&gt;0,C1246=BN$1202),BM$1202,IF(AND(AC$1196&gt;0,C1246=BN$1203),BM$1203,IF(AND(AC$1196&gt;0,C1246=BN$1204),BM$1204,IF(AND(AC$1196&gt;0,C1246=BN$1205),BM$1205,"")))))</f>
        <v/>
      </c>
      <c r="AI1246" s="626">
        <f>AV1247/AL$1197</f>
        <v>0</v>
      </c>
      <c r="AJ1246" s="626"/>
      <c r="AK1246" s="56" t="s">
        <v>875</v>
      </c>
      <c r="AO1246" s="11" t="str">
        <f>IF(AI1246=0,"none",(AI1246*100))</f>
        <v>none</v>
      </c>
      <c r="AP1246" s="56" t="str">
        <f>IF(AO1246="none"," of weekly support cost.","% of weekly support cost.")</f>
        <v xml:space="preserve"> of weekly support cost.</v>
      </c>
      <c r="BB1246" s="56"/>
    </row>
    <row r="1247" spans="1:56" ht="13.95" hidden="1" customHeight="1" thickTop="1" thickBot="1" x14ac:dyDescent="0.3">
      <c r="A1247" s="336"/>
      <c r="B1247" s="337" t="s">
        <v>877</v>
      </c>
      <c r="C1247" s="362"/>
      <c r="D1247" s="337" t="str">
        <f>IF(NOT(AV1247&gt;0),"",AC1247)</f>
        <v/>
      </c>
      <c r="E1247" s="338"/>
      <c r="F1247" s="1"/>
      <c r="AC1247" s="263" t="str">
        <f>CONCATENATE(AO1247,AT1247)</f>
        <v>Weekly contribution: $0.00</v>
      </c>
      <c r="AO1247" s="56" t="s">
        <v>878</v>
      </c>
      <c r="AT1247" s="263" t="str">
        <f>DOLLAR(AV1247)</f>
        <v>$0.00</v>
      </c>
      <c r="AV1247" s="338">
        <f>IF(AND(D1246=BM$1205,C1247=B$2043),D$2043,IF(AND(D1246=BM$1205,C1247=B$2044),D$2044,IF(AND(D1246=BM$1205,C1247=B$2045),D$2045,IF(AND(D1246=BM$1205,C1247=B$2046),D$2046,IF(AND(D1246=BM$1205,C1247=B$2047),D$2047,IF(AND(D1246=BM$1205,C1247=B$2048),D$2048,0))))))</f>
        <v>0</v>
      </c>
      <c r="AX1247" s="11" t="str">
        <f>DOLLAR(AZ1247)</f>
        <v>$45.00</v>
      </c>
      <c r="AZ1247" s="363">
        <f>$AJ$1197-AV1247</f>
        <v>45</v>
      </c>
      <c r="BB1247" s="56"/>
      <c r="BD1247" s="322">
        <f>AV1247</f>
        <v>0</v>
      </c>
    </row>
    <row r="1248" spans="1:56" ht="13.95" hidden="1" customHeight="1" thickTop="1" x14ac:dyDescent="0.25">
      <c r="A1248" s="336"/>
      <c r="B1248" s="337"/>
      <c r="C1248" s="337" t="str">
        <f>CONCATENATE(AK1246,AO1246,AP1246)</f>
        <v>This covers none of weekly support cost.</v>
      </c>
      <c r="D1248" s="337" t="str">
        <f>BF$1200</f>
        <v>$45 to go for weekly support.</v>
      </c>
      <c r="E1248" s="338"/>
      <c r="F1248" s="1"/>
      <c r="AC1248" s="56" t="s">
        <v>880</v>
      </c>
      <c r="AI1248" s="154">
        <f>MIN(D1246,AE1242)</f>
        <v>0</v>
      </c>
      <c r="AJ1248" s="56">
        <f>ROUND(AI1248,2)</f>
        <v>0</v>
      </c>
      <c r="AK1248" s="56" t="str">
        <f>CONCATENATE(AC1248,AJ1248)</f>
        <v>contribution per exchange: $0</v>
      </c>
    </row>
    <row r="1249" spans="1:56" ht="13.95" hidden="1" customHeight="1" x14ac:dyDescent="0.25">
      <c r="A1249" s="336"/>
      <c r="B1249" s="337"/>
      <c r="C1249" s="337"/>
      <c r="D1249" s="337"/>
      <c r="E1249" s="338"/>
      <c r="F1249" s="1"/>
    </row>
    <row r="1250" spans="1:56" ht="4.95" hidden="1" customHeight="1" thickBot="1" x14ac:dyDescent="0.3">
      <c r="A1250" s="338"/>
      <c r="B1250" s="340"/>
      <c r="C1250" s="341"/>
      <c r="D1250" s="338"/>
      <c r="E1250" s="338"/>
      <c r="F1250" s="1"/>
      <c r="AC1250" s="334"/>
      <c r="AJ1250" s="437"/>
      <c r="BB1250" s="56"/>
    </row>
    <row r="1251" spans="1:56" ht="16.8" hidden="1" thickTop="1" thickBot="1" x14ac:dyDescent="0.3">
      <c r="A1251" s="347">
        <f>IF(C1251="",0,1+A1241)</f>
        <v>6</v>
      </c>
      <c r="B1251" s="348" t="s">
        <v>888</v>
      </c>
      <c r="C1251" s="349" t="str">
        <f>AM1251</f>
        <v>FIRST NAME</v>
      </c>
      <c r="D1251" s="350" t="str">
        <f>AQ1251</f>
        <v>LAST NAME</v>
      </c>
      <c r="E1251" s="338"/>
      <c r="F1251" s="1"/>
      <c r="AC1251" s="333" t="str">
        <f>IF(NOT(C1251=AM1251),C1251,"")</f>
        <v/>
      </c>
      <c r="AH1251" s="333" t="str">
        <f>IF(NOT(D1251=AQ1251),D1251,"")</f>
        <v/>
      </c>
      <c r="AM1251" s="351" t="s">
        <v>853</v>
      </c>
      <c r="AQ1251" s="351" t="s">
        <v>107</v>
      </c>
      <c r="BB1251" s="56"/>
    </row>
    <row r="1252" spans="1:56" ht="15" hidden="1" thickTop="1" thickBot="1" x14ac:dyDescent="0.3">
      <c r="A1252" s="336"/>
      <c r="B1252" s="338" t="s">
        <v>856</v>
      </c>
      <c r="C1252" s="353"/>
      <c r="D1252" s="5"/>
      <c r="E1252" s="338"/>
      <c r="F1252" s="1"/>
      <c r="AC1252" s="56">
        <f>IF(C1252="",0,1)</f>
        <v>0</v>
      </c>
      <c r="AE1252" s="56">
        <f>IF($AC$1202=1,AC$1197,0)</f>
        <v>0</v>
      </c>
      <c r="BB1252" s="56"/>
    </row>
    <row r="1253" spans="1:56" ht="13.95" hidden="1" customHeight="1" thickTop="1" thickBot="1" x14ac:dyDescent="0.3">
      <c r="A1253" s="336"/>
      <c r="B1253" s="354" t="s">
        <v>859</v>
      </c>
      <c r="C1253" s="353"/>
      <c r="D1253" s="355" t="str">
        <f>AS1253</f>
        <v>AWARENESS OF ISSUE</v>
      </c>
      <c r="E1253" s="338"/>
      <c r="F1253" s="1"/>
      <c r="AM1253" s="356"/>
      <c r="AN1253" s="356"/>
      <c r="AO1253" s="356"/>
      <c r="AP1253" s="356"/>
      <c r="AS1253" s="56" t="str">
        <f>AS1243</f>
        <v>AWARENESS OF ISSUE</v>
      </c>
      <c r="BB1253" s="56"/>
    </row>
    <row r="1254" spans="1:56" ht="13.95" hidden="1" customHeight="1" thickTop="1" thickBot="1" x14ac:dyDescent="0.3">
      <c r="A1254" s="336"/>
      <c r="B1254" s="348" t="s">
        <v>863</v>
      </c>
      <c r="C1254" s="357" t="s">
        <v>864</v>
      </c>
      <c r="D1254" s="357" t="s">
        <v>865</v>
      </c>
      <c r="E1254" s="338"/>
      <c r="F1254" s="1"/>
      <c r="BB1254" s="56"/>
    </row>
    <row r="1255" spans="1:56" ht="13.95" hidden="1" customHeight="1" thickTop="1" thickBot="1" x14ac:dyDescent="0.3">
      <c r="A1255" s="336"/>
      <c r="B1255" s="337" t="s">
        <v>868</v>
      </c>
      <c r="C1255" s="358" t="str">
        <f>AM1255</f>
        <v>YYYY-MM-DD</v>
      </c>
      <c r="D1255" s="358" t="str">
        <f>AM1255</f>
        <v>YYYY-MM-DD</v>
      </c>
      <c r="E1255" s="338"/>
      <c r="F1255" s="1"/>
      <c r="AH1255" s="616" t="str">
        <f>IF(NOT(D1255=AQ1255),D1255,"")</f>
        <v>YYYY-MM-DD</v>
      </c>
      <c r="AI1255" s="616"/>
      <c r="AM1255" s="351" t="s">
        <v>869</v>
      </c>
      <c r="AQ1255" s="351"/>
      <c r="BB1255" s="56"/>
    </row>
    <row r="1256" spans="1:56" ht="13.95" hidden="1" customHeight="1" thickTop="1" thickBot="1" x14ac:dyDescent="0.3">
      <c r="A1256" s="336"/>
      <c r="B1256" s="337" t="s">
        <v>874</v>
      </c>
      <c r="C1256" s="360"/>
      <c r="D1256" s="361" t="str">
        <f>AC1256</f>
        <v/>
      </c>
      <c r="E1256" s="338"/>
      <c r="F1256" s="1"/>
      <c r="AC1256" s="58" t="str">
        <f>IF(AND(AC$1196&gt;0,C1256=BN$1201),BM$1201,IF(AND(AC$1196&gt;0,C1256=BN$1202),BM$1202,IF(AND(AC$1196&gt;0,C1256=BN$1203),BM$1203,IF(AND(AC$1196&gt;0,C1256=BN$1204),BM$1204,IF(AND(AC$1196&gt;0,C1256=BN$1205),BM$1205,"")))))</f>
        <v/>
      </c>
      <c r="AI1256" s="626">
        <f>AV1257/AL$1197</f>
        <v>0</v>
      </c>
      <c r="AJ1256" s="626"/>
      <c r="AK1256" s="56" t="s">
        <v>875</v>
      </c>
      <c r="AO1256" s="11" t="str">
        <f>IF(AI1256=0,"none",(AI1256*100))</f>
        <v>none</v>
      </c>
      <c r="AP1256" s="56" t="str">
        <f>IF(AO1256="none"," of weekly support cost.","% of weekly support cost.")</f>
        <v xml:space="preserve"> of weekly support cost.</v>
      </c>
      <c r="BB1256" s="56"/>
    </row>
    <row r="1257" spans="1:56" ht="13.95" hidden="1" customHeight="1" thickTop="1" thickBot="1" x14ac:dyDescent="0.3">
      <c r="A1257" s="336"/>
      <c r="B1257" s="337" t="s">
        <v>877</v>
      </c>
      <c r="C1257" s="362"/>
      <c r="D1257" s="337" t="str">
        <f>IF(NOT(AV1257&gt;0),"",AC1257)</f>
        <v/>
      </c>
      <c r="E1257" s="338"/>
      <c r="F1257" s="1"/>
      <c r="AC1257" s="263" t="str">
        <f>CONCATENATE(AO1257,AT1257)</f>
        <v>Weekly contribution: $0.00</v>
      </c>
      <c r="AO1257" s="56" t="s">
        <v>878</v>
      </c>
      <c r="AT1257" s="263" t="str">
        <f>DOLLAR(AV1257)</f>
        <v>$0.00</v>
      </c>
      <c r="AV1257" s="338">
        <f>IF(AND(D1256=BM$1205,C1257=B$2043),D$2043,IF(AND(D1256=BM$1205,C1257=B$2044),D$2044,IF(AND(D1256=BM$1205,C1257=B$2045),D$2045,IF(AND(D1256=BM$1205,C1257=B$2046),D$2046,IF(AND(D1256=BM$1205,C1257=B$2047),D$2047,IF(AND(D1256=BM$1205,C1257=B$2048),D$2048,0))))))</f>
        <v>0</v>
      </c>
      <c r="AX1257" s="11" t="str">
        <f>DOLLAR(AZ1257)</f>
        <v>$45.00</v>
      </c>
      <c r="AZ1257" s="363">
        <f>$AJ$1197-AV1257</f>
        <v>45</v>
      </c>
      <c r="BB1257" s="359">
        <f>AV1257/AC$1197</f>
        <v>0</v>
      </c>
      <c r="BD1257" s="322">
        <f>AV1257</f>
        <v>0</v>
      </c>
    </row>
    <row r="1258" spans="1:56" ht="13.95" hidden="1" customHeight="1" thickTop="1" x14ac:dyDescent="0.25">
      <c r="A1258" s="336"/>
      <c r="B1258" s="337"/>
      <c r="C1258" s="337" t="str">
        <f>CONCATENATE(AK1256,AO1256,AP1256)</f>
        <v>This covers none of weekly support cost.</v>
      </c>
      <c r="D1258" s="337" t="str">
        <f>BF$1200</f>
        <v>$45 to go for weekly support.</v>
      </c>
      <c r="E1258" s="338"/>
      <c r="F1258" s="1"/>
      <c r="AC1258" s="56" t="s">
        <v>880</v>
      </c>
      <c r="AI1258" s="154">
        <f>MIN(D1256,AE1252)</f>
        <v>0</v>
      </c>
      <c r="AJ1258" s="56">
        <f>ROUND(AI1258,2)</f>
        <v>0</v>
      </c>
      <c r="AK1258" s="56" t="str">
        <f>CONCATENATE(AC1258,AJ1258)</f>
        <v>contribution per exchange: $0</v>
      </c>
    </row>
    <row r="1259" spans="1:56" ht="13.95" hidden="1" customHeight="1" x14ac:dyDescent="0.25">
      <c r="A1259" s="336"/>
      <c r="B1259" s="337"/>
      <c r="C1259" s="337"/>
      <c r="D1259" s="337"/>
      <c r="E1259" s="338"/>
      <c r="F1259" s="1"/>
    </row>
    <row r="1260" spans="1:56" ht="4.95" hidden="1" customHeight="1" thickBot="1" x14ac:dyDescent="0.3">
      <c r="A1260" s="338"/>
      <c r="B1260" s="340"/>
      <c r="C1260" s="341"/>
      <c r="D1260" s="338"/>
      <c r="E1260" s="338"/>
      <c r="F1260" s="1"/>
      <c r="AC1260" s="334"/>
      <c r="AJ1260" s="437"/>
      <c r="BB1260" s="56"/>
    </row>
    <row r="1261" spans="1:56" ht="16.8" hidden="1" thickTop="1" thickBot="1" x14ac:dyDescent="0.3">
      <c r="A1261" s="347">
        <f>IF(C1261="",0,1+A1251)</f>
        <v>7</v>
      </c>
      <c r="B1261" s="348" t="s">
        <v>889</v>
      </c>
      <c r="C1261" s="349" t="str">
        <f>AM1261</f>
        <v>FIRST NAME</v>
      </c>
      <c r="D1261" s="350" t="str">
        <f>AQ1261</f>
        <v>LAST NAME</v>
      </c>
      <c r="E1261" s="338"/>
      <c r="F1261" s="1"/>
      <c r="AC1261" s="333" t="str">
        <f>IF(NOT(C1261=AM1261),C1261,"")</f>
        <v/>
      </c>
      <c r="AH1261" s="333" t="str">
        <f>IF(NOT(D1261=AQ1261),D1261,"")</f>
        <v/>
      </c>
      <c r="AM1261" s="351" t="s">
        <v>853</v>
      </c>
      <c r="AQ1261" s="351" t="s">
        <v>107</v>
      </c>
      <c r="BB1261" s="56"/>
    </row>
    <row r="1262" spans="1:56" ht="15" hidden="1" thickTop="1" thickBot="1" x14ac:dyDescent="0.3">
      <c r="A1262" s="336"/>
      <c r="B1262" s="338" t="s">
        <v>856</v>
      </c>
      <c r="C1262" s="353"/>
      <c r="D1262" s="5"/>
      <c r="E1262" s="338"/>
      <c r="F1262" s="1"/>
      <c r="AC1262" s="56">
        <f>IF(C1262="",0,1)</f>
        <v>0</v>
      </c>
      <c r="AE1262" s="56">
        <f>IF($AC$1202=1,AC$1197,0)</f>
        <v>0</v>
      </c>
      <c r="BB1262" s="56"/>
    </row>
    <row r="1263" spans="1:56" ht="13.95" hidden="1" customHeight="1" thickTop="1" thickBot="1" x14ac:dyDescent="0.3">
      <c r="A1263" s="336"/>
      <c r="B1263" s="354" t="s">
        <v>859</v>
      </c>
      <c r="C1263" s="353"/>
      <c r="D1263" s="355" t="str">
        <f>AS1263</f>
        <v>AWARENESS OF ISSUE</v>
      </c>
      <c r="E1263" s="338"/>
      <c r="F1263" s="1"/>
      <c r="AM1263" s="356"/>
      <c r="AN1263" s="356"/>
      <c r="AO1263" s="356"/>
      <c r="AP1263" s="356"/>
      <c r="AS1263" s="56" t="str">
        <f>AS1253</f>
        <v>AWARENESS OF ISSUE</v>
      </c>
      <c r="BB1263" s="56"/>
    </row>
    <row r="1264" spans="1:56" ht="13.95" hidden="1" customHeight="1" thickTop="1" thickBot="1" x14ac:dyDescent="0.3">
      <c r="A1264" s="336"/>
      <c r="B1264" s="348" t="s">
        <v>863</v>
      </c>
      <c r="C1264" s="357" t="s">
        <v>864</v>
      </c>
      <c r="D1264" s="357" t="s">
        <v>865</v>
      </c>
      <c r="E1264" s="338"/>
      <c r="F1264" s="1"/>
      <c r="BB1264" s="56"/>
    </row>
    <row r="1265" spans="1:56" ht="13.95" hidden="1" customHeight="1" thickTop="1" thickBot="1" x14ac:dyDescent="0.3">
      <c r="A1265" s="336"/>
      <c r="B1265" s="337" t="s">
        <v>868</v>
      </c>
      <c r="C1265" s="358" t="str">
        <f>AM1265</f>
        <v>YYYY-MM-DD</v>
      </c>
      <c r="D1265" s="358" t="str">
        <f>AM1265</f>
        <v>YYYY-MM-DD</v>
      </c>
      <c r="E1265" s="338"/>
      <c r="F1265" s="1"/>
      <c r="AH1265" s="616" t="str">
        <f>IF(NOT(D1265=AQ1265),D1265,"")</f>
        <v>YYYY-MM-DD</v>
      </c>
      <c r="AI1265" s="616"/>
      <c r="AM1265" s="351" t="s">
        <v>869</v>
      </c>
      <c r="AQ1265" s="351"/>
      <c r="BB1265" s="56"/>
    </row>
    <row r="1266" spans="1:56" ht="13.95" hidden="1" customHeight="1" thickTop="1" thickBot="1" x14ac:dyDescent="0.3">
      <c r="A1266" s="336"/>
      <c r="B1266" s="337" t="s">
        <v>874</v>
      </c>
      <c r="C1266" s="360"/>
      <c r="D1266" s="361" t="str">
        <f>AC1266</f>
        <v/>
      </c>
      <c r="E1266" s="338"/>
      <c r="F1266" s="1"/>
      <c r="AC1266" s="58" t="str">
        <f>IF(AND(AC$1196&gt;0,C1266=BN$1201),BM$1201,IF(AND(AC$1196&gt;0,C1266=BN$1202),BM$1202,IF(AND(AC$1196&gt;0,C1266=BN$1203),BM$1203,IF(AND(AC$1196&gt;0,C1266=BN$1204),BM$1204,IF(AND(AC$1196&gt;0,C1266=BN$1205),BM$1205,"")))))</f>
        <v/>
      </c>
      <c r="AI1266" s="626">
        <f>AV1267/AL$1197</f>
        <v>0</v>
      </c>
      <c r="AJ1266" s="626"/>
      <c r="AK1266" s="56" t="s">
        <v>875</v>
      </c>
      <c r="AO1266" s="11" t="str">
        <f>IF(AI1266=0,"none",(AI1266*100))</f>
        <v>none</v>
      </c>
      <c r="AP1266" s="56" t="str">
        <f>IF(AO1266="none"," of weekly support cost.","% of weekly support cost.")</f>
        <v xml:space="preserve"> of weekly support cost.</v>
      </c>
      <c r="BB1266" s="56"/>
    </row>
    <row r="1267" spans="1:56" ht="13.95" hidden="1" customHeight="1" thickTop="1" thickBot="1" x14ac:dyDescent="0.3">
      <c r="A1267" s="336"/>
      <c r="B1267" s="337" t="s">
        <v>877</v>
      </c>
      <c r="C1267" s="362"/>
      <c r="D1267" s="337" t="str">
        <f>IF(NOT(AV1267&gt;0),"",AC1267)</f>
        <v/>
      </c>
      <c r="E1267" s="338"/>
      <c r="F1267" s="1"/>
      <c r="AC1267" s="263" t="str">
        <f>CONCATENATE(AO1267,AT1267)</f>
        <v>Weekly contribution: $0.00</v>
      </c>
      <c r="AO1267" s="56" t="s">
        <v>878</v>
      </c>
      <c r="AT1267" s="263" t="str">
        <f>DOLLAR(AV1267)</f>
        <v>$0.00</v>
      </c>
      <c r="AV1267" s="338">
        <f>IF(AND(D1266=BM$1205,C1267=B$2043),D$2043,IF(AND(D1266=BM$1205,C1267=B$2044),D$2044,IF(AND(D1266=BM$1205,C1267=B$2045),D$2045,IF(AND(D1266=BM$1205,C1267=B$2046),D$2046,IF(AND(D1266=BM$1205,C1267=B$2047),D$2047,IF(AND(D1266=BM$1205,C1267=B$2048),D$2048,0))))))</f>
        <v>0</v>
      </c>
      <c r="AX1267" s="11" t="str">
        <f>DOLLAR(AZ1267)</f>
        <v>$45.00</v>
      </c>
      <c r="AZ1267" s="363">
        <f>$AJ$1197-AV1267</f>
        <v>45</v>
      </c>
      <c r="BB1267" s="56"/>
      <c r="BD1267" s="322">
        <f>AV1267</f>
        <v>0</v>
      </c>
    </row>
    <row r="1268" spans="1:56" ht="13.95" hidden="1" customHeight="1" thickTop="1" x14ac:dyDescent="0.25">
      <c r="A1268" s="336"/>
      <c r="B1268" s="337"/>
      <c r="C1268" s="337" t="str">
        <f>CONCATENATE(AK1266,AO1266,AP1266)</f>
        <v>This covers none of weekly support cost.</v>
      </c>
      <c r="D1268" s="337" t="str">
        <f>BF$1200</f>
        <v>$45 to go for weekly support.</v>
      </c>
      <c r="E1268" s="338"/>
      <c r="F1268" s="1"/>
      <c r="AC1268" s="56" t="s">
        <v>880</v>
      </c>
      <c r="AI1268" s="154">
        <f>MIN(D1266,AE1262)</f>
        <v>0</v>
      </c>
      <c r="AJ1268" s="56">
        <f>ROUND(AI1268,2)</f>
        <v>0</v>
      </c>
      <c r="AK1268" s="56" t="str">
        <f>CONCATENATE(AC1268,AJ1268)</f>
        <v>contribution per exchange: $0</v>
      </c>
    </row>
    <row r="1269" spans="1:56" ht="13.95" hidden="1" customHeight="1" x14ac:dyDescent="0.25">
      <c r="A1269" s="336"/>
      <c r="B1269" s="337"/>
      <c r="C1269" s="337"/>
      <c r="D1269" s="337"/>
      <c r="E1269" s="338"/>
      <c r="F1269" s="1"/>
    </row>
    <row r="1270" spans="1:56" ht="4.95" hidden="1" customHeight="1" thickBot="1" x14ac:dyDescent="0.3">
      <c r="A1270" s="338"/>
      <c r="B1270" s="340"/>
      <c r="C1270" s="341"/>
      <c r="D1270" s="338"/>
      <c r="E1270" s="338"/>
      <c r="F1270" s="1"/>
      <c r="AC1270" s="334"/>
      <c r="AJ1270" s="437"/>
      <c r="BB1270" s="56"/>
    </row>
    <row r="1271" spans="1:56" ht="16.8" hidden="1" thickTop="1" thickBot="1" x14ac:dyDescent="0.3">
      <c r="A1271" s="347">
        <f>IF(C1271="",0,1+A1261)</f>
        <v>8</v>
      </c>
      <c r="B1271" s="348" t="s">
        <v>890</v>
      </c>
      <c r="C1271" s="349" t="str">
        <f>AM1271</f>
        <v>FIRST NAME</v>
      </c>
      <c r="D1271" s="350" t="str">
        <f>AQ1271</f>
        <v>LAST NAME</v>
      </c>
      <c r="E1271" s="338"/>
      <c r="F1271" s="1"/>
      <c r="AC1271" s="333" t="str">
        <f>IF(NOT(C1271=AM1271),C1271,"")</f>
        <v/>
      </c>
      <c r="AH1271" s="333" t="str">
        <f>IF(NOT(D1271=AQ1271),D1271,"")</f>
        <v/>
      </c>
      <c r="AM1271" s="351" t="s">
        <v>853</v>
      </c>
      <c r="AQ1271" s="351" t="s">
        <v>107</v>
      </c>
      <c r="BB1271" s="56"/>
    </row>
    <row r="1272" spans="1:56" ht="15" hidden="1" thickTop="1" thickBot="1" x14ac:dyDescent="0.3">
      <c r="A1272" s="336"/>
      <c r="B1272" s="338" t="s">
        <v>856</v>
      </c>
      <c r="C1272" s="353"/>
      <c r="D1272" s="5"/>
      <c r="E1272" s="338"/>
      <c r="F1272" s="1"/>
      <c r="AC1272" s="56">
        <f>IF(C1272="",0,1)</f>
        <v>0</v>
      </c>
      <c r="AE1272" s="56">
        <f>IF($AC$1202=1,AC$1197,0)</f>
        <v>0</v>
      </c>
      <c r="BB1272" s="56"/>
    </row>
    <row r="1273" spans="1:56" ht="13.95" hidden="1" customHeight="1" thickTop="1" thickBot="1" x14ac:dyDescent="0.3">
      <c r="A1273" s="336"/>
      <c r="B1273" s="354" t="s">
        <v>859</v>
      </c>
      <c r="C1273" s="353"/>
      <c r="D1273" s="355" t="str">
        <f>AS1273</f>
        <v>AWARENESS OF ISSUE</v>
      </c>
      <c r="E1273" s="338"/>
      <c r="F1273" s="1"/>
      <c r="AM1273" s="356"/>
      <c r="AN1273" s="356"/>
      <c r="AO1273" s="356"/>
      <c r="AP1273" s="356"/>
      <c r="AS1273" s="56" t="str">
        <f>AS1263</f>
        <v>AWARENESS OF ISSUE</v>
      </c>
      <c r="BB1273" s="56"/>
    </row>
    <row r="1274" spans="1:56" ht="13.95" hidden="1" customHeight="1" thickTop="1" thickBot="1" x14ac:dyDescent="0.3">
      <c r="A1274" s="336"/>
      <c r="B1274" s="348" t="s">
        <v>863</v>
      </c>
      <c r="C1274" s="357" t="s">
        <v>864</v>
      </c>
      <c r="D1274" s="357" t="s">
        <v>865</v>
      </c>
      <c r="E1274" s="338"/>
      <c r="F1274" s="1"/>
      <c r="BB1274" s="56"/>
    </row>
    <row r="1275" spans="1:56" ht="13.95" hidden="1" customHeight="1" thickTop="1" thickBot="1" x14ac:dyDescent="0.3">
      <c r="A1275" s="336"/>
      <c r="B1275" s="337" t="s">
        <v>868</v>
      </c>
      <c r="C1275" s="358" t="str">
        <f>AM1275</f>
        <v>YYYY-MM-DD</v>
      </c>
      <c r="D1275" s="358" t="str">
        <f>AM1275</f>
        <v>YYYY-MM-DD</v>
      </c>
      <c r="E1275" s="338"/>
      <c r="F1275" s="1"/>
      <c r="AH1275" s="616" t="str">
        <f>IF(NOT(D1275=AQ1275),D1275,"")</f>
        <v>YYYY-MM-DD</v>
      </c>
      <c r="AI1275" s="616"/>
      <c r="AM1275" s="351" t="s">
        <v>869</v>
      </c>
      <c r="AQ1275" s="351"/>
      <c r="BB1275" s="56"/>
    </row>
    <row r="1276" spans="1:56" ht="13.95" hidden="1" customHeight="1" thickTop="1" thickBot="1" x14ac:dyDescent="0.3">
      <c r="A1276" s="336"/>
      <c r="B1276" s="337" t="s">
        <v>874</v>
      </c>
      <c r="C1276" s="360"/>
      <c r="D1276" s="361" t="str">
        <f>AC1276</f>
        <v/>
      </c>
      <c r="E1276" s="338"/>
      <c r="F1276" s="1"/>
      <c r="AC1276" s="58" t="str">
        <f>IF(AND(AC$1196&gt;0,C1276=BN$1201),BM$1201,IF(AND(AC$1196&gt;0,C1276=BN$1202),BM$1202,IF(AND(AC$1196&gt;0,C1276=BN$1203),BM$1203,IF(AND(AC$1196&gt;0,C1276=BN$1204),BM$1204,IF(AND(AC$1196&gt;0,C1276=BN$1205),BM$1205,"")))))</f>
        <v/>
      </c>
      <c r="AI1276" s="626">
        <f>AV1277/AL$1197</f>
        <v>0</v>
      </c>
      <c r="AJ1276" s="626"/>
      <c r="AK1276" s="56" t="s">
        <v>875</v>
      </c>
      <c r="AO1276" s="11" t="str">
        <f>IF(AI1276=0,"none",(AI1276*100))</f>
        <v>none</v>
      </c>
      <c r="AP1276" s="56" t="str">
        <f>IF(AO1276="none"," of weekly support cost.","% of weekly support cost.")</f>
        <v xml:space="preserve"> of weekly support cost.</v>
      </c>
      <c r="BB1276" s="56"/>
    </row>
    <row r="1277" spans="1:56" ht="13.95" hidden="1" customHeight="1" thickTop="1" thickBot="1" x14ac:dyDescent="0.3">
      <c r="A1277" s="336"/>
      <c r="B1277" s="337" t="s">
        <v>877</v>
      </c>
      <c r="C1277" s="362"/>
      <c r="D1277" s="337" t="str">
        <f>IF(NOT(AV1277&gt;0),"",AC1277)</f>
        <v/>
      </c>
      <c r="E1277" s="338"/>
      <c r="F1277" s="1"/>
      <c r="AC1277" s="263" t="str">
        <f>CONCATENATE(AO1277,AT1277)</f>
        <v>Weekly contribution: $0.00</v>
      </c>
      <c r="AO1277" s="56" t="s">
        <v>878</v>
      </c>
      <c r="AT1277" s="263" t="str">
        <f>DOLLAR(AV1277)</f>
        <v>$0.00</v>
      </c>
      <c r="AV1277" s="338">
        <f>IF(AND(D1276=BM$1205,C1277=B$2043),D$2043,IF(AND(D1276=BM$1205,C1277=B$2044),D$2044,IF(AND(D1276=BM$1205,C1277=B$2045),D$2045,IF(AND(D1276=BM$1205,C1277=B$2046),D$2046,IF(AND(D1276=BM$1205,C1277=B$2047),D$2047,IF(AND(D1276=BM$1205,C1277=B$2048),D$2048,0))))))</f>
        <v>0</v>
      </c>
      <c r="AX1277" s="11" t="str">
        <f>DOLLAR(AZ1277)</f>
        <v>$45.00</v>
      </c>
      <c r="AZ1277" s="363">
        <f>$AJ$1197-AV1277</f>
        <v>45</v>
      </c>
      <c r="BB1277" s="56"/>
      <c r="BD1277" s="322">
        <f>AV1277</f>
        <v>0</v>
      </c>
    </row>
    <row r="1278" spans="1:56" ht="13.95" hidden="1" customHeight="1" thickTop="1" x14ac:dyDescent="0.25">
      <c r="A1278" s="336"/>
      <c r="B1278" s="337"/>
      <c r="C1278" s="337" t="str">
        <f>CONCATENATE(AK1276,AO1276,AP1276)</f>
        <v>This covers none of weekly support cost.</v>
      </c>
      <c r="D1278" s="337" t="str">
        <f>BF$1200</f>
        <v>$45 to go for weekly support.</v>
      </c>
      <c r="E1278" s="338"/>
      <c r="F1278" s="1"/>
      <c r="AC1278" s="56" t="s">
        <v>880</v>
      </c>
      <c r="AI1278" s="154">
        <f>MIN(D1276,AE1272)</f>
        <v>0</v>
      </c>
      <c r="AJ1278" s="56">
        <f>ROUND(AI1278,2)</f>
        <v>0</v>
      </c>
      <c r="AK1278" s="56" t="str">
        <f>CONCATENATE(AC1278,AJ1278)</f>
        <v>contribution per exchange: $0</v>
      </c>
    </row>
    <row r="1279" spans="1:56" ht="13.95" hidden="1" customHeight="1" x14ac:dyDescent="0.25">
      <c r="A1279" s="336"/>
      <c r="B1279" s="337"/>
      <c r="C1279" s="337"/>
      <c r="D1279" s="337"/>
      <c r="E1279" s="338"/>
      <c r="F1279" s="1"/>
    </row>
    <row r="1280" spans="1:56" ht="4.95" hidden="1" customHeight="1" thickBot="1" x14ac:dyDescent="0.3">
      <c r="A1280" s="338"/>
      <c r="B1280" s="340"/>
      <c r="C1280" s="341"/>
      <c r="D1280" s="338"/>
      <c r="E1280" s="338"/>
      <c r="F1280" s="1"/>
      <c r="AC1280" s="334"/>
      <c r="AJ1280" s="437"/>
      <c r="BB1280" s="56"/>
    </row>
    <row r="1281" spans="1:56" ht="16.8" hidden="1" thickTop="1" thickBot="1" x14ac:dyDescent="0.3">
      <c r="A1281" s="347">
        <f>IF(C1281="",0,1+A1271)</f>
        <v>9</v>
      </c>
      <c r="B1281" s="348" t="s">
        <v>891</v>
      </c>
      <c r="C1281" s="349" t="str">
        <f>AM1281</f>
        <v>FIRST NAME</v>
      </c>
      <c r="D1281" s="350" t="str">
        <f>AQ1281</f>
        <v>LAST NAME</v>
      </c>
      <c r="E1281" s="338"/>
      <c r="F1281" s="1"/>
      <c r="AC1281" s="333" t="str">
        <f>IF(NOT(C1281=AM1281),C1281,"")</f>
        <v/>
      </c>
      <c r="AH1281" s="333" t="str">
        <f>IF(NOT(D1281=AQ1281),D1281,"")</f>
        <v/>
      </c>
      <c r="AM1281" s="351" t="s">
        <v>853</v>
      </c>
      <c r="AQ1281" s="351" t="s">
        <v>107</v>
      </c>
      <c r="BB1281" s="56"/>
    </row>
    <row r="1282" spans="1:56" ht="15" hidden="1" thickTop="1" thickBot="1" x14ac:dyDescent="0.3">
      <c r="A1282" s="336"/>
      <c r="B1282" s="338" t="s">
        <v>856</v>
      </c>
      <c r="C1282" s="353"/>
      <c r="D1282" s="5"/>
      <c r="E1282" s="338"/>
      <c r="F1282" s="1"/>
      <c r="AC1282" s="56">
        <f>IF(C1282="",0,1)</f>
        <v>0</v>
      </c>
      <c r="AE1282" s="56">
        <f>IF($AC$1202=1,AC$1197,0)</f>
        <v>0</v>
      </c>
      <c r="BB1282" s="56"/>
    </row>
    <row r="1283" spans="1:56" ht="13.95" hidden="1" customHeight="1" thickTop="1" thickBot="1" x14ac:dyDescent="0.3">
      <c r="A1283" s="336"/>
      <c r="B1283" s="354" t="s">
        <v>859</v>
      </c>
      <c r="C1283" s="353"/>
      <c r="D1283" s="355" t="str">
        <f>AS1283</f>
        <v>AWARENESS OF ISSUE</v>
      </c>
      <c r="E1283" s="338"/>
      <c r="F1283" s="1"/>
      <c r="AM1283" s="356"/>
      <c r="AN1283" s="356"/>
      <c r="AO1283" s="356"/>
      <c r="AP1283" s="356"/>
      <c r="AS1283" s="56" t="str">
        <f>AS1273</f>
        <v>AWARENESS OF ISSUE</v>
      </c>
      <c r="BB1283" s="56"/>
    </row>
    <row r="1284" spans="1:56" ht="13.95" hidden="1" customHeight="1" thickTop="1" thickBot="1" x14ac:dyDescent="0.3">
      <c r="A1284" s="336"/>
      <c r="B1284" s="348" t="s">
        <v>863</v>
      </c>
      <c r="C1284" s="357" t="s">
        <v>864</v>
      </c>
      <c r="D1284" s="357" t="s">
        <v>865</v>
      </c>
      <c r="E1284" s="338"/>
      <c r="F1284" s="1"/>
      <c r="BB1284" s="56"/>
    </row>
    <row r="1285" spans="1:56" ht="13.95" hidden="1" customHeight="1" thickTop="1" thickBot="1" x14ac:dyDescent="0.3">
      <c r="A1285" s="336"/>
      <c r="B1285" s="337" t="s">
        <v>868</v>
      </c>
      <c r="C1285" s="358" t="str">
        <f>AM1285</f>
        <v>YYYY-MM-DD</v>
      </c>
      <c r="D1285" s="358" t="str">
        <f>AM1285</f>
        <v>YYYY-MM-DD</v>
      </c>
      <c r="E1285" s="338"/>
      <c r="F1285" s="1"/>
      <c r="AH1285" s="616" t="str">
        <f>IF(NOT(D1285=AQ1285),D1285,"")</f>
        <v>YYYY-MM-DD</v>
      </c>
      <c r="AI1285" s="616"/>
      <c r="AM1285" s="351" t="s">
        <v>869</v>
      </c>
      <c r="AQ1285" s="351"/>
      <c r="BB1285" s="56"/>
    </row>
    <row r="1286" spans="1:56" ht="13.95" hidden="1" customHeight="1" thickTop="1" thickBot="1" x14ac:dyDescent="0.3">
      <c r="A1286" s="336"/>
      <c r="B1286" s="337" t="s">
        <v>874</v>
      </c>
      <c r="C1286" s="360"/>
      <c r="D1286" s="361" t="str">
        <f>AC1286</f>
        <v/>
      </c>
      <c r="E1286" s="338"/>
      <c r="F1286" s="1"/>
      <c r="AC1286" s="58" t="str">
        <f>IF(AND(AC$1196&gt;0,C1286=BN$1201),BM$1201,IF(AND(AC$1196&gt;0,C1286=BN$1202),BM$1202,IF(AND(AC$1196&gt;0,C1286=BN$1203),BM$1203,IF(AND(AC$1196&gt;0,C1286=BN$1204),BM$1204,IF(AND(AC$1196&gt;0,C1286=BN$1205),BM$1205,"")))))</f>
        <v/>
      </c>
      <c r="AI1286" s="626">
        <f>AV1287/AL$1197</f>
        <v>0</v>
      </c>
      <c r="AJ1286" s="626"/>
      <c r="AK1286" s="56" t="s">
        <v>875</v>
      </c>
      <c r="AO1286" s="11" t="str">
        <f>IF(AI1286=0,"none",(AI1286*100))</f>
        <v>none</v>
      </c>
      <c r="AP1286" s="56" t="str">
        <f>IF(AO1286="none"," of weekly support cost.","% of weekly support cost.")</f>
        <v xml:space="preserve"> of weekly support cost.</v>
      </c>
      <c r="BB1286" s="56"/>
    </row>
    <row r="1287" spans="1:56" ht="13.95" hidden="1" customHeight="1" thickTop="1" thickBot="1" x14ac:dyDescent="0.3">
      <c r="A1287" s="336"/>
      <c r="B1287" s="337" t="s">
        <v>877</v>
      </c>
      <c r="C1287" s="362"/>
      <c r="D1287" s="337" t="str">
        <f>IF(NOT(AV1287&gt;0),"",AC1287)</f>
        <v/>
      </c>
      <c r="E1287" s="338"/>
      <c r="F1287" s="1"/>
      <c r="AC1287" s="263" t="str">
        <f>CONCATENATE(AO1287,AT1287)</f>
        <v>Weekly contribution: $0.00</v>
      </c>
      <c r="AO1287" s="56" t="s">
        <v>878</v>
      </c>
      <c r="AT1287" s="263" t="str">
        <f>DOLLAR(AV1287)</f>
        <v>$0.00</v>
      </c>
      <c r="AV1287" s="338">
        <f>IF(AND(D1286=BM$1205,C1287=B$2043),D$2043,IF(AND(D1286=BM$1205,C1287=B$2044),D$2044,IF(AND(D1286=BM$1205,C1287=B$2045),D$2045,IF(AND(D1286=BM$1205,C1287=B$2046),D$2046,IF(AND(D1286=BM$1205,C1287=B$2047),D$2047,IF(AND(D1286=BM$1205,C1287=B$2048),D$2048,0))))))</f>
        <v>0</v>
      </c>
      <c r="AX1287" s="11" t="str">
        <f>DOLLAR(AZ1287)</f>
        <v>$45.00</v>
      </c>
      <c r="AZ1287" s="363">
        <f>$AJ$1197-AV1287</f>
        <v>45</v>
      </c>
      <c r="BB1287" s="56"/>
      <c r="BD1287" s="322">
        <f>AV1287</f>
        <v>0</v>
      </c>
    </row>
    <row r="1288" spans="1:56" ht="13.95" hidden="1" customHeight="1" thickTop="1" x14ac:dyDescent="0.25">
      <c r="A1288" s="336"/>
      <c r="B1288" s="337"/>
      <c r="C1288" s="337" t="str">
        <f>CONCATENATE(AK1286,AO1286,AP1286)</f>
        <v>This covers none of weekly support cost.</v>
      </c>
      <c r="D1288" s="337" t="str">
        <f>BF$1200</f>
        <v>$45 to go for weekly support.</v>
      </c>
      <c r="E1288" s="338"/>
      <c r="F1288" s="1"/>
      <c r="AC1288" s="56" t="s">
        <v>880</v>
      </c>
      <c r="AI1288" s="154">
        <f>MIN(D1286,AE1282)</f>
        <v>0</v>
      </c>
      <c r="AJ1288" s="56">
        <f>ROUND(AI1288,2)</f>
        <v>0</v>
      </c>
      <c r="AK1288" s="56" t="str">
        <f>CONCATENATE(AC1288,AJ1288)</f>
        <v>contribution per exchange: $0</v>
      </c>
    </row>
    <row r="1289" spans="1:56" ht="18" hidden="1" customHeight="1" x14ac:dyDescent="0.25">
      <c r="A1289" s="336"/>
      <c r="B1289" s="337"/>
      <c r="C1289" s="337"/>
      <c r="D1289" s="337"/>
      <c r="E1289" s="338"/>
      <c r="F1289" s="1"/>
    </row>
    <row r="1290" spans="1:56" ht="4.95" hidden="1" customHeight="1" thickBot="1" x14ac:dyDescent="0.3">
      <c r="A1290" s="338"/>
      <c r="B1290" s="340"/>
      <c r="C1290" s="341"/>
      <c r="D1290" s="338"/>
      <c r="E1290" s="338"/>
      <c r="F1290" s="1"/>
      <c r="AC1290" s="334"/>
      <c r="AJ1290" s="437"/>
      <c r="BB1290" s="56"/>
    </row>
    <row r="1291" spans="1:56" ht="16.8" hidden="1" thickTop="1" thickBot="1" x14ac:dyDescent="0.3">
      <c r="A1291" s="347">
        <f>IF(C1291="",0,1+A1281)</f>
        <v>10</v>
      </c>
      <c r="B1291" s="348" t="s">
        <v>892</v>
      </c>
      <c r="C1291" s="349" t="str">
        <f>AM1291</f>
        <v>FIRST NAME</v>
      </c>
      <c r="D1291" s="350" t="str">
        <f>AQ1291</f>
        <v>LAST NAME</v>
      </c>
      <c r="E1291" s="338"/>
      <c r="F1291" s="1"/>
      <c r="AC1291" s="333" t="str">
        <f>IF(NOT(C1291=AM1291),C1291,"")</f>
        <v/>
      </c>
      <c r="AH1291" s="333" t="str">
        <f>IF(NOT(D1291=AQ1291),D1291,"")</f>
        <v/>
      </c>
      <c r="AM1291" s="351" t="s">
        <v>853</v>
      </c>
      <c r="AQ1291" s="351" t="s">
        <v>107</v>
      </c>
      <c r="BB1291" s="56"/>
    </row>
    <row r="1292" spans="1:56" ht="15" hidden="1" thickTop="1" thickBot="1" x14ac:dyDescent="0.3">
      <c r="A1292" s="336"/>
      <c r="B1292" s="338" t="s">
        <v>856</v>
      </c>
      <c r="C1292" s="353"/>
      <c r="D1292" s="5"/>
      <c r="E1292" s="338"/>
      <c r="F1292" s="1"/>
      <c r="AC1292" s="56">
        <f>IF(C1292="",0,1)</f>
        <v>0</v>
      </c>
      <c r="AE1292" s="56">
        <f>IF($AC$1202=1,AC$1197,0)</f>
        <v>0</v>
      </c>
      <c r="BB1292" s="56"/>
    </row>
    <row r="1293" spans="1:56" ht="13.95" hidden="1" customHeight="1" thickTop="1" thickBot="1" x14ac:dyDescent="0.3">
      <c r="A1293" s="336"/>
      <c r="B1293" s="354" t="s">
        <v>859</v>
      </c>
      <c r="C1293" s="353"/>
      <c r="D1293" s="355" t="str">
        <f>AS1293</f>
        <v>AWARENESS OF ISSUE</v>
      </c>
      <c r="E1293" s="338"/>
      <c r="F1293" s="1"/>
      <c r="AM1293" s="356"/>
      <c r="AN1293" s="356"/>
      <c r="AO1293" s="356"/>
      <c r="AP1293" s="356"/>
      <c r="AS1293" s="56" t="str">
        <f>AS1283</f>
        <v>AWARENESS OF ISSUE</v>
      </c>
      <c r="BB1293" s="56"/>
    </row>
    <row r="1294" spans="1:56" ht="13.95" hidden="1" customHeight="1" thickTop="1" thickBot="1" x14ac:dyDescent="0.3">
      <c r="A1294" s="336"/>
      <c r="B1294" s="348" t="s">
        <v>863</v>
      </c>
      <c r="C1294" s="357" t="s">
        <v>864</v>
      </c>
      <c r="D1294" s="357" t="s">
        <v>865</v>
      </c>
      <c r="E1294" s="338"/>
      <c r="F1294" s="1"/>
      <c r="BB1294" s="56"/>
    </row>
    <row r="1295" spans="1:56" ht="13.95" hidden="1" customHeight="1" thickTop="1" thickBot="1" x14ac:dyDescent="0.3">
      <c r="A1295" s="336"/>
      <c r="B1295" s="337" t="s">
        <v>868</v>
      </c>
      <c r="C1295" s="358" t="str">
        <f>AM1295</f>
        <v>YYYY-MM-DD</v>
      </c>
      <c r="D1295" s="358" t="str">
        <f>AM1295</f>
        <v>YYYY-MM-DD</v>
      </c>
      <c r="E1295" s="338"/>
      <c r="F1295" s="1"/>
      <c r="AH1295" s="616" t="str">
        <f>IF(NOT(D1295=AQ1295),D1295,"")</f>
        <v>YYYY-MM-DD</v>
      </c>
      <c r="AI1295" s="616"/>
      <c r="AM1295" s="351" t="s">
        <v>869</v>
      </c>
      <c r="AQ1295" s="351"/>
      <c r="BB1295" s="56"/>
    </row>
    <row r="1296" spans="1:56" ht="13.95" hidden="1" customHeight="1" thickTop="1" thickBot="1" x14ac:dyDescent="0.3">
      <c r="A1296" s="336"/>
      <c r="B1296" s="337" t="s">
        <v>874</v>
      </c>
      <c r="C1296" s="360"/>
      <c r="D1296" s="361" t="str">
        <f>AC1296</f>
        <v/>
      </c>
      <c r="E1296" s="338"/>
      <c r="F1296" s="1"/>
      <c r="AC1296" s="58" t="str">
        <f>IF(AND(AC$1196&gt;0,C1296=BN$1201),BM$1201,IF(AND(AC$1196&gt;0,C1296=BN$1202),BM$1202,IF(AND(AC$1196&gt;0,C1296=BN$1203),BM$1203,IF(AND(AC$1196&gt;0,C1296=BN$1204),BM$1204,IF(AND(AC$1196&gt;0,C1296=BN$1205),BM$1205,"")))))</f>
        <v/>
      </c>
      <c r="AI1296" s="626">
        <f>AV1297/AL$1197</f>
        <v>0</v>
      </c>
      <c r="AJ1296" s="626"/>
      <c r="AK1296" s="56" t="s">
        <v>875</v>
      </c>
      <c r="AO1296" s="11" t="str">
        <f>IF(AI1296=0,"none",(AI1296*100))</f>
        <v>none</v>
      </c>
      <c r="AP1296" s="56" t="str">
        <f>IF(AO1296="none"," of weekly support cost.","% of weekly support cost.")</f>
        <v xml:space="preserve"> of weekly support cost.</v>
      </c>
      <c r="BB1296" s="56"/>
    </row>
    <row r="1297" spans="1:56" ht="13.95" hidden="1" customHeight="1" thickTop="1" thickBot="1" x14ac:dyDescent="0.3">
      <c r="A1297" s="336"/>
      <c r="B1297" s="337" t="s">
        <v>877</v>
      </c>
      <c r="C1297" s="362"/>
      <c r="D1297" s="337" t="str">
        <f>IF(NOT(AV1297&gt;0),"",AC1297)</f>
        <v/>
      </c>
      <c r="E1297" s="338"/>
      <c r="F1297" s="1"/>
      <c r="AC1297" s="263" t="str">
        <f>CONCATENATE(AO1297,AT1297)</f>
        <v>Weekly contribution: $0.00</v>
      </c>
      <c r="AO1297" s="56" t="s">
        <v>878</v>
      </c>
      <c r="AT1297" s="263" t="str">
        <f>DOLLAR(AV1297)</f>
        <v>$0.00</v>
      </c>
      <c r="AV1297" s="338">
        <f>IF(AND(D1296=BM$1205,C1297=B$2043),D$2043,IF(AND(D1296=BM$1205,C1297=B$2044),D$2044,IF(AND(D1296=BM$1205,C1297=B$2045),D$2045,IF(AND(D1296=BM$1205,C1297=B$2046),D$2046,IF(AND(D1296=BM$1205,C1297=B$2047),D$2047,IF(AND(D1296=BM$1205,C1297=B$2048),D$2048,0))))))</f>
        <v>0</v>
      </c>
      <c r="AX1297" s="11" t="str">
        <f>DOLLAR(AZ1297)</f>
        <v>$45.00</v>
      </c>
      <c r="AZ1297" s="363">
        <f>$AJ$1197-AV1297</f>
        <v>45</v>
      </c>
      <c r="BB1297" s="359">
        <f>AV1297/AC$1197</f>
        <v>0</v>
      </c>
      <c r="BD1297" s="322">
        <f>AV1297</f>
        <v>0</v>
      </c>
    </row>
    <row r="1298" spans="1:56" ht="13.95" hidden="1" customHeight="1" thickTop="1" x14ac:dyDescent="0.25">
      <c r="A1298" s="336"/>
      <c r="B1298" s="337"/>
      <c r="C1298" s="337" t="str">
        <f>CONCATENATE(AK1296,AO1296,AP1296)</f>
        <v>This covers none of weekly support cost.</v>
      </c>
      <c r="D1298" s="337" t="str">
        <f>BF$1200</f>
        <v>$45 to go for weekly support.</v>
      </c>
      <c r="E1298" s="338"/>
      <c r="F1298" s="1"/>
      <c r="AC1298" s="56" t="s">
        <v>880</v>
      </c>
      <c r="AI1298" s="154">
        <f>MIN(D1296,AE1292)</f>
        <v>0</v>
      </c>
      <c r="AJ1298" s="56">
        <f>ROUND(AI1298,2)</f>
        <v>0</v>
      </c>
      <c r="AK1298" s="56" t="str">
        <f>CONCATENATE(AC1298,AJ1298)</f>
        <v>contribution per exchange: $0</v>
      </c>
    </row>
    <row r="1299" spans="1:56" ht="13.95" hidden="1" customHeight="1" x14ac:dyDescent="0.25">
      <c r="A1299" s="336"/>
      <c r="B1299" s="337"/>
      <c r="C1299" s="337"/>
      <c r="D1299" s="337"/>
      <c r="E1299" s="338"/>
      <c r="F1299" s="1"/>
    </row>
    <row r="1300" spans="1:56" ht="4.95" hidden="1" customHeight="1" thickBot="1" x14ac:dyDescent="0.3">
      <c r="A1300" s="338"/>
      <c r="B1300" s="340"/>
      <c r="C1300" s="341"/>
      <c r="D1300" s="338"/>
      <c r="E1300" s="338"/>
      <c r="F1300" s="1"/>
      <c r="AC1300" s="334"/>
      <c r="AJ1300" s="437"/>
      <c r="BB1300" s="56"/>
    </row>
    <row r="1301" spans="1:56" ht="16.8" hidden="1" thickTop="1" thickBot="1" x14ac:dyDescent="0.3">
      <c r="A1301" s="347">
        <f>IF(C1301="",0,1+A1291)</f>
        <v>11</v>
      </c>
      <c r="B1301" s="348" t="s">
        <v>893</v>
      </c>
      <c r="C1301" s="349" t="str">
        <f>AM1301</f>
        <v>FIRST NAME</v>
      </c>
      <c r="D1301" s="350" t="str">
        <f>AQ1301</f>
        <v>LAST NAME</v>
      </c>
      <c r="E1301" s="338"/>
      <c r="F1301" s="1"/>
      <c r="AC1301" s="333" t="str">
        <f>IF(NOT(C1301=AM1301),C1301,"")</f>
        <v/>
      </c>
      <c r="AH1301" s="333" t="str">
        <f>IF(NOT(D1301=AQ1301),D1301,"")</f>
        <v/>
      </c>
      <c r="AM1301" s="351" t="s">
        <v>853</v>
      </c>
      <c r="AQ1301" s="351" t="s">
        <v>107</v>
      </c>
      <c r="BB1301" s="56"/>
    </row>
    <row r="1302" spans="1:56" ht="15" hidden="1" thickTop="1" thickBot="1" x14ac:dyDescent="0.3">
      <c r="A1302" s="336"/>
      <c r="B1302" s="338" t="s">
        <v>856</v>
      </c>
      <c r="C1302" s="353"/>
      <c r="D1302" s="5"/>
      <c r="E1302" s="338"/>
      <c r="F1302" s="1"/>
      <c r="AC1302" s="56">
        <f>IF(C1302="",0,1)</f>
        <v>0</v>
      </c>
      <c r="AE1302" s="56">
        <f>IF($AC$1202=1,AC$1197,0)</f>
        <v>0</v>
      </c>
      <c r="BB1302" s="56"/>
    </row>
    <row r="1303" spans="1:56" ht="13.95" hidden="1" customHeight="1" thickTop="1" thickBot="1" x14ac:dyDescent="0.3">
      <c r="A1303" s="336"/>
      <c r="B1303" s="354" t="s">
        <v>859</v>
      </c>
      <c r="C1303" s="353"/>
      <c r="D1303" s="355" t="str">
        <f>AS1303</f>
        <v>AWARENESS OF ISSUE</v>
      </c>
      <c r="E1303" s="338"/>
      <c r="F1303" s="1"/>
      <c r="AM1303" s="356"/>
      <c r="AN1303" s="356"/>
      <c r="AO1303" s="356"/>
      <c r="AP1303" s="356"/>
      <c r="AS1303" s="56" t="str">
        <f>AS1293</f>
        <v>AWARENESS OF ISSUE</v>
      </c>
      <c r="BB1303" s="56"/>
    </row>
    <row r="1304" spans="1:56" ht="13.95" hidden="1" customHeight="1" thickTop="1" thickBot="1" x14ac:dyDescent="0.3">
      <c r="A1304" s="336"/>
      <c r="B1304" s="348" t="s">
        <v>863</v>
      </c>
      <c r="C1304" s="357" t="s">
        <v>864</v>
      </c>
      <c r="D1304" s="357" t="s">
        <v>865</v>
      </c>
      <c r="E1304" s="338"/>
      <c r="F1304" s="1"/>
      <c r="BB1304" s="56"/>
    </row>
    <row r="1305" spans="1:56" ht="13.95" hidden="1" customHeight="1" thickTop="1" thickBot="1" x14ac:dyDescent="0.3">
      <c r="A1305" s="336"/>
      <c r="B1305" s="337" t="s">
        <v>868</v>
      </c>
      <c r="C1305" s="358" t="str">
        <f>AM1305</f>
        <v>YYYY-MM-DD</v>
      </c>
      <c r="D1305" s="358" t="str">
        <f>AM1305</f>
        <v>YYYY-MM-DD</v>
      </c>
      <c r="E1305" s="338"/>
      <c r="F1305" s="1"/>
      <c r="AH1305" s="616" t="str">
        <f>IF(NOT(D1305=AQ1305),D1305,"")</f>
        <v>YYYY-MM-DD</v>
      </c>
      <c r="AI1305" s="616"/>
      <c r="AM1305" s="351" t="s">
        <v>869</v>
      </c>
      <c r="AQ1305" s="351"/>
      <c r="BB1305" s="56"/>
    </row>
    <row r="1306" spans="1:56" ht="13.95" hidden="1" customHeight="1" thickTop="1" thickBot="1" x14ac:dyDescent="0.3">
      <c r="A1306" s="336"/>
      <c r="B1306" s="337" t="s">
        <v>874</v>
      </c>
      <c r="C1306" s="360"/>
      <c r="D1306" s="361" t="str">
        <f>AC1306</f>
        <v/>
      </c>
      <c r="E1306" s="338"/>
      <c r="F1306" s="1"/>
      <c r="AC1306" s="58" t="str">
        <f>IF(AND(AC$1196&gt;0,C1306=BN$1201),BM$1201,IF(AND(AC$1196&gt;0,C1306=BN$1202),BM$1202,IF(AND(AC$1196&gt;0,C1306=BN$1203),BM$1203,IF(AND(AC$1196&gt;0,C1306=BN$1204),BM$1204,IF(AND(AC$1196&gt;0,C1306=BN$1205),BM$1205,"")))))</f>
        <v/>
      </c>
      <c r="AI1306" s="626">
        <f>AV1307/AL$1197</f>
        <v>0</v>
      </c>
      <c r="AJ1306" s="626"/>
      <c r="AK1306" s="56" t="s">
        <v>875</v>
      </c>
      <c r="AO1306" s="11" t="str">
        <f>IF(AI1306=0,"none",(AI1306*100))</f>
        <v>none</v>
      </c>
      <c r="AP1306" s="56" t="str">
        <f>IF(AO1306="none"," of weekly support cost.","% of weekly support cost.")</f>
        <v xml:space="preserve"> of weekly support cost.</v>
      </c>
      <c r="BB1306" s="56"/>
    </row>
    <row r="1307" spans="1:56" ht="13.95" hidden="1" customHeight="1" thickTop="1" thickBot="1" x14ac:dyDescent="0.3">
      <c r="A1307" s="336"/>
      <c r="B1307" s="337" t="s">
        <v>877</v>
      </c>
      <c r="C1307" s="362"/>
      <c r="D1307" s="337" t="str">
        <f>IF(NOT(AV1307&gt;0),"",AC1307)</f>
        <v/>
      </c>
      <c r="E1307" s="338"/>
      <c r="F1307" s="1"/>
      <c r="AC1307" s="263" t="str">
        <f>CONCATENATE(AO1307,AT1307)</f>
        <v>Weekly contribution: $0.00</v>
      </c>
      <c r="AO1307" s="56" t="s">
        <v>878</v>
      </c>
      <c r="AT1307" s="263" t="str">
        <f>DOLLAR(AV1307)</f>
        <v>$0.00</v>
      </c>
      <c r="AV1307" s="338">
        <f>IF(AND(D1306=BM$1205,C1307=B$2043),D$2043,IF(AND(D1306=BM$1205,C1307=B$2044),D$2044,IF(AND(D1306=BM$1205,C1307=B$2045),D$2045,IF(AND(D1306=BM$1205,C1307=B$2046),D$2046,IF(AND(D1306=BM$1205,C1307=B$2047),D$2047,IF(AND(D1306=BM$1205,C1307=B$2048),D$2048,0))))))</f>
        <v>0</v>
      </c>
      <c r="AX1307" s="11" t="str">
        <f>DOLLAR(AZ1307)</f>
        <v>$45.00</v>
      </c>
      <c r="AZ1307" s="363">
        <f>$AJ$1197-AV1307</f>
        <v>45</v>
      </c>
      <c r="BB1307" s="56"/>
      <c r="BD1307" s="322">
        <f>AV1307</f>
        <v>0</v>
      </c>
    </row>
    <row r="1308" spans="1:56" ht="13.95" hidden="1" customHeight="1" thickTop="1" x14ac:dyDescent="0.25">
      <c r="A1308" s="336"/>
      <c r="B1308" s="337"/>
      <c r="C1308" s="337" t="str">
        <f>CONCATENATE(AK1306,AO1306,AP1306)</f>
        <v>This covers none of weekly support cost.</v>
      </c>
      <c r="D1308" s="337" t="str">
        <f>BF$1200</f>
        <v>$45 to go for weekly support.</v>
      </c>
      <c r="E1308" s="338"/>
      <c r="F1308" s="1"/>
      <c r="AC1308" s="56" t="s">
        <v>880</v>
      </c>
      <c r="AI1308" s="154">
        <f>MIN(D1306,AE1302)</f>
        <v>0</v>
      </c>
      <c r="AJ1308" s="56">
        <f>ROUND(AI1308,2)</f>
        <v>0</v>
      </c>
      <c r="AK1308" s="56" t="str">
        <f>CONCATENATE(AC1308,AJ1308)</f>
        <v>contribution per exchange: $0</v>
      </c>
    </row>
    <row r="1309" spans="1:56" ht="13.95" hidden="1" customHeight="1" x14ac:dyDescent="0.25">
      <c r="A1309" s="336"/>
      <c r="B1309" s="337"/>
      <c r="C1309" s="337"/>
      <c r="D1309" s="337"/>
      <c r="E1309" s="338"/>
      <c r="F1309" s="1"/>
    </row>
    <row r="1310" spans="1:56" ht="4.95" hidden="1" customHeight="1" thickBot="1" x14ac:dyDescent="0.3">
      <c r="A1310" s="338"/>
      <c r="B1310" s="340"/>
      <c r="C1310" s="341"/>
      <c r="D1310" s="338"/>
      <c r="E1310" s="338"/>
      <c r="F1310" s="1"/>
      <c r="AC1310" s="334"/>
      <c r="AJ1310" s="437"/>
      <c r="BB1310" s="56"/>
    </row>
    <row r="1311" spans="1:56" ht="16.8" hidden="1" thickTop="1" thickBot="1" x14ac:dyDescent="0.3">
      <c r="A1311" s="347">
        <f>IF(C1311="",0,1+A1301)</f>
        <v>12</v>
      </c>
      <c r="B1311" s="348" t="s">
        <v>894</v>
      </c>
      <c r="C1311" s="349" t="str">
        <f>AM1311</f>
        <v>FIRST NAME</v>
      </c>
      <c r="D1311" s="350" t="str">
        <f>AQ1311</f>
        <v>LAST NAME</v>
      </c>
      <c r="E1311" s="338"/>
      <c r="F1311" s="1"/>
      <c r="AC1311" s="333" t="str">
        <f>IF(NOT(C1311=AM1311),C1311,"")</f>
        <v/>
      </c>
      <c r="AH1311" s="333" t="str">
        <f>IF(NOT(D1311=AQ1311),D1311,"")</f>
        <v/>
      </c>
      <c r="AM1311" s="351" t="s">
        <v>853</v>
      </c>
      <c r="AQ1311" s="351" t="s">
        <v>107</v>
      </c>
      <c r="BB1311" s="56"/>
    </row>
    <row r="1312" spans="1:56" ht="15" hidden="1" thickTop="1" thickBot="1" x14ac:dyDescent="0.3">
      <c r="A1312" s="336"/>
      <c r="B1312" s="338" t="s">
        <v>856</v>
      </c>
      <c r="C1312" s="353"/>
      <c r="D1312" s="5"/>
      <c r="E1312" s="338"/>
      <c r="F1312" s="1"/>
      <c r="AC1312" s="56">
        <f>IF(C1312="",0,1)</f>
        <v>0</v>
      </c>
      <c r="AE1312" s="56">
        <f>IF($AC$1202=1,AC$1197,0)</f>
        <v>0</v>
      </c>
      <c r="BB1312" s="56"/>
    </row>
    <row r="1313" spans="1:56" ht="13.95" hidden="1" customHeight="1" thickTop="1" thickBot="1" x14ac:dyDescent="0.3">
      <c r="A1313" s="336"/>
      <c r="B1313" s="354" t="s">
        <v>859</v>
      </c>
      <c r="C1313" s="353"/>
      <c r="D1313" s="355" t="str">
        <f>AS1313</f>
        <v>AWARENESS OF ISSUE</v>
      </c>
      <c r="E1313" s="338"/>
      <c r="F1313" s="1"/>
      <c r="AM1313" s="356"/>
      <c r="AN1313" s="356"/>
      <c r="AO1313" s="356"/>
      <c r="AP1313" s="356"/>
      <c r="AS1313" s="56" t="str">
        <f>AS1303</f>
        <v>AWARENESS OF ISSUE</v>
      </c>
      <c r="BB1313" s="56"/>
    </row>
    <row r="1314" spans="1:56" ht="13.95" hidden="1" customHeight="1" thickTop="1" thickBot="1" x14ac:dyDescent="0.3">
      <c r="A1314" s="336"/>
      <c r="B1314" s="348" t="s">
        <v>863</v>
      </c>
      <c r="C1314" s="357" t="s">
        <v>864</v>
      </c>
      <c r="D1314" s="357" t="s">
        <v>865</v>
      </c>
      <c r="E1314" s="338"/>
      <c r="F1314" s="1"/>
      <c r="BB1314" s="56"/>
    </row>
    <row r="1315" spans="1:56" ht="13.95" hidden="1" customHeight="1" thickTop="1" thickBot="1" x14ac:dyDescent="0.3">
      <c r="A1315" s="336"/>
      <c r="B1315" s="337" t="s">
        <v>868</v>
      </c>
      <c r="C1315" s="358" t="str">
        <f>AM1315</f>
        <v>YYYY-MM-DD</v>
      </c>
      <c r="D1315" s="358" t="str">
        <f>AM1315</f>
        <v>YYYY-MM-DD</v>
      </c>
      <c r="E1315" s="338"/>
      <c r="F1315" s="1"/>
      <c r="AH1315" s="616" t="str">
        <f>IF(NOT(D1315=AQ1315),D1315,"")</f>
        <v>YYYY-MM-DD</v>
      </c>
      <c r="AI1315" s="616"/>
      <c r="AM1315" s="351" t="s">
        <v>869</v>
      </c>
      <c r="AQ1315" s="351"/>
      <c r="BB1315" s="56"/>
    </row>
    <row r="1316" spans="1:56" ht="13.95" hidden="1" customHeight="1" thickTop="1" thickBot="1" x14ac:dyDescent="0.3">
      <c r="A1316" s="336"/>
      <c r="B1316" s="337" t="s">
        <v>874</v>
      </c>
      <c r="C1316" s="360"/>
      <c r="D1316" s="361" t="str">
        <f>AC1316</f>
        <v/>
      </c>
      <c r="E1316" s="338"/>
      <c r="F1316" s="1"/>
      <c r="AC1316" s="58" t="str">
        <f>IF(AND(AC$1196&gt;0,C1316=BN$1201),BM$1201,IF(AND(AC$1196&gt;0,C1316=BN$1202),BM$1202,IF(AND(AC$1196&gt;0,C1316=BN$1203),BM$1203,IF(AND(AC$1196&gt;0,C1316=BN$1204),BM$1204,IF(AND(AC$1196&gt;0,C1316=BN$1205),BM$1205,"")))))</f>
        <v/>
      </c>
      <c r="AI1316" s="626">
        <f>AV1317/AL$1197</f>
        <v>0</v>
      </c>
      <c r="AJ1316" s="626"/>
      <c r="AK1316" s="56" t="s">
        <v>875</v>
      </c>
      <c r="AO1316" s="11" t="str">
        <f>IF(AI1316=0,"none",(AI1316*100))</f>
        <v>none</v>
      </c>
      <c r="AP1316" s="56" t="str">
        <f>IF(AO1316="none"," of weekly support cost.","% of weekly support cost.")</f>
        <v xml:space="preserve"> of weekly support cost.</v>
      </c>
      <c r="BB1316" s="56"/>
    </row>
    <row r="1317" spans="1:56" ht="13.95" hidden="1" customHeight="1" thickTop="1" thickBot="1" x14ac:dyDescent="0.3">
      <c r="A1317" s="336"/>
      <c r="B1317" s="337" t="s">
        <v>877</v>
      </c>
      <c r="C1317" s="362"/>
      <c r="D1317" s="337" t="str">
        <f>IF(NOT(AV1317&gt;0),"",AC1317)</f>
        <v/>
      </c>
      <c r="E1317" s="338"/>
      <c r="F1317" s="1"/>
      <c r="AC1317" s="263" t="str">
        <f>CONCATENATE(AO1317,AT1317)</f>
        <v>Weekly contribution: $0.00</v>
      </c>
      <c r="AO1317" s="56" t="s">
        <v>878</v>
      </c>
      <c r="AT1317" s="263" t="str">
        <f>DOLLAR(AV1317)</f>
        <v>$0.00</v>
      </c>
      <c r="AV1317" s="338">
        <f>IF(AND(D1316=BM$1205,C1317=B$2043),D$2043,IF(AND(D1316=BM$1205,C1317=B$2044),D$2044,IF(AND(D1316=BM$1205,C1317=B$2045),D$2045,IF(AND(D1316=BM$1205,C1317=B$2046),D$2046,IF(AND(D1316=BM$1205,C1317=B$2047),D$2047,IF(AND(D1316=BM$1205,C1317=B$2048),D$2048,0))))))</f>
        <v>0</v>
      </c>
      <c r="AX1317" s="11" t="str">
        <f>DOLLAR(AZ1317)</f>
        <v>$45.00</v>
      </c>
      <c r="AZ1317" s="363">
        <f>$AJ$1197-AV1317</f>
        <v>45</v>
      </c>
      <c r="BB1317" s="56"/>
      <c r="BD1317" s="322">
        <f>AV1317</f>
        <v>0</v>
      </c>
    </row>
    <row r="1318" spans="1:56" ht="13.95" hidden="1" customHeight="1" thickTop="1" x14ac:dyDescent="0.25">
      <c r="A1318" s="336"/>
      <c r="B1318" s="337"/>
      <c r="C1318" s="337" t="str">
        <f>CONCATENATE(AK1316,AO1316,AP1316)</f>
        <v>This covers none of weekly support cost.</v>
      </c>
      <c r="D1318" s="337" t="str">
        <f>BF$1200</f>
        <v>$45 to go for weekly support.</v>
      </c>
      <c r="E1318" s="338"/>
      <c r="F1318" s="1"/>
      <c r="AC1318" s="56" t="s">
        <v>880</v>
      </c>
      <c r="AI1318" s="154">
        <f>MIN(D1316,AE1312)</f>
        <v>0</v>
      </c>
      <c r="AJ1318" s="56">
        <f>ROUND(AI1318,2)</f>
        <v>0</v>
      </c>
      <c r="AK1318" s="56" t="str">
        <f>CONCATENATE(AC1318,AJ1318)</f>
        <v>contribution per exchange: $0</v>
      </c>
    </row>
    <row r="1319" spans="1:56" ht="13.95" hidden="1" customHeight="1" x14ac:dyDescent="0.25">
      <c r="A1319" s="336"/>
      <c r="B1319" s="337"/>
      <c r="C1319" s="337"/>
      <c r="D1319" s="337"/>
      <c r="E1319" s="338"/>
      <c r="F1319" s="1"/>
    </row>
    <row r="1320" spans="1:56" ht="4.95" hidden="1" customHeight="1" thickBot="1" x14ac:dyDescent="0.3">
      <c r="A1320" s="338"/>
      <c r="B1320" s="340"/>
      <c r="C1320" s="341"/>
      <c r="D1320" s="338"/>
      <c r="E1320" s="338"/>
      <c r="F1320" s="1"/>
      <c r="AC1320" s="334"/>
      <c r="AJ1320" s="437"/>
      <c r="BB1320" s="56"/>
    </row>
    <row r="1321" spans="1:56" ht="16.8" hidden="1" thickTop="1" thickBot="1" x14ac:dyDescent="0.3">
      <c r="A1321" s="347">
        <f>IF(C1321="",0,1+A1311)</f>
        <v>13</v>
      </c>
      <c r="B1321" s="348" t="s">
        <v>895</v>
      </c>
      <c r="C1321" s="349" t="str">
        <f>AM1321</f>
        <v>FIRST NAME</v>
      </c>
      <c r="D1321" s="350" t="str">
        <f>AQ1321</f>
        <v>LAST NAME</v>
      </c>
      <c r="E1321" s="338"/>
      <c r="F1321" s="1"/>
      <c r="AC1321" s="333" t="str">
        <f>IF(NOT(C1321=AM1321),C1321,"")</f>
        <v/>
      </c>
      <c r="AH1321" s="333" t="str">
        <f>IF(NOT(D1321=AQ1321),D1321,"")</f>
        <v/>
      </c>
      <c r="AM1321" s="351" t="s">
        <v>853</v>
      </c>
      <c r="AQ1321" s="351" t="s">
        <v>107</v>
      </c>
      <c r="BB1321" s="56"/>
    </row>
    <row r="1322" spans="1:56" ht="15" hidden="1" thickTop="1" thickBot="1" x14ac:dyDescent="0.3">
      <c r="A1322" s="336"/>
      <c r="B1322" s="338" t="s">
        <v>856</v>
      </c>
      <c r="C1322" s="353"/>
      <c r="D1322" s="5"/>
      <c r="E1322" s="338"/>
      <c r="F1322" s="1"/>
      <c r="AC1322" s="56">
        <f>IF(C1322="",0,1)</f>
        <v>0</v>
      </c>
      <c r="AE1322" s="56">
        <f>IF($AC$1202=1,AC$1197,0)</f>
        <v>0</v>
      </c>
      <c r="BB1322" s="56"/>
    </row>
    <row r="1323" spans="1:56" ht="13.95" hidden="1" customHeight="1" thickTop="1" thickBot="1" x14ac:dyDescent="0.3">
      <c r="A1323" s="336"/>
      <c r="B1323" s="354" t="s">
        <v>859</v>
      </c>
      <c r="C1323" s="353"/>
      <c r="D1323" s="355" t="str">
        <f>AS1323</f>
        <v>AWARENESS OF ISSUE</v>
      </c>
      <c r="E1323" s="338"/>
      <c r="F1323" s="1"/>
      <c r="AM1323" s="356"/>
      <c r="AN1323" s="356"/>
      <c r="AO1323" s="356"/>
      <c r="AP1323" s="356"/>
      <c r="AS1323" s="56" t="str">
        <f>AS1313</f>
        <v>AWARENESS OF ISSUE</v>
      </c>
      <c r="BB1323" s="56"/>
    </row>
    <row r="1324" spans="1:56" ht="13.95" hidden="1" customHeight="1" thickTop="1" thickBot="1" x14ac:dyDescent="0.3">
      <c r="A1324" s="336"/>
      <c r="B1324" s="348" t="s">
        <v>863</v>
      </c>
      <c r="C1324" s="357" t="s">
        <v>864</v>
      </c>
      <c r="D1324" s="357" t="s">
        <v>865</v>
      </c>
      <c r="E1324" s="338"/>
      <c r="F1324" s="1"/>
      <c r="BB1324" s="56"/>
    </row>
    <row r="1325" spans="1:56" ht="13.95" hidden="1" customHeight="1" thickTop="1" thickBot="1" x14ac:dyDescent="0.3">
      <c r="A1325" s="336"/>
      <c r="B1325" s="337" t="s">
        <v>868</v>
      </c>
      <c r="C1325" s="358" t="str">
        <f>AM1325</f>
        <v>YYYY-MM-DD</v>
      </c>
      <c r="D1325" s="358" t="str">
        <f>AM1325</f>
        <v>YYYY-MM-DD</v>
      </c>
      <c r="E1325" s="338"/>
      <c r="F1325" s="1"/>
      <c r="AH1325" s="616" t="str">
        <f>IF(NOT(D1325=AQ1325),D1325,"")</f>
        <v>YYYY-MM-DD</v>
      </c>
      <c r="AI1325" s="616"/>
      <c r="AM1325" s="351" t="s">
        <v>869</v>
      </c>
      <c r="AQ1325" s="351"/>
      <c r="BB1325" s="56"/>
    </row>
    <row r="1326" spans="1:56" ht="13.95" hidden="1" customHeight="1" thickTop="1" thickBot="1" x14ac:dyDescent="0.3">
      <c r="A1326" s="336"/>
      <c r="B1326" s="337" t="s">
        <v>874</v>
      </c>
      <c r="C1326" s="360"/>
      <c r="D1326" s="361" t="str">
        <f>AC1326</f>
        <v/>
      </c>
      <c r="E1326" s="338"/>
      <c r="F1326" s="1"/>
      <c r="AC1326" s="58" t="str">
        <f>IF(AND(AC$1196&gt;0,C1326=BN$1201),BM$1201,IF(AND(AC$1196&gt;0,C1326=BN$1202),BM$1202,IF(AND(AC$1196&gt;0,C1326=BN$1203),BM$1203,IF(AND(AC$1196&gt;0,C1326=BN$1204),BM$1204,IF(AND(AC$1196&gt;0,C1326=BN$1205),BM$1205,"")))))</f>
        <v/>
      </c>
      <c r="AI1326" s="626">
        <f>AV1327/AL$1197</f>
        <v>0</v>
      </c>
      <c r="AJ1326" s="626"/>
      <c r="AK1326" s="56" t="s">
        <v>875</v>
      </c>
      <c r="AO1326" s="11" t="str">
        <f>IF(AI1326=0,"none",(AI1326*100))</f>
        <v>none</v>
      </c>
      <c r="AP1326" s="56" t="str">
        <f>IF(AO1326="none"," of weekly support cost.","% of weekly support cost.")</f>
        <v xml:space="preserve"> of weekly support cost.</v>
      </c>
      <c r="BB1326" s="56"/>
    </row>
    <row r="1327" spans="1:56" ht="13.95" hidden="1" customHeight="1" thickTop="1" thickBot="1" x14ac:dyDescent="0.3">
      <c r="A1327" s="336"/>
      <c r="B1327" s="337" t="s">
        <v>877</v>
      </c>
      <c r="C1327" s="362"/>
      <c r="D1327" s="337" t="str">
        <f>IF(NOT(AV1327&gt;0),"",AC1327)</f>
        <v/>
      </c>
      <c r="E1327" s="338"/>
      <c r="F1327" s="1"/>
      <c r="AC1327" s="263" t="str">
        <f>CONCATENATE(AO1327,AT1327)</f>
        <v>Weekly contribution: $0.00</v>
      </c>
      <c r="AO1327" s="56" t="s">
        <v>878</v>
      </c>
      <c r="AT1327" s="263" t="str">
        <f>DOLLAR(AV1327)</f>
        <v>$0.00</v>
      </c>
      <c r="AV1327" s="338">
        <f>IF(AND(D1326=BM$1205,C1327=B$2043),D$2043,IF(AND(D1326=BM$1205,C1327=B$2044),D$2044,IF(AND(D1326=BM$1205,C1327=B$2045),D$2045,IF(AND(D1326=BM$1205,C1327=B$2046),D$2046,IF(AND(D1326=BM$1205,C1327=B$2047),D$2047,IF(AND(D1326=BM$1205,C1327=B$2048),D$2048,0))))))</f>
        <v>0</v>
      </c>
      <c r="AX1327" s="11" t="str">
        <f>DOLLAR(AZ1327)</f>
        <v>$45.00</v>
      </c>
      <c r="AZ1327" s="363">
        <f>$AJ$1197-AV1327</f>
        <v>45</v>
      </c>
      <c r="BB1327" s="56"/>
      <c r="BD1327" s="322">
        <f>AV1327</f>
        <v>0</v>
      </c>
    </row>
    <row r="1328" spans="1:56" ht="13.95" hidden="1" customHeight="1" thickTop="1" x14ac:dyDescent="0.25">
      <c r="A1328" s="336"/>
      <c r="B1328" s="337"/>
      <c r="C1328" s="337" t="str">
        <f>CONCATENATE(AK1326,AO1326,AP1326)</f>
        <v>This covers none of weekly support cost.</v>
      </c>
      <c r="D1328" s="337" t="str">
        <f>BF$1200</f>
        <v>$45 to go for weekly support.</v>
      </c>
      <c r="E1328" s="338"/>
      <c r="F1328" s="1"/>
      <c r="AC1328" s="56" t="s">
        <v>880</v>
      </c>
      <c r="AI1328" s="154">
        <f>MIN(D1326,AE1322)</f>
        <v>0</v>
      </c>
      <c r="AJ1328" s="56">
        <f>ROUND(AI1328,2)</f>
        <v>0</v>
      </c>
      <c r="AK1328" s="56" t="str">
        <f>CONCATENATE(AC1328,AJ1328)</f>
        <v>contribution per exchange: $0</v>
      </c>
    </row>
    <row r="1329" spans="1:56" ht="13.95" hidden="1" customHeight="1" x14ac:dyDescent="0.25">
      <c r="A1329" s="336"/>
      <c r="B1329" s="337"/>
      <c r="C1329" s="337"/>
      <c r="D1329" s="337"/>
      <c r="E1329" s="338"/>
      <c r="F1329" s="1"/>
    </row>
    <row r="1330" spans="1:56" ht="4.95" hidden="1" customHeight="1" thickBot="1" x14ac:dyDescent="0.3">
      <c r="A1330" s="338"/>
      <c r="B1330" s="340"/>
      <c r="C1330" s="341"/>
      <c r="D1330" s="338"/>
      <c r="E1330" s="338"/>
      <c r="F1330" s="1"/>
      <c r="AC1330" s="334"/>
      <c r="AJ1330" s="437"/>
      <c r="BB1330" s="56"/>
    </row>
    <row r="1331" spans="1:56" ht="16.8" hidden="1" thickTop="1" thickBot="1" x14ac:dyDescent="0.3">
      <c r="A1331" s="347">
        <f>IF(C1331="",0,1+A1321)</f>
        <v>14</v>
      </c>
      <c r="B1331" s="348" t="s">
        <v>896</v>
      </c>
      <c r="C1331" s="349" t="str">
        <f>AM1331</f>
        <v>FIRST NAME</v>
      </c>
      <c r="D1331" s="350" t="str">
        <f>AQ1331</f>
        <v>LAST NAME</v>
      </c>
      <c r="E1331" s="338"/>
      <c r="F1331" s="1"/>
      <c r="AC1331" s="333" t="str">
        <f>IF(NOT(C1331=AM1331),C1331,"")</f>
        <v/>
      </c>
      <c r="AH1331" s="333" t="str">
        <f>IF(NOT(D1331=AQ1331),D1331,"")</f>
        <v/>
      </c>
      <c r="AM1331" s="351" t="s">
        <v>853</v>
      </c>
      <c r="AQ1331" s="351" t="s">
        <v>107</v>
      </c>
      <c r="BB1331" s="56"/>
    </row>
    <row r="1332" spans="1:56" ht="15" hidden="1" thickTop="1" thickBot="1" x14ac:dyDescent="0.3">
      <c r="A1332" s="336"/>
      <c r="B1332" s="338" t="s">
        <v>856</v>
      </c>
      <c r="C1332" s="353"/>
      <c r="D1332" s="5"/>
      <c r="E1332" s="338"/>
      <c r="F1332" s="1"/>
      <c r="AC1332" s="56">
        <f>IF(C1332="",0,1)</f>
        <v>0</v>
      </c>
      <c r="AE1332" s="56">
        <f>IF($AC$1202=1,AC$1197,0)</f>
        <v>0</v>
      </c>
      <c r="BB1332" s="56"/>
    </row>
    <row r="1333" spans="1:56" ht="13.95" hidden="1" customHeight="1" thickTop="1" thickBot="1" x14ac:dyDescent="0.3">
      <c r="A1333" s="336"/>
      <c r="B1333" s="354" t="s">
        <v>859</v>
      </c>
      <c r="C1333" s="353"/>
      <c r="D1333" s="355" t="str">
        <f>AS1333</f>
        <v>AWARENESS OF ISSUE</v>
      </c>
      <c r="E1333" s="338"/>
      <c r="F1333" s="1"/>
      <c r="AM1333" s="356"/>
      <c r="AN1333" s="356"/>
      <c r="AO1333" s="356"/>
      <c r="AP1333" s="356"/>
      <c r="AS1333" s="56" t="str">
        <f>AS1323</f>
        <v>AWARENESS OF ISSUE</v>
      </c>
      <c r="BB1333" s="56"/>
    </row>
    <row r="1334" spans="1:56" ht="13.95" hidden="1" customHeight="1" thickTop="1" thickBot="1" x14ac:dyDescent="0.3">
      <c r="A1334" s="336"/>
      <c r="B1334" s="348" t="s">
        <v>863</v>
      </c>
      <c r="C1334" s="357" t="s">
        <v>864</v>
      </c>
      <c r="D1334" s="357" t="s">
        <v>865</v>
      </c>
      <c r="E1334" s="338"/>
      <c r="F1334" s="1"/>
      <c r="BB1334" s="56"/>
    </row>
    <row r="1335" spans="1:56" ht="13.95" hidden="1" customHeight="1" thickTop="1" thickBot="1" x14ac:dyDescent="0.3">
      <c r="A1335" s="336"/>
      <c r="B1335" s="337" t="s">
        <v>868</v>
      </c>
      <c r="C1335" s="358" t="str">
        <f>AM1335</f>
        <v>YYYY-MM-DD</v>
      </c>
      <c r="D1335" s="358" t="str">
        <f>AM1335</f>
        <v>YYYY-MM-DD</v>
      </c>
      <c r="E1335" s="338"/>
      <c r="F1335" s="1"/>
      <c r="AH1335" s="616" t="str">
        <f>IF(NOT(D1335=AQ1335),D1335,"")</f>
        <v>YYYY-MM-DD</v>
      </c>
      <c r="AI1335" s="616"/>
      <c r="AM1335" s="351" t="s">
        <v>869</v>
      </c>
      <c r="AQ1335" s="351"/>
      <c r="BB1335" s="56"/>
    </row>
    <row r="1336" spans="1:56" ht="13.95" hidden="1" customHeight="1" thickTop="1" thickBot="1" x14ac:dyDescent="0.3">
      <c r="A1336" s="336"/>
      <c r="B1336" s="337" t="s">
        <v>874</v>
      </c>
      <c r="C1336" s="360"/>
      <c r="D1336" s="361" t="str">
        <f>AC1336</f>
        <v/>
      </c>
      <c r="E1336" s="338"/>
      <c r="F1336" s="1"/>
      <c r="AC1336" s="58" t="str">
        <f>IF(AND(AC$1196&gt;0,C1336=BN$1201),BM$1201,IF(AND(AC$1196&gt;0,C1336=BN$1202),BM$1202,IF(AND(AC$1196&gt;0,C1336=BN$1203),BM$1203,IF(AND(AC$1196&gt;0,C1336=BN$1204),BM$1204,IF(AND(AC$1196&gt;0,C1336=BN$1205),BM$1205,"")))))</f>
        <v/>
      </c>
      <c r="AI1336" s="626">
        <f>AV1337/AL$1197</f>
        <v>0</v>
      </c>
      <c r="AJ1336" s="626"/>
      <c r="AK1336" s="56" t="s">
        <v>875</v>
      </c>
      <c r="AO1336" s="11" t="str">
        <f>IF(AI1336=0,"none",(AI1336*100))</f>
        <v>none</v>
      </c>
      <c r="AP1336" s="56" t="str">
        <f>IF(AO1336="none"," of weekly support cost.","% of weekly support cost.")</f>
        <v xml:space="preserve"> of weekly support cost.</v>
      </c>
      <c r="BB1336" s="56"/>
    </row>
    <row r="1337" spans="1:56" ht="13.95" hidden="1" customHeight="1" thickTop="1" thickBot="1" x14ac:dyDescent="0.3">
      <c r="A1337" s="336"/>
      <c r="B1337" s="337" t="s">
        <v>877</v>
      </c>
      <c r="C1337" s="362"/>
      <c r="D1337" s="337" t="str">
        <f>IF(NOT(AV1337&gt;0),"",AC1337)</f>
        <v/>
      </c>
      <c r="E1337" s="338"/>
      <c r="F1337" s="1"/>
      <c r="AC1337" s="263" t="str">
        <f>CONCATENATE(AO1337,AT1337)</f>
        <v>Weekly contribution: $0.00</v>
      </c>
      <c r="AO1337" s="56" t="s">
        <v>878</v>
      </c>
      <c r="AT1337" s="263" t="str">
        <f>DOLLAR(AV1337)</f>
        <v>$0.00</v>
      </c>
      <c r="AV1337" s="338">
        <f>IF(AND(D1336=BM$1205,C1337=B$2043),D$2043,IF(AND(D1336=BM$1205,C1337=B$2044),D$2044,IF(AND(D1336=BM$1205,C1337=B$2045),D$2045,IF(AND(D1336=BM$1205,C1337=B$2046),D$2046,IF(AND(D1336=BM$1205,C1337=B$2047),D$2047,IF(AND(D1336=BM$1205,C1337=B$2048),D$2048,0))))))</f>
        <v>0</v>
      </c>
      <c r="AX1337" s="11" t="str">
        <f>DOLLAR(AZ1337)</f>
        <v>$45.00</v>
      </c>
      <c r="AZ1337" s="363">
        <f>$AJ$1197-AV1337</f>
        <v>45</v>
      </c>
      <c r="BB1337" s="359">
        <f>AV1337/AC$1197</f>
        <v>0</v>
      </c>
      <c r="BD1337" s="322">
        <f>AV1337</f>
        <v>0</v>
      </c>
    </row>
    <row r="1338" spans="1:56" ht="13.95" hidden="1" customHeight="1" thickTop="1" x14ac:dyDescent="0.25">
      <c r="A1338" s="336"/>
      <c r="B1338" s="337"/>
      <c r="C1338" s="337" t="str">
        <f>CONCATENATE(AK1336,AO1336,AP1336)</f>
        <v>This covers none of weekly support cost.</v>
      </c>
      <c r="D1338" s="337" t="str">
        <f>BF$1200</f>
        <v>$45 to go for weekly support.</v>
      </c>
      <c r="E1338" s="338"/>
      <c r="F1338" s="1"/>
      <c r="AC1338" s="56" t="s">
        <v>880</v>
      </c>
      <c r="AI1338" s="154">
        <f>MIN(D1336,AE1332)</f>
        <v>0</v>
      </c>
      <c r="AJ1338" s="56">
        <f>ROUND(AI1338,2)</f>
        <v>0</v>
      </c>
      <c r="AK1338" s="56" t="str">
        <f>CONCATENATE(AC1338,AJ1338)</f>
        <v>contribution per exchange: $0</v>
      </c>
    </row>
    <row r="1339" spans="1:56" ht="18" hidden="1" customHeight="1" x14ac:dyDescent="0.25">
      <c r="A1339" s="336"/>
      <c r="B1339" s="337"/>
      <c r="C1339" s="337"/>
      <c r="D1339" s="337"/>
      <c r="E1339" s="338"/>
      <c r="F1339" s="1"/>
    </row>
    <row r="1340" spans="1:56" ht="4.95" hidden="1" customHeight="1" thickBot="1" x14ac:dyDescent="0.3">
      <c r="A1340" s="338"/>
      <c r="B1340" s="340"/>
      <c r="C1340" s="341"/>
      <c r="D1340" s="338"/>
      <c r="E1340" s="338"/>
      <c r="F1340" s="1"/>
      <c r="AC1340" s="334"/>
      <c r="AJ1340" s="437"/>
      <c r="BB1340" s="56"/>
    </row>
    <row r="1341" spans="1:56" ht="16.8" hidden="1" thickTop="1" thickBot="1" x14ac:dyDescent="0.3">
      <c r="A1341" s="347">
        <f>IF(C1341="",0,1+A1331)</f>
        <v>15</v>
      </c>
      <c r="B1341" s="348" t="s">
        <v>897</v>
      </c>
      <c r="C1341" s="349" t="str">
        <f>AM1341</f>
        <v>FIRST NAME</v>
      </c>
      <c r="D1341" s="350" t="str">
        <f>AQ1341</f>
        <v>LAST NAME</v>
      </c>
      <c r="E1341" s="338"/>
      <c r="F1341" s="1"/>
      <c r="AC1341" s="333" t="str">
        <f>IF(NOT(C1341=AM1341),C1341,"")</f>
        <v/>
      </c>
      <c r="AH1341" s="333" t="str">
        <f>IF(NOT(D1341=AQ1341),D1341,"")</f>
        <v/>
      </c>
      <c r="AM1341" s="351" t="s">
        <v>853</v>
      </c>
      <c r="AQ1341" s="351" t="s">
        <v>107</v>
      </c>
      <c r="BB1341" s="56"/>
    </row>
    <row r="1342" spans="1:56" ht="15" hidden="1" thickTop="1" thickBot="1" x14ac:dyDescent="0.3">
      <c r="A1342" s="336"/>
      <c r="B1342" s="338" t="s">
        <v>856</v>
      </c>
      <c r="C1342" s="353"/>
      <c r="D1342" s="5"/>
      <c r="E1342" s="338"/>
      <c r="F1342" s="1"/>
      <c r="AC1342" s="56">
        <f>IF(C1342="",0,1)</f>
        <v>0</v>
      </c>
      <c r="AE1342" s="56">
        <f>IF($AC$1202=1,AC$1197,0)</f>
        <v>0</v>
      </c>
      <c r="BB1342" s="56"/>
    </row>
    <row r="1343" spans="1:56" ht="13.95" hidden="1" customHeight="1" thickTop="1" thickBot="1" x14ac:dyDescent="0.3">
      <c r="A1343" s="336"/>
      <c r="B1343" s="354" t="s">
        <v>859</v>
      </c>
      <c r="C1343" s="353"/>
      <c r="D1343" s="355" t="str">
        <f>AS1343</f>
        <v>AWARENESS OF ISSUE</v>
      </c>
      <c r="E1343" s="338"/>
      <c r="F1343" s="1"/>
      <c r="AM1343" s="356"/>
      <c r="AN1343" s="356"/>
      <c r="AO1343" s="356"/>
      <c r="AP1343" s="356"/>
      <c r="AS1343" s="56" t="str">
        <f>AS1333</f>
        <v>AWARENESS OF ISSUE</v>
      </c>
      <c r="BB1343" s="56"/>
    </row>
    <row r="1344" spans="1:56" ht="13.95" hidden="1" customHeight="1" thickTop="1" thickBot="1" x14ac:dyDescent="0.3">
      <c r="A1344" s="336"/>
      <c r="B1344" s="348" t="s">
        <v>863</v>
      </c>
      <c r="C1344" s="357" t="s">
        <v>864</v>
      </c>
      <c r="D1344" s="357" t="s">
        <v>865</v>
      </c>
      <c r="E1344" s="338"/>
      <c r="F1344" s="1"/>
      <c r="BB1344" s="56"/>
    </row>
    <row r="1345" spans="1:56" ht="13.95" hidden="1" customHeight="1" thickTop="1" thickBot="1" x14ac:dyDescent="0.3">
      <c r="A1345" s="336"/>
      <c r="B1345" s="337" t="s">
        <v>868</v>
      </c>
      <c r="C1345" s="358" t="str">
        <f>AM1345</f>
        <v>YYYY-MM-DD</v>
      </c>
      <c r="D1345" s="358" t="str">
        <f>AM1345</f>
        <v>YYYY-MM-DD</v>
      </c>
      <c r="E1345" s="338"/>
      <c r="F1345" s="1"/>
      <c r="AH1345" s="616" t="str">
        <f>IF(NOT(D1345=AQ1345),D1345,"")</f>
        <v>YYYY-MM-DD</v>
      </c>
      <c r="AI1345" s="616"/>
      <c r="AM1345" s="351" t="s">
        <v>869</v>
      </c>
      <c r="AQ1345" s="351"/>
      <c r="BB1345" s="56"/>
    </row>
    <row r="1346" spans="1:56" ht="13.95" hidden="1" customHeight="1" thickTop="1" thickBot="1" x14ac:dyDescent="0.3">
      <c r="A1346" s="336"/>
      <c r="B1346" s="337" t="s">
        <v>874</v>
      </c>
      <c r="C1346" s="360"/>
      <c r="D1346" s="361" t="str">
        <f>AC1346</f>
        <v/>
      </c>
      <c r="E1346" s="338"/>
      <c r="F1346" s="1"/>
      <c r="AC1346" s="58" t="str">
        <f>IF(AND(AC$1196&gt;0,C1346=BN$1201),BM$1201,IF(AND(AC$1196&gt;0,C1346=BN$1202),BM$1202,IF(AND(AC$1196&gt;0,C1346=BN$1203),BM$1203,IF(AND(AC$1196&gt;0,C1346=BN$1204),BM$1204,IF(AND(AC$1196&gt;0,C1346=BN$1205),BM$1205,"")))))</f>
        <v/>
      </c>
      <c r="AI1346" s="626">
        <f>AV1347/AL$1197</f>
        <v>0</v>
      </c>
      <c r="AJ1346" s="626"/>
      <c r="AK1346" s="56" t="s">
        <v>875</v>
      </c>
      <c r="AO1346" s="11" t="str">
        <f>IF(AI1346=0,"none",(AI1346*100))</f>
        <v>none</v>
      </c>
      <c r="AP1346" s="56" t="str">
        <f>IF(AO1346="none"," of weekly support cost.","% of weekly support cost.")</f>
        <v xml:space="preserve"> of weekly support cost.</v>
      </c>
      <c r="BB1346" s="56"/>
    </row>
    <row r="1347" spans="1:56" ht="13.95" hidden="1" customHeight="1" thickTop="1" thickBot="1" x14ac:dyDescent="0.3">
      <c r="A1347" s="336"/>
      <c r="B1347" s="337" t="s">
        <v>877</v>
      </c>
      <c r="C1347" s="362"/>
      <c r="D1347" s="337" t="str">
        <f>IF(NOT(AV1347&gt;0),"",AC1347)</f>
        <v/>
      </c>
      <c r="E1347" s="338"/>
      <c r="F1347" s="1"/>
      <c r="AC1347" s="263" t="str">
        <f>CONCATENATE(AO1347,AT1347)</f>
        <v>Weekly contribution: $0.00</v>
      </c>
      <c r="AO1347" s="56" t="s">
        <v>878</v>
      </c>
      <c r="AT1347" s="263" t="str">
        <f>DOLLAR(AV1347)</f>
        <v>$0.00</v>
      </c>
      <c r="AV1347" s="338">
        <f>IF(AND(D1346=BM$1205,C1347=B$2043),D$2043,IF(AND(D1346=BM$1205,C1347=B$2044),D$2044,IF(AND(D1346=BM$1205,C1347=B$2045),D$2045,IF(AND(D1346=BM$1205,C1347=B$2046),D$2046,IF(AND(D1346=BM$1205,C1347=B$2047),D$2047,IF(AND(D1346=BM$1205,C1347=B$2048),D$2048,0))))))</f>
        <v>0</v>
      </c>
      <c r="AX1347" s="11" t="str">
        <f>DOLLAR(AZ1347)</f>
        <v>$45.00</v>
      </c>
      <c r="AZ1347" s="363">
        <f>$AJ$1197-AV1347</f>
        <v>45</v>
      </c>
      <c r="BB1347" s="56"/>
      <c r="BD1347" s="322">
        <f>AV1347</f>
        <v>0</v>
      </c>
    </row>
    <row r="1348" spans="1:56" ht="13.95" hidden="1" customHeight="1" thickTop="1" x14ac:dyDescent="0.25">
      <c r="A1348" s="336"/>
      <c r="B1348" s="337"/>
      <c r="C1348" s="337" t="str">
        <f>CONCATENATE(AK1346,AO1346,AP1346)</f>
        <v>This covers none of weekly support cost.</v>
      </c>
      <c r="D1348" s="337" t="str">
        <f>BF$1200</f>
        <v>$45 to go for weekly support.</v>
      </c>
      <c r="E1348" s="338"/>
      <c r="F1348" s="1"/>
      <c r="AC1348" s="56" t="s">
        <v>880</v>
      </c>
      <c r="AI1348" s="154">
        <f>MIN(D1346,AE1342)</f>
        <v>0</v>
      </c>
      <c r="AJ1348" s="56">
        <f>ROUND(AI1348,2)</f>
        <v>0</v>
      </c>
      <c r="AK1348" s="56" t="str">
        <f>CONCATENATE(AC1348,AJ1348)</f>
        <v>contribution per exchange: $0</v>
      </c>
    </row>
    <row r="1349" spans="1:56" ht="13.95" hidden="1" customHeight="1" x14ac:dyDescent="0.25">
      <c r="A1349" s="336"/>
      <c r="B1349" s="337"/>
      <c r="C1349" s="337"/>
      <c r="D1349" s="337"/>
      <c r="E1349" s="338"/>
      <c r="F1349" s="1"/>
    </row>
    <row r="1350" spans="1:56" ht="4.95" hidden="1" customHeight="1" thickBot="1" x14ac:dyDescent="0.3">
      <c r="A1350" s="338"/>
      <c r="B1350" s="340"/>
      <c r="C1350" s="341"/>
      <c r="D1350" s="338"/>
      <c r="E1350" s="338"/>
      <c r="F1350" s="1"/>
      <c r="AC1350" s="334"/>
      <c r="AJ1350" s="437"/>
      <c r="BB1350" s="56"/>
    </row>
    <row r="1351" spans="1:56" ht="16.8" hidden="1" thickTop="1" thickBot="1" x14ac:dyDescent="0.3">
      <c r="A1351" s="347">
        <f>IF(C1351="",0,1+A1341)</f>
        <v>16</v>
      </c>
      <c r="B1351" s="348" t="s">
        <v>898</v>
      </c>
      <c r="C1351" s="349" t="str">
        <f>AM1351</f>
        <v>FIRST NAME</v>
      </c>
      <c r="D1351" s="350" t="str">
        <f>AQ1351</f>
        <v>LAST NAME</v>
      </c>
      <c r="E1351" s="338"/>
      <c r="F1351" s="1"/>
      <c r="AC1351" s="333" t="str">
        <f>IF(NOT(C1351=AM1351),C1351,"")</f>
        <v/>
      </c>
      <c r="AH1351" s="333" t="str">
        <f>IF(NOT(D1351=AQ1351),D1351,"")</f>
        <v/>
      </c>
      <c r="AM1351" s="351" t="s">
        <v>853</v>
      </c>
      <c r="AQ1351" s="351" t="s">
        <v>107</v>
      </c>
      <c r="BB1351" s="56"/>
    </row>
    <row r="1352" spans="1:56" ht="15" hidden="1" thickTop="1" thickBot="1" x14ac:dyDescent="0.3">
      <c r="A1352" s="336"/>
      <c r="B1352" s="338" t="s">
        <v>856</v>
      </c>
      <c r="C1352" s="353"/>
      <c r="D1352" s="5"/>
      <c r="E1352" s="338"/>
      <c r="F1352" s="1"/>
      <c r="AC1352" s="56">
        <f>IF(C1352="",0,1)</f>
        <v>0</v>
      </c>
      <c r="AE1352" s="56">
        <f>IF($AC$1202=1,AC$1197,0)</f>
        <v>0</v>
      </c>
      <c r="BB1352" s="56"/>
    </row>
    <row r="1353" spans="1:56" ht="13.95" hidden="1" customHeight="1" thickTop="1" thickBot="1" x14ac:dyDescent="0.3">
      <c r="A1353" s="336"/>
      <c r="B1353" s="354" t="s">
        <v>859</v>
      </c>
      <c r="C1353" s="353"/>
      <c r="D1353" s="355" t="str">
        <f>AS1353</f>
        <v>AWARENESS OF ISSUE</v>
      </c>
      <c r="E1353" s="338"/>
      <c r="F1353" s="1"/>
      <c r="AM1353" s="356"/>
      <c r="AN1353" s="356"/>
      <c r="AO1353" s="356"/>
      <c r="AP1353" s="356"/>
      <c r="AS1353" s="56" t="str">
        <f>AS1343</f>
        <v>AWARENESS OF ISSUE</v>
      </c>
      <c r="BB1353" s="56"/>
    </row>
    <row r="1354" spans="1:56" ht="13.95" hidden="1" customHeight="1" thickTop="1" thickBot="1" x14ac:dyDescent="0.3">
      <c r="A1354" s="336"/>
      <c r="B1354" s="348" t="s">
        <v>863</v>
      </c>
      <c r="C1354" s="357" t="s">
        <v>864</v>
      </c>
      <c r="D1354" s="357" t="s">
        <v>865</v>
      </c>
      <c r="E1354" s="338"/>
      <c r="F1354" s="1"/>
      <c r="BB1354" s="56"/>
    </row>
    <row r="1355" spans="1:56" ht="13.95" hidden="1" customHeight="1" thickTop="1" thickBot="1" x14ac:dyDescent="0.3">
      <c r="A1355" s="336"/>
      <c r="B1355" s="337" t="s">
        <v>868</v>
      </c>
      <c r="C1355" s="358" t="str">
        <f>AM1355</f>
        <v>YYYY-MM-DD</v>
      </c>
      <c r="D1355" s="358" t="str">
        <f>AM1355</f>
        <v>YYYY-MM-DD</v>
      </c>
      <c r="E1355" s="338"/>
      <c r="F1355" s="1"/>
      <c r="AH1355" s="616" t="str">
        <f>IF(NOT(D1355=AQ1355),D1355,"")</f>
        <v>YYYY-MM-DD</v>
      </c>
      <c r="AI1355" s="616"/>
      <c r="AM1355" s="351" t="s">
        <v>869</v>
      </c>
      <c r="AQ1355" s="351"/>
      <c r="BB1355" s="56"/>
    </row>
    <row r="1356" spans="1:56" ht="13.95" hidden="1" customHeight="1" thickTop="1" thickBot="1" x14ac:dyDescent="0.3">
      <c r="A1356" s="336"/>
      <c r="B1356" s="337" t="s">
        <v>874</v>
      </c>
      <c r="C1356" s="360"/>
      <c r="D1356" s="361" t="str">
        <f>AC1356</f>
        <v/>
      </c>
      <c r="E1356" s="338"/>
      <c r="F1356" s="1"/>
      <c r="AC1356" s="58" t="str">
        <f>IF(AND(AC$1196&gt;0,C1356=BN$1201),BM$1201,IF(AND(AC$1196&gt;0,C1356=BN$1202),BM$1202,IF(AND(AC$1196&gt;0,C1356=BN$1203),BM$1203,IF(AND(AC$1196&gt;0,C1356=BN$1204),BM$1204,IF(AND(AC$1196&gt;0,C1356=BN$1205),BM$1205,"")))))</f>
        <v/>
      </c>
      <c r="AI1356" s="626">
        <f>AV1357/AL$1197</f>
        <v>0</v>
      </c>
      <c r="AJ1356" s="626"/>
      <c r="AK1356" s="56" t="s">
        <v>875</v>
      </c>
      <c r="AO1356" s="11" t="str">
        <f>IF(AI1356=0,"none",(AI1356*100))</f>
        <v>none</v>
      </c>
      <c r="AP1356" s="56" t="str">
        <f>IF(AO1356="none"," of weekly support cost.","% of weekly support cost.")</f>
        <v xml:space="preserve"> of weekly support cost.</v>
      </c>
      <c r="BB1356" s="56"/>
    </row>
    <row r="1357" spans="1:56" ht="13.95" hidden="1" customHeight="1" thickTop="1" thickBot="1" x14ac:dyDescent="0.3">
      <c r="A1357" s="336"/>
      <c r="B1357" s="337" t="s">
        <v>877</v>
      </c>
      <c r="C1357" s="362"/>
      <c r="D1357" s="337" t="str">
        <f>IF(NOT(AV1357&gt;0),"",AC1357)</f>
        <v/>
      </c>
      <c r="E1357" s="338"/>
      <c r="F1357" s="1"/>
      <c r="AC1357" s="263" t="str">
        <f>CONCATENATE(AO1357,AT1357)</f>
        <v>Weekly contribution: $0.00</v>
      </c>
      <c r="AO1357" s="56" t="s">
        <v>878</v>
      </c>
      <c r="AT1357" s="263" t="str">
        <f>DOLLAR(AV1357)</f>
        <v>$0.00</v>
      </c>
      <c r="AV1357" s="338">
        <f>IF(AND(D1356=BM$1205,C1357=B$2043),D$2043,IF(AND(D1356=BM$1205,C1357=B$2044),D$2044,IF(AND(D1356=BM$1205,C1357=B$2045),D$2045,IF(AND(D1356=BM$1205,C1357=B$2046),D$2046,IF(AND(D1356=BM$1205,C1357=B$2047),D$2047,IF(AND(D1356=BM$1205,C1357=B$2048),D$2048,0))))))</f>
        <v>0</v>
      </c>
      <c r="AX1357" s="11" t="str">
        <f>DOLLAR(AZ1357)</f>
        <v>$45.00</v>
      </c>
      <c r="AZ1357" s="363">
        <f>$AJ$1197-AV1357</f>
        <v>45</v>
      </c>
      <c r="BB1357" s="56"/>
      <c r="BD1357" s="322">
        <f>AV1357</f>
        <v>0</v>
      </c>
    </row>
    <row r="1358" spans="1:56" ht="13.95" hidden="1" customHeight="1" thickTop="1" x14ac:dyDescent="0.25">
      <c r="A1358" s="336"/>
      <c r="B1358" s="337"/>
      <c r="C1358" s="337" t="str">
        <f>CONCATENATE(AK1356,AO1356,AP1356)</f>
        <v>This covers none of weekly support cost.</v>
      </c>
      <c r="D1358" s="337" t="str">
        <f>BF$1200</f>
        <v>$45 to go for weekly support.</v>
      </c>
      <c r="E1358" s="338"/>
      <c r="F1358" s="1"/>
      <c r="AC1358" s="56" t="s">
        <v>880</v>
      </c>
      <c r="AI1358" s="154">
        <f>MIN(D1356,AE1352)</f>
        <v>0</v>
      </c>
      <c r="AJ1358" s="56">
        <f>ROUND(AI1358,2)</f>
        <v>0</v>
      </c>
      <c r="AK1358" s="56" t="str">
        <f>CONCATENATE(AC1358,AJ1358)</f>
        <v>contribution per exchange: $0</v>
      </c>
    </row>
    <row r="1359" spans="1:56" ht="13.95" hidden="1" customHeight="1" x14ac:dyDescent="0.25">
      <c r="A1359" s="336"/>
      <c r="B1359" s="337"/>
      <c r="C1359" s="337"/>
      <c r="D1359" s="337"/>
      <c r="E1359" s="338"/>
      <c r="F1359" s="1"/>
    </row>
    <row r="1360" spans="1:56" ht="4.95" hidden="1" customHeight="1" thickBot="1" x14ac:dyDescent="0.3">
      <c r="A1360" s="338"/>
      <c r="B1360" s="340"/>
      <c r="C1360" s="341"/>
      <c r="D1360" s="338"/>
      <c r="E1360" s="338"/>
      <c r="F1360" s="1"/>
      <c r="AC1360" s="334"/>
      <c r="AJ1360" s="437"/>
      <c r="BB1360" s="56"/>
    </row>
    <row r="1361" spans="1:56" ht="16.8" hidden="1" thickTop="1" thickBot="1" x14ac:dyDescent="0.3">
      <c r="A1361" s="347">
        <f>IF(C1361="",0,1+A1351)</f>
        <v>17</v>
      </c>
      <c r="B1361" s="348" t="s">
        <v>899</v>
      </c>
      <c r="C1361" s="349" t="str">
        <f>AM1361</f>
        <v>FIRST NAME</v>
      </c>
      <c r="D1361" s="350" t="str">
        <f>AQ1361</f>
        <v>LAST NAME</v>
      </c>
      <c r="E1361" s="338"/>
      <c r="F1361" s="1"/>
      <c r="AC1361" s="333" t="str">
        <f>IF(NOT(C1361=AM1361),C1361,"")</f>
        <v/>
      </c>
      <c r="AH1361" s="333" t="str">
        <f>IF(NOT(D1361=AQ1361),D1361,"")</f>
        <v/>
      </c>
      <c r="AM1361" s="351" t="s">
        <v>853</v>
      </c>
      <c r="AQ1361" s="351" t="s">
        <v>107</v>
      </c>
      <c r="BB1361" s="56"/>
    </row>
    <row r="1362" spans="1:56" ht="15" hidden="1" thickTop="1" thickBot="1" x14ac:dyDescent="0.3">
      <c r="A1362" s="336"/>
      <c r="B1362" s="338" t="s">
        <v>856</v>
      </c>
      <c r="C1362" s="353"/>
      <c r="D1362" s="5"/>
      <c r="E1362" s="338"/>
      <c r="F1362" s="1"/>
      <c r="AC1362" s="56">
        <f>IF(C1362="",0,1)</f>
        <v>0</v>
      </c>
      <c r="AE1362" s="56">
        <f>IF($AC$1202=1,AC$1197,0)</f>
        <v>0</v>
      </c>
      <c r="BB1362" s="56"/>
    </row>
    <row r="1363" spans="1:56" ht="13.95" hidden="1" customHeight="1" thickTop="1" thickBot="1" x14ac:dyDescent="0.3">
      <c r="A1363" s="336"/>
      <c r="B1363" s="354" t="s">
        <v>859</v>
      </c>
      <c r="C1363" s="353"/>
      <c r="D1363" s="355" t="str">
        <f>AS1363</f>
        <v>AWARENESS OF ISSUE</v>
      </c>
      <c r="E1363" s="338"/>
      <c r="F1363" s="1"/>
      <c r="AM1363" s="356"/>
      <c r="AN1363" s="356"/>
      <c r="AO1363" s="356"/>
      <c r="AP1363" s="356"/>
      <c r="AS1363" s="56" t="str">
        <f>AS1353</f>
        <v>AWARENESS OF ISSUE</v>
      </c>
      <c r="BB1363" s="56"/>
    </row>
    <row r="1364" spans="1:56" ht="13.95" hidden="1" customHeight="1" thickTop="1" thickBot="1" x14ac:dyDescent="0.3">
      <c r="A1364" s="336"/>
      <c r="B1364" s="348" t="s">
        <v>863</v>
      </c>
      <c r="C1364" s="357" t="s">
        <v>864</v>
      </c>
      <c r="D1364" s="357" t="s">
        <v>865</v>
      </c>
      <c r="E1364" s="338"/>
      <c r="F1364" s="1"/>
      <c r="BB1364" s="56"/>
    </row>
    <row r="1365" spans="1:56" ht="13.95" hidden="1" customHeight="1" thickTop="1" thickBot="1" x14ac:dyDescent="0.3">
      <c r="A1365" s="336"/>
      <c r="B1365" s="337" t="s">
        <v>868</v>
      </c>
      <c r="C1365" s="358" t="str">
        <f>AM1365</f>
        <v>YYYY-MM-DD</v>
      </c>
      <c r="D1365" s="358" t="str">
        <f>AM1365</f>
        <v>YYYY-MM-DD</v>
      </c>
      <c r="E1365" s="338"/>
      <c r="F1365" s="1"/>
      <c r="AH1365" s="616" t="str">
        <f>IF(NOT(D1365=AQ1365),D1365,"")</f>
        <v>YYYY-MM-DD</v>
      </c>
      <c r="AI1365" s="616"/>
      <c r="AM1365" s="351" t="s">
        <v>869</v>
      </c>
      <c r="AQ1365" s="351"/>
      <c r="BB1365" s="56"/>
    </row>
    <row r="1366" spans="1:56" ht="13.95" hidden="1" customHeight="1" thickTop="1" thickBot="1" x14ac:dyDescent="0.3">
      <c r="A1366" s="336"/>
      <c r="B1366" s="337" t="s">
        <v>874</v>
      </c>
      <c r="C1366" s="360"/>
      <c r="D1366" s="361" t="str">
        <f>AC1366</f>
        <v/>
      </c>
      <c r="E1366" s="338"/>
      <c r="F1366" s="1"/>
      <c r="AC1366" s="58" t="str">
        <f>IF(AND(AC$1196&gt;0,C1366=BN$1201),BM$1201,IF(AND(AC$1196&gt;0,C1366=BN$1202),BM$1202,IF(AND(AC$1196&gt;0,C1366=BN$1203),BM$1203,IF(AND(AC$1196&gt;0,C1366=BN$1204),BM$1204,IF(AND(AC$1196&gt;0,C1366=BN$1205),BM$1205,"")))))</f>
        <v/>
      </c>
      <c r="AI1366" s="626">
        <f>AV1367/AL$1197</f>
        <v>0</v>
      </c>
      <c r="AJ1366" s="626"/>
      <c r="AK1366" s="56" t="s">
        <v>875</v>
      </c>
      <c r="AO1366" s="11" t="str">
        <f>IF(AI1366=0,"none",(AI1366*100))</f>
        <v>none</v>
      </c>
      <c r="AP1366" s="56" t="str">
        <f>IF(AO1366="none"," of weekly support cost.","% of weekly support cost.")</f>
        <v xml:space="preserve"> of weekly support cost.</v>
      </c>
      <c r="BB1366" s="56"/>
    </row>
    <row r="1367" spans="1:56" ht="13.95" hidden="1" customHeight="1" thickTop="1" thickBot="1" x14ac:dyDescent="0.3">
      <c r="A1367" s="336"/>
      <c r="B1367" s="337" t="s">
        <v>877</v>
      </c>
      <c r="C1367" s="362"/>
      <c r="D1367" s="337" t="str">
        <f>IF(NOT(AV1367&gt;0),"",AC1367)</f>
        <v/>
      </c>
      <c r="E1367" s="338"/>
      <c r="F1367" s="1"/>
      <c r="AC1367" s="263" t="str">
        <f>CONCATENATE(AO1367,AT1367)</f>
        <v>Weekly contribution: $0.00</v>
      </c>
      <c r="AO1367" s="56" t="s">
        <v>878</v>
      </c>
      <c r="AT1367" s="263" t="str">
        <f>DOLLAR(AV1367)</f>
        <v>$0.00</v>
      </c>
      <c r="AV1367" s="338">
        <f>IF(AND(D1366=BM$1205,C1367=B$2043),D$2043,IF(AND(D1366=BM$1205,C1367=B$2044),D$2044,IF(AND(D1366=BM$1205,C1367=B$2045),D$2045,IF(AND(D1366=BM$1205,C1367=B$2046),D$2046,IF(AND(D1366=BM$1205,C1367=B$2047),D$2047,IF(AND(D1366=BM$1205,C1367=B$2048),D$2048,0))))))</f>
        <v>0</v>
      </c>
      <c r="AX1367" s="11" t="str">
        <f>DOLLAR(AZ1367)</f>
        <v>$45.00</v>
      </c>
      <c r="AZ1367" s="363">
        <f>$AJ$1197-AV1367</f>
        <v>45</v>
      </c>
      <c r="BB1367" s="56"/>
      <c r="BD1367" s="322">
        <f>AV1367</f>
        <v>0</v>
      </c>
    </row>
    <row r="1368" spans="1:56" ht="13.95" hidden="1" customHeight="1" thickTop="1" x14ac:dyDescent="0.25">
      <c r="A1368" s="336"/>
      <c r="B1368" s="337"/>
      <c r="C1368" s="337" t="str">
        <f>CONCATENATE(AK1366,AO1366,AP1366)</f>
        <v>This covers none of weekly support cost.</v>
      </c>
      <c r="D1368" s="337" t="str">
        <f>BF$1200</f>
        <v>$45 to go for weekly support.</v>
      </c>
      <c r="E1368" s="338"/>
      <c r="F1368" s="1"/>
      <c r="AC1368" s="56" t="s">
        <v>880</v>
      </c>
      <c r="AI1368" s="154">
        <f>MIN(D1366,AE1362)</f>
        <v>0</v>
      </c>
      <c r="AJ1368" s="56">
        <f>ROUND(AI1368,2)</f>
        <v>0</v>
      </c>
      <c r="AK1368" s="56" t="str">
        <f>CONCATENATE(AC1368,AJ1368)</f>
        <v>contribution per exchange: $0</v>
      </c>
    </row>
    <row r="1369" spans="1:56" ht="13.95" hidden="1" customHeight="1" x14ac:dyDescent="0.25">
      <c r="A1369" s="336"/>
      <c r="B1369" s="337"/>
      <c r="C1369" s="337"/>
      <c r="D1369" s="337"/>
      <c r="E1369" s="338"/>
      <c r="F1369" s="1"/>
    </row>
    <row r="1370" spans="1:56" ht="4.95" hidden="1" customHeight="1" thickBot="1" x14ac:dyDescent="0.3">
      <c r="A1370" s="338"/>
      <c r="B1370" s="340"/>
      <c r="C1370" s="341"/>
      <c r="D1370" s="338"/>
      <c r="E1370" s="338"/>
      <c r="F1370" s="1"/>
      <c r="AC1370" s="334"/>
      <c r="AJ1370" s="437"/>
      <c r="BB1370" s="56"/>
    </row>
    <row r="1371" spans="1:56" ht="16.8" hidden="1" thickTop="1" thickBot="1" x14ac:dyDescent="0.3">
      <c r="A1371" s="347">
        <f>IF(C1371="",0,1+A1361)</f>
        <v>18</v>
      </c>
      <c r="B1371" s="348" t="s">
        <v>900</v>
      </c>
      <c r="C1371" s="349" t="str">
        <f>AM1371</f>
        <v>FIRST NAME</v>
      </c>
      <c r="D1371" s="350" t="str">
        <f>AQ1371</f>
        <v>LAST NAME</v>
      </c>
      <c r="E1371" s="338"/>
      <c r="F1371" s="1"/>
      <c r="AC1371" s="333" t="str">
        <f>IF(NOT(C1371=AM1371),C1371,"")</f>
        <v/>
      </c>
      <c r="AH1371" s="333" t="str">
        <f>IF(NOT(D1371=AQ1371),D1371,"")</f>
        <v/>
      </c>
      <c r="AM1371" s="351" t="s">
        <v>853</v>
      </c>
      <c r="AQ1371" s="351" t="s">
        <v>107</v>
      </c>
      <c r="BB1371" s="56"/>
    </row>
    <row r="1372" spans="1:56" ht="15" hidden="1" thickTop="1" thickBot="1" x14ac:dyDescent="0.3">
      <c r="A1372" s="336"/>
      <c r="B1372" s="338" t="s">
        <v>856</v>
      </c>
      <c r="C1372" s="353"/>
      <c r="D1372" s="5"/>
      <c r="E1372" s="338"/>
      <c r="F1372" s="1"/>
      <c r="AC1372" s="56">
        <f>IF(C1372="",0,1)</f>
        <v>0</v>
      </c>
      <c r="AE1372" s="56">
        <f>IF($AC$1202=1,AC$1197,0)</f>
        <v>0</v>
      </c>
      <c r="BB1372" s="56"/>
    </row>
    <row r="1373" spans="1:56" ht="13.95" hidden="1" customHeight="1" thickTop="1" thickBot="1" x14ac:dyDescent="0.3">
      <c r="A1373" s="336"/>
      <c r="B1373" s="354" t="s">
        <v>859</v>
      </c>
      <c r="C1373" s="353"/>
      <c r="D1373" s="355" t="str">
        <f>AS1373</f>
        <v>AWARENESS OF ISSUE</v>
      </c>
      <c r="E1373" s="338"/>
      <c r="F1373" s="1"/>
      <c r="AM1373" s="356"/>
      <c r="AN1373" s="356"/>
      <c r="AO1373" s="356"/>
      <c r="AP1373" s="356"/>
      <c r="AS1373" s="56" t="str">
        <f>AS1363</f>
        <v>AWARENESS OF ISSUE</v>
      </c>
      <c r="BB1373" s="56"/>
    </row>
    <row r="1374" spans="1:56" ht="13.95" hidden="1" customHeight="1" thickTop="1" thickBot="1" x14ac:dyDescent="0.3">
      <c r="A1374" s="336"/>
      <c r="B1374" s="348" t="s">
        <v>863</v>
      </c>
      <c r="C1374" s="357" t="s">
        <v>864</v>
      </c>
      <c r="D1374" s="357" t="s">
        <v>865</v>
      </c>
      <c r="E1374" s="338"/>
      <c r="F1374" s="1"/>
      <c r="BB1374" s="56"/>
    </row>
    <row r="1375" spans="1:56" ht="13.95" hidden="1" customHeight="1" thickTop="1" thickBot="1" x14ac:dyDescent="0.3">
      <c r="A1375" s="336"/>
      <c r="B1375" s="337" t="s">
        <v>868</v>
      </c>
      <c r="C1375" s="358" t="str">
        <f>AM1375</f>
        <v>YYYY-MM-DD</v>
      </c>
      <c r="D1375" s="358" t="str">
        <f>AM1375</f>
        <v>YYYY-MM-DD</v>
      </c>
      <c r="E1375" s="338"/>
      <c r="F1375" s="1"/>
      <c r="AH1375" s="616" t="str">
        <f>IF(NOT(D1375=AQ1375),D1375,"")</f>
        <v>YYYY-MM-DD</v>
      </c>
      <c r="AI1375" s="616"/>
      <c r="AM1375" s="351" t="s">
        <v>869</v>
      </c>
      <c r="AQ1375" s="351"/>
      <c r="BB1375" s="56"/>
    </row>
    <row r="1376" spans="1:56" ht="13.95" hidden="1" customHeight="1" thickTop="1" thickBot="1" x14ac:dyDescent="0.3">
      <c r="A1376" s="336"/>
      <c r="B1376" s="337" t="s">
        <v>874</v>
      </c>
      <c r="C1376" s="360"/>
      <c r="D1376" s="361" t="str">
        <f>AC1376</f>
        <v/>
      </c>
      <c r="E1376" s="338"/>
      <c r="F1376" s="1"/>
      <c r="AC1376" s="58" t="str">
        <f>IF(AND(AC$1196&gt;0,C1376=BN$1201),BM$1201,IF(AND(AC$1196&gt;0,C1376=BN$1202),BM$1202,IF(AND(AC$1196&gt;0,C1376=BN$1203),BM$1203,IF(AND(AC$1196&gt;0,C1376=BN$1204),BM$1204,IF(AND(AC$1196&gt;0,C1376=BN$1205),BM$1205,"")))))</f>
        <v/>
      </c>
      <c r="AI1376" s="626">
        <f>AV1377/AL$1197</f>
        <v>0</v>
      </c>
      <c r="AJ1376" s="626"/>
      <c r="AK1376" s="56" t="s">
        <v>875</v>
      </c>
      <c r="AO1376" s="11" t="str">
        <f>IF(AI1376=0,"none",(AI1376*100))</f>
        <v>none</v>
      </c>
      <c r="AP1376" s="56" t="str">
        <f>IF(AO1376="none"," of weekly support cost.","% of weekly support cost.")</f>
        <v xml:space="preserve"> of weekly support cost.</v>
      </c>
      <c r="BB1376" s="56"/>
    </row>
    <row r="1377" spans="1:56" ht="13.95" hidden="1" customHeight="1" thickTop="1" thickBot="1" x14ac:dyDescent="0.3">
      <c r="A1377" s="336"/>
      <c r="B1377" s="337" t="s">
        <v>877</v>
      </c>
      <c r="C1377" s="362"/>
      <c r="D1377" s="337" t="str">
        <f>IF(NOT(AV1377&gt;0),"",AC1377)</f>
        <v/>
      </c>
      <c r="E1377" s="338"/>
      <c r="F1377" s="1"/>
      <c r="AC1377" s="263" t="str">
        <f>CONCATENATE(AO1377,AT1377)</f>
        <v>Weekly contribution: $0.00</v>
      </c>
      <c r="AO1377" s="56" t="s">
        <v>878</v>
      </c>
      <c r="AT1377" s="263" t="str">
        <f>DOLLAR(AV1377)</f>
        <v>$0.00</v>
      </c>
      <c r="AV1377" s="338">
        <f>IF(AND(D1376=BM$1205,C1377=B$2043),D$2043,IF(AND(D1376=BM$1205,C1377=B$2044),D$2044,IF(AND(D1376=BM$1205,C1377=B$2045),D$2045,IF(AND(D1376=BM$1205,C1377=B$2046),D$2046,IF(AND(D1376=BM$1205,C1377=B$2047),D$2047,IF(AND(D1376=BM$1205,C1377=B$2048),D$2048,0))))))</f>
        <v>0</v>
      </c>
      <c r="AX1377" s="11" t="str">
        <f>DOLLAR(AZ1377)</f>
        <v>$45.00</v>
      </c>
      <c r="AZ1377" s="363">
        <f>$AJ$1197-AV1377</f>
        <v>45</v>
      </c>
      <c r="BB1377" s="56"/>
      <c r="BD1377" s="322">
        <f>AV1377</f>
        <v>0</v>
      </c>
    </row>
    <row r="1378" spans="1:56" ht="13.95" hidden="1" customHeight="1" thickTop="1" x14ac:dyDescent="0.25">
      <c r="A1378" s="336"/>
      <c r="B1378" s="337"/>
      <c r="C1378" s="337" t="str">
        <f>CONCATENATE(AK1376,AO1376,AP1376)</f>
        <v>This covers none of weekly support cost.</v>
      </c>
      <c r="D1378" s="337" t="str">
        <f>BF$1200</f>
        <v>$45 to go for weekly support.</v>
      </c>
      <c r="E1378" s="338"/>
      <c r="F1378" s="1"/>
      <c r="AC1378" s="56" t="s">
        <v>880</v>
      </c>
      <c r="AI1378" s="154">
        <f>MIN(D1376,AE1372)</f>
        <v>0</v>
      </c>
      <c r="AJ1378" s="56">
        <f>ROUND(AI1378,2)</f>
        <v>0</v>
      </c>
      <c r="AK1378" s="56" t="str">
        <f>CONCATENATE(AC1378,AJ1378)</f>
        <v>contribution per exchange: $0</v>
      </c>
    </row>
    <row r="1379" spans="1:56" ht="13.95" hidden="1" customHeight="1" x14ac:dyDescent="0.25">
      <c r="A1379" s="336"/>
      <c r="B1379" s="337"/>
      <c r="C1379" s="337"/>
      <c r="D1379" s="337"/>
      <c r="E1379" s="338"/>
      <c r="F1379" s="1"/>
    </row>
    <row r="1380" spans="1:56" ht="4.95" hidden="1" customHeight="1" thickBot="1" x14ac:dyDescent="0.3">
      <c r="A1380" s="338"/>
      <c r="B1380" s="340"/>
      <c r="C1380" s="341"/>
      <c r="D1380" s="338"/>
      <c r="E1380" s="338"/>
      <c r="F1380" s="1"/>
      <c r="AC1380" s="334"/>
      <c r="AJ1380" s="437"/>
      <c r="BB1380" s="56"/>
    </row>
    <row r="1381" spans="1:56" ht="16.8" hidden="1" thickTop="1" thickBot="1" x14ac:dyDescent="0.3">
      <c r="A1381" s="347">
        <f>IF(C1381="",0,1+A1371)</f>
        <v>19</v>
      </c>
      <c r="B1381" s="348" t="s">
        <v>901</v>
      </c>
      <c r="C1381" s="349" t="str">
        <f>AM1381</f>
        <v>FIRST NAME</v>
      </c>
      <c r="D1381" s="350" t="str">
        <f>AQ1381</f>
        <v>LAST NAME</v>
      </c>
      <c r="E1381" s="338"/>
      <c r="F1381" s="1"/>
      <c r="AC1381" s="333" t="str">
        <f>IF(NOT(C1381=AM1381),C1381,"")</f>
        <v/>
      </c>
      <c r="AH1381" s="333" t="str">
        <f>IF(NOT(D1381=AQ1381),D1381,"")</f>
        <v/>
      </c>
      <c r="AM1381" s="351" t="s">
        <v>853</v>
      </c>
      <c r="AQ1381" s="351" t="s">
        <v>107</v>
      </c>
      <c r="BB1381" s="56"/>
    </row>
    <row r="1382" spans="1:56" ht="15" hidden="1" thickTop="1" thickBot="1" x14ac:dyDescent="0.3">
      <c r="A1382" s="336"/>
      <c r="B1382" s="338" t="s">
        <v>856</v>
      </c>
      <c r="C1382" s="353"/>
      <c r="D1382" s="5"/>
      <c r="E1382" s="338"/>
      <c r="F1382" s="1"/>
      <c r="AC1382" s="56">
        <f>IF(C1382="",0,1)</f>
        <v>0</v>
      </c>
      <c r="AE1382" s="56">
        <f>IF($AC$1202=1,AC$1197,0)</f>
        <v>0</v>
      </c>
      <c r="BB1382" s="56"/>
    </row>
    <row r="1383" spans="1:56" ht="13.95" hidden="1" customHeight="1" thickTop="1" thickBot="1" x14ac:dyDescent="0.3">
      <c r="A1383" s="336"/>
      <c r="B1383" s="354" t="s">
        <v>859</v>
      </c>
      <c r="C1383" s="353"/>
      <c r="D1383" s="355" t="str">
        <f>AS1383</f>
        <v>AWARENESS OF ISSUE</v>
      </c>
      <c r="E1383" s="338"/>
      <c r="F1383" s="1"/>
      <c r="AM1383" s="356"/>
      <c r="AN1383" s="356"/>
      <c r="AO1383" s="356"/>
      <c r="AP1383" s="356"/>
      <c r="AS1383" s="56" t="str">
        <f>AS1373</f>
        <v>AWARENESS OF ISSUE</v>
      </c>
      <c r="BB1383" s="56"/>
    </row>
    <row r="1384" spans="1:56" ht="13.95" hidden="1" customHeight="1" thickTop="1" thickBot="1" x14ac:dyDescent="0.3">
      <c r="A1384" s="336"/>
      <c r="B1384" s="348" t="s">
        <v>863</v>
      </c>
      <c r="C1384" s="357" t="s">
        <v>864</v>
      </c>
      <c r="D1384" s="357" t="s">
        <v>865</v>
      </c>
      <c r="E1384" s="338"/>
      <c r="F1384" s="1"/>
      <c r="BB1384" s="56"/>
    </row>
    <row r="1385" spans="1:56" ht="13.95" hidden="1" customHeight="1" thickTop="1" thickBot="1" x14ac:dyDescent="0.3">
      <c r="A1385" s="336"/>
      <c r="B1385" s="337" t="s">
        <v>868</v>
      </c>
      <c r="C1385" s="358" t="str">
        <f>AM1385</f>
        <v>YYYY-MM-DD</v>
      </c>
      <c r="D1385" s="358" t="str">
        <f>AM1385</f>
        <v>YYYY-MM-DD</v>
      </c>
      <c r="E1385" s="338"/>
      <c r="F1385" s="1"/>
      <c r="AH1385" s="616" t="str">
        <f>IF(NOT(D1385=AQ1385),D1385,"")</f>
        <v>YYYY-MM-DD</v>
      </c>
      <c r="AI1385" s="616"/>
      <c r="AM1385" s="351" t="s">
        <v>869</v>
      </c>
      <c r="AQ1385" s="351"/>
      <c r="BB1385" s="56"/>
    </row>
    <row r="1386" spans="1:56" ht="13.95" hidden="1" customHeight="1" thickTop="1" thickBot="1" x14ac:dyDescent="0.3">
      <c r="A1386" s="336"/>
      <c r="B1386" s="337" t="s">
        <v>874</v>
      </c>
      <c r="C1386" s="360"/>
      <c r="D1386" s="361" t="str">
        <f>AC1386</f>
        <v/>
      </c>
      <c r="E1386" s="338"/>
      <c r="F1386" s="1"/>
      <c r="AC1386" s="58" t="str">
        <f>IF(AND(AC$1196&gt;0,C1386=BN$1201),BM$1201,IF(AND(AC$1196&gt;0,C1386=BN$1202),BM$1202,IF(AND(AC$1196&gt;0,C1386=BN$1203),BM$1203,IF(AND(AC$1196&gt;0,C1386=BN$1204),BM$1204,IF(AND(AC$1196&gt;0,C1386=BN$1205),BM$1205,"")))))</f>
        <v/>
      </c>
      <c r="AI1386" s="626">
        <f>AV1387/AL$1197</f>
        <v>0</v>
      </c>
      <c r="AJ1386" s="626"/>
      <c r="AK1386" s="56" t="s">
        <v>875</v>
      </c>
      <c r="AO1386" s="11" t="str">
        <f>IF(AI1386=0,"none",(AI1386*100))</f>
        <v>none</v>
      </c>
      <c r="AP1386" s="56" t="str">
        <f>IF(AO1386="none"," of weekly support cost.","% of weekly support cost.")</f>
        <v xml:space="preserve"> of weekly support cost.</v>
      </c>
      <c r="BB1386" s="56"/>
    </row>
    <row r="1387" spans="1:56" ht="13.95" hidden="1" customHeight="1" thickTop="1" thickBot="1" x14ac:dyDescent="0.3">
      <c r="A1387" s="336"/>
      <c r="B1387" s="337" t="s">
        <v>877</v>
      </c>
      <c r="C1387" s="362"/>
      <c r="D1387" s="337" t="str">
        <f>IF(NOT(AV1387&gt;0),"",AC1387)</f>
        <v/>
      </c>
      <c r="E1387" s="338"/>
      <c r="F1387" s="1"/>
      <c r="AC1387" s="263" t="str">
        <f>CONCATENATE(AO1387,AT1387)</f>
        <v>Weekly contribution: $0.00</v>
      </c>
      <c r="AO1387" s="56" t="s">
        <v>878</v>
      </c>
      <c r="AT1387" s="263" t="str">
        <f>DOLLAR(AV1387)</f>
        <v>$0.00</v>
      </c>
      <c r="AV1387" s="338">
        <f>IF(AND(D1386=BM$1205,C1387=B$2043),D$2043,IF(AND(D1386=BM$1205,C1387=B$2044),D$2044,IF(AND(D1386=BM$1205,C1387=B$2045),D$2045,IF(AND(D1386=BM$1205,C1387=B$2046),D$2046,IF(AND(D1386=BM$1205,C1387=B$2047),D$2047,IF(AND(D1386=BM$1205,C1387=B$2048),D$2048,0))))))</f>
        <v>0</v>
      </c>
      <c r="AX1387" s="11" t="str">
        <f>DOLLAR(AZ1387)</f>
        <v>$45.00</v>
      </c>
      <c r="AZ1387" s="363">
        <f>$AJ$1197-AV1387</f>
        <v>45</v>
      </c>
      <c r="BB1387" s="56"/>
      <c r="BD1387" s="322">
        <f>AV1387</f>
        <v>0</v>
      </c>
    </row>
    <row r="1388" spans="1:56" ht="13.95" hidden="1" customHeight="1" thickTop="1" x14ac:dyDescent="0.25">
      <c r="A1388" s="336"/>
      <c r="B1388" s="337"/>
      <c r="C1388" s="337" t="str">
        <f>CONCATENATE(AK1386,AO1386,AP1386)</f>
        <v>This covers none of weekly support cost.</v>
      </c>
      <c r="D1388" s="337" t="str">
        <f>BF$1200</f>
        <v>$45 to go for weekly support.</v>
      </c>
      <c r="E1388" s="338"/>
      <c r="F1388" s="1"/>
      <c r="AC1388" s="56" t="s">
        <v>880</v>
      </c>
      <c r="AI1388" s="154">
        <f>MIN(D1386,AE1382)</f>
        <v>0</v>
      </c>
      <c r="AJ1388" s="56">
        <f>ROUND(AI1388,2)</f>
        <v>0</v>
      </c>
      <c r="AK1388" s="56" t="str">
        <f>CONCATENATE(AC1388,AJ1388)</f>
        <v>contribution per exchange: $0</v>
      </c>
    </row>
    <row r="1389" spans="1:56" ht="18" hidden="1" customHeight="1" x14ac:dyDescent="0.25">
      <c r="A1389" s="336"/>
      <c r="B1389" s="337"/>
      <c r="C1389" s="337"/>
      <c r="D1389" s="337"/>
      <c r="E1389" s="338"/>
      <c r="F1389" s="1"/>
    </row>
    <row r="1390" spans="1:56" ht="4.95" hidden="1" customHeight="1" thickBot="1" x14ac:dyDescent="0.3">
      <c r="A1390" s="338"/>
      <c r="B1390" s="340"/>
      <c r="C1390" s="341"/>
      <c r="D1390" s="338"/>
      <c r="E1390" s="338"/>
      <c r="F1390" s="1"/>
      <c r="AC1390" s="334"/>
      <c r="AJ1390" s="437"/>
      <c r="BB1390" s="56"/>
    </row>
    <row r="1391" spans="1:56" ht="16.8" hidden="1" thickTop="1" thickBot="1" x14ac:dyDescent="0.3">
      <c r="A1391" s="347">
        <f>IF(C1391="",0,1+A1381)</f>
        <v>20</v>
      </c>
      <c r="B1391" s="348" t="s">
        <v>902</v>
      </c>
      <c r="C1391" s="349" t="str">
        <f>AM1391</f>
        <v>FIRST NAME</v>
      </c>
      <c r="D1391" s="350" t="str">
        <f>AQ1391</f>
        <v>LAST NAME</v>
      </c>
      <c r="E1391" s="338"/>
      <c r="F1391" s="1"/>
      <c r="AC1391" s="333" t="str">
        <f>IF(NOT(C1391=AM1391),C1391,"")</f>
        <v/>
      </c>
      <c r="AH1391" s="333" t="str">
        <f>IF(NOT(D1391=AQ1391),D1391,"")</f>
        <v/>
      </c>
      <c r="AM1391" s="351" t="s">
        <v>853</v>
      </c>
      <c r="AQ1391" s="351" t="s">
        <v>107</v>
      </c>
      <c r="BB1391" s="56"/>
    </row>
    <row r="1392" spans="1:56" ht="15" hidden="1" thickTop="1" thickBot="1" x14ac:dyDescent="0.3">
      <c r="A1392" s="336"/>
      <c r="B1392" s="338" t="s">
        <v>856</v>
      </c>
      <c r="C1392" s="353"/>
      <c r="D1392" s="5"/>
      <c r="E1392" s="338"/>
      <c r="F1392" s="1"/>
      <c r="AC1392" s="56">
        <f>IF(C1392="",0,1)</f>
        <v>0</v>
      </c>
      <c r="AE1392" s="56">
        <f>IF($AC$1202=1,AC$1197,0)</f>
        <v>0</v>
      </c>
      <c r="BB1392" s="56"/>
    </row>
    <row r="1393" spans="1:56" ht="13.95" hidden="1" customHeight="1" thickTop="1" thickBot="1" x14ac:dyDescent="0.3">
      <c r="A1393" s="336"/>
      <c r="B1393" s="354" t="s">
        <v>859</v>
      </c>
      <c r="C1393" s="353"/>
      <c r="D1393" s="355" t="str">
        <f>AS1393</f>
        <v>AWARENESS OF ISSUE</v>
      </c>
      <c r="E1393" s="338"/>
      <c r="F1393" s="1"/>
      <c r="AM1393" s="356"/>
      <c r="AN1393" s="356"/>
      <c r="AO1393" s="356"/>
      <c r="AP1393" s="356"/>
      <c r="AS1393" s="56" t="str">
        <f>AS1383</f>
        <v>AWARENESS OF ISSUE</v>
      </c>
      <c r="BB1393" s="56"/>
    </row>
    <row r="1394" spans="1:56" ht="13.95" hidden="1" customHeight="1" thickTop="1" thickBot="1" x14ac:dyDescent="0.3">
      <c r="A1394" s="336"/>
      <c r="B1394" s="348" t="s">
        <v>863</v>
      </c>
      <c r="C1394" s="357" t="s">
        <v>864</v>
      </c>
      <c r="D1394" s="357" t="s">
        <v>865</v>
      </c>
      <c r="E1394" s="338"/>
      <c r="F1394" s="1"/>
      <c r="BB1394" s="56"/>
    </row>
    <row r="1395" spans="1:56" ht="13.95" hidden="1" customHeight="1" thickTop="1" thickBot="1" x14ac:dyDescent="0.3">
      <c r="A1395" s="336"/>
      <c r="B1395" s="337" t="s">
        <v>868</v>
      </c>
      <c r="C1395" s="358" t="str">
        <f>AM1395</f>
        <v>YYYY-MM-DD</v>
      </c>
      <c r="D1395" s="358" t="str">
        <f>AM1395</f>
        <v>YYYY-MM-DD</v>
      </c>
      <c r="E1395" s="338"/>
      <c r="F1395" s="1"/>
      <c r="AH1395" s="616" t="str">
        <f>IF(NOT(D1395=AQ1395),D1395,"")</f>
        <v>YYYY-MM-DD</v>
      </c>
      <c r="AI1395" s="616"/>
      <c r="AM1395" s="351" t="s">
        <v>869</v>
      </c>
      <c r="AQ1395" s="351"/>
      <c r="BB1395" s="56"/>
    </row>
    <row r="1396" spans="1:56" ht="13.95" hidden="1" customHeight="1" thickTop="1" thickBot="1" x14ac:dyDescent="0.3">
      <c r="A1396" s="336"/>
      <c r="B1396" s="337" t="s">
        <v>874</v>
      </c>
      <c r="C1396" s="360"/>
      <c r="D1396" s="361" t="str">
        <f>AC1396</f>
        <v/>
      </c>
      <c r="E1396" s="338"/>
      <c r="F1396" s="1"/>
      <c r="AC1396" s="58" t="str">
        <f>IF(AND(AC$1196&gt;0,C1396=BN$1201),BM$1201,IF(AND(AC$1196&gt;0,C1396=BN$1202),BM$1202,IF(AND(AC$1196&gt;0,C1396=BN$1203),BM$1203,IF(AND(AC$1196&gt;0,C1396=BN$1204),BM$1204,IF(AND(AC$1196&gt;0,C1396=BN$1205),BM$1205,"")))))</f>
        <v/>
      </c>
      <c r="AI1396" s="626">
        <f>AV1397/AL$1197</f>
        <v>0</v>
      </c>
      <c r="AJ1396" s="626"/>
      <c r="AK1396" s="56" t="s">
        <v>875</v>
      </c>
      <c r="AO1396" s="11" t="str">
        <f>IF(AI1396=0,"none",(AI1396*100))</f>
        <v>none</v>
      </c>
      <c r="AP1396" s="56" t="str">
        <f>IF(AO1396="none"," of weekly support cost.","% of weekly support cost.")</f>
        <v xml:space="preserve"> of weekly support cost.</v>
      </c>
      <c r="BB1396" s="56"/>
    </row>
    <row r="1397" spans="1:56" ht="13.95" hidden="1" customHeight="1" thickTop="1" thickBot="1" x14ac:dyDescent="0.3">
      <c r="A1397" s="336"/>
      <c r="B1397" s="337" t="s">
        <v>877</v>
      </c>
      <c r="C1397" s="362"/>
      <c r="D1397" s="337" t="str">
        <f>IF(NOT(AV1397&gt;0),"",AC1397)</f>
        <v/>
      </c>
      <c r="E1397" s="338"/>
      <c r="F1397" s="1"/>
      <c r="AC1397" s="263" t="str">
        <f>CONCATENATE(AO1397,AT1397)</f>
        <v>Weekly contribution: $0.00</v>
      </c>
      <c r="AO1397" s="56" t="s">
        <v>878</v>
      </c>
      <c r="AT1397" s="263" t="str">
        <f>DOLLAR(AV1397)</f>
        <v>$0.00</v>
      </c>
      <c r="AV1397" s="338">
        <f>IF(AND(D1396=BM$1205,C1397=B$2043),D$2043,IF(AND(D1396=BM$1205,C1397=B$2044),D$2044,IF(AND(D1396=BM$1205,C1397=B$2045),D$2045,IF(AND(D1396=BM$1205,C1397=B$2046),D$2046,IF(AND(D1396=BM$1205,C1397=B$2047),D$2047,IF(AND(D1396=BM$1205,C1397=B$2048),D$2048,0))))))</f>
        <v>0</v>
      </c>
      <c r="AX1397" s="11" t="str">
        <f>DOLLAR(AZ1397)</f>
        <v>$45.00</v>
      </c>
      <c r="AZ1397" s="363">
        <f>$AJ$1197-AV1397</f>
        <v>45</v>
      </c>
      <c r="BB1397" s="56"/>
      <c r="BD1397" s="322">
        <f>AV1397</f>
        <v>0</v>
      </c>
    </row>
    <row r="1398" spans="1:56" ht="13.95" hidden="1" customHeight="1" thickTop="1" x14ac:dyDescent="0.25">
      <c r="A1398" s="336"/>
      <c r="B1398" s="337"/>
      <c r="C1398" s="337" t="str">
        <f>CONCATENATE(AK1396,AO1396,AP1396)</f>
        <v>This covers none of weekly support cost.</v>
      </c>
      <c r="D1398" s="337" t="str">
        <f>BF$1200</f>
        <v>$45 to go for weekly support.</v>
      </c>
      <c r="E1398" s="338"/>
      <c r="F1398" s="1"/>
      <c r="AC1398" s="56" t="s">
        <v>880</v>
      </c>
      <c r="AI1398" s="154">
        <f>MIN(D1396,AE1392)</f>
        <v>0</v>
      </c>
      <c r="AJ1398" s="56">
        <f>ROUND(AI1398,2)</f>
        <v>0</v>
      </c>
      <c r="AK1398" s="56" t="str">
        <f>CONCATENATE(AC1398,AJ1398)</f>
        <v>contribution per exchange: $0</v>
      </c>
    </row>
    <row r="1399" spans="1:56" ht="13.95" hidden="1" customHeight="1" x14ac:dyDescent="0.25">
      <c r="A1399" s="336"/>
      <c r="B1399" s="337"/>
      <c r="C1399" s="337"/>
      <c r="D1399" s="337"/>
      <c r="E1399" s="338"/>
      <c r="F1399" s="1"/>
    </row>
    <row r="1400" spans="1:56" ht="4.95" hidden="1" customHeight="1" thickBot="1" x14ac:dyDescent="0.3">
      <c r="A1400" s="338"/>
      <c r="B1400" s="340"/>
      <c r="C1400" s="341"/>
      <c r="D1400" s="338"/>
      <c r="E1400" s="338"/>
      <c r="F1400" s="1"/>
      <c r="AC1400" s="334"/>
      <c r="AJ1400" s="437"/>
      <c r="BB1400" s="56"/>
    </row>
    <row r="1401" spans="1:56" ht="16.8" hidden="1" thickTop="1" thickBot="1" x14ac:dyDescent="0.3">
      <c r="A1401" s="347">
        <f>IF(C1401="",0,1+A1391)</f>
        <v>21</v>
      </c>
      <c r="B1401" s="348" t="s">
        <v>903</v>
      </c>
      <c r="C1401" s="349" t="str">
        <f>AM1401</f>
        <v>FIRST NAME</v>
      </c>
      <c r="D1401" s="350" t="str">
        <f>AQ1401</f>
        <v>LAST NAME</v>
      </c>
      <c r="E1401" s="338"/>
      <c r="F1401" s="1"/>
      <c r="AC1401" s="333" t="str">
        <f>IF(NOT(C1401=AM1401),C1401,"")</f>
        <v/>
      </c>
      <c r="AH1401" s="333" t="str">
        <f>IF(NOT(D1401=AQ1401),D1401,"")</f>
        <v/>
      </c>
      <c r="AM1401" s="351" t="s">
        <v>853</v>
      </c>
      <c r="AQ1401" s="351" t="s">
        <v>107</v>
      </c>
      <c r="BB1401" s="56"/>
    </row>
    <row r="1402" spans="1:56" ht="15" hidden="1" thickTop="1" thickBot="1" x14ac:dyDescent="0.3">
      <c r="A1402" s="336"/>
      <c r="B1402" s="338" t="s">
        <v>856</v>
      </c>
      <c r="C1402" s="353"/>
      <c r="D1402" s="5"/>
      <c r="E1402" s="338"/>
      <c r="F1402" s="1"/>
      <c r="AC1402" s="56">
        <f>IF(C1402="",0,1)</f>
        <v>0</v>
      </c>
      <c r="AE1402" s="56">
        <f>IF($AC$1202=1,AC$1197,0)</f>
        <v>0</v>
      </c>
      <c r="BB1402" s="56"/>
    </row>
    <row r="1403" spans="1:56" ht="13.95" hidden="1" customHeight="1" thickTop="1" thickBot="1" x14ac:dyDescent="0.3">
      <c r="A1403" s="336"/>
      <c r="B1403" s="354" t="s">
        <v>859</v>
      </c>
      <c r="C1403" s="353"/>
      <c r="D1403" s="355" t="str">
        <f>AS1403</f>
        <v>AWARENESS OF ISSUE</v>
      </c>
      <c r="E1403" s="338"/>
      <c r="F1403" s="1"/>
      <c r="AM1403" s="356"/>
      <c r="AN1403" s="356"/>
      <c r="AO1403" s="356"/>
      <c r="AP1403" s="356"/>
      <c r="AS1403" s="56" t="str">
        <f>AS1393</f>
        <v>AWARENESS OF ISSUE</v>
      </c>
      <c r="BB1403" s="56"/>
    </row>
    <row r="1404" spans="1:56" ht="13.95" hidden="1" customHeight="1" thickTop="1" thickBot="1" x14ac:dyDescent="0.3">
      <c r="A1404" s="336"/>
      <c r="B1404" s="348" t="s">
        <v>863</v>
      </c>
      <c r="C1404" s="357" t="s">
        <v>864</v>
      </c>
      <c r="D1404" s="357" t="s">
        <v>865</v>
      </c>
      <c r="E1404" s="338"/>
      <c r="F1404" s="1"/>
      <c r="BB1404" s="56"/>
    </row>
    <row r="1405" spans="1:56" ht="13.95" hidden="1" customHeight="1" thickTop="1" thickBot="1" x14ac:dyDescent="0.3">
      <c r="A1405" s="336"/>
      <c r="B1405" s="337" t="s">
        <v>868</v>
      </c>
      <c r="C1405" s="358" t="str">
        <f>AM1405</f>
        <v>YYYY-MM-DD</v>
      </c>
      <c r="D1405" s="358" t="str">
        <f>AM1405</f>
        <v>YYYY-MM-DD</v>
      </c>
      <c r="E1405" s="338"/>
      <c r="F1405" s="1"/>
      <c r="AH1405" s="616" t="str">
        <f>IF(NOT(D1405=AQ1405),D1405,"")</f>
        <v>YYYY-MM-DD</v>
      </c>
      <c r="AI1405" s="616"/>
      <c r="AM1405" s="351" t="s">
        <v>869</v>
      </c>
      <c r="AQ1405" s="351"/>
      <c r="BB1405" s="56"/>
    </row>
    <row r="1406" spans="1:56" ht="13.95" hidden="1" customHeight="1" thickTop="1" thickBot="1" x14ac:dyDescent="0.3">
      <c r="A1406" s="336"/>
      <c r="B1406" s="337" t="s">
        <v>874</v>
      </c>
      <c r="C1406" s="360"/>
      <c r="D1406" s="361" t="str">
        <f>AC1406</f>
        <v/>
      </c>
      <c r="E1406" s="338"/>
      <c r="F1406" s="1"/>
      <c r="AC1406" s="58" t="str">
        <f>IF(AND(AC$1196&gt;0,C1406=BN$1201),BM$1201,IF(AND(AC$1196&gt;0,C1406=BN$1202),BM$1202,IF(AND(AC$1196&gt;0,C1406=BN$1203),BM$1203,IF(AND(AC$1196&gt;0,C1406=BN$1204),BM$1204,IF(AND(AC$1196&gt;0,C1406=BN$1205),BM$1205,"")))))</f>
        <v/>
      </c>
      <c r="AI1406" s="626">
        <f>AV1407/AL$1197</f>
        <v>0</v>
      </c>
      <c r="AJ1406" s="626"/>
      <c r="AK1406" s="56" t="s">
        <v>875</v>
      </c>
      <c r="AO1406" s="11" t="str">
        <f>IF(AI1406=0,"none",(AI1406*100))</f>
        <v>none</v>
      </c>
      <c r="AP1406" s="56" t="str">
        <f>IF(AO1406="none"," of weekly support cost.","% of weekly support cost.")</f>
        <v xml:space="preserve"> of weekly support cost.</v>
      </c>
      <c r="BB1406" s="56"/>
    </row>
    <row r="1407" spans="1:56" ht="13.95" hidden="1" customHeight="1" thickTop="1" thickBot="1" x14ac:dyDescent="0.3">
      <c r="A1407" s="336"/>
      <c r="B1407" s="337" t="s">
        <v>877</v>
      </c>
      <c r="C1407" s="362"/>
      <c r="D1407" s="337" t="str">
        <f>IF(NOT(AV1407&gt;0),"",AC1407)</f>
        <v/>
      </c>
      <c r="E1407" s="338"/>
      <c r="F1407" s="1"/>
      <c r="AC1407" s="263" t="str">
        <f>CONCATENATE(AO1407,AT1407)</f>
        <v>Weekly contribution: $0.00</v>
      </c>
      <c r="AO1407" s="56" t="s">
        <v>878</v>
      </c>
      <c r="AT1407" s="263" t="str">
        <f>DOLLAR(AV1407)</f>
        <v>$0.00</v>
      </c>
      <c r="AV1407" s="338">
        <f>IF(AND(D1406=BM$1205,C1407=B$2043),D$2043,IF(AND(D1406=BM$1205,C1407=B$2044),D$2044,IF(AND(D1406=BM$1205,C1407=B$2045),D$2045,IF(AND(D1406=BM$1205,C1407=B$2046),D$2046,IF(AND(D1406=BM$1205,C1407=B$2047),D$2047,IF(AND(D1406=BM$1205,C1407=B$2048),D$2048,0))))))</f>
        <v>0</v>
      </c>
      <c r="AX1407" s="11" t="str">
        <f>DOLLAR(AZ1407)</f>
        <v>$45.00</v>
      </c>
      <c r="AZ1407" s="363">
        <f>$AJ$1197-AV1407</f>
        <v>45</v>
      </c>
      <c r="BB1407" s="56"/>
      <c r="BD1407" s="322">
        <f>AV1407</f>
        <v>0</v>
      </c>
    </row>
    <row r="1408" spans="1:56" ht="13.95" hidden="1" customHeight="1" thickTop="1" x14ac:dyDescent="0.25">
      <c r="A1408" s="336"/>
      <c r="B1408" s="337"/>
      <c r="C1408" s="337" t="str">
        <f>CONCATENATE(AK1406,AO1406,AP1406)</f>
        <v>This covers none of weekly support cost.</v>
      </c>
      <c r="D1408" s="337" t="str">
        <f>BF$1200</f>
        <v>$45 to go for weekly support.</v>
      </c>
      <c r="E1408" s="338"/>
      <c r="F1408" s="1"/>
      <c r="AC1408" s="56" t="s">
        <v>880</v>
      </c>
      <c r="AI1408" s="154">
        <f>MIN(D1406,AE1402)</f>
        <v>0</v>
      </c>
      <c r="AJ1408" s="56">
        <f>ROUND(AI1408,2)</f>
        <v>0</v>
      </c>
      <c r="AK1408" s="56" t="str">
        <f>CONCATENATE(AC1408,AJ1408)</f>
        <v>contribution per exchange: $0</v>
      </c>
    </row>
    <row r="1409" spans="1:56" ht="13.95" hidden="1" customHeight="1" x14ac:dyDescent="0.25">
      <c r="A1409" s="336"/>
      <c r="B1409" s="337"/>
      <c r="C1409" s="337"/>
      <c r="D1409" s="337"/>
      <c r="E1409" s="338"/>
      <c r="F1409" s="1"/>
    </row>
    <row r="1410" spans="1:56" ht="4.95" hidden="1" customHeight="1" thickBot="1" x14ac:dyDescent="0.3">
      <c r="A1410" s="338"/>
      <c r="B1410" s="340"/>
      <c r="C1410" s="341"/>
      <c r="D1410" s="338"/>
      <c r="E1410" s="338"/>
      <c r="F1410" s="1"/>
      <c r="AC1410" s="334"/>
      <c r="AJ1410" s="437"/>
      <c r="BB1410" s="56"/>
    </row>
    <row r="1411" spans="1:56" ht="16.8" hidden="1" thickTop="1" thickBot="1" x14ac:dyDescent="0.3">
      <c r="A1411" s="347">
        <f>IF(C1411="",0,1+A1401)</f>
        <v>22</v>
      </c>
      <c r="B1411" s="348" t="s">
        <v>904</v>
      </c>
      <c r="C1411" s="349" t="str">
        <f>AM1411</f>
        <v>FIRST NAME</v>
      </c>
      <c r="D1411" s="350" t="str">
        <f>AQ1411</f>
        <v>LAST NAME</v>
      </c>
      <c r="E1411" s="338"/>
      <c r="F1411" s="1"/>
      <c r="AC1411" s="333" t="str">
        <f>IF(NOT(C1411=AM1411),C1411,"")</f>
        <v/>
      </c>
      <c r="AH1411" s="333" t="str">
        <f>IF(NOT(D1411=AQ1411),D1411,"")</f>
        <v/>
      </c>
      <c r="AM1411" s="351" t="s">
        <v>853</v>
      </c>
      <c r="AQ1411" s="351" t="s">
        <v>107</v>
      </c>
      <c r="BB1411" s="56"/>
    </row>
    <row r="1412" spans="1:56" ht="15" hidden="1" thickTop="1" thickBot="1" x14ac:dyDescent="0.3">
      <c r="A1412" s="336"/>
      <c r="B1412" s="338" t="s">
        <v>856</v>
      </c>
      <c r="C1412" s="353"/>
      <c r="D1412" s="5"/>
      <c r="E1412" s="338"/>
      <c r="F1412" s="1"/>
      <c r="AC1412" s="56">
        <f>IF(C1412="",0,1)</f>
        <v>0</v>
      </c>
      <c r="AE1412" s="56">
        <f>IF($AC$1202=1,AC$1197,0)</f>
        <v>0</v>
      </c>
      <c r="BB1412" s="56"/>
    </row>
    <row r="1413" spans="1:56" ht="13.95" hidden="1" customHeight="1" thickTop="1" thickBot="1" x14ac:dyDescent="0.3">
      <c r="A1413" s="336"/>
      <c r="B1413" s="354" t="s">
        <v>859</v>
      </c>
      <c r="C1413" s="353"/>
      <c r="D1413" s="355" t="str">
        <f>AS1413</f>
        <v>AWARENESS OF ISSUE</v>
      </c>
      <c r="E1413" s="338"/>
      <c r="F1413" s="1"/>
      <c r="AM1413" s="356"/>
      <c r="AN1413" s="356"/>
      <c r="AO1413" s="356"/>
      <c r="AP1413" s="356"/>
      <c r="AS1413" s="56" t="str">
        <f>AS1403</f>
        <v>AWARENESS OF ISSUE</v>
      </c>
      <c r="BB1413" s="56"/>
    </row>
    <row r="1414" spans="1:56" ht="13.95" hidden="1" customHeight="1" thickTop="1" thickBot="1" x14ac:dyDescent="0.3">
      <c r="A1414" s="336"/>
      <c r="B1414" s="348" t="s">
        <v>863</v>
      </c>
      <c r="C1414" s="357" t="s">
        <v>864</v>
      </c>
      <c r="D1414" s="357" t="s">
        <v>865</v>
      </c>
      <c r="E1414" s="338"/>
      <c r="F1414" s="1"/>
      <c r="BB1414" s="56"/>
    </row>
    <row r="1415" spans="1:56" ht="13.95" hidden="1" customHeight="1" thickTop="1" thickBot="1" x14ac:dyDescent="0.3">
      <c r="A1415" s="336"/>
      <c r="B1415" s="337" t="s">
        <v>868</v>
      </c>
      <c r="C1415" s="358" t="str">
        <f>AM1415</f>
        <v>YYYY-MM-DD</v>
      </c>
      <c r="D1415" s="358" t="str">
        <f>AM1415</f>
        <v>YYYY-MM-DD</v>
      </c>
      <c r="E1415" s="338"/>
      <c r="F1415" s="1"/>
      <c r="AH1415" s="616" t="str">
        <f>IF(NOT(D1415=AQ1415),D1415,"")</f>
        <v>YYYY-MM-DD</v>
      </c>
      <c r="AI1415" s="616"/>
      <c r="AM1415" s="351" t="s">
        <v>869</v>
      </c>
      <c r="AQ1415" s="351"/>
      <c r="BB1415" s="56"/>
    </row>
    <row r="1416" spans="1:56" ht="13.95" hidden="1" customHeight="1" thickTop="1" thickBot="1" x14ac:dyDescent="0.3">
      <c r="A1416" s="336"/>
      <c r="B1416" s="337" t="s">
        <v>874</v>
      </c>
      <c r="C1416" s="360"/>
      <c r="D1416" s="361" t="str">
        <f>AC1416</f>
        <v/>
      </c>
      <c r="E1416" s="338"/>
      <c r="F1416" s="1"/>
      <c r="AC1416" s="58" t="str">
        <f>IF(AND(AC$1196&gt;0,C1416=BN$1201),BM$1201,IF(AND(AC$1196&gt;0,C1416=BN$1202),BM$1202,IF(AND(AC$1196&gt;0,C1416=BN$1203),BM$1203,IF(AND(AC$1196&gt;0,C1416=BN$1204),BM$1204,IF(AND(AC$1196&gt;0,C1416=BN$1205),BM$1205,"")))))</f>
        <v/>
      </c>
      <c r="AI1416" s="626">
        <f>AV1417/AL$1197</f>
        <v>0</v>
      </c>
      <c r="AJ1416" s="626"/>
      <c r="AK1416" s="56" t="s">
        <v>875</v>
      </c>
      <c r="AO1416" s="11" t="str">
        <f>IF(AI1416=0,"none",(AI1416*100))</f>
        <v>none</v>
      </c>
      <c r="AP1416" s="56" t="str">
        <f>IF(AO1416="none"," of weekly support cost.","% of weekly support cost.")</f>
        <v xml:space="preserve"> of weekly support cost.</v>
      </c>
      <c r="BB1416" s="56"/>
    </row>
    <row r="1417" spans="1:56" ht="13.95" hidden="1" customHeight="1" thickTop="1" thickBot="1" x14ac:dyDescent="0.3">
      <c r="A1417" s="336"/>
      <c r="B1417" s="337" t="s">
        <v>877</v>
      </c>
      <c r="C1417" s="362"/>
      <c r="D1417" s="337" t="str">
        <f>IF(NOT(AV1417&gt;0),"",AC1417)</f>
        <v/>
      </c>
      <c r="E1417" s="338"/>
      <c r="F1417" s="1"/>
      <c r="AC1417" s="263" t="str">
        <f>CONCATENATE(AO1417,AT1417)</f>
        <v>Weekly contribution: $0.00</v>
      </c>
      <c r="AO1417" s="56" t="s">
        <v>878</v>
      </c>
      <c r="AT1417" s="263" t="str">
        <f>DOLLAR(AV1417)</f>
        <v>$0.00</v>
      </c>
      <c r="AV1417" s="338">
        <f>IF(AND(D1416=BM$1205,C1417=B$2043),D$2043,IF(AND(D1416=BM$1205,C1417=B$2044),D$2044,IF(AND(D1416=BM$1205,C1417=B$2045),D$2045,IF(AND(D1416=BM$1205,C1417=B$2046),D$2046,IF(AND(D1416=BM$1205,C1417=B$2047),D$2047,IF(AND(D1416=BM$1205,C1417=B$2048),D$2048,0))))))</f>
        <v>0</v>
      </c>
      <c r="AX1417" s="11" t="str">
        <f>DOLLAR(AZ1417)</f>
        <v>$45.00</v>
      </c>
      <c r="AZ1417" s="363">
        <f>$AJ$1197-AV1417</f>
        <v>45</v>
      </c>
      <c r="BB1417" s="56"/>
      <c r="BD1417" s="322">
        <f>AV1417</f>
        <v>0</v>
      </c>
    </row>
    <row r="1418" spans="1:56" ht="13.95" hidden="1" customHeight="1" thickTop="1" x14ac:dyDescent="0.25">
      <c r="A1418" s="336"/>
      <c r="B1418" s="337"/>
      <c r="C1418" s="337" t="str">
        <f>CONCATENATE(AK1416,AO1416,AP1416)</f>
        <v>This covers none of weekly support cost.</v>
      </c>
      <c r="D1418" s="337" t="str">
        <f>BF$1200</f>
        <v>$45 to go for weekly support.</v>
      </c>
      <c r="E1418" s="338"/>
      <c r="F1418" s="1"/>
      <c r="AC1418" s="56" t="s">
        <v>880</v>
      </c>
      <c r="AI1418" s="154">
        <f>MIN(D1416,AE1412)</f>
        <v>0</v>
      </c>
      <c r="AJ1418" s="56">
        <f>ROUND(AI1418,2)</f>
        <v>0</v>
      </c>
      <c r="AK1418" s="56" t="str">
        <f>CONCATENATE(AC1418,AJ1418)</f>
        <v>contribution per exchange: $0</v>
      </c>
    </row>
    <row r="1419" spans="1:56" ht="13.95" hidden="1" customHeight="1" x14ac:dyDescent="0.25">
      <c r="A1419" s="336"/>
      <c r="B1419" s="337"/>
      <c r="C1419" s="337"/>
      <c r="D1419" s="337"/>
      <c r="E1419" s="338"/>
      <c r="F1419" s="1"/>
    </row>
    <row r="1420" spans="1:56" ht="4.95" hidden="1" customHeight="1" thickBot="1" x14ac:dyDescent="0.3">
      <c r="A1420" s="338"/>
      <c r="B1420" s="340"/>
      <c r="C1420" s="341"/>
      <c r="D1420" s="338"/>
      <c r="E1420" s="338"/>
      <c r="F1420" s="1"/>
      <c r="AC1420" s="334"/>
      <c r="AJ1420" s="437"/>
      <c r="BB1420" s="56"/>
    </row>
    <row r="1421" spans="1:56" ht="16.8" hidden="1" thickTop="1" thickBot="1" x14ac:dyDescent="0.3">
      <c r="A1421" s="347">
        <f>IF(C1421="",0,1+A1411)</f>
        <v>23</v>
      </c>
      <c r="B1421" s="348" t="s">
        <v>905</v>
      </c>
      <c r="C1421" s="349" t="str">
        <f>AM1421</f>
        <v>FIRST NAME</v>
      </c>
      <c r="D1421" s="350" t="str">
        <f>AQ1421</f>
        <v>LAST NAME</v>
      </c>
      <c r="E1421" s="338"/>
      <c r="F1421" s="1"/>
      <c r="AC1421" s="333" t="str">
        <f>IF(NOT(C1421=AM1421),C1421,"")</f>
        <v/>
      </c>
      <c r="AH1421" s="333" t="str">
        <f>IF(NOT(D1421=AQ1421),D1421,"")</f>
        <v/>
      </c>
      <c r="AM1421" s="351" t="s">
        <v>853</v>
      </c>
      <c r="AQ1421" s="351" t="s">
        <v>107</v>
      </c>
      <c r="BB1421" s="56"/>
    </row>
    <row r="1422" spans="1:56" ht="15" hidden="1" thickTop="1" thickBot="1" x14ac:dyDescent="0.3">
      <c r="A1422" s="336"/>
      <c r="B1422" s="338" t="s">
        <v>856</v>
      </c>
      <c r="C1422" s="353"/>
      <c r="D1422" s="5"/>
      <c r="E1422" s="338"/>
      <c r="F1422" s="1"/>
      <c r="AC1422" s="56">
        <f>IF(C1422="",0,1)</f>
        <v>0</v>
      </c>
      <c r="AE1422" s="56">
        <f>IF($AC$1202=1,AC$1197,0)</f>
        <v>0</v>
      </c>
      <c r="BB1422" s="56"/>
    </row>
    <row r="1423" spans="1:56" ht="13.95" hidden="1" customHeight="1" thickTop="1" thickBot="1" x14ac:dyDescent="0.3">
      <c r="A1423" s="336"/>
      <c r="B1423" s="354" t="s">
        <v>859</v>
      </c>
      <c r="C1423" s="353"/>
      <c r="D1423" s="355" t="str">
        <f>AS1423</f>
        <v>AWARENESS OF ISSUE</v>
      </c>
      <c r="E1423" s="338"/>
      <c r="F1423" s="1"/>
      <c r="AM1423" s="356"/>
      <c r="AN1423" s="356"/>
      <c r="AO1423" s="356"/>
      <c r="AP1423" s="356"/>
      <c r="AS1423" s="56" t="str">
        <f>AS1413</f>
        <v>AWARENESS OF ISSUE</v>
      </c>
      <c r="BB1423" s="56"/>
    </row>
    <row r="1424" spans="1:56" ht="13.95" hidden="1" customHeight="1" thickTop="1" thickBot="1" x14ac:dyDescent="0.3">
      <c r="A1424" s="336"/>
      <c r="B1424" s="348" t="s">
        <v>863</v>
      </c>
      <c r="C1424" s="357" t="s">
        <v>864</v>
      </c>
      <c r="D1424" s="357" t="s">
        <v>865</v>
      </c>
      <c r="E1424" s="338"/>
      <c r="F1424" s="1"/>
      <c r="BB1424" s="56"/>
    </row>
    <row r="1425" spans="1:56" ht="13.95" hidden="1" customHeight="1" thickTop="1" thickBot="1" x14ac:dyDescent="0.3">
      <c r="A1425" s="336"/>
      <c r="B1425" s="337" t="s">
        <v>868</v>
      </c>
      <c r="C1425" s="358" t="str">
        <f>AM1425</f>
        <v>YYYY-MM-DD</v>
      </c>
      <c r="D1425" s="358" t="str">
        <f>AM1425</f>
        <v>YYYY-MM-DD</v>
      </c>
      <c r="E1425" s="338"/>
      <c r="F1425" s="1"/>
      <c r="AH1425" s="616" t="str">
        <f>IF(NOT(D1425=AQ1425),D1425,"")</f>
        <v>YYYY-MM-DD</v>
      </c>
      <c r="AI1425" s="616"/>
      <c r="AM1425" s="351" t="s">
        <v>869</v>
      </c>
      <c r="AQ1425" s="351"/>
      <c r="BB1425" s="56"/>
    </row>
    <row r="1426" spans="1:56" ht="13.95" hidden="1" customHeight="1" thickTop="1" thickBot="1" x14ac:dyDescent="0.3">
      <c r="A1426" s="336"/>
      <c r="B1426" s="337" t="s">
        <v>874</v>
      </c>
      <c r="C1426" s="360"/>
      <c r="D1426" s="361" t="str">
        <f>AC1426</f>
        <v/>
      </c>
      <c r="E1426" s="338"/>
      <c r="F1426" s="1"/>
      <c r="AC1426" s="58" t="str">
        <f>IF(AND(AC$1196&gt;0,C1426=BN$1201),BM$1201,IF(AND(AC$1196&gt;0,C1426=BN$1202),BM$1202,IF(AND(AC$1196&gt;0,C1426=BN$1203),BM$1203,IF(AND(AC$1196&gt;0,C1426=BN$1204),BM$1204,IF(AND(AC$1196&gt;0,C1426=BN$1205),BM$1205,"")))))</f>
        <v/>
      </c>
      <c r="AI1426" s="626">
        <f>AV1427/AL$1197</f>
        <v>0</v>
      </c>
      <c r="AJ1426" s="626"/>
      <c r="AK1426" s="56" t="s">
        <v>875</v>
      </c>
      <c r="AO1426" s="11" t="str">
        <f>IF(AI1426=0,"none",(AI1426*100))</f>
        <v>none</v>
      </c>
      <c r="AP1426" s="56" t="str">
        <f>IF(AO1426="none"," of weekly support cost.","% of weekly support cost.")</f>
        <v xml:space="preserve"> of weekly support cost.</v>
      </c>
      <c r="BB1426" s="56"/>
    </row>
    <row r="1427" spans="1:56" ht="13.95" hidden="1" customHeight="1" thickTop="1" thickBot="1" x14ac:dyDescent="0.3">
      <c r="A1427" s="336"/>
      <c r="B1427" s="337" t="s">
        <v>877</v>
      </c>
      <c r="C1427" s="362"/>
      <c r="D1427" s="337" t="str">
        <f>IF(NOT(AV1427&gt;0),"",AC1427)</f>
        <v/>
      </c>
      <c r="E1427" s="338"/>
      <c r="F1427" s="1"/>
      <c r="AC1427" s="263" t="str">
        <f>CONCATENATE(AO1427,AT1427)</f>
        <v>Weekly contribution: $0.00</v>
      </c>
      <c r="AO1427" s="56" t="s">
        <v>878</v>
      </c>
      <c r="AT1427" s="263" t="str">
        <f>DOLLAR(AV1427)</f>
        <v>$0.00</v>
      </c>
      <c r="AV1427" s="338">
        <f>IF(AND(D1426=BM$1205,C1427=B$2043),D$2043,IF(AND(D1426=BM$1205,C1427=B$2044),D$2044,IF(AND(D1426=BM$1205,C1427=B$2045),D$2045,IF(AND(D1426=BM$1205,C1427=B$2046),D$2046,IF(AND(D1426=BM$1205,C1427=B$2047),D$2047,IF(AND(D1426=BM$1205,C1427=B$2048),D$2048,0))))))</f>
        <v>0</v>
      </c>
      <c r="AX1427" s="11" t="str">
        <f>DOLLAR(AZ1427)</f>
        <v>$45.00</v>
      </c>
      <c r="AZ1427" s="363">
        <f>$AJ$1197-AV1427</f>
        <v>45</v>
      </c>
      <c r="BB1427" s="56"/>
      <c r="BD1427" s="322">
        <f>AV1427</f>
        <v>0</v>
      </c>
    </row>
    <row r="1428" spans="1:56" ht="13.95" hidden="1" customHeight="1" thickTop="1" x14ac:dyDescent="0.25">
      <c r="A1428" s="336"/>
      <c r="B1428" s="337"/>
      <c r="C1428" s="337" t="str">
        <f>CONCATENATE(AK1426,AO1426,AP1426)</f>
        <v>This covers none of weekly support cost.</v>
      </c>
      <c r="D1428" s="337" t="str">
        <f>BF$1200</f>
        <v>$45 to go for weekly support.</v>
      </c>
      <c r="E1428" s="338"/>
      <c r="F1428" s="1"/>
      <c r="AC1428" s="56" t="s">
        <v>880</v>
      </c>
      <c r="AI1428" s="154">
        <f>MIN(D1426,AE1422)</f>
        <v>0</v>
      </c>
      <c r="AJ1428" s="56">
        <f>ROUND(AI1428,2)</f>
        <v>0</v>
      </c>
      <c r="AK1428" s="56" t="str">
        <f>CONCATENATE(AC1428,AJ1428)</f>
        <v>contribution per exchange: $0</v>
      </c>
    </row>
    <row r="1429" spans="1:56" ht="13.95" hidden="1" customHeight="1" x14ac:dyDescent="0.25">
      <c r="A1429" s="336"/>
      <c r="B1429" s="337"/>
      <c r="C1429" s="337"/>
      <c r="D1429" s="337"/>
      <c r="E1429" s="338"/>
      <c r="F1429" s="1"/>
    </row>
    <row r="1430" spans="1:56" ht="4.95" hidden="1" customHeight="1" thickBot="1" x14ac:dyDescent="0.3">
      <c r="A1430" s="338"/>
      <c r="B1430" s="340"/>
      <c r="C1430" s="341"/>
      <c r="D1430" s="338"/>
      <c r="E1430" s="338"/>
      <c r="F1430" s="1"/>
      <c r="AC1430" s="334"/>
      <c r="AJ1430" s="437"/>
      <c r="BB1430" s="56"/>
    </row>
    <row r="1431" spans="1:56" ht="16.8" hidden="1" thickTop="1" thickBot="1" x14ac:dyDescent="0.3">
      <c r="A1431" s="347">
        <f>IF(C1431="",0,1+A1421)</f>
        <v>24</v>
      </c>
      <c r="B1431" s="348" t="s">
        <v>906</v>
      </c>
      <c r="C1431" s="349" t="str">
        <f>AM1431</f>
        <v>FIRST NAME</v>
      </c>
      <c r="D1431" s="350" t="str">
        <f>AQ1431</f>
        <v>LAST NAME</v>
      </c>
      <c r="E1431" s="338"/>
      <c r="F1431" s="1"/>
      <c r="AC1431" s="333" t="str">
        <f>IF(NOT(C1431=AM1431),C1431,"")</f>
        <v/>
      </c>
      <c r="AH1431" s="333" t="str">
        <f>IF(NOT(D1431=AQ1431),D1431,"")</f>
        <v/>
      </c>
      <c r="AM1431" s="351" t="s">
        <v>853</v>
      </c>
      <c r="AQ1431" s="351" t="s">
        <v>107</v>
      </c>
      <c r="BB1431" s="56"/>
    </row>
    <row r="1432" spans="1:56" ht="15" hidden="1" thickTop="1" thickBot="1" x14ac:dyDescent="0.3">
      <c r="A1432" s="336"/>
      <c r="B1432" s="338" t="s">
        <v>856</v>
      </c>
      <c r="C1432" s="353"/>
      <c r="D1432" s="5"/>
      <c r="E1432" s="338"/>
      <c r="F1432" s="1"/>
      <c r="AC1432" s="56">
        <f>IF(C1432="",0,1)</f>
        <v>0</v>
      </c>
      <c r="AE1432" s="56">
        <f>IF($AC$1202=1,AC$1197,0)</f>
        <v>0</v>
      </c>
      <c r="BB1432" s="56"/>
    </row>
    <row r="1433" spans="1:56" ht="13.95" hidden="1" customHeight="1" thickTop="1" thickBot="1" x14ac:dyDescent="0.3">
      <c r="A1433" s="336"/>
      <c r="B1433" s="354" t="s">
        <v>859</v>
      </c>
      <c r="C1433" s="353"/>
      <c r="D1433" s="355" t="str">
        <f>AS1433</f>
        <v>AWARENESS OF ISSUE</v>
      </c>
      <c r="E1433" s="338"/>
      <c r="F1433" s="1"/>
      <c r="AM1433" s="356"/>
      <c r="AN1433" s="356"/>
      <c r="AO1433" s="356"/>
      <c r="AP1433" s="356"/>
      <c r="AS1433" s="56" t="str">
        <f>AS1423</f>
        <v>AWARENESS OF ISSUE</v>
      </c>
      <c r="BB1433" s="56"/>
    </row>
    <row r="1434" spans="1:56" ht="13.95" hidden="1" customHeight="1" thickTop="1" thickBot="1" x14ac:dyDescent="0.3">
      <c r="A1434" s="336"/>
      <c r="B1434" s="348" t="s">
        <v>863</v>
      </c>
      <c r="C1434" s="357" t="s">
        <v>864</v>
      </c>
      <c r="D1434" s="357" t="s">
        <v>865</v>
      </c>
      <c r="E1434" s="338"/>
      <c r="F1434" s="1"/>
      <c r="BB1434" s="56"/>
    </row>
    <row r="1435" spans="1:56" ht="13.95" hidden="1" customHeight="1" thickTop="1" thickBot="1" x14ac:dyDescent="0.3">
      <c r="A1435" s="336"/>
      <c r="B1435" s="337" t="s">
        <v>868</v>
      </c>
      <c r="C1435" s="358" t="str">
        <f>AM1435</f>
        <v>YYYY-MM-DD</v>
      </c>
      <c r="D1435" s="358" t="str">
        <f>AM1435</f>
        <v>YYYY-MM-DD</v>
      </c>
      <c r="E1435" s="338"/>
      <c r="F1435" s="1"/>
      <c r="AH1435" s="616" t="str">
        <f>IF(NOT(D1435=AQ1435),D1435,"")</f>
        <v>YYYY-MM-DD</v>
      </c>
      <c r="AI1435" s="616"/>
      <c r="AM1435" s="351" t="s">
        <v>869</v>
      </c>
      <c r="AQ1435" s="351"/>
      <c r="BB1435" s="56"/>
    </row>
    <row r="1436" spans="1:56" ht="13.95" hidden="1" customHeight="1" thickTop="1" thickBot="1" x14ac:dyDescent="0.3">
      <c r="A1436" s="336"/>
      <c r="B1436" s="337" t="s">
        <v>874</v>
      </c>
      <c r="C1436" s="360"/>
      <c r="D1436" s="361" t="str">
        <f>AC1436</f>
        <v/>
      </c>
      <c r="E1436" s="338"/>
      <c r="F1436" s="1"/>
      <c r="AC1436" s="58" t="str">
        <f>IF(AND(AC$1196&gt;0,C1436=BN$1201),BM$1201,IF(AND(AC$1196&gt;0,C1436=BN$1202),BM$1202,IF(AND(AC$1196&gt;0,C1436=BN$1203),BM$1203,IF(AND(AC$1196&gt;0,C1436=BN$1204),BM$1204,IF(AND(AC$1196&gt;0,C1436=BN$1205),BM$1205,"")))))</f>
        <v/>
      </c>
      <c r="AI1436" s="626">
        <f>AV1437/AL$1197</f>
        <v>0</v>
      </c>
      <c r="AJ1436" s="626"/>
      <c r="AK1436" s="56" t="s">
        <v>875</v>
      </c>
      <c r="AO1436" s="11" t="str">
        <f>IF(AI1436=0,"none",(AI1436*100))</f>
        <v>none</v>
      </c>
      <c r="AP1436" s="56" t="str">
        <f>IF(AO1436="none"," of weekly support cost.","% of weekly support cost.")</f>
        <v xml:space="preserve"> of weekly support cost.</v>
      </c>
      <c r="BB1436" s="56"/>
    </row>
    <row r="1437" spans="1:56" ht="13.95" hidden="1" customHeight="1" thickTop="1" thickBot="1" x14ac:dyDescent="0.3">
      <c r="A1437" s="336"/>
      <c r="B1437" s="337" t="s">
        <v>877</v>
      </c>
      <c r="C1437" s="362"/>
      <c r="D1437" s="337" t="str">
        <f>IF(NOT(AV1437&gt;0),"",AC1437)</f>
        <v/>
      </c>
      <c r="E1437" s="338"/>
      <c r="F1437" s="1"/>
      <c r="AC1437" s="263" t="str">
        <f>CONCATENATE(AO1437,AT1437)</f>
        <v>Weekly contribution: $0.00</v>
      </c>
      <c r="AO1437" s="56" t="s">
        <v>878</v>
      </c>
      <c r="AT1437" s="263" t="str">
        <f>DOLLAR(AV1437)</f>
        <v>$0.00</v>
      </c>
      <c r="AV1437" s="338">
        <f>IF(AND(D1436=BM$1205,C1437=B$2043),D$2043,IF(AND(D1436=BM$1205,C1437=B$2044),D$2044,IF(AND(D1436=BM$1205,C1437=B$2045),D$2045,IF(AND(D1436=BM$1205,C1437=B$2046),D$2046,IF(AND(D1436=BM$1205,C1437=B$2047),D$2047,IF(AND(D1436=BM$1205,C1437=B$2048),D$2048,0))))))</f>
        <v>0</v>
      </c>
      <c r="AX1437" s="11" t="str">
        <f>DOLLAR(AZ1437)</f>
        <v>$45.00</v>
      </c>
      <c r="AZ1437" s="363">
        <f>$AJ$1197-AV1437</f>
        <v>45</v>
      </c>
      <c r="BB1437" s="56"/>
      <c r="BD1437" s="322">
        <f>AV1437</f>
        <v>0</v>
      </c>
    </row>
    <row r="1438" spans="1:56" ht="13.95" hidden="1" customHeight="1" thickTop="1" x14ac:dyDescent="0.25">
      <c r="A1438" s="336"/>
      <c r="B1438" s="337"/>
      <c r="C1438" s="337" t="str">
        <f>CONCATENATE(AK1436,AO1436,AP1436)</f>
        <v>This covers none of weekly support cost.</v>
      </c>
      <c r="D1438" s="337" t="str">
        <f>BF$1200</f>
        <v>$45 to go for weekly support.</v>
      </c>
      <c r="E1438" s="338"/>
      <c r="F1438" s="1"/>
      <c r="AC1438" s="56" t="s">
        <v>880</v>
      </c>
      <c r="AI1438" s="154">
        <f>MIN(D1436,AE1432)</f>
        <v>0</v>
      </c>
      <c r="AJ1438" s="56">
        <f>ROUND(AI1438,2)</f>
        <v>0</v>
      </c>
      <c r="AK1438" s="56" t="str">
        <f>CONCATENATE(AC1438,AJ1438)</f>
        <v>contribution per exchange: $0</v>
      </c>
    </row>
    <row r="1439" spans="1:56" ht="13.95" hidden="1" customHeight="1" x14ac:dyDescent="0.25">
      <c r="A1439" s="336"/>
      <c r="B1439" s="337"/>
      <c r="C1439" s="337"/>
      <c r="D1439" s="337"/>
      <c r="E1439" s="338"/>
      <c r="F1439" s="1"/>
    </row>
    <row r="1440" spans="1:56" ht="4.95" hidden="1" customHeight="1" x14ac:dyDescent="0.25">
      <c r="A1440" s="338"/>
      <c r="B1440" s="340"/>
      <c r="C1440" s="341"/>
      <c r="D1440" s="338"/>
      <c r="E1440" s="338"/>
      <c r="F1440" s="1"/>
      <c r="BB1440" s="56"/>
    </row>
    <row r="1441" spans="1:54" ht="30" hidden="1" customHeight="1" x14ac:dyDescent="0.25">
      <c r="A1441" s="340"/>
      <c r="B1441" s="340"/>
      <c r="C1441" s="341"/>
      <c r="D1441" s="338"/>
      <c r="E1441" s="338"/>
      <c r="F1441" s="338"/>
      <c r="BB1441" s="56"/>
    </row>
    <row r="1442" spans="1:54" ht="45" hidden="1" customHeight="1" x14ac:dyDescent="0.25">
      <c r="A1442" s="340"/>
      <c r="B1442" s="339"/>
      <c r="C1442" s="613"/>
      <c r="D1442" s="613"/>
      <c r="E1442" s="338"/>
      <c r="F1442" s="338"/>
      <c r="BB1442" s="56"/>
    </row>
    <row r="1443" spans="1:54" ht="18" hidden="1" customHeight="1" x14ac:dyDescent="0.25">
      <c r="A1443" s="340"/>
      <c r="B1443" s="340"/>
      <c r="C1443" s="341"/>
      <c r="D1443" s="338"/>
      <c r="E1443" s="338"/>
      <c r="F1443" s="338"/>
      <c r="BB1443" s="56"/>
    </row>
    <row r="1444" spans="1:54" ht="18" hidden="1" customHeight="1" x14ac:dyDescent="0.25">
      <c r="A1444" s="340"/>
      <c r="B1444" s="340"/>
      <c r="C1444" s="341"/>
      <c r="D1444" s="338"/>
      <c r="E1444" s="338"/>
      <c r="F1444" s="338"/>
      <c r="BB1444" s="56"/>
    </row>
    <row r="1445" spans="1:54" ht="18" hidden="1" customHeight="1" x14ac:dyDescent="0.25">
      <c r="A1445" s="340"/>
      <c r="B1445" s="340"/>
      <c r="C1445" s="341"/>
      <c r="D1445" s="338"/>
      <c r="E1445" s="338"/>
      <c r="F1445" s="338"/>
      <c r="BB1445" s="56"/>
    </row>
    <row r="1446" spans="1:54" ht="18" hidden="1" customHeight="1" x14ac:dyDescent="0.25">
      <c r="A1446" s="340"/>
      <c r="B1446" s="340"/>
      <c r="C1446" s="341"/>
      <c r="D1446" s="338"/>
      <c r="E1446" s="338"/>
      <c r="F1446" s="338"/>
      <c r="BB1446" s="56"/>
    </row>
    <row r="1447" spans="1:54" ht="18" hidden="1" customHeight="1" x14ac:dyDescent="0.25">
      <c r="A1447" s="340"/>
      <c r="B1447" s="340"/>
      <c r="C1447" s="341"/>
      <c r="D1447" s="338"/>
      <c r="E1447" s="338"/>
      <c r="F1447" s="338"/>
      <c r="BB1447" s="56"/>
    </row>
    <row r="1448" spans="1:54" ht="18" hidden="1" customHeight="1" x14ac:dyDescent="0.25">
      <c r="A1448" s="340"/>
      <c r="B1448" s="340"/>
      <c r="C1448" s="341"/>
      <c r="D1448" s="338"/>
      <c r="E1448" s="338"/>
      <c r="F1448" s="338"/>
      <c r="BB1448" s="56"/>
    </row>
    <row r="1449" spans="1:54" ht="18" hidden="1" customHeight="1" x14ac:dyDescent="0.25">
      <c r="A1449" s="340"/>
      <c r="B1449" s="340"/>
      <c r="C1449" s="341"/>
      <c r="D1449" s="338"/>
      <c r="E1449" s="338"/>
      <c r="F1449" s="338"/>
      <c r="BB1449" s="56"/>
    </row>
    <row r="1450" spans="1:54" ht="18" hidden="1" customHeight="1" x14ac:dyDescent="0.25">
      <c r="A1450" s="340"/>
      <c r="B1450" s="340"/>
      <c r="C1450" s="341"/>
      <c r="D1450" s="338"/>
      <c r="E1450" s="338"/>
      <c r="F1450" s="338"/>
      <c r="BB1450" s="56"/>
    </row>
    <row r="1451" spans="1:54" ht="18" hidden="1" customHeight="1" x14ac:dyDescent="0.25">
      <c r="A1451" s="340"/>
      <c r="B1451" s="340"/>
      <c r="C1451" s="341"/>
      <c r="D1451" s="338"/>
      <c r="E1451" s="338"/>
      <c r="F1451" s="338"/>
      <c r="AI1451" s="340" t="s">
        <v>907</v>
      </c>
      <c r="BB1451" s="56"/>
    </row>
    <row r="1452" spans="1:54" ht="18" hidden="1" customHeight="1" x14ac:dyDescent="0.25">
      <c r="A1452" s="340"/>
      <c r="B1452" s="340"/>
      <c r="C1452" s="341"/>
      <c r="D1452" s="338"/>
      <c r="E1452" s="338"/>
      <c r="F1452" s="338"/>
      <c r="AI1452" s="340" t="s">
        <v>907</v>
      </c>
      <c r="BB1452" s="56"/>
    </row>
    <row r="1453" spans="1:54" ht="18" hidden="1" customHeight="1" x14ac:dyDescent="0.25">
      <c r="A1453" s="340"/>
      <c r="B1453" s="340"/>
      <c r="C1453" s="341"/>
      <c r="D1453" s="338"/>
      <c r="E1453" s="338"/>
      <c r="F1453" s="338"/>
      <c r="AI1453" s="364" t="s">
        <v>908</v>
      </c>
      <c r="BB1453" s="56"/>
    </row>
    <row r="1454" spans="1:54" ht="18" hidden="1" customHeight="1" x14ac:dyDescent="0.25">
      <c r="A1454" s="340"/>
      <c r="B1454" s="364"/>
      <c r="C1454" s="341"/>
      <c r="D1454" s="338"/>
      <c r="E1454" s="338"/>
      <c r="F1454" s="338"/>
      <c r="BB1454" s="56"/>
    </row>
    <row r="1455" spans="1:54" ht="18" hidden="1" customHeight="1" x14ac:dyDescent="0.25">
      <c r="A1455" s="340"/>
      <c r="B1455" s="340"/>
      <c r="C1455" s="341"/>
      <c r="D1455" s="338"/>
      <c r="E1455" s="338"/>
      <c r="F1455" s="338"/>
      <c r="BB1455" s="56"/>
    </row>
    <row r="1456" spans="1:54" ht="18" hidden="1" customHeight="1" x14ac:dyDescent="0.25">
      <c r="A1456" s="340"/>
      <c r="B1456" s="340"/>
      <c r="C1456" s="341"/>
      <c r="D1456" s="338"/>
      <c r="E1456" s="338"/>
      <c r="F1456" s="338"/>
      <c r="BB1456" s="56"/>
    </row>
    <row r="1457" spans="1:54" ht="18" hidden="1" customHeight="1" x14ac:dyDescent="0.25">
      <c r="A1457" s="340"/>
      <c r="B1457" s="340"/>
      <c r="C1457" s="341"/>
      <c r="D1457" s="338"/>
      <c r="E1457" s="338"/>
      <c r="F1457" s="338"/>
      <c r="BB1457" s="56"/>
    </row>
    <row r="1458" spans="1:54" ht="18" hidden="1" customHeight="1" x14ac:dyDescent="0.25">
      <c r="A1458" s="340"/>
      <c r="B1458" s="340"/>
      <c r="C1458" s="341"/>
      <c r="D1458" s="338"/>
      <c r="E1458" s="338"/>
      <c r="F1458" s="338"/>
      <c r="BB1458" s="56"/>
    </row>
    <row r="1459" spans="1:54" ht="18" hidden="1" customHeight="1" x14ac:dyDescent="0.25">
      <c r="A1459" s="340"/>
      <c r="B1459" s="340"/>
      <c r="C1459" s="341"/>
      <c r="D1459" s="338"/>
      <c r="E1459" s="338"/>
      <c r="F1459" s="338"/>
      <c r="BB1459" s="56"/>
    </row>
    <row r="1460" spans="1:54" ht="18" hidden="1" customHeight="1" x14ac:dyDescent="0.25">
      <c r="A1460" s="340"/>
      <c r="B1460" s="340"/>
      <c r="C1460" s="341"/>
      <c r="D1460" s="338"/>
      <c r="E1460" s="338"/>
      <c r="F1460" s="338"/>
      <c r="BB1460" s="56"/>
    </row>
    <row r="1461" spans="1:54" ht="18" hidden="1" customHeight="1" x14ac:dyDescent="0.25">
      <c r="A1461" s="340"/>
      <c r="B1461" s="340"/>
      <c r="C1461" s="341"/>
      <c r="D1461" s="338"/>
      <c r="E1461" s="338"/>
      <c r="F1461" s="338"/>
      <c r="BB1461" s="56"/>
    </row>
    <row r="1462" spans="1:54" ht="18" hidden="1" customHeight="1" x14ac:dyDescent="0.25">
      <c r="A1462" s="340"/>
      <c r="B1462" s="340"/>
      <c r="C1462" s="341"/>
      <c r="D1462" s="338"/>
      <c r="E1462" s="338"/>
      <c r="F1462" s="338"/>
      <c r="BB1462" s="56"/>
    </row>
    <row r="1463" spans="1:54" ht="18" hidden="1" customHeight="1" x14ac:dyDescent="0.25">
      <c r="A1463" s="340"/>
      <c r="B1463" s="340"/>
      <c r="C1463" s="341"/>
      <c r="D1463" s="338"/>
      <c r="E1463" s="338"/>
      <c r="F1463" s="338"/>
      <c r="BB1463" s="56"/>
    </row>
    <row r="1464" spans="1:54" ht="18" hidden="1" customHeight="1" x14ac:dyDescent="0.25">
      <c r="A1464" s="340"/>
      <c r="B1464" s="340"/>
      <c r="C1464" s="341"/>
      <c r="D1464" s="338"/>
      <c r="E1464" s="338"/>
      <c r="F1464" s="338"/>
      <c r="BB1464" s="56"/>
    </row>
    <row r="1465" spans="1:54" ht="18" hidden="1" customHeight="1" x14ac:dyDescent="0.25">
      <c r="A1465" s="340"/>
      <c r="B1465" s="340"/>
      <c r="C1465" s="341"/>
      <c r="D1465" s="338"/>
      <c r="E1465" s="338"/>
      <c r="F1465" s="338"/>
      <c r="BB1465" s="56"/>
    </row>
    <row r="1466" spans="1:54" ht="18" hidden="1" customHeight="1" x14ac:dyDescent="0.25">
      <c r="A1466" s="340"/>
      <c r="B1466" s="340"/>
      <c r="C1466" s="341"/>
      <c r="D1466" s="338"/>
      <c r="E1466" s="338"/>
      <c r="F1466" s="338"/>
      <c r="BB1466" s="56"/>
    </row>
    <row r="1467" spans="1:54" ht="18" hidden="1" customHeight="1" x14ac:dyDescent="0.25">
      <c r="A1467" s="340"/>
      <c r="B1467" s="340"/>
      <c r="C1467" s="341"/>
      <c r="D1467" s="338"/>
      <c r="E1467" s="338"/>
      <c r="F1467" s="338"/>
      <c r="BB1467" s="56"/>
    </row>
    <row r="1468" spans="1:54" ht="18" hidden="1" customHeight="1" x14ac:dyDescent="0.25">
      <c r="A1468" s="340"/>
      <c r="B1468" s="340"/>
      <c r="C1468" s="341"/>
      <c r="D1468" s="338"/>
      <c r="E1468" s="338"/>
      <c r="F1468" s="338"/>
      <c r="BB1468" s="56"/>
    </row>
    <row r="1469" spans="1:54" ht="18" hidden="1" customHeight="1" x14ac:dyDescent="0.25">
      <c r="A1469" s="340"/>
      <c r="B1469" s="340"/>
      <c r="C1469" s="341"/>
      <c r="D1469" s="338"/>
      <c r="E1469" s="338"/>
      <c r="F1469" s="338"/>
      <c r="BB1469" s="56"/>
    </row>
    <row r="1470" spans="1:54" ht="18" hidden="1" customHeight="1" x14ac:dyDescent="0.25">
      <c r="A1470" s="340"/>
      <c r="B1470" s="340"/>
      <c r="C1470" s="341"/>
      <c r="D1470" s="338"/>
      <c r="E1470" s="338"/>
      <c r="F1470" s="338"/>
      <c r="BB1470" s="56"/>
    </row>
    <row r="1471" spans="1:54" ht="18" hidden="1" customHeight="1" x14ac:dyDescent="0.25">
      <c r="A1471" s="340"/>
      <c r="B1471" s="340"/>
      <c r="C1471" s="341"/>
      <c r="D1471" s="338"/>
      <c r="E1471" s="338"/>
      <c r="F1471" s="338"/>
      <c r="BB1471" s="56"/>
    </row>
    <row r="1472" spans="1:54" ht="18" hidden="1" customHeight="1" x14ac:dyDescent="0.25">
      <c r="A1472" s="340"/>
      <c r="B1472" s="340"/>
      <c r="C1472" s="341"/>
      <c r="D1472" s="338"/>
      <c r="E1472" s="338"/>
      <c r="F1472" s="338"/>
      <c r="BB1472" s="56"/>
    </row>
    <row r="1473" spans="1:87" ht="18" hidden="1" customHeight="1" x14ac:dyDescent="0.25">
      <c r="A1473" s="340"/>
      <c r="B1473" s="340"/>
      <c r="C1473" s="341"/>
      <c r="D1473" s="338"/>
      <c r="E1473" s="338"/>
      <c r="F1473" s="338"/>
      <c r="BB1473" s="56"/>
    </row>
    <row r="1474" spans="1:87" ht="18" hidden="1" customHeight="1" x14ac:dyDescent="0.25">
      <c r="A1474" s="340"/>
      <c r="B1474" s="340"/>
      <c r="C1474" s="341"/>
      <c r="D1474" s="338"/>
      <c r="E1474" s="338"/>
      <c r="F1474" s="338"/>
      <c r="BB1474" s="56"/>
    </row>
    <row r="1475" spans="1:87" ht="18" hidden="1" customHeight="1" x14ac:dyDescent="0.25">
      <c r="A1475" s="340"/>
      <c r="B1475" s="340"/>
      <c r="C1475" s="341"/>
      <c r="D1475" s="338"/>
      <c r="E1475" s="338"/>
      <c r="F1475" s="338"/>
      <c r="BB1475" s="56"/>
    </row>
    <row r="1476" spans="1:87" ht="30" hidden="1" customHeight="1" x14ac:dyDescent="0.25">
      <c r="A1476" s="340"/>
      <c r="B1476" s="365" t="s">
        <v>27</v>
      </c>
      <c r="C1476" s="366"/>
      <c r="D1476" s="366"/>
      <c r="E1476" s="366"/>
      <c r="F1476" s="366"/>
      <c r="BB1476" s="56"/>
    </row>
    <row r="1477" spans="1:87" ht="64.95" hidden="1" customHeight="1" x14ac:dyDescent="0.25">
      <c r="A1477" s="340"/>
      <c r="B1477" s="630" t="s">
        <v>626</v>
      </c>
      <c r="C1477" s="630"/>
      <c r="D1477" s="630"/>
      <c r="E1477" s="367"/>
      <c r="F1477" s="368"/>
      <c r="BB1477" s="56"/>
    </row>
    <row r="1478" spans="1:87" s="371" customFormat="1" ht="30" hidden="1" customHeight="1" x14ac:dyDescent="0.25">
      <c r="A1478" s="340"/>
      <c r="B1478" s="631" t="s">
        <v>909</v>
      </c>
      <c r="C1478" s="631"/>
      <c r="D1478" s="631"/>
      <c r="E1478" s="369"/>
      <c r="F1478" s="369"/>
      <c r="G1478" s="370"/>
      <c r="H1478" s="370"/>
      <c r="I1478" s="370"/>
      <c r="J1478" s="370"/>
      <c r="K1478" s="370"/>
      <c r="L1478" s="370"/>
      <c r="M1478" s="370"/>
      <c r="N1478" s="370"/>
      <c r="O1478" s="370"/>
      <c r="P1478" s="370"/>
      <c r="Q1478" s="370"/>
      <c r="R1478" s="370"/>
      <c r="S1478" s="370"/>
      <c r="T1478" s="370"/>
      <c r="U1478" s="370"/>
      <c r="V1478" s="370"/>
      <c r="W1478" s="370"/>
      <c r="X1478" s="370"/>
      <c r="Y1478" s="370"/>
      <c r="Z1478" s="370"/>
      <c r="AJ1478" s="371" t="s">
        <v>627</v>
      </c>
    </row>
    <row r="1479" spans="1:87" ht="28.05" hidden="1" customHeight="1" x14ac:dyDescent="0.25">
      <c r="A1479" s="340"/>
      <c r="B1479" s="632" t="s">
        <v>910</v>
      </c>
      <c r="C1479" s="632"/>
      <c r="D1479" s="632"/>
      <c r="E1479" s="338"/>
      <c r="F1479" s="338"/>
      <c r="BB1479" s="56"/>
    </row>
    <row r="1480" spans="1:87" ht="4.95" hidden="1" customHeight="1" x14ac:dyDescent="0.25">
      <c r="A1480" s="340"/>
      <c r="B1480" s="338"/>
      <c r="C1480" s="338"/>
      <c r="D1480" s="338"/>
      <c r="E1480" s="338"/>
      <c r="F1480" s="338"/>
      <c r="AJ1480" s="56" t="s">
        <v>911</v>
      </c>
    </row>
    <row r="1481" spans="1:87" ht="25.05" hidden="1" customHeight="1" x14ac:dyDescent="0.25">
      <c r="A1481" s="340"/>
      <c r="B1481" s="372" t="s">
        <v>912</v>
      </c>
      <c r="C1481" s="372"/>
      <c r="D1481" s="373" t="str">
        <f>AJ1481</f>
        <v>Accumulative total: $5</v>
      </c>
      <c r="E1481" s="338"/>
      <c r="F1481" s="338"/>
      <c r="AD1481" s="60">
        <f>SUM(AE1481:AG1481)</f>
        <v>5</v>
      </c>
      <c r="AE1481" s="56">
        <f>IF(B1482=CI$1483,BY$1483,0)</f>
        <v>0</v>
      </c>
      <c r="AF1481" s="56">
        <f>IF(C1482=CI$1484,BY$1484,0)</f>
        <v>5</v>
      </c>
      <c r="AG1481" s="56">
        <f>IF(C1482=CI$1485,BY$1485,0)</f>
        <v>0</v>
      </c>
      <c r="AJ1481" s="56" t="str">
        <f>CONCATENATE(AS1481,AT1481)</f>
        <v>Accumulative total: $5</v>
      </c>
      <c r="AS1481" s="374" t="s">
        <v>913</v>
      </c>
      <c r="AT1481" s="56" t="str">
        <f>DOLLAR(AU1481,0)</f>
        <v>$5</v>
      </c>
      <c r="AU1481" s="56">
        <f>AD1481+AK1480</f>
        <v>5</v>
      </c>
    </row>
    <row r="1482" spans="1:87" ht="15" hidden="1" customHeight="1" x14ac:dyDescent="0.3">
      <c r="A1482" s="340"/>
      <c r="B1482" s="375" t="s">
        <v>914</v>
      </c>
      <c r="C1482" s="629" t="s">
        <v>915</v>
      </c>
      <c r="D1482" s="629"/>
      <c r="E1482" s="338"/>
      <c r="F1482" s="338"/>
      <c r="AC1482" s="376" t="s">
        <v>916</v>
      </c>
      <c r="AD1482" s="376"/>
      <c r="AE1482" s="376"/>
      <c r="AF1482" s="376"/>
      <c r="AG1482" s="376"/>
      <c r="AH1482" s="376"/>
      <c r="AI1482" s="376"/>
      <c r="AJ1482" s="376"/>
      <c r="BB1482" s="56"/>
      <c r="BN1482" s="56" t="s">
        <v>916</v>
      </c>
      <c r="CB1482" s="56" t="s">
        <v>917</v>
      </c>
    </row>
    <row r="1483" spans="1:87" ht="15" hidden="1" customHeight="1" thickBot="1" x14ac:dyDescent="0.3">
      <c r="A1483" s="340"/>
      <c r="B1483" s="377" t="s">
        <v>918</v>
      </c>
      <c r="C1483" s="627" t="str">
        <f>AC1483</f>
        <v>click to go to N1</v>
      </c>
      <c r="D1483" s="627"/>
      <c r="E1483" s="338"/>
      <c r="F1483" s="338"/>
      <c r="AC1483" s="56" t="str">
        <f>IF(SUM(AD1484,AD1485,AD1486,AD1487,AD1488,AC1489,AD1489,AE1489)&lt;8,"click to go to N1",AI1483)</f>
        <v>click to go to N1</v>
      </c>
      <c r="AI1483" s="56" t="str">
        <f>CONCATENATE(AO1483,AQ1483,AT1483)</f>
        <v>Go to Employer 1  tab &gt;&gt;</v>
      </c>
      <c r="AO1483" s="56" t="s">
        <v>919</v>
      </c>
      <c r="AQ1483" s="56" t="str">
        <f>IF(C1484="","Employer 1 ",C1484)</f>
        <v xml:space="preserve">Employer 1 </v>
      </c>
      <c r="AT1483" s="56" t="s">
        <v>920</v>
      </c>
      <c r="BB1483" s="56" t="s">
        <v>912</v>
      </c>
      <c r="BE1483" s="378">
        <v>1</v>
      </c>
      <c r="BF1483" s="378" t="s">
        <v>912</v>
      </c>
      <c r="BG1483" s="378"/>
      <c r="BH1483" s="378" t="str">
        <f>IF(B1481=BF1484,"",CONCATENATE(BF$1483,BE1483))</f>
        <v>Employer 1</v>
      </c>
      <c r="BI1483" s="378"/>
      <c r="BJ1483" s="378" t="str">
        <f>CONCATENATE(BF$1483,BE1483)</f>
        <v>Employer 1</v>
      </c>
      <c r="BK1483" s="378"/>
      <c r="BO1483" s="56" t="s">
        <v>921</v>
      </c>
      <c r="BX1483" s="262" t="s">
        <v>922</v>
      </c>
      <c r="BY1483" s="107">
        <v>0</v>
      </c>
      <c r="BZ1483" s="56" t="s">
        <v>923</v>
      </c>
      <c r="CA1483" s="262" t="s">
        <v>924</v>
      </c>
      <c r="CI1483" s="56" t="str">
        <f>CONCATENATE(BO1483,BX1483,BZ1483,CA1483)</f>
        <v>Send notification yourself [DIY FREE]</v>
      </c>
    </row>
    <row r="1484" spans="1:87" ht="16.95" hidden="1" customHeight="1" thickTop="1" thickBot="1" x14ac:dyDescent="0.3">
      <c r="A1484" s="340"/>
      <c r="B1484" s="338" t="s">
        <v>925</v>
      </c>
      <c r="C1484" s="379"/>
      <c r="D1484" s="380"/>
      <c r="E1484" s="338"/>
      <c r="F1484" s="338"/>
      <c r="AD1484" s="56">
        <f t="shared" ref="AD1484:AD1489" si="55">IF(C1484&lt;&gt;"",1,0)</f>
        <v>0</v>
      </c>
      <c r="BB1484" s="56" t="s">
        <v>926</v>
      </c>
      <c r="BE1484" s="378">
        <v>2</v>
      </c>
      <c r="BF1484" s="378" t="str">
        <f>IF(B1481=BJ1483,BF1485,CONCATENATE(BF$1483,BE1483))</f>
        <v>Employer 1</v>
      </c>
      <c r="BG1484" s="378"/>
      <c r="BH1484" s="378" t="str">
        <f>CONCATENATE(BF$1483,BE1484)</f>
        <v>Employer 2</v>
      </c>
      <c r="BI1484" s="378"/>
      <c r="BJ1484" s="378" t="str">
        <f>CONCATENATE(BF$1483,BE1484)</f>
        <v>Employer 2</v>
      </c>
      <c r="BK1484" s="378"/>
      <c r="BO1484" s="56" t="s">
        <v>927</v>
      </c>
      <c r="BX1484" s="56" t="s">
        <v>922</v>
      </c>
      <c r="BY1484" s="107">
        <v>5</v>
      </c>
      <c r="BZ1484" s="374" t="str">
        <f>DOLLAR(BY1484,0)</f>
        <v>$5</v>
      </c>
      <c r="CA1484" s="56" t="s">
        <v>924</v>
      </c>
      <c r="CB1484" s="56" t="str">
        <f>IF(CB$1482="Y",CONCATENATE(CC1484,CE1484,CF1484,CG1484,CH1484),"")</f>
        <v>. Only $1 if done by Jan 1st.</v>
      </c>
      <c r="CC1484" s="56" t="s">
        <v>928</v>
      </c>
      <c r="CD1484" s="107">
        <f>BY1484/5</f>
        <v>1</v>
      </c>
      <c r="CE1484" s="374" t="str">
        <f>DOLLAR(CD1484,0)</f>
        <v>$1</v>
      </c>
      <c r="CF1484" s="56" t="s">
        <v>929</v>
      </c>
      <c r="CG1484" s="56" t="s">
        <v>930</v>
      </c>
      <c r="CH1484" s="56" t="s">
        <v>931</v>
      </c>
      <c r="CI1484" s="56" t="str">
        <f>CONCATENATE(BO1484,BX1484,BZ1484,CA1484,CB1484)</f>
        <v>We send notification on your behalf [$5]. Only $1 if done by Jan 1st.</v>
      </c>
    </row>
    <row r="1485" spans="1:87" ht="16.95" hidden="1" customHeight="1" thickTop="1" thickBot="1" x14ac:dyDescent="0.3">
      <c r="A1485" s="340"/>
      <c r="B1485" s="338" t="s">
        <v>932</v>
      </c>
      <c r="C1485" s="379"/>
      <c r="D1485" s="380"/>
      <c r="E1485" s="338"/>
      <c r="F1485" s="338"/>
      <c r="AD1485" s="56">
        <f t="shared" si="55"/>
        <v>0</v>
      </c>
      <c r="BB1485" s="56" t="s">
        <v>933</v>
      </c>
      <c r="BE1485" s="378">
        <v>3</v>
      </c>
      <c r="BF1485" s="378" t="str">
        <f>CONCATENATE(BF$1483,BE1484)</f>
        <v>Employer 2</v>
      </c>
      <c r="BG1485" s="378"/>
      <c r="BH1485" s="378" t="str">
        <f>CONCATENATE(BF$1483,BE1485)</f>
        <v>Employer 3</v>
      </c>
      <c r="BI1485" s="378"/>
      <c r="BJ1485" s="378" t="str">
        <f>CONCATENATE(BF$1483,BE1485)</f>
        <v>Employer 3</v>
      </c>
      <c r="BK1485" s="378"/>
      <c r="BO1485" s="56" t="s">
        <v>934</v>
      </c>
      <c r="BX1485" s="56" t="s">
        <v>922</v>
      </c>
      <c r="BY1485" s="107">
        <v>15</v>
      </c>
      <c r="BZ1485" s="374" t="str">
        <f>DOLLAR(BY1485,0)</f>
        <v>$15</v>
      </c>
      <c r="CA1485" s="56" t="s">
        <v>924</v>
      </c>
      <c r="CB1485" s="56" t="str">
        <f>IF(CB$1482="Y",CONCATENATE(CC1485,CE1485,CF1485,CG1485,CH1485),"")</f>
        <v>. Only $3 if done by Jan 1st.</v>
      </c>
      <c r="CC1485" s="56" t="s">
        <v>928</v>
      </c>
      <c r="CD1485" s="107">
        <f>BY1485/5</f>
        <v>3</v>
      </c>
      <c r="CE1485" s="374" t="str">
        <f>DOLLAR(CD1485,0)</f>
        <v>$3</v>
      </c>
      <c r="CF1485" s="56" t="s">
        <v>929</v>
      </c>
      <c r="CG1485" s="56" t="str">
        <f>CG1484</f>
        <v>Jan 1st</v>
      </c>
      <c r="CH1485" s="56" t="s">
        <v>931</v>
      </c>
      <c r="CI1485" s="56" t="str">
        <f>CONCATENATE(BO1485,BX1485,BZ1485,CA1485,CB1485)</f>
        <v>We qualify then notify them [$15]. Only $3 if done by Jan 1st.</v>
      </c>
    </row>
    <row r="1486" spans="1:87" ht="16.95" hidden="1" customHeight="1" thickTop="1" thickBot="1" x14ac:dyDescent="0.3">
      <c r="A1486" s="340"/>
      <c r="B1486" s="338" t="s">
        <v>935</v>
      </c>
      <c r="C1486" s="379"/>
      <c r="D1486" s="380"/>
      <c r="E1486" s="338"/>
      <c r="F1486" s="338"/>
      <c r="AD1486" s="56">
        <f t="shared" si="55"/>
        <v>0</v>
      </c>
      <c r="BB1486" s="56"/>
      <c r="BE1486" s="378">
        <v>4</v>
      </c>
      <c r="BF1486" s="378" t="str">
        <f>CONCATENATE(BF$1483,BE1485)</f>
        <v>Employer 3</v>
      </c>
      <c r="BG1486" s="378"/>
      <c r="BH1486" s="378" t="str">
        <f>CONCATENATE(BF$1483,BE1486)</f>
        <v>Employer 4</v>
      </c>
      <c r="BI1486" s="378"/>
      <c r="BJ1486" s="378" t="str">
        <f>CONCATENATE(BF$1483,BE1486)</f>
        <v>Employer 4</v>
      </c>
      <c r="BK1486" s="378"/>
    </row>
    <row r="1487" spans="1:87" ht="16.95" hidden="1" customHeight="1" thickTop="1" thickBot="1" x14ac:dyDescent="0.3">
      <c r="A1487" s="340"/>
      <c r="B1487" s="338" t="s">
        <v>936</v>
      </c>
      <c r="C1487" s="379"/>
      <c r="D1487" s="379"/>
      <c r="E1487" s="338"/>
      <c r="F1487" s="338"/>
      <c r="AD1487" s="56">
        <f t="shared" si="55"/>
        <v>0</v>
      </c>
      <c r="BE1487" s="378"/>
      <c r="BF1487" s="378" t="str">
        <f>CONCATENATE(BF$1483,BE1486)</f>
        <v>Employer 4</v>
      </c>
      <c r="BG1487" s="378"/>
      <c r="BH1487" s="378" t="str">
        <f>CONCATENATE(BF$1488,BE1483)</f>
        <v>Housing 1</v>
      </c>
      <c r="BI1487" s="378"/>
      <c r="BJ1487" s="378" t="str">
        <f>CONCATENATE(BF$1488,BE1483)</f>
        <v>Housing 1</v>
      </c>
      <c r="BK1487" s="378"/>
    </row>
    <row r="1488" spans="1:87" ht="16.95" hidden="1" customHeight="1" thickTop="1" thickBot="1" x14ac:dyDescent="0.3">
      <c r="A1488" s="340"/>
      <c r="B1488" s="338" t="s">
        <v>937</v>
      </c>
      <c r="C1488" s="383"/>
      <c r="D1488" s="383"/>
      <c r="E1488" s="338"/>
      <c r="F1488" s="338"/>
      <c r="AD1488" s="56">
        <f t="shared" si="55"/>
        <v>0</v>
      </c>
      <c r="BE1488" s="378"/>
      <c r="BF1488" s="378" t="s">
        <v>926</v>
      </c>
      <c r="BG1488" s="378"/>
      <c r="BH1488" s="378" t="str">
        <f>CONCATENATE(BF$1488,BE1484)</f>
        <v>Housing 2</v>
      </c>
      <c r="BI1488" s="378"/>
      <c r="BJ1488" s="378" t="str">
        <f>CONCATENATE(BF$1488,BE1484)</f>
        <v>Housing 2</v>
      </c>
      <c r="BK1488" s="378"/>
    </row>
    <row r="1489" spans="1:63" ht="16.95" hidden="1" customHeight="1" thickTop="1" thickBot="1" x14ac:dyDescent="0.3">
      <c r="A1489" s="340"/>
      <c r="B1489" s="382"/>
      <c r="C1489" s="383"/>
      <c r="D1489" s="383"/>
      <c r="E1489" s="338"/>
      <c r="F1489" s="338"/>
      <c r="AC1489" s="56">
        <f>IF(B1489&lt;&gt;"",1,0)</f>
        <v>0</v>
      </c>
      <c r="AD1489" s="56">
        <f t="shared" si="55"/>
        <v>0</v>
      </c>
      <c r="AE1489" s="56">
        <f>IF(D1489&lt;&gt;"",1,0)</f>
        <v>0</v>
      </c>
      <c r="BE1489" s="378"/>
      <c r="BF1489" s="378" t="str">
        <f>CONCATENATE(BF$1488,BE1483)</f>
        <v>Housing 1</v>
      </c>
      <c r="BG1489" s="378"/>
      <c r="BH1489" s="378" t="str">
        <f>CONCATENATE(BF$1488,BE1485)</f>
        <v>Housing 3</v>
      </c>
      <c r="BI1489" s="378"/>
      <c r="BJ1489" s="378" t="str">
        <f>CONCATENATE(BF$1488,BE1485)</f>
        <v>Housing 3</v>
      </c>
      <c r="BK1489" s="378"/>
    </row>
    <row r="1490" spans="1:63" hidden="1" x14ac:dyDescent="0.25">
      <c r="A1490" s="340"/>
      <c r="B1490" s="338"/>
      <c r="C1490" s="338"/>
      <c r="D1490" s="338"/>
      <c r="E1490" s="338"/>
      <c r="F1490" s="338"/>
      <c r="BE1490" s="378"/>
      <c r="BF1490" s="378" t="str">
        <f>CONCATENATE(BF$1488,BE1484)</f>
        <v>Housing 2</v>
      </c>
      <c r="BG1490" s="378"/>
      <c r="BH1490" s="378" t="str">
        <f>CONCATENATE(BF$1488,BE1486)</f>
        <v>Housing 4</v>
      </c>
      <c r="BI1490" s="378"/>
      <c r="BJ1490" s="378" t="str">
        <f>CONCATENATE(BF$1488,BE1486)</f>
        <v>Housing 4</v>
      </c>
      <c r="BK1490" s="378"/>
    </row>
    <row r="1491" spans="1:63" ht="25.05" hidden="1" customHeight="1" x14ac:dyDescent="0.25">
      <c r="A1491" s="340"/>
      <c r="B1491" s="372" t="s">
        <v>912</v>
      </c>
      <c r="C1491" s="372"/>
      <c r="D1491" s="373" t="str">
        <f>AJ1491</f>
        <v>Accumulative total: $10</v>
      </c>
      <c r="E1491" s="338"/>
      <c r="F1491" s="338"/>
      <c r="AD1491" s="60">
        <f>SUM(AE1491:AG1491)</f>
        <v>5</v>
      </c>
      <c r="AE1491" s="56">
        <f>IF(B1492=CI$1483,BY$1483,0)</f>
        <v>0</v>
      </c>
      <c r="AF1491" s="56">
        <f>IF(C1492=CI$1484,BY$1484,0)</f>
        <v>5</v>
      </c>
      <c r="AG1491" s="56">
        <f>IF(C1492=CI$1485,BY$1485,0)</f>
        <v>0</v>
      </c>
      <c r="AJ1491" s="56" t="str">
        <f>CONCATENATE(AS1491,AT1491)</f>
        <v>Accumulative total: $10</v>
      </c>
      <c r="AS1491" s="374" t="s">
        <v>913</v>
      </c>
      <c r="AT1491" s="56" t="str">
        <f>DOLLAR(AU1491,0)</f>
        <v>$10</v>
      </c>
      <c r="AU1491" s="56">
        <f>AD1491+AU1481</f>
        <v>10</v>
      </c>
      <c r="BE1491" s="378"/>
      <c r="BF1491" s="378" t="str">
        <f>CONCATENATE(BF$1488,BE1485)</f>
        <v>Housing 3</v>
      </c>
      <c r="BG1491" s="378"/>
      <c r="BH1491" s="378" t="str">
        <f>CONCATENATE(BF$1493,BE1483)</f>
        <v>Debt collector 1</v>
      </c>
      <c r="BI1491" s="378"/>
      <c r="BJ1491" s="378" t="str">
        <f>CONCATENATE(BF$1493,BE1483)</f>
        <v>Debt collector 1</v>
      </c>
      <c r="BK1491" s="378"/>
    </row>
    <row r="1492" spans="1:63" ht="15.6" hidden="1" x14ac:dyDescent="0.3">
      <c r="A1492" s="340"/>
      <c r="B1492" s="375" t="s">
        <v>914</v>
      </c>
      <c r="C1492" s="629" t="s">
        <v>915</v>
      </c>
      <c r="D1492" s="629"/>
      <c r="E1492" s="338"/>
      <c r="F1492" s="338"/>
      <c r="AC1492" s="376" t="s">
        <v>916</v>
      </c>
      <c r="AD1492" s="376"/>
      <c r="AE1492" s="376"/>
      <c r="AF1492" s="376"/>
      <c r="AG1492" s="376"/>
      <c r="AH1492" s="376"/>
      <c r="AI1492" s="376"/>
      <c r="AJ1492" s="376"/>
      <c r="BE1492" s="378"/>
      <c r="BF1492" s="378" t="str">
        <f>CONCATENATE(BF$1488,BE1486)</f>
        <v>Housing 4</v>
      </c>
      <c r="BG1492" s="378"/>
      <c r="BH1492" s="378" t="str">
        <f>CONCATENATE(BF$1493,BE1484)</f>
        <v>Debt collector 2</v>
      </c>
      <c r="BI1492" s="378"/>
      <c r="BJ1492" s="378" t="str">
        <f>CONCATENATE(BF$1493,BE1484)</f>
        <v>Debt collector 2</v>
      </c>
      <c r="BK1492" s="378"/>
    </row>
    <row r="1493" spans="1:63" ht="14.4" hidden="1" thickBot="1" x14ac:dyDescent="0.3">
      <c r="A1493" s="340"/>
      <c r="B1493" s="377" t="s">
        <v>938</v>
      </c>
      <c r="C1493" s="627" t="str">
        <f>AC1493</f>
        <v>click to go to N2</v>
      </c>
      <c r="D1493" s="627"/>
      <c r="E1493" s="338"/>
      <c r="F1493" s="338"/>
      <c r="AC1493" s="56" t="str">
        <f>IF(SUM(AD1494,AD1495,AD1496,AD1497,AD1498,AC1499,AD1499,AE1499)&lt;8,"click to go to N2",AI1493)</f>
        <v>click to go to N2</v>
      </c>
      <c r="AI1493" s="56" t="str">
        <f>CONCATENATE(AO1493,AQ1493,AT1493)</f>
        <v>Go to Employer 1  tab &gt;&gt;</v>
      </c>
      <c r="AO1493" s="56" t="s">
        <v>919</v>
      </c>
      <c r="AQ1493" s="56" t="str">
        <f>IF(C1494="","Employer 1 ",C1494)</f>
        <v xml:space="preserve">Employer 1 </v>
      </c>
      <c r="AT1493" s="56" t="s">
        <v>920</v>
      </c>
      <c r="BE1493" s="378"/>
      <c r="BF1493" s="378" t="s">
        <v>933</v>
      </c>
      <c r="BG1493" s="378"/>
      <c r="BH1493" s="378" t="str">
        <f>CONCATENATE(BF$1493,BE1485)</f>
        <v>Debt collector 3</v>
      </c>
      <c r="BI1493" s="378"/>
      <c r="BJ1493" s="378" t="str">
        <f>CONCATENATE(BF$1493,BE1485)</f>
        <v>Debt collector 3</v>
      </c>
      <c r="BK1493" s="378"/>
    </row>
    <row r="1494" spans="1:63" ht="16.95" hidden="1" customHeight="1" thickTop="1" thickBot="1" x14ac:dyDescent="0.3">
      <c r="A1494" s="340"/>
      <c r="B1494" s="338" t="s">
        <v>925</v>
      </c>
      <c r="C1494" s="379"/>
      <c r="D1494" s="380"/>
      <c r="E1494" s="338"/>
      <c r="F1494" s="338"/>
      <c r="AD1494" s="56">
        <f t="shared" ref="AD1494:AD1499" si="56">IF(C1494&lt;&gt;"",1,0)</f>
        <v>0</v>
      </c>
      <c r="BE1494" s="378"/>
      <c r="BF1494" s="378" t="str">
        <f>CONCATENATE(BF$1493,BE1483)</f>
        <v>Debt collector 1</v>
      </c>
      <c r="BG1494" s="378"/>
      <c r="BH1494" s="378" t="str">
        <f>CONCATENATE(BF$1493,BE1486)</f>
        <v>Debt collector 4</v>
      </c>
      <c r="BI1494" s="378"/>
      <c r="BJ1494" s="378" t="str">
        <f>CONCATENATE(BF$1493,BE1486)</f>
        <v>Debt collector 4</v>
      </c>
      <c r="BK1494" s="378"/>
    </row>
    <row r="1495" spans="1:63" ht="16.95" hidden="1" customHeight="1" thickTop="1" thickBot="1" x14ac:dyDescent="0.3">
      <c r="A1495" s="340"/>
      <c r="B1495" s="338" t="s">
        <v>932</v>
      </c>
      <c r="C1495" s="379"/>
      <c r="D1495" s="380"/>
      <c r="E1495" s="338"/>
      <c r="F1495" s="338"/>
      <c r="AD1495" s="56">
        <f t="shared" si="56"/>
        <v>0</v>
      </c>
      <c r="BE1495" s="378"/>
      <c r="BF1495" s="378" t="str">
        <f>CONCATENATE(BF$1493,BE1484)</f>
        <v>Debt collector 2</v>
      </c>
      <c r="BG1495" s="378"/>
      <c r="BH1495" s="378"/>
      <c r="BI1495" s="378"/>
      <c r="BJ1495" s="378"/>
      <c r="BK1495" s="378"/>
    </row>
    <row r="1496" spans="1:63" ht="16.95" hidden="1" customHeight="1" thickTop="1" thickBot="1" x14ac:dyDescent="0.3">
      <c r="A1496" s="340"/>
      <c r="B1496" s="338" t="s">
        <v>935</v>
      </c>
      <c r="C1496" s="379"/>
      <c r="D1496" s="380"/>
      <c r="E1496" s="338"/>
      <c r="F1496" s="338"/>
      <c r="AD1496" s="56">
        <f t="shared" si="56"/>
        <v>0</v>
      </c>
      <c r="BE1496" s="378"/>
      <c r="BF1496" s="378" t="str">
        <f>CONCATENATE(BF$1493,BE1485)</f>
        <v>Debt collector 3</v>
      </c>
      <c r="BG1496" s="378"/>
      <c r="BH1496" s="378"/>
      <c r="BI1496" s="378"/>
      <c r="BJ1496" s="378"/>
      <c r="BK1496" s="378"/>
    </row>
    <row r="1497" spans="1:63" ht="16.95" hidden="1" customHeight="1" thickTop="1" thickBot="1" x14ac:dyDescent="0.3">
      <c r="A1497" s="340"/>
      <c r="B1497" s="338" t="s">
        <v>936</v>
      </c>
      <c r="C1497" s="628"/>
      <c r="D1497" s="628"/>
      <c r="E1497" s="338"/>
      <c r="F1497" s="338"/>
      <c r="AD1497" s="56">
        <f t="shared" si="56"/>
        <v>0</v>
      </c>
      <c r="BE1497" s="378"/>
      <c r="BF1497" s="378" t="str">
        <f>CONCATENATE(BF$1493,BE1486)</f>
        <v>Debt collector 4</v>
      </c>
      <c r="BG1497" s="378"/>
      <c r="BH1497" s="378"/>
      <c r="BI1497" s="378"/>
      <c r="BJ1497" s="378"/>
      <c r="BK1497" s="378"/>
    </row>
    <row r="1498" spans="1:63" ht="16.95" hidden="1" customHeight="1" thickTop="1" thickBot="1" x14ac:dyDescent="0.3">
      <c r="A1498" s="340"/>
      <c r="B1498" s="338" t="s">
        <v>937</v>
      </c>
      <c r="C1498" s="383"/>
      <c r="D1498" s="383"/>
      <c r="E1498" s="338"/>
      <c r="F1498" s="338"/>
      <c r="AD1498" s="56">
        <f t="shared" si="56"/>
        <v>0</v>
      </c>
    </row>
    <row r="1499" spans="1:63" ht="16.95" hidden="1" customHeight="1" thickTop="1" thickBot="1" x14ac:dyDescent="0.3">
      <c r="A1499" s="340"/>
      <c r="B1499" s="382"/>
      <c r="C1499" s="383"/>
      <c r="D1499" s="383"/>
      <c r="E1499" s="338"/>
      <c r="F1499" s="338"/>
      <c r="AC1499" s="56">
        <f>IF(B1499&lt;&gt;"",1,0)</f>
        <v>0</v>
      </c>
      <c r="AD1499" s="56">
        <f t="shared" si="56"/>
        <v>0</v>
      </c>
      <c r="AE1499" s="56">
        <f>IF(D1499&lt;&gt;"",1,0)</f>
        <v>0</v>
      </c>
    </row>
    <row r="1500" spans="1:63" hidden="1" x14ac:dyDescent="0.25">
      <c r="A1500" s="340"/>
      <c r="B1500" s="338"/>
      <c r="C1500" s="338"/>
      <c r="D1500" s="338"/>
      <c r="E1500" s="338"/>
      <c r="F1500" s="338"/>
    </row>
    <row r="1501" spans="1:63" ht="25.05" hidden="1" customHeight="1" x14ac:dyDescent="0.25">
      <c r="A1501" s="340"/>
      <c r="B1501" s="372" t="s">
        <v>926</v>
      </c>
      <c r="C1501" s="372"/>
      <c r="D1501" s="373" t="str">
        <f>AJ1501</f>
        <v>Accumulative total: $10</v>
      </c>
      <c r="E1501" s="338"/>
      <c r="F1501" s="338"/>
      <c r="AD1501" s="60">
        <f>SUM(AE1501:AG1501)</f>
        <v>0</v>
      </c>
      <c r="AE1501" s="56">
        <f>IF(B1502=CI$1483,BY$1483,0)</f>
        <v>0</v>
      </c>
      <c r="AF1501" s="56">
        <f>IF(C1502=CI$1484,BY$1484,0)</f>
        <v>0</v>
      </c>
      <c r="AG1501" s="56">
        <f>IF(C1502=CI$1485,BY$1485,0)</f>
        <v>0</v>
      </c>
      <c r="AJ1501" s="56" t="str">
        <f>CONCATENATE(AS1501,AT1501)</f>
        <v>Accumulative total: $10</v>
      </c>
      <c r="AS1501" s="374" t="s">
        <v>913</v>
      </c>
      <c r="AT1501" s="56" t="str">
        <f>DOLLAR(AU1501,0)</f>
        <v>$10</v>
      </c>
      <c r="AU1501" s="56">
        <f>AD1501+AU1491</f>
        <v>10</v>
      </c>
    </row>
    <row r="1502" spans="1:63" ht="15.6" hidden="1" x14ac:dyDescent="0.3">
      <c r="A1502" s="340"/>
      <c r="B1502" s="375" t="s">
        <v>914</v>
      </c>
      <c r="C1502" s="629" t="str">
        <f>AC1502</f>
        <v>PICK AN OPTION BEST FOR YOU</v>
      </c>
      <c r="D1502" s="629"/>
      <c r="E1502" s="338"/>
      <c r="F1502" s="338"/>
      <c r="AC1502" s="376" t="s">
        <v>916</v>
      </c>
      <c r="AD1502" s="376"/>
      <c r="AE1502" s="376"/>
      <c r="AF1502" s="376"/>
      <c r="AG1502" s="376"/>
      <c r="AH1502" s="376"/>
      <c r="AI1502" s="376"/>
      <c r="AJ1502" s="376"/>
    </row>
    <row r="1503" spans="1:63" ht="14.4" hidden="1" thickBot="1" x14ac:dyDescent="0.3">
      <c r="A1503" s="340"/>
      <c r="B1503" s="377" t="s">
        <v>939</v>
      </c>
      <c r="C1503" s="627" t="str">
        <f>AC1503</f>
        <v>click to go to N3</v>
      </c>
      <c r="D1503" s="627"/>
      <c r="E1503" s="338"/>
      <c r="F1503" s="338"/>
      <c r="AC1503" s="56" t="str">
        <f>IF(SUM(AD1504,AD1505,AD1506,AD1507,AD1508,AC1509,AD1509,AE1509)&lt;8,"click to go to N3",AI1503)</f>
        <v>click to go to N3</v>
      </c>
      <c r="AI1503" s="56" t="str">
        <f>CONCATENATE(AO1503,AQ1503,AT1503)</f>
        <v>Go to Employer 1  tab &gt;&gt;</v>
      </c>
      <c r="AO1503" s="56" t="s">
        <v>919</v>
      </c>
      <c r="AQ1503" s="56" t="str">
        <f>IF(C1504="","Employer 1 ",C1504)</f>
        <v xml:space="preserve">Employer 1 </v>
      </c>
      <c r="AT1503" s="56" t="s">
        <v>920</v>
      </c>
    </row>
    <row r="1504" spans="1:63" ht="16.95" hidden="1" customHeight="1" thickTop="1" thickBot="1" x14ac:dyDescent="0.3">
      <c r="A1504" s="340"/>
      <c r="B1504" s="338" t="s">
        <v>925</v>
      </c>
      <c r="C1504" s="379"/>
      <c r="D1504" s="380"/>
      <c r="E1504" s="338"/>
      <c r="F1504" s="338"/>
      <c r="AD1504" s="56">
        <f t="shared" ref="AD1504:AD1509" si="57">IF(C1504&lt;&gt;"",1,0)</f>
        <v>0</v>
      </c>
    </row>
    <row r="1505" spans="1:80" ht="16.95" hidden="1" customHeight="1" thickTop="1" thickBot="1" x14ac:dyDescent="0.3">
      <c r="A1505" s="340"/>
      <c r="B1505" s="338" t="s">
        <v>932</v>
      </c>
      <c r="C1505" s="379"/>
      <c r="D1505" s="380"/>
      <c r="E1505" s="338"/>
      <c r="F1505" s="338"/>
      <c r="AD1505" s="56">
        <f t="shared" si="57"/>
        <v>0</v>
      </c>
    </row>
    <row r="1506" spans="1:80" ht="16.95" hidden="1" customHeight="1" thickTop="1" thickBot="1" x14ac:dyDescent="0.3">
      <c r="A1506" s="340"/>
      <c r="B1506" s="338" t="s">
        <v>935</v>
      </c>
      <c r="C1506" s="379"/>
      <c r="D1506" s="380"/>
      <c r="E1506" s="338"/>
      <c r="F1506" s="338"/>
      <c r="AD1506" s="56">
        <f t="shared" si="57"/>
        <v>0</v>
      </c>
    </row>
    <row r="1507" spans="1:80" ht="16.95" hidden="1" customHeight="1" thickTop="1" thickBot="1" x14ac:dyDescent="0.3">
      <c r="A1507" s="340"/>
      <c r="B1507" s="338" t="s">
        <v>936</v>
      </c>
      <c r="C1507" s="628"/>
      <c r="D1507" s="628"/>
      <c r="E1507" s="338"/>
      <c r="F1507" s="338"/>
      <c r="AD1507" s="56">
        <f t="shared" si="57"/>
        <v>0</v>
      </c>
    </row>
    <row r="1508" spans="1:80" ht="16.95" hidden="1" customHeight="1" thickTop="1" thickBot="1" x14ac:dyDescent="0.3">
      <c r="A1508" s="340"/>
      <c r="B1508" s="338" t="s">
        <v>937</v>
      </c>
      <c r="C1508" s="383"/>
      <c r="D1508" s="383"/>
      <c r="E1508" s="338"/>
      <c r="F1508" s="338"/>
      <c r="AD1508" s="56">
        <f t="shared" si="57"/>
        <v>0</v>
      </c>
    </row>
    <row r="1509" spans="1:80" ht="16.95" hidden="1" customHeight="1" thickTop="1" thickBot="1" x14ac:dyDescent="0.3">
      <c r="A1509" s="340"/>
      <c r="B1509" s="382"/>
      <c r="C1509" s="383"/>
      <c r="D1509" s="383"/>
      <c r="E1509" s="338"/>
      <c r="F1509" s="338"/>
      <c r="AC1509" s="56">
        <f>IF(B1509&lt;&gt;"",1,0)</f>
        <v>0</v>
      </c>
      <c r="AD1509" s="56">
        <f t="shared" si="57"/>
        <v>0</v>
      </c>
      <c r="AE1509" s="56">
        <f>IF(D1509&lt;&gt;"",1,0)</f>
        <v>0</v>
      </c>
    </row>
    <row r="1510" spans="1:80" hidden="1" x14ac:dyDescent="0.25">
      <c r="A1510" s="340"/>
      <c r="B1510" s="338"/>
      <c r="C1510" s="338"/>
      <c r="D1510" s="338"/>
      <c r="E1510" s="338"/>
      <c r="F1510" s="338"/>
    </row>
    <row r="1511" spans="1:80" ht="25.05" hidden="1" customHeight="1" x14ac:dyDescent="0.25">
      <c r="A1511" s="340"/>
      <c r="B1511" s="372" t="s">
        <v>926</v>
      </c>
      <c r="C1511" s="372"/>
      <c r="D1511" s="373" t="str">
        <f>AJ1511</f>
        <v>Accumulative total: $10</v>
      </c>
      <c r="E1511" s="338"/>
      <c r="F1511" s="338"/>
      <c r="AD1511" s="60">
        <f>SUM(AE1511:AG1511)</f>
        <v>0</v>
      </c>
      <c r="AE1511" s="56">
        <f>IF(B1512=CI$1483,BY$1483,0)</f>
        <v>0</v>
      </c>
      <c r="AF1511" s="56">
        <f>IF(C1512=CI$1484,BY$1484,0)</f>
        <v>0</v>
      </c>
      <c r="AG1511" s="56">
        <f>IF(C1512=CI$1485,BY$1485,0)</f>
        <v>0</v>
      </c>
      <c r="AJ1511" s="56" t="str">
        <f>CONCATENATE(AS1511,AT1511)</f>
        <v>Accumulative total: $10</v>
      </c>
      <c r="AS1511" s="374" t="s">
        <v>913</v>
      </c>
      <c r="AT1511" s="56" t="str">
        <f>DOLLAR(AU1511,0)</f>
        <v>$10</v>
      </c>
      <c r="AU1511" s="56">
        <f>AD1511+AU1501</f>
        <v>10</v>
      </c>
    </row>
    <row r="1512" spans="1:80" ht="15" hidden="1" customHeight="1" x14ac:dyDescent="0.3">
      <c r="A1512" s="340"/>
      <c r="B1512" s="375" t="s">
        <v>914</v>
      </c>
      <c r="C1512" s="629" t="str">
        <f>AC1512</f>
        <v>PICK AN OPTION BEST FOR YOU</v>
      </c>
      <c r="D1512" s="629"/>
      <c r="E1512" s="338"/>
      <c r="F1512" s="338"/>
      <c r="AC1512" s="376" t="s">
        <v>916</v>
      </c>
      <c r="AD1512" s="376"/>
      <c r="AE1512" s="376"/>
      <c r="AF1512" s="376"/>
      <c r="AG1512" s="376"/>
      <c r="AH1512" s="376"/>
      <c r="AI1512" s="376"/>
      <c r="AJ1512" s="376"/>
    </row>
    <row r="1513" spans="1:80" ht="15" hidden="1" customHeight="1" thickBot="1" x14ac:dyDescent="0.3">
      <c r="A1513" s="340"/>
      <c r="B1513" s="377" t="s">
        <v>940</v>
      </c>
      <c r="C1513" s="627" t="str">
        <f>AC1513</f>
        <v>click to go to AI04</v>
      </c>
      <c r="D1513" s="627"/>
      <c r="E1513" s="338"/>
      <c r="F1513" s="338"/>
      <c r="AC1513" s="56" t="str">
        <f>IF(SUM(AD1514,AD1515,AD1516,AD1517,AD1518,AC1519,AD1519,AE1519)&lt;8,"click to go to AI04",AI1513)</f>
        <v>click to go to AI04</v>
      </c>
      <c r="AI1513" s="56" t="str">
        <f>CONCATENATE(AO1513,AQ1513,AT1513)</f>
        <v>Go to Employer 1  tab &gt;&gt;</v>
      </c>
      <c r="AO1513" s="56" t="s">
        <v>919</v>
      </c>
      <c r="AQ1513" s="56" t="str">
        <f>IF(C1514="","Employer 1 ",C1514)</f>
        <v xml:space="preserve">Employer 1 </v>
      </c>
      <c r="AT1513" s="56" t="s">
        <v>920</v>
      </c>
      <c r="BX1513" s="262" t="s">
        <v>922</v>
      </c>
      <c r="BY1513" s="56">
        <v>0</v>
      </c>
      <c r="BZ1513" s="56" t="s">
        <v>923</v>
      </c>
      <c r="CA1513" s="262" t="s">
        <v>924</v>
      </c>
      <c r="CB1513" s="56" t="str">
        <f>CONCATENATE(BO1513,BX1513,BZ1513,CA1513)</f>
        <v>[DIY FREE]</v>
      </c>
    </row>
    <row r="1514" spans="1:80" ht="16.95" hidden="1" customHeight="1" thickTop="1" thickBot="1" x14ac:dyDescent="0.3">
      <c r="A1514" s="340"/>
      <c r="B1514" s="338" t="s">
        <v>925</v>
      </c>
      <c r="C1514" s="379"/>
      <c r="D1514" s="380"/>
      <c r="E1514" s="338"/>
      <c r="F1514" s="338"/>
      <c r="AD1514" s="56">
        <f t="shared" ref="AD1514:AD1519" si="58">IF(C1514&lt;&gt;"",1,0)</f>
        <v>0</v>
      </c>
      <c r="BX1514" s="56" t="s">
        <v>922</v>
      </c>
      <c r="BY1514" s="56">
        <v>5</v>
      </c>
      <c r="BZ1514" s="374" t="str">
        <f>DOLLAR(BY1514,0)</f>
        <v>$5</v>
      </c>
      <c r="CA1514" s="56" t="s">
        <v>924</v>
      </c>
      <c r="CB1514" s="56" t="str">
        <f>CONCATENATE(BO1514,BX1514,BZ1514,CA1514)</f>
        <v>[$5]</v>
      </c>
    </row>
    <row r="1515" spans="1:80" ht="16.95" hidden="1" customHeight="1" thickTop="1" thickBot="1" x14ac:dyDescent="0.3">
      <c r="A1515" s="340"/>
      <c r="B1515" s="338" t="s">
        <v>932</v>
      </c>
      <c r="C1515" s="379"/>
      <c r="D1515" s="380"/>
      <c r="E1515" s="338"/>
      <c r="F1515" s="338"/>
      <c r="AD1515" s="56">
        <f t="shared" si="58"/>
        <v>0</v>
      </c>
      <c r="BX1515" s="56" t="s">
        <v>922</v>
      </c>
      <c r="BY1515" s="56">
        <v>15</v>
      </c>
      <c r="BZ1515" s="374" t="str">
        <f>DOLLAR(BY1515,0)</f>
        <v>$15</v>
      </c>
      <c r="CA1515" s="56" t="s">
        <v>924</v>
      </c>
      <c r="CB1515" s="56" t="str">
        <f>CONCATENATE(BO1515,BX1515,BZ1515,CA1515)</f>
        <v>[$15]</v>
      </c>
    </row>
    <row r="1516" spans="1:80" ht="16.95" hidden="1" customHeight="1" thickTop="1" thickBot="1" x14ac:dyDescent="0.3">
      <c r="A1516" s="340"/>
      <c r="B1516" s="338" t="s">
        <v>935</v>
      </c>
      <c r="C1516" s="379"/>
      <c r="D1516" s="380"/>
      <c r="E1516" s="338"/>
      <c r="F1516" s="338"/>
      <c r="AD1516" s="56">
        <f t="shared" si="58"/>
        <v>0</v>
      </c>
    </row>
    <row r="1517" spans="1:80" ht="16.95" hidden="1" customHeight="1" thickTop="1" thickBot="1" x14ac:dyDescent="0.3">
      <c r="A1517" s="340"/>
      <c r="B1517" s="338" t="s">
        <v>936</v>
      </c>
      <c r="C1517" s="628"/>
      <c r="D1517" s="628"/>
      <c r="E1517" s="338"/>
      <c r="F1517" s="338"/>
      <c r="AD1517" s="56">
        <f t="shared" si="58"/>
        <v>0</v>
      </c>
    </row>
    <row r="1518" spans="1:80" ht="16.95" hidden="1" customHeight="1" thickTop="1" thickBot="1" x14ac:dyDescent="0.3">
      <c r="A1518" s="340"/>
      <c r="B1518" s="338" t="s">
        <v>937</v>
      </c>
      <c r="C1518" s="383"/>
      <c r="D1518" s="383"/>
      <c r="E1518" s="338"/>
      <c r="F1518" s="338"/>
      <c r="AD1518" s="56">
        <f t="shared" si="58"/>
        <v>0</v>
      </c>
    </row>
    <row r="1519" spans="1:80" ht="16.95" hidden="1" customHeight="1" thickTop="1" thickBot="1" x14ac:dyDescent="0.3">
      <c r="A1519" s="340"/>
      <c r="B1519" s="382"/>
      <c r="C1519" s="383"/>
      <c r="D1519" s="383"/>
      <c r="E1519" s="338"/>
      <c r="F1519" s="338"/>
      <c r="AC1519" s="56">
        <f>IF(B1519&lt;&gt;"",1,0)</f>
        <v>0</v>
      </c>
      <c r="AD1519" s="56">
        <f t="shared" si="58"/>
        <v>0</v>
      </c>
      <c r="AE1519" s="56">
        <f>IF(D1519&lt;&gt;"",1,0)</f>
        <v>0</v>
      </c>
    </row>
    <row r="1520" spans="1:80" hidden="1" x14ac:dyDescent="0.25">
      <c r="A1520" s="340"/>
      <c r="B1520" s="338"/>
      <c r="C1520" s="338"/>
      <c r="D1520" s="338"/>
      <c r="E1520" s="338"/>
      <c r="F1520" s="338"/>
    </row>
    <row r="1521" spans="1:47" ht="25.05" hidden="1" customHeight="1" x14ac:dyDescent="0.25">
      <c r="A1521" s="340"/>
      <c r="B1521" s="372" t="s">
        <v>933</v>
      </c>
      <c r="C1521" s="372"/>
      <c r="D1521" s="373" t="str">
        <f>AJ1521</f>
        <v>Accumulative total: $10</v>
      </c>
      <c r="E1521" s="338"/>
      <c r="F1521" s="338"/>
      <c r="AD1521" s="60">
        <f>SUM(AE1521:AG1521)</f>
        <v>0</v>
      </c>
      <c r="AE1521" s="56">
        <f>IF(B1522=CI$1483,BY$1483,0)</f>
        <v>0</v>
      </c>
      <c r="AF1521" s="56">
        <f>IF(C1522=CI$1484,BY$1484,0)</f>
        <v>0</v>
      </c>
      <c r="AG1521" s="56">
        <f>IF(C1522=CI$1485,BY$1485,0)</f>
        <v>0</v>
      </c>
      <c r="AJ1521" s="56" t="str">
        <f>CONCATENATE(AS1521,AT1521)</f>
        <v>Accumulative total: $10</v>
      </c>
      <c r="AS1521" s="374" t="s">
        <v>913</v>
      </c>
      <c r="AT1521" s="56" t="str">
        <f>DOLLAR(AU1521,0)</f>
        <v>$10</v>
      </c>
      <c r="AU1521" s="56">
        <f>AD1521+AU1511</f>
        <v>10</v>
      </c>
    </row>
    <row r="1522" spans="1:47" ht="15.6" hidden="1" x14ac:dyDescent="0.3">
      <c r="A1522" s="340"/>
      <c r="B1522" s="375" t="s">
        <v>914</v>
      </c>
      <c r="C1522" s="629" t="str">
        <f>AC1522</f>
        <v>PICK AN OPTION BEST FOR YOU</v>
      </c>
      <c r="D1522" s="629"/>
      <c r="E1522" s="338"/>
      <c r="F1522" s="338"/>
      <c r="AC1522" s="376" t="s">
        <v>916</v>
      </c>
      <c r="AD1522" s="376"/>
      <c r="AE1522" s="376"/>
      <c r="AF1522" s="376"/>
      <c r="AG1522" s="376"/>
      <c r="AH1522" s="376"/>
      <c r="AI1522" s="376"/>
      <c r="AJ1522" s="376"/>
    </row>
    <row r="1523" spans="1:47" ht="14.4" hidden="1" thickBot="1" x14ac:dyDescent="0.3">
      <c r="A1523" s="340"/>
      <c r="B1523" s="377" t="s">
        <v>941</v>
      </c>
      <c r="C1523" s="627" t="str">
        <f>AC1523</f>
        <v>click to go to AI05</v>
      </c>
      <c r="D1523" s="627"/>
      <c r="E1523" s="338"/>
      <c r="F1523" s="338"/>
      <c r="AC1523" s="56" t="str">
        <f>IF(SUM(AD1524,AD1525,AD1526,AD1527,AD1528,AC1529,AD1529,AE1529)&lt;8,"click to go to AI05",AI1523)</f>
        <v>click to go to AI05</v>
      </c>
      <c r="AI1523" s="56" t="str">
        <f>CONCATENATE(AO1523,AQ1523,AT1523)</f>
        <v>Go to Employer 1  tab &gt;&gt;</v>
      </c>
      <c r="AO1523" s="56" t="s">
        <v>919</v>
      </c>
      <c r="AQ1523" s="56" t="str">
        <f>IF(C1524="","Employer 1 ",C1524)</f>
        <v xml:space="preserve">Employer 1 </v>
      </c>
      <c r="AT1523" s="56" t="s">
        <v>920</v>
      </c>
    </row>
    <row r="1524" spans="1:47" ht="16.95" hidden="1" customHeight="1" thickTop="1" thickBot="1" x14ac:dyDescent="0.3">
      <c r="A1524" s="340"/>
      <c r="B1524" s="338" t="s">
        <v>925</v>
      </c>
      <c r="C1524" s="379"/>
      <c r="D1524" s="380"/>
      <c r="E1524" s="338"/>
      <c r="F1524" s="338"/>
      <c r="AD1524" s="56">
        <f t="shared" ref="AD1524:AD1529" si="59">IF(C1524&lt;&gt;"",1,0)</f>
        <v>0</v>
      </c>
    </row>
    <row r="1525" spans="1:47" ht="16.95" hidden="1" customHeight="1" thickTop="1" thickBot="1" x14ac:dyDescent="0.3">
      <c r="A1525" s="340"/>
      <c r="B1525" s="338" t="s">
        <v>932</v>
      </c>
      <c r="C1525" s="379"/>
      <c r="D1525" s="380"/>
      <c r="E1525" s="338"/>
      <c r="F1525" s="338"/>
      <c r="AD1525" s="56">
        <f t="shared" si="59"/>
        <v>0</v>
      </c>
    </row>
    <row r="1526" spans="1:47" ht="16.95" hidden="1" customHeight="1" thickTop="1" thickBot="1" x14ac:dyDescent="0.3">
      <c r="A1526" s="340"/>
      <c r="B1526" s="338" t="s">
        <v>935</v>
      </c>
      <c r="C1526" s="379"/>
      <c r="D1526" s="380"/>
      <c r="E1526" s="338"/>
      <c r="F1526" s="338"/>
      <c r="AD1526" s="56">
        <f t="shared" si="59"/>
        <v>0</v>
      </c>
    </row>
    <row r="1527" spans="1:47" ht="16.95" hidden="1" customHeight="1" thickTop="1" thickBot="1" x14ac:dyDescent="0.3">
      <c r="A1527" s="340"/>
      <c r="B1527" s="338" t="s">
        <v>936</v>
      </c>
      <c r="C1527" s="628"/>
      <c r="D1527" s="628"/>
      <c r="E1527" s="338"/>
      <c r="F1527" s="338"/>
      <c r="AD1527" s="56">
        <f t="shared" si="59"/>
        <v>0</v>
      </c>
    </row>
    <row r="1528" spans="1:47" ht="16.95" hidden="1" customHeight="1" thickTop="1" thickBot="1" x14ac:dyDescent="0.3">
      <c r="A1528" s="340"/>
      <c r="B1528" s="338" t="s">
        <v>937</v>
      </c>
      <c r="C1528" s="383"/>
      <c r="D1528" s="383"/>
      <c r="E1528" s="338"/>
      <c r="F1528" s="338"/>
      <c r="AD1528" s="56">
        <f t="shared" si="59"/>
        <v>0</v>
      </c>
    </row>
    <row r="1529" spans="1:47" ht="16.95" hidden="1" customHeight="1" thickTop="1" thickBot="1" x14ac:dyDescent="0.3">
      <c r="A1529" s="340"/>
      <c r="B1529" s="382"/>
      <c r="C1529" s="383"/>
      <c r="D1529" s="383"/>
      <c r="E1529" s="338"/>
      <c r="F1529" s="338"/>
      <c r="AC1529" s="56">
        <f>IF(B1529&lt;&gt;"",1,0)</f>
        <v>0</v>
      </c>
      <c r="AD1529" s="56">
        <f t="shared" si="59"/>
        <v>0</v>
      </c>
      <c r="AE1529" s="56">
        <f>IF(D1529&lt;&gt;"",1,0)</f>
        <v>0</v>
      </c>
    </row>
    <row r="1530" spans="1:47" hidden="1" x14ac:dyDescent="0.25">
      <c r="A1530" s="340"/>
      <c r="B1530" s="338"/>
      <c r="C1530" s="338"/>
      <c r="D1530" s="338"/>
      <c r="E1530" s="338"/>
      <c r="F1530" s="338"/>
    </row>
    <row r="1531" spans="1:47" ht="25.05" hidden="1" customHeight="1" x14ac:dyDescent="0.25">
      <c r="A1531" s="340"/>
      <c r="B1531" s="372" t="s">
        <v>933</v>
      </c>
      <c r="C1531" s="372"/>
      <c r="D1531" s="373" t="str">
        <f>AJ1531</f>
        <v>Accumulative total: $10</v>
      </c>
      <c r="E1531" s="338"/>
      <c r="F1531" s="338"/>
      <c r="AD1531" s="60">
        <f>SUM(AE1531:AG1531)</f>
        <v>0</v>
      </c>
      <c r="AE1531" s="56">
        <f>IF(B1532=CI$1483,BY$1483,0)</f>
        <v>0</v>
      </c>
      <c r="AF1531" s="56">
        <f>IF(C1532=CI$1484,BY$1484,0)</f>
        <v>0</v>
      </c>
      <c r="AG1531" s="56">
        <f>IF(C1532=CI$1485,BY$1485,0)</f>
        <v>0</v>
      </c>
      <c r="AJ1531" s="56" t="str">
        <f>CONCATENATE(AS1531,AT1531)</f>
        <v>Accumulative total: $10</v>
      </c>
      <c r="AS1531" s="374" t="s">
        <v>913</v>
      </c>
      <c r="AT1531" s="56" t="str">
        <f>DOLLAR(AU1531,0)</f>
        <v>$10</v>
      </c>
      <c r="AU1531" s="56">
        <f>AD1531+AU1521</f>
        <v>10</v>
      </c>
    </row>
    <row r="1532" spans="1:47" ht="15.6" hidden="1" x14ac:dyDescent="0.3">
      <c r="A1532" s="340"/>
      <c r="B1532" s="375" t="s">
        <v>914</v>
      </c>
      <c r="C1532" s="629" t="str">
        <f>AC1532</f>
        <v>PICK AN OPTION BEST FOR YOU</v>
      </c>
      <c r="D1532" s="629"/>
      <c r="E1532" s="338"/>
      <c r="F1532" s="338"/>
      <c r="AC1532" s="376" t="s">
        <v>916</v>
      </c>
      <c r="AD1532" s="376"/>
      <c r="AE1532" s="376"/>
      <c r="AF1532" s="376"/>
      <c r="AG1532" s="376"/>
      <c r="AH1532" s="376"/>
      <c r="AI1532" s="376"/>
      <c r="AJ1532" s="376"/>
    </row>
    <row r="1533" spans="1:47" ht="14.4" hidden="1" thickBot="1" x14ac:dyDescent="0.3">
      <c r="A1533" s="340"/>
      <c r="B1533" s="377" t="s">
        <v>942</v>
      </c>
      <c r="C1533" s="627" t="str">
        <f>AC1533</f>
        <v>click to go to AI06</v>
      </c>
      <c r="D1533" s="627"/>
      <c r="E1533" s="338"/>
      <c r="F1533" s="338"/>
      <c r="AC1533" s="56" t="str">
        <f>IF(SUM(AD1534,AD1535,AD1536,AD1537,AD1538,AC1539,AD1539,AE1539)&lt;8,"click to go to AI06",AI1533)</f>
        <v>click to go to AI06</v>
      </c>
      <c r="AI1533" s="56" t="str">
        <f>CONCATENATE(AO1533,AQ1533,AT1533)</f>
        <v>Go to Employer 1  tab &gt;&gt;</v>
      </c>
      <c r="AO1533" s="56" t="s">
        <v>919</v>
      </c>
      <c r="AQ1533" s="56" t="str">
        <f>IF(C1534="","Employer 1 ",C1534)</f>
        <v xml:space="preserve">Employer 1 </v>
      </c>
      <c r="AT1533" s="56" t="s">
        <v>920</v>
      </c>
    </row>
    <row r="1534" spans="1:47" ht="16.95" hidden="1" customHeight="1" thickTop="1" thickBot="1" x14ac:dyDescent="0.3">
      <c r="A1534" s="340"/>
      <c r="B1534" s="338" t="s">
        <v>925</v>
      </c>
      <c r="C1534" s="379"/>
      <c r="D1534" s="380"/>
      <c r="E1534" s="338"/>
      <c r="F1534" s="338"/>
      <c r="AD1534" s="56">
        <f t="shared" ref="AD1534:AD1539" si="60">IF(C1534&lt;&gt;"",1,0)</f>
        <v>0</v>
      </c>
    </row>
    <row r="1535" spans="1:47" ht="16.95" hidden="1" customHeight="1" thickTop="1" thickBot="1" x14ac:dyDescent="0.3">
      <c r="A1535" s="340"/>
      <c r="B1535" s="338" t="s">
        <v>932</v>
      </c>
      <c r="C1535" s="379"/>
      <c r="D1535" s="380"/>
      <c r="E1535" s="338"/>
      <c r="F1535" s="338"/>
      <c r="AD1535" s="56">
        <f t="shared" si="60"/>
        <v>0</v>
      </c>
    </row>
    <row r="1536" spans="1:47" ht="16.95" hidden="1" customHeight="1" thickTop="1" thickBot="1" x14ac:dyDescent="0.3">
      <c r="A1536" s="340"/>
      <c r="B1536" s="338" t="s">
        <v>935</v>
      </c>
      <c r="C1536" s="379"/>
      <c r="D1536" s="380"/>
      <c r="E1536" s="338"/>
      <c r="F1536" s="338"/>
      <c r="AD1536" s="56">
        <f t="shared" si="60"/>
        <v>0</v>
      </c>
    </row>
    <row r="1537" spans="1:54" ht="16.95" hidden="1" customHeight="1" thickTop="1" thickBot="1" x14ac:dyDescent="0.3">
      <c r="A1537" s="340"/>
      <c r="B1537" s="338" t="s">
        <v>936</v>
      </c>
      <c r="C1537" s="628"/>
      <c r="D1537" s="628"/>
      <c r="E1537" s="338"/>
      <c r="F1537" s="338"/>
      <c r="AD1537" s="56">
        <f t="shared" si="60"/>
        <v>0</v>
      </c>
    </row>
    <row r="1538" spans="1:54" ht="16.95" hidden="1" customHeight="1" thickTop="1" thickBot="1" x14ac:dyDescent="0.3">
      <c r="A1538" s="340"/>
      <c r="B1538" s="338" t="s">
        <v>937</v>
      </c>
      <c r="C1538" s="383"/>
      <c r="D1538" s="383"/>
      <c r="E1538" s="338"/>
      <c r="F1538" s="338"/>
      <c r="AD1538" s="56">
        <f t="shared" si="60"/>
        <v>0</v>
      </c>
    </row>
    <row r="1539" spans="1:54" ht="16.95" hidden="1" customHeight="1" thickTop="1" thickBot="1" x14ac:dyDescent="0.3">
      <c r="A1539" s="340"/>
      <c r="B1539" s="382"/>
      <c r="C1539" s="383"/>
      <c r="D1539" s="383"/>
      <c r="E1539" s="338"/>
      <c r="F1539" s="338"/>
      <c r="AC1539" s="56">
        <f>IF(B1539&lt;&gt;"",1,0)</f>
        <v>0</v>
      </c>
      <c r="AD1539" s="56">
        <f t="shared" si="60"/>
        <v>0</v>
      </c>
      <c r="AE1539" s="56">
        <f>IF(D1539&lt;&gt;"",1,0)</f>
        <v>0</v>
      </c>
    </row>
    <row r="1540" spans="1:54" hidden="1" x14ac:dyDescent="0.25">
      <c r="A1540" s="340"/>
      <c r="B1540" s="338"/>
      <c r="C1540" s="338"/>
      <c r="D1540" s="338"/>
      <c r="E1540" s="338"/>
      <c r="F1540" s="338"/>
    </row>
    <row r="1541" spans="1:54" hidden="1" x14ac:dyDescent="0.25">
      <c r="A1541" s="340"/>
      <c r="B1541" s="338"/>
      <c r="C1541" s="338"/>
      <c r="D1541" s="338"/>
      <c r="E1541" s="338"/>
      <c r="F1541" s="338"/>
    </row>
    <row r="1542" spans="1:54" ht="15" hidden="1" customHeight="1" x14ac:dyDescent="0.25">
      <c r="A1542" s="340"/>
      <c r="B1542" s="338"/>
      <c r="C1542" s="384"/>
      <c r="D1542" s="384"/>
      <c r="E1542" s="338"/>
      <c r="F1542" s="338"/>
    </row>
    <row r="1543" spans="1:54" hidden="1" x14ac:dyDescent="0.25">
      <c r="A1543" s="340"/>
      <c r="B1543" s="338"/>
      <c r="C1543" s="338"/>
      <c r="D1543" s="338"/>
      <c r="E1543" s="338"/>
      <c r="F1543" s="338"/>
    </row>
    <row r="1544" spans="1:54" hidden="1" x14ac:dyDescent="0.25">
      <c r="A1544" s="340"/>
      <c r="B1544" s="338"/>
      <c r="C1544" s="338"/>
      <c r="D1544" s="338"/>
      <c r="E1544" s="338"/>
      <c r="F1544" s="338"/>
    </row>
    <row r="1545" spans="1:54" hidden="1" x14ac:dyDescent="0.25">
      <c r="A1545" s="340"/>
      <c r="B1545" s="338"/>
      <c r="C1545" s="338"/>
      <c r="D1545" s="338"/>
      <c r="E1545" s="338"/>
      <c r="F1545" s="338"/>
    </row>
    <row r="1546" spans="1:54" hidden="1" x14ac:dyDescent="0.25">
      <c r="A1546" s="340"/>
      <c r="B1546" s="338"/>
      <c r="C1546" s="338"/>
      <c r="D1546" s="338"/>
      <c r="E1546" s="338"/>
      <c r="F1546" s="338"/>
    </row>
    <row r="1547" spans="1:54" hidden="1" x14ac:dyDescent="0.25">
      <c r="A1547" s="340"/>
      <c r="B1547" s="338"/>
      <c r="C1547" s="338"/>
      <c r="D1547" s="338"/>
      <c r="E1547" s="338"/>
      <c r="F1547" s="338"/>
    </row>
    <row r="1548" spans="1:54" ht="30" hidden="1" customHeight="1" x14ac:dyDescent="0.25">
      <c r="A1548" s="340"/>
      <c r="B1548" s="338"/>
      <c r="C1548" s="338"/>
      <c r="D1548" s="338"/>
      <c r="E1548" s="338"/>
      <c r="F1548" s="338"/>
    </row>
    <row r="1549" spans="1:54" ht="10.050000000000001" hidden="1" customHeight="1" x14ac:dyDescent="0.25">
      <c r="A1549" s="340"/>
      <c r="B1549" s="385"/>
      <c r="C1549" s="338"/>
      <c r="D1549" s="338"/>
      <c r="E1549" s="338"/>
      <c r="F1549" s="338"/>
    </row>
    <row r="1550" spans="1:54" ht="30" hidden="1" customHeight="1" x14ac:dyDescent="0.25">
      <c r="A1550" s="45" t="s">
        <v>99</v>
      </c>
      <c r="B1550" s="46" t="s">
        <v>943</v>
      </c>
      <c r="C1550" s="45"/>
      <c r="D1550" s="45"/>
      <c r="E1550" s="45"/>
      <c r="F1550" s="45"/>
      <c r="BB1550" s="56"/>
    </row>
    <row r="1551" spans="1:54" ht="17.399999999999999" hidden="1" x14ac:dyDescent="0.25">
      <c r="A1551" s="48"/>
      <c r="B1551" s="531"/>
      <c r="C1551" s="531"/>
      <c r="D1551" s="531"/>
      <c r="E1551" s="49"/>
      <c r="F1551" s="108"/>
      <c r="BB1551" s="56"/>
    </row>
    <row r="1552" spans="1:54" hidden="1" x14ac:dyDescent="0.25">
      <c r="A1552" s="386"/>
      <c r="B1552" s="386"/>
      <c r="C1552" s="386"/>
      <c r="D1552" s="386"/>
      <c r="E1552" s="386"/>
      <c r="F1552" s="1"/>
      <c r="AC1552" s="56" t="s">
        <v>265</v>
      </c>
      <c r="AE1552" s="56" t="s">
        <v>944</v>
      </c>
      <c r="AJ1552" s="56">
        <v>200</v>
      </c>
      <c r="BB1552" s="56"/>
    </row>
    <row r="1553" spans="1:54" hidden="1" x14ac:dyDescent="0.25">
      <c r="A1553" s="386"/>
      <c r="B1553" s="250" t="s">
        <v>945</v>
      </c>
      <c r="C1553" s="250" t="s">
        <v>946</v>
      </c>
      <c r="D1553" s="250" t="s">
        <v>947</v>
      </c>
      <c r="E1553" s="386"/>
      <c r="F1553" s="1"/>
      <c r="BB1553" s="56"/>
    </row>
    <row r="1554" spans="1:54" hidden="1" x14ac:dyDescent="0.25">
      <c r="A1554" s="386"/>
      <c r="B1554" s="5"/>
      <c r="C1554" s="5"/>
      <c r="D1554" s="5"/>
      <c r="E1554" s="386"/>
      <c r="F1554" s="1"/>
      <c r="BB1554" s="56"/>
    </row>
    <row r="1555" spans="1:54" hidden="1" x14ac:dyDescent="0.25">
      <c r="A1555" s="386"/>
      <c r="B1555" s="387" t="s">
        <v>948</v>
      </c>
      <c r="C1555" s="387" t="str">
        <f>CONCATENATE(AD1555,AE1555)</f>
        <v>572 hours</v>
      </c>
      <c r="D1555" s="164"/>
      <c r="E1555" s="386"/>
      <c r="F1555" s="1"/>
      <c r="AD1555" s="56">
        <f>ROUND($AX$440,0)</f>
        <v>572</v>
      </c>
      <c r="AE1555" s="56" t="str">
        <f>AL440</f>
        <v xml:space="preserve"> hours</v>
      </c>
      <c r="BB1555" s="56"/>
    </row>
    <row r="1556" spans="1:54" ht="14.4" hidden="1" x14ac:dyDescent="0.3">
      <c r="A1556" s="386"/>
      <c r="B1556" s="388" t="str">
        <f>CONCATENATE(AE1556,AB1556,AC1556)</f>
        <v>Min. rate $10</v>
      </c>
      <c r="C1556" s="388" t="str">
        <f>CONCATENATE(AL1556,AB1556,AI1556)</f>
        <v xml:space="preserve"> low bid  $5720</v>
      </c>
      <c r="D1556" s="388" t="str">
        <f>CONCATENATE(AO1556,AU1556,AQ1556)</f>
        <v>10% down to start</v>
      </c>
      <c r="E1556" s="386"/>
      <c r="F1556" s="1"/>
      <c r="AB1556" s="56" t="s">
        <v>949</v>
      </c>
      <c r="AC1556" s="633">
        <v>10</v>
      </c>
      <c r="AD1556" s="527"/>
      <c r="AE1556" s="360" t="s">
        <v>950</v>
      </c>
      <c r="AI1556" s="633">
        <f>AD1555*AC1556</f>
        <v>5720</v>
      </c>
      <c r="AJ1556" s="527"/>
      <c r="AK1556" s="527"/>
      <c r="AL1556" s="56" t="s">
        <v>951</v>
      </c>
      <c r="AO1556" s="532">
        <f>$BH$297*100</f>
        <v>10</v>
      </c>
      <c r="AP1556" s="527"/>
      <c r="AQ1556" s="56" t="s">
        <v>952</v>
      </c>
      <c r="BB1556" s="56"/>
    </row>
    <row r="1557" spans="1:54" ht="14.4" hidden="1" x14ac:dyDescent="0.3">
      <c r="A1557" s="386"/>
      <c r="B1557" s="388" t="str">
        <f>CONCATENATE(AE1557,AB1557,AC1557)</f>
        <v>Max. rate $25</v>
      </c>
      <c r="C1557" s="388" t="str">
        <f>CONCATENATE(AL1557,AB1557,AI1557)</f>
        <v xml:space="preserve"> high bid  $14300</v>
      </c>
      <c r="D1557" s="388" t="str">
        <f>CONCATENATE(AQ1557,AB1557,AO1557)</f>
        <v>minimum to start:  $572</v>
      </c>
      <c r="E1557" s="386"/>
      <c r="F1557" s="1"/>
      <c r="AB1557" s="56" t="s">
        <v>949</v>
      </c>
      <c r="AC1557" s="633">
        <v>25</v>
      </c>
      <c r="AD1557" s="527"/>
      <c r="AE1557" s="360" t="s">
        <v>953</v>
      </c>
      <c r="AI1557" s="633">
        <f>AD1555*AC1557</f>
        <v>14300</v>
      </c>
      <c r="AJ1557" s="527"/>
      <c r="AK1557" s="527"/>
      <c r="AL1557" s="56" t="s">
        <v>954</v>
      </c>
      <c r="AO1557" s="566">
        <f>AI1556*(AO1556*0.01)</f>
        <v>572</v>
      </c>
      <c r="AP1557" s="609"/>
      <c r="AQ1557" s="56" t="s">
        <v>955</v>
      </c>
      <c r="BB1557" s="56"/>
    </row>
    <row r="1558" spans="1:54" hidden="1" x14ac:dyDescent="0.25">
      <c r="A1558" s="386"/>
      <c r="B1558" s="386"/>
      <c r="C1558" s="386"/>
      <c r="D1558" s="386"/>
      <c r="E1558" s="386"/>
      <c r="F1558" s="1"/>
      <c r="BB1558" s="56"/>
    </row>
    <row r="1559" spans="1:54" hidden="1" x14ac:dyDescent="0.25">
      <c r="A1559" s="386"/>
      <c r="B1559" s="250" t="s">
        <v>945</v>
      </c>
      <c r="C1559" s="250" t="s">
        <v>946</v>
      </c>
      <c r="D1559" s="250" t="s">
        <v>947</v>
      </c>
      <c r="E1559" s="386"/>
      <c r="F1559" s="1"/>
      <c r="BB1559" s="56"/>
    </row>
    <row r="1560" spans="1:54" hidden="1" x14ac:dyDescent="0.25">
      <c r="A1560" s="386"/>
      <c r="B1560" s="5"/>
      <c r="C1560" s="5"/>
      <c r="D1560" s="5"/>
      <c r="E1560" s="386"/>
      <c r="F1560" s="1"/>
      <c r="BB1560" s="56"/>
    </row>
    <row r="1561" spans="1:54" hidden="1" x14ac:dyDescent="0.25">
      <c r="A1561" s="386"/>
      <c r="B1561" s="387" t="s">
        <v>948</v>
      </c>
      <c r="C1561" s="387" t="str">
        <f>CONCATENATE(AD1561,AE1561)</f>
        <v>572 hours</v>
      </c>
      <c r="D1561" s="164"/>
      <c r="E1561" s="386"/>
      <c r="F1561" s="1"/>
      <c r="AD1561" s="56">
        <f>ROUND($AX$440,0)</f>
        <v>572</v>
      </c>
      <c r="AE1561" s="56" t="str">
        <f>AE1555</f>
        <v xml:space="preserve"> hours</v>
      </c>
      <c r="BB1561" s="56"/>
    </row>
    <row r="1562" spans="1:54" ht="14.4" hidden="1" x14ac:dyDescent="0.3">
      <c r="A1562" s="386"/>
      <c r="B1562" s="388" t="str">
        <f>CONCATENATE(AE1562,AB1562,AC1562)</f>
        <v>Min. rate $10</v>
      </c>
      <c r="C1562" s="388" t="str">
        <f>CONCATENATE(AL1562,AB1562,AI1562)</f>
        <v xml:space="preserve"> low bid  $5720</v>
      </c>
      <c r="D1562" s="388" t="str">
        <f>CONCATENATE(AO1562,AU1562,AQ1562)</f>
        <v>10% down to start</v>
      </c>
      <c r="E1562" s="386"/>
      <c r="F1562" s="1"/>
      <c r="AB1562" s="56" t="s">
        <v>949</v>
      </c>
      <c r="AC1562" s="633">
        <v>10</v>
      </c>
      <c r="AD1562" s="527"/>
      <c r="AE1562" s="360" t="s">
        <v>950</v>
      </c>
      <c r="AI1562" s="633">
        <f>AD1561*AC1562</f>
        <v>5720</v>
      </c>
      <c r="AJ1562" s="527"/>
      <c r="AK1562" s="527"/>
      <c r="AL1562" s="56" t="s">
        <v>951</v>
      </c>
      <c r="AO1562" s="532">
        <f>$BH$297*100</f>
        <v>10</v>
      </c>
      <c r="AP1562" s="527"/>
      <c r="AQ1562" s="56" t="s">
        <v>952</v>
      </c>
      <c r="BB1562" s="56"/>
    </row>
    <row r="1563" spans="1:54" ht="14.4" hidden="1" x14ac:dyDescent="0.3">
      <c r="A1563" s="386"/>
      <c r="B1563" s="388" t="str">
        <f>CONCATENATE(AE1563,AB1563,AC1563)</f>
        <v>Max. rate $25</v>
      </c>
      <c r="C1563" s="388" t="str">
        <f>CONCATENATE(AL1563,AB1563,AI1563)</f>
        <v xml:space="preserve"> high bid  $14300</v>
      </c>
      <c r="D1563" s="388" t="str">
        <f>CONCATENATE(AQ1563,AB1563,AO1563)</f>
        <v>minimum to start:  $572</v>
      </c>
      <c r="E1563" s="386"/>
      <c r="F1563" s="1"/>
      <c r="AB1563" s="56" t="s">
        <v>949</v>
      </c>
      <c r="AC1563" s="633">
        <v>25</v>
      </c>
      <c r="AD1563" s="527"/>
      <c r="AE1563" s="360" t="s">
        <v>953</v>
      </c>
      <c r="AI1563" s="633">
        <f>AD1561*AC1563</f>
        <v>14300</v>
      </c>
      <c r="AJ1563" s="527"/>
      <c r="AK1563" s="527"/>
      <c r="AL1563" s="56" t="s">
        <v>954</v>
      </c>
      <c r="AO1563" s="566">
        <f>AI1562*(AO1562*0.01)</f>
        <v>572</v>
      </c>
      <c r="AP1563" s="609"/>
      <c r="AQ1563" s="56" t="s">
        <v>955</v>
      </c>
      <c r="BB1563" s="56"/>
    </row>
    <row r="1564" spans="1:54" hidden="1" x14ac:dyDescent="0.25">
      <c r="A1564" s="386"/>
      <c r="B1564" s="386"/>
      <c r="C1564" s="386"/>
      <c r="D1564" s="386"/>
      <c r="E1564" s="386"/>
      <c r="F1564" s="1"/>
      <c r="BB1564" s="56"/>
    </row>
    <row r="1565" spans="1:54" hidden="1" x14ac:dyDescent="0.25">
      <c r="A1565" s="386"/>
      <c r="B1565" s="250" t="s">
        <v>945</v>
      </c>
      <c r="C1565" s="250" t="s">
        <v>946</v>
      </c>
      <c r="D1565" s="250" t="s">
        <v>947</v>
      </c>
      <c r="E1565" s="386"/>
      <c r="F1565" s="1"/>
      <c r="BB1565" s="56"/>
    </row>
    <row r="1566" spans="1:54" hidden="1" x14ac:dyDescent="0.25">
      <c r="A1566" s="386"/>
      <c r="B1566" s="5"/>
      <c r="C1566" s="5"/>
      <c r="D1566" s="5"/>
      <c r="E1566" s="386"/>
      <c r="F1566" s="1"/>
      <c r="BB1566" s="56"/>
    </row>
    <row r="1567" spans="1:54" hidden="1" x14ac:dyDescent="0.25">
      <c r="A1567" s="386"/>
      <c r="B1567" s="387" t="s">
        <v>948</v>
      </c>
      <c r="C1567" s="387" t="str">
        <f>CONCATENATE(AD1567,AE1567)</f>
        <v>572 hours</v>
      </c>
      <c r="D1567" s="164"/>
      <c r="E1567" s="386"/>
      <c r="F1567" s="1"/>
      <c r="AD1567" s="56">
        <f>ROUND($AX$440,0)</f>
        <v>572</v>
      </c>
      <c r="AE1567" s="56" t="str">
        <f>AE1561</f>
        <v xml:space="preserve"> hours</v>
      </c>
      <c r="BB1567" s="56"/>
    </row>
    <row r="1568" spans="1:54" ht="14.4" hidden="1" x14ac:dyDescent="0.3">
      <c r="A1568" s="386"/>
      <c r="B1568" s="388" t="str">
        <f>CONCATENATE(AE1568,AB1568,AC1568)</f>
        <v>Min. rate $40</v>
      </c>
      <c r="C1568" s="388" t="str">
        <f>CONCATENATE(AL1568,AB1568,AI1568)</f>
        <v xml:space="preserve"> low bid  $22880</v>
      </c>
      <c r="D1568" s="388" t="str">
        <f>CONCATENATE(AO1568,AU1568,AQ1568)</f>
        <v>10% down to start</v>
      </c>
      <c r="E1568" s="386"/>
      <c r="F1568" s="1"/>
      <c r="AB1568" s="56" t="s">
        <v>949</v>
      </c>
      <c r="AC1568" s="633">
        <v>40</v>
      </c>
      <c r="AD1568" s="527"/>
      <c r="AE1568" s="360" t="s">
        <v>950</v>
      </c>
      <c r="AI1568" s="633">
        <f>AD1567*AC1568</f>
        <v>22880</v>
      </c>
      <c r="AJ1568" s="527"/>
      <c r="AK1568" s="527"/>
      <c r="AL1568" s="56" t="s">
        <v>951</v>
      </c>
      <c r="AO1568" s="532">
        <f>$BH$297*100</f>
        <v>10</v>
      </c>
      <c r="AP1568" s="527"/>
      <c r="AQ1568" s="56" t="s">
        <v>952</v>
      </c>
      <c r="BB1568" s="56"/>
    </row>
    <row r="1569" spans="1:54" ht="14.4" hidden="1" x14ac:dyDescent="0.3">
      <c r="A1569" s="386"/>
      <c r="B1569" s="388" t="str">
        <f>CONCATENATE(AE1569,AB1569,AC1569)</f>
        <v>Max. rate $55</v>
      </c>
      <c r="C1569" s="388" t="str">
        <f>CONCATENATE(AL1569,AB1569,AI1569)</f>
        <v xml:space="preserve"> high bid  $31460</v>
      </c>
      <c r="D1569" s="388" t="str">
        <f>CONCATENATE(AQ1569,AB1569,AO1569)</f>
        <v>minimum to start:  $2288</v>
      </c>
      <c r="E1569" s="386"/>
      <c r="F1569" s="1"/>
      <c r="AB1569" s="56" t="s">
        <v>949</v>
      </c>
      <c r="AC1569" s="633">
        <v>55</v>
      </c>
      <c r="AD1569" s="527"/>
      <c r="AE1569" s="360" t="s">
        <v>953</v>
      </c>
      <c r="AI1569" s="633">
        <f>AD1567*AC1569</f>
        <v>31460</v>
      </c>
      <c r="AJ1569" s="527"/>
      <c r="AK1569" s="527"/>
      <c r="AL1569" s="56" t="s">
        <v>954</v>
      </c>
      <c r="AO1569" s="566">
        <f>AI1568*(AO1568*0.01)</f>
        <v>2288</v>
      </c>
      <c r="AP1569" s="609"/>
      <c r="AQ1569" s="56" t="s">
        <v>955</v>
      </c>
      <c r="BB1569" s="56"/>
    </row>
    <row r="1570" spans="1:54" hidden="1" x14ac:dyDescent="0.25">
      <c r="A1570" s="386"/>
      <c r="B1570" s="386"/>
      <c r="C1570" s="386"/>
      <c r="D1570" s="386"/>
      <c r="E1570" s="386"/>
      <c r="F1570" s="1"/>
      <c r="BB1570" s="56"/>
    </row>
    <row r="1571" spans="1:54" hidden="1" x14ac:dyDescent="0.25">
      <c r="A1571" s="386"/>
      <c r="B1571" s="250" t="s">
        <v>945</v>
      </c>
      <c r="C1571" s="250" t="s">
        <v>946</v>
      </c>
      <c r="D1571" s="250" t="s">
        <v>947</v>
      </c>
      <c r="E1571" s="386"/>
      <c r="F1571" s="1"/>
      <c r="BB1571" s="56"/>
    </row>
    <row r="1572" spans="1:54" hidden="1" x14ac:dyDescent="0.25">
      <c r="A1572" s="386"/>
      <c r="B1572" s="5"/>
      <c r="C1572" s="5"/>
      <c r="D1572" s="5"/>
      <c r="E1572" s="386"/>
      <c r="F1572" s="1"/>
      <c r="BB1572" s="56"/>
    </row>
    <row r="1573" spans="1:54" hidden="1" x14ac:dyDescent="0.25">
      <c r="A1573" s="386"/>
      <c r="B1573" s="387" t="s">
        <v>948</v>
      </c>
      <c r="C1573" s="387" t="str">
        <f>CONCATENATE(AD1573,AE1573)</f>
        <v>572 hours</v>
      </c>
      <c r="D1573" s="164"/>
      <c r="E1573" s="386"/>
      <c r="F1573" s="1"/>
      <c r="AD1573" s="56">
        <f>ROUND($AX$440,0)</f>
        <v>572</v>
      </c>
      <c r="AE1573" s="56" t="str">
        <f>AE1567</f>
        <v xml:space="preserve"> hours</v>
      </c>
      <c r="BB1573" s="56"/>
    </row>
    <row r="1574" spans="1:54" ht="14.4" hidden="1" x14ac:dyDescent="0.3">
      <c r="A1574" s="386"/>
      <c r="B1574" s="388" t="str">
        <f>CONCATENATE(AE1574,AB1574,AC1574)</f>
        <v>Min. rate $70</v>
      </c>
      <c r="C1574" s="388" t="str">
        <f>CONCATENATE(AL1574,AB1574,AI1574)</f>
        <v xml:space="preserve"> low bid  $40040</v>
      </c>
      <c r="D1574" s="388" t="str">
        <f>CONCATENATE(AO1574,AU1574,AQ1574)</f>
        <v>10% down to start</v>
      </c>
      <c r="E1574" s="386"/>
      <c r="F1574" s="1"/>
      <c r="AB1574" s="56" t="s">
        <v>949</v>
      </c>
      <c r="AC1574" s="633">
        <v>70</v>
      </c>
      <c r="AD1574" s="527"/>
      <c r="AE1574" s="360" t="s">
        <v>950</v>
      </c>
      <c r="AI1574" s="633">
        <f>AD1573*AC1574</f>
        <v>40040</v>
      </c>
      <c r="AJ1574" s="527"/>
      <c r="AK1574" s="527"/>
      <c r="AL1574" s="56" t="s">
        <v>951</v>
      </c>
      <c r="AO1574" s="532">
        <f>$BH$297*100</f>
        <v>10</v>
      </c>
      <c r="AP1574" s="527"/>
      <c r="AQ1574" s="56" t="s">
        <v>952</v>
      </c>
      <c r="BB1574" s="56"/>
    </row>
    <row r="1575" spans="1:54" ht="14.4" hidden="1" x14ac:dyDescent="0.3">
      <c r="A1575" s="386"/>
      <c r="B1575" s="388" t="str">
        <f>CONCATENATE(AE1575,AB1575,AC1575)</f>
        <v>Max. rate $85</v>
      </c>
      <c r="C1575" s="388" t="str">
        <f>CONCATENATE(AL1575,AB1575,AI1575)</f>
        <v xml:space="preserve"> high bid  $48620</v>
      </c>
      <c r="D1575" s="388" t="str">
        <f>CONCATENATE(AQ1575,AB1575,AO1575)</f>
        <v>minimum to start:  $4004</v>
      </c>
      <c r="E1575" s="386"/>
      <c r="F1575" s="1"/>
      <c r="AB1575" s="56" t="s">
        <v>949</v>
      </c>
      <c r="AC1575" s="633">
        <v>85</v>
      </c>
      <c r="AD1575" s="527"/>
      <c r="AE1575" s="360" t="s">
        <v>953</v>
      </c>
      <c r="AI1575" s="633">
        <f>AD1573*AC1575</f>
        <v>48620</v>
      </c>
      <c r="AJ1575" s="527"/>
      <c r="AK1575" s="527"/>
      <c r="AL1575" s="56" t="s">
        <v>954</v>
      </c>
      <c r="AO1575" s="566">
        <f>AI1574*(AO1574*0.01)</f>
        <v>4004</v>
      </c>
      <c r="AP1575" s="609"/>
      <c r="AQ1575" s="56" t="s">
        <v>955</v>
      </c>
      <c r="BB1575" s="56"/>
    </row>
    <row r="1576" spans="1:54" hidden="1" x14ac:dyDescent="0.25">
      <c r="A1576" s="386"/>
      <c r="B1576" s="386"/>
      <c r="C1576" s="386"/>
      <c r="D1576" s="386"/>
      <c r="E1576" s="386"/>
      <c r="F1576" s="1"/>
      <c r="BB1576" s="56"/>
    </row>
    <row r="1577" spans="1:54" hidden="1" x14ac:dyDescent="0.25">
      <c r="A1577" s="386"/>
      <c r="B1577" s="250" t="s">
        <v>945</v>
      </c>
      <c r="C1577" s="250" t="s">
        <v>946</v>
      </c>
      <c r="D1577" s="250" t="s">
        <v>947</v>
      </c>
      <c r="E1577" s="386"/>
      <c r="F1577" s="1"/>
      <c r="BB1577" s="56"/>
    </row>
    <row r="1578" spans="1:54" hidden="1" x14ac:dyDescent="0.25">
      <c r="A1578" s="386"/>
      <c r="B1578" s="5"/>
      <c r="C1578" s="5"/>
      <c r="D1578" s="5"/>
      <c r="E1578" s="386"/>
      <c r="F1578" s="1"/>
      <c r="BB1578" s="56"/>
    </row>
    <row r="1579" spans="1:54" hidden="1" x14ac:dyDescent="0.25">
      <c r="A1579" s="386"/>
      <c r="B1579" s="387" t="s">
        <v>948</v>
      </c>
      <c r="C1579" s="387" t="str">
        <f>CONCATENATE(AD1579,AE1579)</f>
        <v>572 hours</v>
      </c>
      <c r="D1579" s="164"/>
      <c r="E1579" s="386"/>
      <c r="F1579" s="1"/>
      <c r="AD1579" s="56">
        <f>ROUND($AX$440,0)</f>
        <v>572</v>
      </c>
      <c r="AE1579" s="56" t="str">
        <f>AE1573</f>
        <v xml:space="preserve"> hours</v>
      </c>
      <c r="BB1579" s="56"/>
    </row>
    <row r="1580" spans="1:54" ht="14.4" hidden="1" x14ac:dyDescent="0.3">
      <c r="A1580" s="386"/>
      <c r="B1580" s="388" t="str">
        <f>CONCATENATE(AE1580,AB1580,AC1580)</f>
        <v>Min. rate $100</v>
      </c>
      <c r="C1580" s="388" t="str">
        <f>CONCATENATE(AL1580,AB1580,AI1580)</f>
        <v xml:space="preserve"> low bid  $57200</v>
      </c>
      <c r="D1580" s="388" t="str">
        <f>CONCATENATE(AO1580,AU1580,AQ1580)</f>
        <v>10% down to start</v>
      </c>
      <c r="E1580" s="386"/>
      <c r="F1580" s="1"/>
      <c r="AB1580" s="56" t="s">
        <v>949</v>
      </c>
      <c r="AC1580" s="633">
        <v>100</v>
      </c>
      <c r="AD1580" s="527"/>
      <c r="AE1580" s="360" t="s">
        <v>950</v>
      </c>
      <c r="AI1580" s="633">
        <f>AD1579*AC1580</f>
        <v>57200</v>
      </c>
      <c r="AJ1580" s="527"/>
      <c r="AK1580" s="527"/>
      <c r="AL1580" s="56" t="s">
        <v>951</v>
      </c>
      <c r="AO1580" s="532">
        <f>$BH$297*100</f>
        <v>10</v>
      </c>
      <c r="AP1580" s="527"/>
      <c r="AQ1580" s="56" t="s">
        <v>952</v>
      </c>
      <c r="BB1580" s="56"/>
    </row>
    <row r="1581" spans="1:54" ht="14.4" hidden="1" x14ac:dyDescent="0.3">
      <c r="A1581" s="386"/>
      <c r="B1581" s="388" t="str">
        <f>CONCATENATE(AE1581,AB1581,AC1581)</f>
        <v>Max. rate $115</v>
      </c>
      <c r="C1581" s="388" t="str">
        <f>CONCATENATE(AL1581,AB1581,AI1581)</f>
        <v xml:space="preserve"> high bid  $65780</v>
      </c>
      <c r="D1581" s="388" t="str">
        <f>CONCATENATE(AQ1581,AB1581,AO1581)</f>
        <v>minimum to start:  $5720</v>
      </c>
      <c r="E1581" s="386"/>
      <c r="F1581" s="1"/>
      <c r="AB1581" s="56" t="s">
        <v>949</v>
      </c>
      <c r="AC1581" s="633">
        <v>115</v>
      </c>
      <c r="AD1581" s="527"/>
      <c r="AE1581" s="360" t="s">
        <v>953</v>
      </c>
      <c r="AI1581" s="633">
        <f>AD1579*AC1581</f>
        <v>65780</v>
      </c>
      <c r="AJ1581" s="527"/>
      <c r="AK1581" s="527"/>
      <c r="AL1581" s="56" t="s">
        <v>954</v>
      </c>
      <c r="AO1581" s="566">
        <f>AI1580*(AO1580*0.01)</f>
        <v>5720</v>
      </c>
      <c r="AP1581" s="609"/>
      <c r="AQ1581" s="56" t="s">
        <v>955</v>
      </c>
      <c r="BB1581" s="56"/>
    </row>
    <row r="1582" spans="1:54" hidden="1" x14ac:dyDescent="0.25">
      <c r="A1582" s="386"/>
      <c r="B1582" s="386"/>
      <c r="C1582" s="386"/>
      <c r="D1582" s="386"/>
      <c r="E1582" s="386"/>
      <c r="F1582" s="1"/>
      <c r="BB1582" s="56"/>
    </row>
    <row r="1583" spans="1:54" hidden="1" x14ac:dyDescent="0.25">
      <c r="A1583" s="386"/>
      <c r="B1583" s="386"/>
      <c r="C1583" s="386"/>
      <c r="D1583" s="386"/>
      <c r="E1583" s="386"/>
      <c r="F1583" s="1"/>
      <c r="BB1583" s="56"/>
    </row>
    <row r="1584" spans="1:54" hidden="1" x14ac:dyDescent="0.25">
      <c r="A1584" s="386"/>
      <c r="B1584" s="386"/>
      <c r="C1584" s="386"/>
      <c r="D1584" s="386"/>
      <c r="E1584" s="386"/>
      <c r="F1584" s="1"/>
      <c r="BB1584" s="56"/>
    </row>
    <row r="1585" spans="1:56" hidden="1" x14ac:dyDescent="0.25">
      <c r="A1585" s="386"/>
      <c r="B1585" s="386"/>
      <c r="C1585" s="386"/>
      <c r="D1585" s="386"/>
      <c r="E1585" s="386"/>
      <c r="F1585" s="1"/>
      <c r="BB1585" s="56"/>
    </row>
    <row r="1586" spans="1:56" hidden="1" x14ac:dyDescent="0.25">
      <c r="A1586" s="386"/>
      <c r="B1586" s="386"/>
      <c r="C1586" s="386"/>
      <c r="D1586" s="386"/>
      <c r="E1586" s="386"/>
      <c r="F1586" s="1"/>
      <c r="BB1586" s="56"/>
    </row>
    <row r="1587" spans="1:56" hidden="1" x14ac:dyDescent="0.25">
      <c r="A1587" s="386"/>
      <c r="B1587" s="386"/>
      <c r="C1587" s="386"/>
      <c r="D1587" s="386"/>
      <c r="E1587" s="386"/>
      <c r="F1587" s="1"/>
    </row>
    <row r="1588" spans="1:56" hidden="1" x14ac:dyDescent="0.25">
      <c r="A1588" s="386"/>
      <c r="B1588" s="386"/>
      <c r="C1588" s="386"/>
      <c r="D1588" s="386"/>
      <c r="E1588" s="386"/>
      <c r="F1588" s="1"/>
    </row>
    <row r="1589" spans="1:56" hidden="1" x14ac:dyDescent="0.25">
      <c r="A1589" s="386"/>
      <c r="B1589" s="386"/>
      <c r="C1589" s="386"/>
      <c r="D1589" s="386"/>
      <c r="E1589" s="386"/>
      <c r="F1589" s="1"/>
    </row>
    <row r="1590" spans="1:56" hidden="1" x14ac:dyDescent="0.25">
      <c r="A1590" s="386"/>
      <c r="B1590" s="386"/>
      <c r="C1590" s="386"/>
      <c r="D1590" s="386"/>
      <c r="E1590" s="386"/>
      <c r="F1590" s="1"/>
    </row>
    <row r="1591" spans="1:56" hidden="1" x14ac:dyDescent="0.25">
      <c r="A1591" s="386"/>
      <c r="B1591" s="386"/>
      <c r="C1591" s="386"/>
      <c r="D1591" s="386"/>
      <c r="E1591" s="386"/>
      <c r="F1591" s="1"/>
    </row>
    <row r="1592" spans="1:56" hidden="1" x14ac:dyDescent="0.25">
      <c r="A1592" s="386"/>
      <c r="B1592" s="386"/>
      <c r="C1592" s="386"/>
      <c r="D1592" s="386"/>
      <c r="E1592" s="386"/>
      <c r="F1592" s="1"/>
    </row>
    <row r="1593" spans="1:56" hidden="1" x14ac:dyDescent="0.25">
      <c r="A1593" s="386"/>
      <c r="B1593" s="386"/>
      <c r="C1593" s="386"/>
      <c r="D1593" s="386"/>
      <c r="E1593" s="386"/>
      <c r="F1593" s="1"/>
    </row>
    <row r="1594" spans="1:56" hidden="1" x14ac:dyDescent="0.25">
      <c r="A1594" s="386"/>
      <c r="B1594" s="386"/>
      <c r="C1594" s="386"/>
      <c r="D1594" s="386"/>
      <c r="E1594" s="386"/>
      <c r="F1594" s="1"/>
    </row>
    <row r="1595" spans="1:56" hidden="1" x14ac:dyDescent="0.25">
      <c r="A1595" s="386"/>
      <c r="B1595" s="386"/>
      <c r="C1595" s="386"/>
      <c r="D1595" s="386"/>
      <c r="E1595" s="386"/>
      <c r="F1595" s="1"/>
    </row>
    <row r="1596" spans="1:56" hidden="1" x14ac:dyDescent="0.25">
      <c r="A1596" s="386"/>
      <c r="B1596" s="386"/>
      <c r="C1596" s="386"/>
      <c r="D1596" s="386"/>
      <c r="E1596" s="386"/>
      <c r="F1596" s="1"/>
    </row>
    <row r="1597" spans="1:56" ht="30" customHeight="1" x14ac:dyDescent="0.25">
      <c r="A1597" s="46" t="s">
        <v>96</v>
      </c>
      <c r="B1597" s="46" t="s">
        <v>956</v>
      </c>
      <c r="C1597" s="46"/>
      <c r="D1597" s="45"/>
      <c r="E1597" s="45"/>
      <c r="F1597" s="475" t="s">
        <v>1541</v>
      </c>
      <c r="BB1597" s="56"/>
    </row>
    <row r="1598" spans="1:56" ht="17.399999999999999" customHeight="1" x14ac:dyDescent="0.25">
      <c r="A1598" s="48"/>
      <c r="B1598" s="531" t="s">
        <v>957</v>
      </c>
      <c r="C1598" s="531"/>
      <c r="D1598" s="531"/>
      <c r="E1598" s="531"/>
      <c r="F1598" s="108"/>
      <c r="BB1598" s="56"/>
    </row>
    <row r="1599" spans="1:56" ht="6" customHeight="1" x14ac:dyDescent="0.25">
      <c r="A1599" s="57"/>
      <c r="B1599" s="57"/>
      <c r="C1599" s="57"/>
      <c r="D1599" s="57"/>
      <c r="E1599" s="57"/>
      <c r="F1599" s="1"/>
    </row>
    <row r="1600" spans="1:56" ht="6" customHeight="1" x14ac:dyDescent="0.25">
      <c r="A1600" s="57"/>
      <c r="B1600" s="57"/>
      <c r="C1600" s="57"/>
      <c r="D1600" s="57"/>
      <c r="E1600" s="57"/>
      <c r="F1600" s="1"/>
      <c r="AC1600" s="390" t="str">
        <f>IF(B1603=AF1601,AR1601,IF(B1603=AF1602,AR1602,IF(B1603=AF1603,AR1603,IF(B1603=AF1604,AR1604,IF(B1603=AF1605,AR1605,"")))))</f>
        <v>of 0.9 million applied to various estimated rates of wrongful conviction</v>
      </c>
      <c r="AD1600" s="390"/>
      <c r="AE1600" s="390"/>
      <c r="AF1600" s="390"/>
      <c r="AG1600" s="390"/>
      <c r="AH1600" s="391"/>
      <c r="AI1600" s="391"/>
      <c r="AJ1600" s="391"/>
      <c r="AK1600" s="391"/>
      <c r="AL1600" s="390"/>
      <c r="AM1600" s="390"/>
      <c r="AN1600" s="390"/>
      <c r="AO1600" s="390"/>
      <c r="AP1600" s="390"/>
      <c r="AQ1600" s="390"/>
      <c r="AR1600" s="390"/>
      <c r="AU1600" s="56" t="s">
        <v>958</v>
      </c>
      <c r="AX1600" s="392" t="str">
        <f>IF(B1603=AF1601,AI1601,IF(B1603=AF1602,AI1602,IF(B1603=AF1603,AI1603,IF(B1603=AF1604,AI1604,IF(B1603=AF1605,AI1605,"")))))</f>
        <v>registered sex offenders</v>
      </c>
      <c r="BD1600" s="56" t="s">
        <v>959</v>
      </c>
    </row>
    <row r="1601" spans="1:84" ht="14.4" x14ac:dyDescent="0.3">
      <c r="A1601" s="57"/>
      <c r="B1601" s="393">
        <v>2783</v>
      </c>
      <c r="C1601" s="394" t="s">
        <v>960</v>
      </c>
      <c r="D1601" s="57"/>
      <c r="E1601" s="57"/>
      <c r="F1601" s="1"/>
      <c r="AC1601" s="634">
        <v>20000000</v>
      </c>
      <c r="AD1601" s="527"/>
      <c r="AE1601" s="527"/>
      <c r="AF1601" s="56" t="s">
        <v>961</v>
      </c>
      <c r="AI1601" s="56" t="s">
        <v>962</v>
      </c>
      <c r="AK1601" s="395" t="s">
        <v>963</v>
      </c>
      <c r="AL1601" s="396">
        <f>AC1601/1000000</f>
        <v>20</v>
      </c>
      <c r="AM1601" s="56" t="s">
        <v>964</v>
      </c>
      <c r="AO1601" s="397" t="s">
        <v>965</v>
      </c>
      <c r="AQ1601" s="262" t="s">
        <v>966</v>
      </c>
      <c r="AR1601" s="56" t="str">
        <f>CONCATENATE(AK1601,AL1601,AM1601,AO1601)</f>
        <v>of 20 million applied to various estimated rates of wrongful conviction</v>
      </c>
      <c r="BB1601" s="56"/>
    </row>
    <row r="1602" spans="1:84" ht="14.4" x14ac:dyDescent="0.3">
      <c r="A1602" s="57"/>
      <c r="B1602" s="57"/>
      <c r="C1602" s="57"/>
      <c r="D1602" s="57"/>
      <c r="E1602" s="57"/>
      <c r="F1602" s="1"/>
      <c r="AC1602" s="634">
        <v>9700000</v>
      </c>
      <c r="AD1602" s="527"/>
      <c r="AE1602" s="527"/>
      <c r="AF1602" s="56" t="s">
        <v>967</v>
      </c>
      <c r="AI1602" s="56" t="s">
        <v>968</v>
      </c>
      <c r="AK1602" s="395" t="s">
        <v>963</v>
      </c>
      <c r="AL1602" s="398">
        <f>AC1602/1000000</f>
        <v>9.6999999999999993</v>
      </c>
      <c r="AM1602" s="56" t="s">
        <v>964</v>
      </c>
      <c r="AO1602" s="397" t="s">
        <v>965</v>
      </c>
      <c r="AQ1602" s="262" t="s">
        <v>966</v>
      </c>
      <c r="AR1602" s="56" t="str">
        <f>CONCATENATE(AK1602,AL1602,AM1602,AO1602)</f>
        <v>of 9.7 million applied to various estimated rates of wrongful conviction</v>
      </c>
      <c r="BB1602" s="56"/>
    </row>
    <row r="1603" spans="1:84" ht="14.4" x14ac:dyDescent="0.3">
      <c r="A1603" s="57"/>
      <c r="B1603" s="399" t="s">
        <v>969</v>
      </c>
      <c r="C1603" s="394" t="str">
        <f>AC1600</f>
        <v>of 0.9 million applied to various estimated rates of wrongful conviction</v>
      </c>
      <c r="D1603" s="57"/>
      <c r="E1603" s="57"/>
      <c r="F1603" s="1"/>
      <c r="AC1603" s="634">
        <v>6900000</v>
      </c>
      <c r="AD1603" s="527"/>
      <c r="AE1603" s="527"/>
      <c r="AF1603" s="56" t="s">
        <v>970</v>
      </c>
      <c r="AI1603" s="56" t="s">
        <v>971</v>
      </c>
      <c r="AK1603" s="395" t="s">
        <v>963</v>
      </c>
      <c r="AL1603" s="398">
        <f>AC1603/1000000</f>
        <v>6.9</v>
      </c>
      <c r="AM1603" s="56" t="s">
        <v>964</v>
      </c>
      <c r="AO1603" s="397" t="s">
        <v>965</v>
      </c>
      <c r="AQ1603" s="262" t="s">
        <v>966</v>
      </c>
      <c r="AR1603" s="56" t="str">
        <f>CONCATENATE(AK1603,AL1603,AM1603,AO1603)</f>
        <v>of 6.9 million applied to various estimated rates of wrongful conviction</v>
      </c>
      <c r="BB1603" s="56"/>
    </row>
    <row r="1604" spans="1:84" ht="14.4" x14ac:dyDescent="0.3">
      <c r="A1604" s="57"/>
      <c r="B1604" s="57"/>
      <c r="C1604" s="57"/>
      <c r="D1604" s="57"/>
      <c r="E1604" s="57"/>
      <c r="F1604" s="1"/>
      <c r="AC1604" s="634">
        <v>2200000</v>
      </c>
      <c r="AD1604" s="527"/>
      <c r="AE1604" s="527"/>
      <c r="AF1604" s="56" t="s">
        <v>972</v>
      </c>
      <c r="AI1604" s="56" t="s">
        <v>973</v>
      </c>
      <c r="AK1604" s="395" t="s">
        <v>963</v>
      </c>
      <c r="AL1604" s="398">
        <f>AC1604/1000000</f>
        <v>2.2000000000000002</v>
      </c>
      <c r="AM1604" s="56" t="s">
        <v>964</v>
      </c>
      <c r="AO1604" s="397" t="s">
        <v>965</v>
      </c>
      <c r="AQ1604" s="262" t="s">
        <v>966</v>
      </c>
      <c r="AR1604" s="56" t="str">
        <f>CONCATENATE(AK1604,AL1604,AM1604,AO1604)</f>
        <v>of 2.2 million applied to various estimated rates of wrongful conviction</v>
      </c>
      <c r="BB1604" s="56"/>
    </row>
    <row r="1605" spans="1:84" ht="14.4" x14ac:dyDescent="0.3">
      <c r="A1605" s="57"/>
      <c r="B1605" s="57" t="s">
        <v>974</v>
      </c>
      <c r="C1605" s="57"/>
      <c r="D1605" s="57"/>
      <c r="E1605" s="57"/>
      <c r="F1605" s="1"/>
      <c r="AC1605" s="635">
        <v>917771</v>
      </c>
      <c r="AD1605" s="636"/>
      <c r="AE1605" s="636"/>
      <c r="AF1605" s="56" t="s">
        <v>969</v>
      </c>
      <c r="AI1605" s="56" t="s">
        <v>975</v>
      </c>
      <c r="AK1605" s="395" t="s">
        <v>963</v>
      </c>
      <c r="AL1605" s="398">
        <f>AC1605/1000000</f>
        <v>0.917771</v>
      </c>
      <c r="AM1605" s="56" t="s">
        <v>964</v>
      </c>
      <c r="AO1605" s="397" t="s">
        <v>965</v>
      </c>
      <c r="AQ1605" s="262">
        <v>0.9</v>
      </c>
      <c r="AR1605" s="56" t="str">
        <f>CONCATENATE(AK1605,AQ1605,AM1605,AO1605)</f>
        <v>of 0.9 million applied to various estimated rates of wrongful conviction</v>
      </c>
      <c r="BB1605" s="56"/>
    </row>
    <row r="1606" spans="1:84" x14ac:dyDescent="0.25">
      <c r="A1606" s="57"/>
      <c r="B1606" s="57"/>
      <c r="C1606" s="57"/>
      <c r="D1606" s="57"/>
      <c r="E1606" s="57"/>
      <c r="F1606" s="1"/>
    </row>
    <row r="1607" spans="1:84" ht="14.4" x14ac:dyDescent="0.3">
      <c r="A1607" s="400">
        <v>1</v>
      </c>
      <c r="B1607" s="401" t="str">
        <f>AM1607</f>
        <v>0.0016% to 1.95%</v>
      </c>
      <c r="C1607" s="637" t="str">
        <f>BO1607</f>
        <v>applied to registered sex offenders totals 15 to 17,897. This represents over 100% to 7.31% cleared cases.</v>
      </c>
      <c r="D1607" s="637"/>
      <c r="E1607" s="57"/>
      <c r="F1607" s="1"/>
      <c r="AC1607" s="638">
        <v>1.5999999999999999E-5</v>
      </c>
      <c r="AD1607" s="639"/>
      <c r="AE1607" s="640">
        <v>1.95E-2</v>
      </c>
      <c r="AF1607" s="641"/>
      <c r="AH1607" s="646" t="str">
        <f>TEXT(AC1607,"0.0000%")</f>
        <v>0.0016%</v>
      </c>
      <c r="AI1607" s="609"/>
      <c r="AJ1607" s="646" t="str">
        <f>TEXT(AE1607,"0.00%")</f>
        <v>1.95%</v>
      </c>
      <c r="AK1607" s="609"/>
      <c r="AM1607" s="56" t="str">
        <f>CONCATENATE(AH1607," to ",AJ1607)</f>
        <v>0.0016% to 1.95%</v>
      </c>
      <c r="AR1607" s="56" t="str">
        <f>CONCATENATE($AU$1600,$AX$1600,$BD$1600,$BF$1600)</f>
        <v xml:space="preserve">applied to registered sex offenders totals </v>
      </c>
      <c r="BB1607" s="411">
        <f>ROUND(BB1608,0)</f>
        <v>15</v>
      </c>
      <c r="BC1607" s="56" t="s">
        <v>976</v>
      </c>
      <c r="BD1607" s="634" t="str">
        <f>TEXT(ROUND(BD1608,0),"00,000")</f>
        <v>17,897</v>
      </c>
      <c r="BE1607" s="647"/>
      <c r="BF1607" s="647"/>
      <c r="BG1607" s="56" t="s">
        <v>977</v>
      </c>
      <c r="BH1607" s="403" t="str">
        <f>IF($B$1601&gt;BB1607,"over 100%",TEXT($B$1601/BB1607,"00.00%"))</f>
        <v>over 100%</v>
      </c>
      <c r="BI1607" s="56" t="s">
        <v>976</v>
      </c>
      <c r="BJ1607" s="403" t="str">
        <f>IF(B1603=AF1605,TEXT(($B$1601*0.47)/BD1607,"0.00%"),TEXT($B$1601/BD1607,"0.00%"))</f>
        <v>7.31%</v>
      </c>
      <c r="BK1607" s="56" t="s">
        <v>978</v>
      </c>
      <c r="BO1607" s="390" t="str">
        <f>CONCATENATE(AR1607,BB1607,BC1607,BD1607,BG1607,BH1607,BI1607,BJ1607,BK1607)</f>
        <v>applied to registered sex offenders totals 15 to 17,897. This represents over 100% to 7.31% cleared cases.</v>
      </c>
      <c r="BP1607" s="390"/>
      <c r="BQ1607" s="390"/>
      <c r="BR1607" s="390"/>
      <c r="BS1607" s="390"/>
      <c r="BT1607" s="390"/>
      <c r="BU1607" s="390"/>
      <c r="BV1607" s="390"/>
      <c r="BW1607" s="390"/>
      <c r="BX1607" s="390"/>
      <c r="BY1607" s="390"/>
      <c r="BZ1607" s="390"/>
      <c r="CA1607" s="390"/>
      <c r="CB1607" s="390"/>
      <c r="CC1607" s="390"/>
      <c r="CD1607" s="390"/>
      <c r="CE1607" s="390"/>
      <c r="CF1607" s="390"/>
    </row>
    <row r="1608" spans="1:84" ht="14.4" x14ac:dyDescent="0.3">
      <c r="A1608" s="400"/>
      <c r="B1608" s="404" t="s">
        <v>979</v>
      </c>
      <c r="C1608" s="637"/>
      <c r="D1608" s="637"/>
      <c r="E1608" s="57"/>
      <c r="F1608" s="1"/>
      <c r="BB1608" s="16">
        <f>IF($B$1603=$AF$1601,AC$1601*AC1607,IF($B$1603=$AF$1602,AC1607*AC$1602,IF($B$1603=$AF$1603,AC1607*AC$1603,IF($B$1603=$AF$1604,AC1607*AC$1604,IF($B$1603=$AF$1605,AC1607*AC$1605,"")))))</f>
        <v>14.684336</v>
      </c>
      <c r="BD1608" s="642">
        <f>IF($B$1603=$AF$1601,AC$1601*AE1607,IF($B$1603=$AF$1602,AE1607*AC$1602,IF($B$1603=$AF$1603,AE1607*AC$1603,IF($B$1603=$AF$1604,AE1607*AC$1604,IF($B$1603=$AF$1605,AE1607*AC$1605,"")))))</f>
        <v>17896.534500000002</v>
      </c>
      <c r="BE1608" s="643"/>
      <c r="BF1608" s="643"/>
    </row>
    <row r="1609" spans="1:84" ht="9" customHeight="1" x14ac:dyDescent="0.3">
      <c r="A1609" s="400"/>
      <c r="B1609" s="405"/>
      <c r="C1609" s="405"/>
      <c r="D1609" s="405"/>
      <c r="E1609" s="57"/>
      <c r="F1609" s="1"/>
      <c r="BD1609" s="16"/>
      <c r="BE1609" s="80"/>
      <c r="BF1609" s="80"/>
    </row>
    <row r="1610" spans="1:84" ht="14.4" x14ac:dyDescent="0.3">
      <c r="A1610" s="400">
        <v>2</v>
      </c>
      <c r="B1610" s="401" t="str">
        <f>AM1610</f>
        <v>0.016% to 0.062%</v>
      </c>
      <c r="C1610" s="637" t="str">
        <f>BO1610</f>
        <v>applied to registered sex offenders totals 147 to 569. This represents over 100% to over 100% cleared cases.</v>
      </c>
      <c r="D1610" s="637"/>
      <c r="E1610" s="57"/>
      <c r="F1610" s="1"/>
      <c r="AC1610" s="644">
        <v>1.6000000000000001E-4</v>
      </c>
      <c r="AD1610" s="645"/>
      <c r="AE1610" s="640">
        <v>6.2E-4</v>
      </c>
      <c r="AF1610" s="641"/>
      <c r="AH1610" s="646" t="str">
        <f>TEXT(AC1610,"0.000%")</f>
        <v>0.016%</v>
      </c>
      <c r="AI1610" s="609"/>
      <c r="AJ1610" s="646" t="str">
        <f>TEXT(AE1610,"0.000%")</f>
        <v>0.062%</v>
      </c>
      <c r="AK1610" s="609"/>
      <c r="AM1610" s="56" t="str">
        <f>CONCATENATE(AH1610," to ",AJ1610)</f>
        <v>0.016% to 0.062%</v>
      </c>
      <c r="AR1610" s="56" t="str">
        <f>CONCATENATE($AU$1600,$AX$1600,$BD$1600,$BF$1600)</f>
        <v xml:space="preserve">applied to registered sex offenders totals </v>
      </c>
      <c r="BB1610" s="411">
        <f>ROUND(BB1611,0)</f>
        <v>147</v>
      </c>
      <c r="BC1610" s="56" t="s">
        <v>976</v>
      </c>
      <c r="BD1610" s="650" t="str">
        <f>IF(BD1611&lt;1000,TEXT(BD1611,"000"),TEXT(ROUND(BD1611,0),"0,000"))</f>
        <v>569</v>
      </c>
      <c r="BE1610" s="651"/>
      <c r="BF1610" s="651"/>
      <c r="BG1610" s="56" t="s">
        <v>977</v>
      </c>
      <c r="BH1610" s="403" t="str">
        <f>IF($B$1601&gt;BB1610,"over 100%",TEXT($B$1601/BB1610,"00.00%"))</f>
        <v>over 100%</v>
      </c>
      <c r="BI1610" s="56" t="s">
        <v>976</v>
      </c>
      <c r="BJ1610" s="403" t="str">
        <f>IF(B1601&gt;BD1611,"over 100%",TEXT($B$1601/BD1610,"0.00%"))</f>
        <v>over 100%</v>
      </c>
      <c r="BK1610" s="56" t="s">
        <v>978</v>
      </c>
      <c r="BO1610" s="390" t="str">
        <f>CONCATENATE(AR1610,BB1610,BC1610,BD1610,BG1610,BH1610,BI1610,BJ1610,BK1610)</f>
        <v>applied to registered sex offenders totals 147 to 569. This represents over 100% to over 100% cleared cases.</v>
      </c>
      <c r="BP1610" s="390"/>
      <c r="BQ1610" s="390"/>
      <c r="BR1610" s="390"/>
      <c r="BS1610" s="390"/>
      <c r="BT1610" s="390"/>
      <c r="BU1610" s="390"/>
      <c r="BV1610" s="390"/>
      <c r="BW1610" s="390"/>
      <c r="BX1610" s="390"/>
      <c r="BY1610" s="390"/>
      <c r="BZ1610" s="390"/>
      <c r="CA1610" s="390"/>
      <c r="CB1610" s="390"/>
      <c r="CC1610" s="390"/>
      <c r="CD1610" s="390"/>
      <c r="CE1610" s="390"/>
      <c r="CF1610" s="390"/>
    </row>
    <row r="1611" spans="1:84" ht="14.4" x14ac:dyDescent="0.3">
      <c r="A1611" s="404"/>
      <c r="B1611" s="404" t="s">
        <v>980</v>
      </c>
      <c r="C1611" s="637"/>
      <c r="D1611" s="637"/>
      <c r="E1611" s="404"/>
      <c r="F1611" s="1"/>
      <c r="BB1611" s="406">
        <f>IF($B$1603=$AF$1601,AC$1601*AC1610,IF($B$1603=$AF$1602,AC1610*AC$1602,IF($B$1603=$AF$1603,AC1610*AC$1603,IF($B$1603=$AF$1604,AC1610*AC$1604,IF($B$1603=$AF$1605,AC1610*AC$1605,"")))))</f>
        <v>146.84336000000002</v>
      </c>
      <c r="BD1611" s="642">
        <f>IF($B$1603=$AF$1601,AC$1601*AE1610,IF($B$1603=$AF$1602,AE1610*AC$1602,IF($B$1603=$AF$1603,AE1610*AC$1603,IF($B$1603=$AF$1604,AE1610*AC$1604,IF($B$1603=$AF$1605,AE1610*AC$1605,"")))))</f>
        <v>569.01801999999998</v>
      </c>
      <c r="BE1611" s="643"/>
      <c r="BF1611" s="643"/>
    </row>
    <row r="1612" spans="1:84" ht="9" customHeight="1" x14ac:dyDescent="0.3">
      <c r="A1612" s="400"/>
      <c r="B1612" s="57"/>
      <c r="C1612" s="57"/>
      <c r="D1612" s="57"/>
      <c r="E1612" s="57"/>
      <c r="F1612" s="1"/>
      <c r="BD1612" s="16"/>
      <c r="BE1612" s="80"/>
      <c r="BF1612" s="80"/>
    </row>
    <row r="1613" spans="1:84" ht="14.4" x14ac:dyDescent="0.3">
      <c r="A1613" s="400">
        <v>3</v>
      </c>
      <c r="B1613" s="401" t="str">
        <f>AM1613</f>
        <v>0.027%</v>
      </c>
      <c r="C1613" s="637" t="str">
        <f>BO1613</f>
        <v>applied to registered sex offenders totals 248. This represents over 100% cleared cases.</v>
      </c>
      <c r="D1613" s="637"/>
      <c r="E1613" s="57"/>
      <c r="F1613" s="1"/>
      <c r="AC1613" s="644">
        <v>2.7E-4</v>
      </c>
      <c r="AD1613" s="645"/>
      <c r="AH1613" s="646" t="str">
        <f>TEXT(AC1613,"0.000%")</f>
        <v>0.027%</v>
      </c>
      <c r="AI1613" s="609"/>
      <c r="AM1613" s="56" t="str">
        <f>CONCATENATE(AH1613,AJ1613)</f>
        <v>0.027%</v>
      </c>
      <c r="AR1613" s="56" t="str">
        <f>CONCATENATE($AU$1600,$AX$1600,$BD$1600,$BF$1600)</f>
        <v xml:space="preserve">applied to registered sex offenders totals </v>
      </c>
      <c r="BB1613" s="411">
        <f>ROUND(BB1614,0)</f>
        <v>248</v>
      </c>
      <c r="BD1613" s="634"/>
      <c r="BE1613" s="647"/>
      <c r="BF1613" s="647"/>
      <c r="BG1613" s="56" t="s">
        <v>977</v>
      </c>
      <c r="BH1613" s="403" t="str">
        <f>IF($B$1601&gt;BB1613,"over 100%",TEXT($B$1601/BB1613,"00.00%"))</f>
        <v>over 100%</v>
      </c>
      <c r="BJ1613" s="403"/>
      <c r="BK1613" s="56" t="s">
        <v>978</v>
      </c>
      <c r="BO1613" s="390" t="str">
        <f>CONCATENATE(AR1613,BB1613,BC1613,BD1613,BG1613,BH1613,BI1613,BJ1613,BK1613)</f>
        <v>applied to registered sex offenders totals 248. This represents over 100% cleared cases.</v>
      </c>
      <c r="BP1613" s="390"/>
      <c r="BQ1613" s="390"/>
      <c r="BR1613" s="390"/>
      <c r="BS1613" s="390"/>
      <c r="BT1613" s="390"/>
      <c r="BU1613" s="390"/>
      <c r="BV1613" s="390"/>
      <c r="BW1613" s="390"/>
      <c r="BX1613" s="390"/>
      <c r="BY1613" s="390"/>
      <c r="BZ1613" s="390"/>
      <c r="CA1613" s="390"/>
      <c r="CB1613" s="390"/>
      <c r="CC1613" s="390"/>
      <c r="CD1613" s="390"/>
      <c r="CE1613" s="390"/>
      <c r="CF1613" s="390"/>
    </row>
    <row r="1614" spans="1:84" ht="14.4" x14ac:dyDescent="0.3">
      <c r="A1614" s="404"/>
      <c r="B1614" s="404" t="s">
        <v>981</v>
      </c>
      <c r="C1614" s="637"/>
      <c r="D1614" s="637"/>
      <c r="E1614" s="57"/>
      <c r="F1614" s="1"/>
      <c r="AC1614" s="407"/>
      <c r="AD1614" s="408"/>
      <c r="AH1614" s="409"/>
      <c r="AI1614" s="410"/>
      <c r="BB1614" s="406">
        <f>IF($B$1603=$AF$1601,AC$1601*AC1613,IF($B$1603=$AF$1602,AC1613*AC$1602,IF($B$1603=$AF$1603,AC1613*AC$1603,IF($B$1603=$AF$1604,AC1613*AC$1604,IF($B$1603=$AF$1605,AC1613*AC$1605,"")))))</f>
        <v>247.79817</v>
      </c>
      <c r="BD1614" s="648"/>
      <c r="BE1614" s="649"/>
      <c r="BF1614" s="649"/>
    </row>
    <row r="1615" spans="1:84" ht="9" customHeight="1" x14ac:dyDescent="0.25">
      <c r="A1615" s="400"/>
      <c r="B1615" s="57"/>
      <c r="C1615" s="57"/>
      <c r="D1615" s="57"/>
      <c r="E1615" s="57"/>
      <c r="F1615" s="1"/>
    </row>
    <row r="1616" spans="1:84" ht="14.4" x14ac:dyDescent="0.3">
      <c r="A1616" s="400">
        <v>4</v>
      </c>
      <c r="B1616" s="401" t="str">
        <f>AM1616</f>
        <v>0.5% to 1%</v>
      </c>
      <c r="C1616" s="637" t="str">
        <f>BO1616</f>
        <v>applied to registered sex offenders totals 04,589 to 09,178. This represents 60.65% to over 100% cleared cases.</v>
      </c>
      <c r="D1616" s="637"/>
      <c r="E1616" s="57"/>
      <c r="F1616" s="1"/>
      <c r="AC1616" s="412">
        <v>5.0000000000000001E-3</v>
      </c>
      <c r="AD1616" s="154"/>
      <c r="AE1616" s="412">
        <v>0.01</v>
      </c>
      <c r="AH1616" s="646" t="str">
        <f>TEXT(AC1616,"0.0%")</f>
        <v>0.5%</v>
      </c>
      <c r="AI1616" s="609"/>
      <c r="AJ1616" s="646" t="str">
        <f>TEXT(AE1616,"0%")</f>
        <v>1%</v>
      </c>
      <c r="AK1616" s="609"/>
      <c r="AM1616" s="56" t="str">
        <f>CONCATENATE(AH1616," to ",AJ1616)</f>
        <v>0.5% to 1%</v>
      </c>
      <c r="AR1616" s="56" t="str">
        <f>CONCATENATE($AU$1600,$AX$1600,$BD$1600,$BF$1600)</f>
        <v xml:space="preserve">applied to registered sex offenders totals </v>
      </c>
      <c r="BB1616" s="411" t="str">
        <f>TEXT(BB1617,"00,000")</f>
        <v>04,589</v>
      </c>
      <c r="BC1616" s="56" t="s">
        <v>976</v>
      </c>
      <c r="BD1616" s="634" t="str">
        <f>TEXT(ROUND(BD1617,0),"00,000")</f>
        <v>09,178</v>
      </c>
      <c r="BE1616" s="647"/>
      <c r="BF1616" s="647"/>
      <c r="BG1616" s="56" t="s">
        <v>977</v>
      </c>
      <c r="BH1616" s="403" t="str">
        <f>IF($B$1601&gt;BB1616,"over 100%",TEXT($B$1601/BB1616,"00.00%"))</f>
        <v>60.65%</v>
      </c>
      <c r="BI1616" s="56" t="s">
        <v>976</v>
      </c>
      <c r="BJ1616" s="403" t="str">
        <f>IF(B1607&gt;BD1617,"over 100%",TEXT($B$1601/BD1616,"0.00%"))</f>
        <v>over 100%</v>
      </c>
      <c r="BK1616" s="56" t="s">
        <v>978</v>
      </c>
      <c r="BO1616" s="390" t="str">
        <f>CONCATENATE(AR1616,BB1616,BC1616,BD1616,BG1616,BH1616,BI1616,BJ1616,BK1616)</f>
        <v>applied to registered sex offenders totals 04,589 to 09,178. This represents 60.65% to over 100% cleared cases.</v>
      </c>
      <c r="BP1616" s="390"/>
      <c r="BQ1616" s="390"/>
      <c r="BR1616" s="390"/>
      <c r="BS1616" s="390"/>
      <c r="BT1616" s="390"/>
      <c r="BU1616" s="390"/>
      <c r="BV1616" s="390"/>
      <c r="BW1616" s="390"/>
      <c r="BX1616" s="390"/>
      <c r="BY1616" s="390"/>
      <c r="BZ1616" s="390"/>
      <c r="CA1616" s="390"/>
      <c r="CB1616" s="390"/>
      <c r="CC1616" s="390"/>
      <c r="CD1616" s="390"/>
      <c r="CE1616" s="390"/>
      <c r="CF1616" s="390"/>
    </row>
    <row r="1617" spans="1:84" ht="14.4" x14ac:dyDescent="0.3">
      <c r="A1617" s="404"/>
      <c r="B1617" s="404" t="s">
        <v>982</v>
      </c>
      <c r="C1617" s="637"/>
      <c r="D1617" s="637"/>
      <c r="E1617" s="57"/>
      <c r="F1617" s="1"/>
      <c r="AE1617" s="412"/>
      <c r="AH1617" s="409"/>
      <c r="AI1617" s="410"/>
      <c r="BB1617" s="406">
        <f>IF($B$1603=$AF$1601,AC$1601*AC1616,IF($B$1603=$AF$1602,AC1616*AC$1602,IF($B$1603=$AF$1603,AC1616*AC$1603,IF($B$1603=$AF$1604,AC1616*AC$1604,IF($B$1603=$AF$1605,AC1616*AC$1605,"")))))</f>
        <v>4588.8550000000005</v>
      </c>
      <c r="BD1617" s="642">
        <f>IF($B$1603=$AF$1601,AC$1601*AE1616,IF($B$1603=$AF$1602,AE1616*AC$1602,IF($B$1603=$AF$1603,AE1616*AC$1603,IF($B$1603=$AF$1604,AE1616*AC$1604,IF($B$1603=$AF$1605,AE1616*AC$1605,"")))))</f>
        <v>9177.7100000000009</v>
      </c>
      <c r="BE1617" s="643"/>
      <c r="BF1617" s="643"/>
    </row>
    <row r="1618" spans="1:84" ht="9" customHeight="1" x14ac:dyDescent="0.25">
      <c r="A1618" s="400"/>
      <c r="B1618" s="57"/>
      <c r="C1618" s="57"/>
      <c r="D1618" s="57"/>
      <c r="E1618" s="57"/>
      <c r="F1618" s="1"/>
      <c r="AE1618" s="412"/>
    </row>
    <row r="1619" spans="1:84" ht="14.4" x14ac:dyDescent="0.3">
      <c r="A1619" s="400">
        <v>5</v>
      </c>
      <c r="B1619" s="401" t="str">
        <f>AM1619</f>
        <v>0.5% to 3%</v>
      </c>
      <c r="C1619" s="637" t="str">
        <f>BO1619</f>
        <v>applied to registered sex offenders totals 04,589 to 27,533. This represents 60.65% to over 100% cleared cases.</v>
      </c>
      <c r="D1619" s="637"/>
      <c r="E1619" s="57"/>
      <c r="F1619" s="1"/>
      <c r="AC1619" s="412">
        <v>5.0000000000000001E-3</v>
      </c>
      <c r="AE1619" s="412">
        <v>0.03</v>
      </c>
      <c r="AH1619" s="646" t="str">
        <f>TEXT(AC1619,"0.0%")</f>
        <v>0.5%</v>
      </c>
      <c r="AI1619" s="609"/>
      <c r="AJ1619" s="646" t="str">
        <f>TEXT(AE1619,"0%")</f>
        <v>3%</v>
      </c>
      <c r="AK1619" s="609"/>
      <c r="AM1619" s="56" t="str">
        <f>CONCATENATE(AH1619," to ",AJ1619)</f>
        <v>0.5% to 3%</v>
      </c>
      <c r="AR1619" s="56" t="str">
        <f>CONCATENATE($AU$1600,$AX$1600,$BD$1600,$BF$1600)</f>
        <v xml:space="preserve">applied to registered sex offenders totals </v>
      </c>
      <c r="BB1619" s="411" t="str">
        <f>TEXT(BB1620,"00,000")</f>
        <v>04,589</v>
      </c>
      <c r="BC1619" s="56" t="s">
        <v>976</v>
      </c>
      <c r="BD1619" s="634" t="str">
        <f>TEXT(ROUND(BD1620,0),"00,000")</f>
        <v>27,533</v>
      </c>
      <c r="BE1619" s="647"/>
      <c r="BF1619" s="647"/>
      <c r="BG1619" s="56" t="s">
        <v>977</v>
      </c>
      <c r="BH1619" s="403" t="str">
        <f>IF($B$1601&gt;BB1619,"over 100%",TEXT($B$1601/BB1619,"00.00%"))</f>
        <v>60.65%</v>
      </c>
      <c r="BI1619" s="56" t="s">
        <v>976</v>
      </c>
      <c r="BJ1619" s="403" t="str">
        <f>IF(B1610&gt;BD1620,"over 100%",TEXT($B$1601/BD1619,"0.00%"))</f>
        <v>over 100%</v>
      </c>
      <c r="BK1619" s="56" t="s">
        <v>978</v>
      </c>
      <c r="BO1619" s="390" t="str">
        <f>CONCATENATE(AR1619,BB1619,BC1619,BD1619,BG1619,BH1619,BI1619,BJ1619,BK1619)</f>
        <v>applied to registered sex offenders totals 04,589 to 27,533. This represents 60.65% to over 100% cleared cases.</v>
      </c>
      <c r="BP1619" s="390"/>
      <c r="BQ1619" s="390"/>
      <c r="BR1619" s="390"/>
      <c r="BS1619" s="390"/>
      <c r="BT1619" s="390"/>
      <c r="BU1619" s="390"/>
      <c r="BV1619" s="390"/>
      <c r="BW1619" s="390"/>
      <c r="BX1619" s="390"/>
      <c r="BY1619" s="390"/>
      <c r="BZ1619" s="390"/>
      <c r="CA1619" s="390"/>
      <c r="CB1619" s="390"/>
      <c r="CC1619" s="390"/>
      <c r="CD1619" s="390"/>
      <c r="CE1619" s="390"/>
      <c r="CF1619" s="390"/>
    </row>
    <row r="1620" spans="1:84" ht="14.4" x14ac:dyDescent="0.3">
      <c r="A1620" s="404"/>
      <c r="B1620" s="404" t="s">
        <v>983</v>
      </c>
      <c r="C1620" s="637"/>
      <c r="D1620" s="637"/>
      <c r="E1620" s="57"/>
      <c r="F1620" s="1"/>
      <c r="AC1620" s="412"/>
      <c r="AE1620" s="412"/>
      <c r="AH1620" s="409"/>
      <c r="AI1620" s="410"/>
      <c r="BB1620" s="406">
        <f>IF($B$1603=$AF$1601,AC$1601*AC1619,IF($B$1603=$AF$1602,AC1619*AC$1602,IF($B$1603=$AF$1603,AC1619*AC$1603,IF($B$1603=$AF$1604,AC1619*AC$1604,IF($B$1603=$AF$1605,AC1619*AC$1605,"")))))</f>
        <v>4588.8550000000005</v>
      </c>
      <c r="BD1620" s="642">
        <f>IF($B$1603=$AF$1601,AC$1601*AE1619,IF($B$1603=$AF$1602,AE1619*AC$1602,IF($B$1603=$AF$1603,AE1619*AC$1603,IF($B$1603=$AF$1604,AE1619*AC$1604,IF($B$1603=$AF$1605,AE1619*AC$1605,"")))))</f>
        <v>27533.129999999997</v>
      </c>
      <c r="BE1620" s="643"/>
      <c r="BF1620" s="643"/>
    </row>
    <row r="1621" spans="1:84" ht="9" customHeight="1" x14ac:dyDescent="0.25">
      <c r="A1621" s="400"/>
      <c r="B1621" s="57"/>
      <c r="C1621" s="57"/>
      <c r="D1621" s="57"/>
      <c r="E1621" s="57"/>
      <c r="F1621" s="1"/>
      <c r="AC1621" s="412"/>
      <c r="AE1621" s="412"/>
    </row>
    <row r="1622" spans="1:84" ht="14.4" x14ac:dyDescent="0.3">
      <c r="A1622" s="400">
        <v>6</v>
      </c>
      <c r="B1622" s="401" t="str">
        <f>AM1622</f>
        <v>2.3%</v>
      </c>
      <c r="C1622" s="637" t="str">
        <f>BO1622</f>
        <v>applied to registered sex offenders totals 21,109. This represents 13.18% cleared cases.</v>
      </c>
      <c r="D1622" s="637"/>
      <c r="E1622" s="57"/>
      <c r="F1622" s="1"/>
      <c r="AC1622" s="412">
        <v>2.3E-2</v>
      </c>
      <c r="AE1622" s="412"/>
      <c r="AH1622" s="646" t="str">
        <f>TEXT(AC1622,"0.0%")</f>
        <v>2.3%</v>
      </c>
      <c r="AI1622" s="609"/>
      <c r="AM1622" s="56" t="str">
        <f>CONCATENATE(AH1622,AJ1622)</f>
        <v>2.3%</v>
      </c>
      <c r="AR1622" s="56" t="str">
        <f>CONCATENATE($AU$1600,$AX$1600,$BD$1600,$BF$1600)</f>
        <v xml:space="preserve">applied to registered sex offenders totals </v>
      </c>
      <c r="BB1622" s="411" t="str">
        <f>TEXT(BB1623,"00,000")</f>
        <v>21,109</v>
      </c>
      <c r="BG1622" s="56" t="s">
        <v>977</v>
      </c>
      <c r="BH1622" s="403" t="str">
        <f>IF($B$1601&gt;BB1622,"over 100%",TEXT($B$1601/BB1622,"0.00%"))</f>
        <v>13.18%</v>
      </c>
      <c r="BK1622" s="56" t="s">
        <v>978</v>
      </c>
      <c r="BO1622" s="390" t="str">
        <f>CONCATENATE(AR1622,BB1622,BC1622,BD1622,BG1622,BH1622,BI1622,BJ1622,BK1622)</f>
        <v>applied to registered sex offenders totals 21,109. This represents 13.18% cleared cases.</v>
      </c>
      <c r="BP1622" s="390"/>
      <c r="BQ1622" s="390"/>
      <c r="BR1622" s="390"/>
      <c r="BS1622" s="390"/>
      <c r="BT1622" s="390"/>
      <c r="BU1622" s="390"/>
      <c r="BV1622" s="390"/>
      <c r="BW1622" s="390"/>
      <c r="BX1622" s="390"/>
      <c r="BY1622" s="390"/>
      <c r="BZ1622" s="390"/>
      <c r="CA1622" s="390"/>
      <c r="CB1622" s="390"/>
      <c r="CC1622" s="390"/>
      <c r="CD1622" s="390"/>
      <c r="CE1622" s="390"/>
      <c r="CF1622" s="390"/>
    </row>
    <row r="1623" spans="1:84" ht="14.4" x14ac:dyDescent="0.3">
      <c r="A1623" s="404"/>
      <c r="B1623" s="404" t="s">
        <v>984</v>
      </c>
      <c r="C1623" s="637"/>
      <c r="D1623" s="637"/>
      <c r="E1623" s="57"/>
      <c r="F1623" s="1"/>
      <c r="AC1623" s="412"/>
      <c r="AE1623" s="412"/>
      <c r="AH1623" s="409"/>
      <c r="AI1623" s="410"/>
      <c r="BB1623" s="406">
        <f>IF($B$1603=$AF$1601,AC$1601*AC1622,IF($B$1603=$AF$1602,AC1622*AC$1602,IF($B$1603=$AF$1603,AC1622*AC$1603,IF($B$1603=$AF$1604,AC1622*AC$1604,IF($B$1603=$AF$1605,AC1622*AC$1605,"")))))</f>
        <v>21108.733</v>
      </c>
    </row>
    <row r="1624" spans="1:84" ht="9" customHeight="1" x14ac:dyDescent="0.25">
      <c r="A1624" s="400"/>
      <c r="B1624" s="57"/>
      <c r="C1624" s="57"/>
      <c r="D1624" s="57"/>
      <c r="E1624" s="57"/>
      <c r="F1624" s="1"/>
      <c r="AC1624" s="412"/>
      <c r="AE1624" s="412"/>
    </row>
    <row r="1625" spans="1:84" ht="14.4" x14ac:dyDescent="0.3">
      <c r="A1625" s="400">
        <v>7</v>
      </c>
      <c r="B1625" s="401" t="str">
        <f>AM1625</f>
        <v>3.3% to 5.0%</v>
      </c>
      <c r="C1625" s="637" t="str">
        <f>BO1625</f>
        <v>applied to registered sex offenders totals 30,286 to 45,889. This represents 9.19% to 6.06% cleared cases.</v>
      </c>
      <c r="D1625" s="637"/>
      <c r="E1625" s="57"/>
      <c r="F1625" s="1"/>
      <c r="AC1625" s="412">
        <v>3.3000000000000002E-2</v>
      </c>
      <c r="AE1625" s="412">
        <v>0.05</v>
      </c>
      <c r="AH1625" s="646" t="str">
        <f>TEXT(AC1625,"0.0%")</f>
        <v>3.3%</v>
      </c>
      <c r="AI1625" s="609"/>
      <c r="AJ1625" s="646" t="str">
        <f>TEXT(AE1625,"0.0%")</f>
        <v>5.0%</v>
      </c>
      <c r="AK1625" s="609"/>
      <c r="AM1625" s="56" t="str">
        <f>CONCATENATE(AH1625," to ",AJ1625)</f>
        <v>3.3% to 5.0%</v>
      </c>
      <c r="AR1625" s="56" t="str">
        <f>CONCATENATE($AU$1600,$AX$1600,$BD$1600,$BF$1600)</f>
        <v xml:space="preserve">applied to registered sex offenders totals </v>
      </c>
      <c r="BB1625" s="411" t="str">
        <f>TEXT(BB1626,"00,000")</f>
        <v>30,286</v>
      </c>
      <c r="BC1625" s="56" t="s">
        <v>976</v>
      </c>
      <c r="BD1625" s="634" t="str">
        <f>TEXT(ROUND(BD1626,0),"00,000")</f>
        <v>45,889</v>
      </c>
      <c r="BE1625" s="647"/>
      <c r="BF1625" s="647"/>
      <c r="BG1625" s="56" t="s">
        <v>977</v>
      </c>
      <c r="BH1625" s="403" t="str">
        <f>IF($B$1601&gt;BB1625,"over 100%",TEXT($B$1601/BB1625,"0.00%"))</f>
        <v>9.19%</v>
      </c>
      <c r="BI1625" s="56" t="s">
        <v>976</v>
      </c>
      <c r="BJ1625" s="403" t="str">
        <f>IF($B$1601&gt;BD1625,"over 100%",TEXT($B$1601/BD1625,"0.00%"))</f>
        <v>6.06%</v>
      </c>
      <c r="BK1625" s="56" t="s">
        <v>978</v>
      </c>
      <c r="BO1625" s="390" t="str">
        <f>CONCATENATE(AR1625,BB1625,BC1625,BD1625,BG1625,BH1625,BI1625,BJ1625,BK1625)</f>
        <v>applied to registered sex offenders totals 30,286 to 45,889. This represents 9.19% to 6.06% cleared cases.</v>
      </c>
      <c r="BP1625" s="390"/>
      <c r="BQ1625" s="390"/>
      <c r="BR1625" s="390"/>
      <c r="BS1625" s="390"/>
      <c r="BT1625" s="390"/>
      <c r="BU1625" s="390"/>
      <c r="BV1625" s="390"/>
      <c r="BW1625" s="390"/>
      <c r="BX1625" s="390"/>
      <c r="BY1625" s="390"/>
      <c r="BZ1625" s="390"/>
      <c r="CA1625" s="390"/>
      <c r="CB1625" s="390"/>
      <c r="CC1625" s="390"/>
      <c r="CD1625" s="390"/>
      <c r="CE1625" s="390"/>
      <c r="CF1625" s="390"/>
    </row>
    <row r="1626" spans="1:84" ht="14.4" x14ac:dyDescent="0.3">
      <c r="A1626" s="404"/>
      <c r="B1626" s="404" t="s">
        <v>985</v>
      </c>
      <c r="C1626" s="637"/>
      <c r="D1626" s="637"/>
      <c r="E1626" s="57"/>
      <c r="F1626" s="1"/>
      <c r="AC1626" s="412"/>
      <c r="AE1626" s="412"/>
      <c r="AH1626" s="409"/>
      <c r="AI1626" s="410"/>
      <c r="BB1626" s="406">
        <f>IF($B$1603=$AF$1601,AC$1601*AC1625,IF($B$1603=$AF$1602,AC1625*AC$1602,IF($B$1603=$AF$1603,AC1625*AC$1603,IF($B$1603=$AF$1604,AC1625*AC$1604,IF($B$1603=$AF$1605,AC1625*AC$1605,"")))))</f>
        <v>30286.443000000003</v>
      </c>
      <c r="BD1626" s="642">
        <f>IF($B$1603=$AF$1601,AC$1601*AE1625,IF($B$1603=$AF$1602,AE1625*AC$1602,IF($B$1603=$AF$1603,AE1625*AC$1603,IF($B$1603=$AF$1604,AE1625*AC$1604,IF($B$1603=$AF$1605,AE1625*AC$1605,"")))))</f>
        <v>45888.55</v>
      </c>
      <c r="BE1626" s="643"/>
      <c r="BF1626" s="643"/>
    </row>
    <row r="1627" spans="1:84" ht="9" customHeight="1" x14ac:dyDescent="0.25">
      <c r="A1627" s="400"/>
      <c r="B1627" s="57"/>
      <c r="C1627" s="57"/>
      <c r="D1627" s="57"/>
      <c r="E1627" s="57"/>
      <c r="F1627" s="1"/>
      <c r="AC1627" s="412"/>
      <c r="AE1627" s="412"/>
    </row>
    <row r="1628" spans="1:84" ht="14.4" x14ac:dyDescent="0.3">
      <c r="A1628" s="400">
        <v>8</v>
      </c>
      <c r="B1628" s="401" t="str">
        <f>AM1628</f>
        <v>4.1%</v>
      </c>
      <c r="C1628" s="637" t="str">
        <f>BO1628</f>
        <v>applied to registered sex offenders totals 37,629. This represents 7.40% cleared cases.</v>
      </c>
      <c r="D1628" s="637"/>
      <c r="E1628" s="57"/>
      <c r="F1628" s="1"/>
      <c r="AC1628" s="412">
        <v>4.1000000000000002E-2</v>
      </c>
      <c r="AE1628" s="412"/>
      <c r="AH1628" s="646" t="str">
        <f>TEXT(AC1628,"0.0%")</f>
        <v>4.1%</v>
      </c>
      <c r="AI1628" s="609"/>
      <c r="AM1628" s="56" t="str">
        <f>CONCATENATE(AH1628,AJ1628)</f>
        <v>4.1%</v>
      </c>
      <c r="AR1628" s="56" t="str">
        <f>CONCATENATE($AU$1600,$AX$1600,$BD$1600,$BF$1600)</f>
        <v xml:space="preserve">applied to registered sex offenders totals </v>
      </c>
      <c r="BB1628" s="411" t="str">
        <f>TEXT(BB1629,"00,000")</f>
        <v>37,629</v>
      </c>
      <c r="BG1628" s="56" t="s">
        <v>977</v>
      </c>
      <c r="BH1628" s="403" t="str">
        <f>IF($B$1601&gt;BB1628,"over 100%",TEXT($B$1601/BB1628,"0.00%"))</f>
        <v>7.40%</v>
      </c>
      <c r="BK1628" s="56" t="s">
        <v>978</v>
      </c>
      <c r="BO1628" s="390" t="str">
        <f>CONCATENATE(AR1628,BB1628,BC1628,BD1628,BG1628,BH1628,BI1628,BJ1628,BK1628)</f>
        <v>applied to registered sex offenders totals 37,629. This represents 7.40% cleared cases.</v>
      </c>
      <c r="BP1628" s="390"/>
      <c r="BQ1628" s="390"/>
      <c r="BR1628" s="390"/>
      <c r="BS1628" s="390"/>
      <c r="BT1628" s="390"/>
      <c r="BU1628" s="390"/>
      <c r="BV1628" s="390"/>
      <c r="BW1628" s="390"/>
      <c r="BX1628" s="390"/>
      <c r="BY1628" s="390"/>
      <c r="BZ1628" s="390"/>
      <c r="CA1628" s="390"/>
      <c r="CB1628" s="390"/>
      <c r="CC1628" s="390"/>
      <c r="CD1628" s="390"/>
      <c r="CE1628" s="390"/>
      <c r="CF1628" s="390"/>
    </row>
    <row r="1629" spans="1:84" ht="14.4" x14ac:dyDescent="0.3">
      <c r="A1629" s="404"/>
      <c r="B1629" s="404" t="s">
        <v>986</v>
      </c>
      <c r="C1629" s="637"/>
      <c r="D1629" s="637"/>
      <c r="E1629" s="57"/>
      <c r="F1629" s="1"/>
      <c r="AC1629" s="412"/>
      <c r="AE1629" s="412"/>
      <c r="AH1629" s="409"/>
      <c r="AI1629" s="410"/>
      <c r="BB1629" s="406">
        <f>IF($B$1603=$AF$1601,AC$1601*AC1628,IF($B$1603=$AF$1602,AC1628*AC$1602,IF($B$1603=$AF$1603,AC1628*AC$1603,IF($B$1603=$AF$1604,AC1628*AC$1604,IF($B$1603=$AF$1605,AC1628*AC$1605,"")))))</f>
        <v>37628.611000000004</v>
      </c>
    </row>
    <row r="1630" spans="1:84" ht="9" customHeight="1" x14ac:dyDescent="0.25">
      <c r="A1630" s="400"/>
      <c r="B1630" s="57"/>
      <c r="C1630" s="57"/>
      <c r="D1630" s="57"/>
      <c r="E1630" s="57"/>
      <c r="F1630" s="1"/>
      <c r="AC1630" s="412"/>
      <c r="AE1630" s="412"/>
    </row>
    <row r="1631" spans="1:84" ht="14.4" x14ac:dyDescent="0.3">
      <c r="A1631" s="400">
        <v>9</v>
      </c>
      <c r="B1631" s="401" t="str">
        <f>AM1631</f>
        <v>5% to 15.4%</v>
      </c>
      <c r="C1631" s="637" t="str">
        <f>BO1631</f>
        <v>applied to registered sex offenders totals 45,889 to 141,337. This represents 6.06% to 1.97% cleared cases.</v>
      </c>
      <c r="D1631" s="637"/>
      <c r="E1631" s="57"/>
      <c r="F1631" s="1"/>
      <c r="AC1631" s="412">
        <v>0.05</v>
      </c>
      <c r="AE1631" s="412">
        <v>0.154</v>
      </c>
      <c r="AH1631" s="646" t="str">
        <f>TEXT(AC1631,"0%")</f>
        <v>5%</v>
      </c>
      <c r="AI1631" s="609"/>
      <c r="AJ1631" s="646" t="str">
        <f>TEXT(AE1631,"0.0%")</f>
        <v>15.4%</v>
      </c>
      <c r="AK1631" s="609"/>
      <c r="AM1631" s="56" t="str">
        <f>CONCATENATE(AH1631," to ",AJ1631)</f>
        <v>5% to 15.4%</v>
      </c>
      <c r="AR1631" s="56" t="str">
        <f>CONCATENATE($AU$1600,$AX$1600,$BD$1600,$BF$1600)</f>
        <v xml:space="preserve">applied to registered sex offenders totals </v>
      </c>
      <c r="BB1631" s="411" t="str">
        <f>TEXT(BB1632,"00,000")</f>
        <v>45,889</v>
      </c>
      <c r="BC1631" s="56" t="s">
        <v>976</v>
      </c>
      <c r="BD1631" s="634" t="str">
        <f>TEXT(ROUND(BD1632,0),"00,000")</f>
        <v>141,337</v>
      </c>
      <c r="BE1631" s="647"/>
      <c r="BF1631" s="647"/>
      <c r="BG1631" s="56" t="s">
        <v>977</v>
      </c>
      <c r="BH1631" s="403" t="str">
        <f>IF($B$1601&gt;BB1631,"over 100%",TEXT($B$1601/BB1631,"0.00%"))</f>
        <v>6.06%</v>
      </c>
      <c r="BI1631" s="56" t="s">
        <v>976</v>
      </c>
      <c r="BJ1631" s="403" t="str">
        <f>IF($B$1601&gt;BD1631,"over 100%",TEXT($B$1601/BD1631,"0.00%"))</f>
        <v>1.97%</v>
      </c>
      <c r="BK1631" s="56" t="s">
        <v>978</v>
      </c>
      <c r="BO1631" s="390" t="str">
        <f>CONCATENATE(AR1631,BB1631,BC1631,BD1631,BG1631,BH1631,BI1631,BJ1631,BK1631)</f>
        <v>applied to registered sex offenders totals 45,889 to 141,337. This represents 6.06% to 1.97% cleared cases.</v>
      </c>
      <c r="BP1631" s="390"/>
      <c r="BQ1631" s="390"/>
      <c r="BR1631" s="390"/>
      <c r="BS1631" s="390"/>
      <c r="BT1631" s="390"/>
      <c r="BU1631" s="390"/>
      <c r="BV1631" s="390"/>
      <c r="BW1631" s="390"/>
      <c r="BX1631" s="390"/>
      <c r="BY1631" s="390"/>
      <c r="BZ1631" s="390"/>
      <c r="CA1631" s="390"/>
      <c r="CB1631" s="390"/>
      <c r="CC1631" s="390"/>
      <c r="CD1631" s="390"/>
      <c r="CE1631" s="390"/>
      <c r="CF1631" s="390"/>
    </row>
    <row r="1632" spans="1:84" ht="14.4" x14ac:dyDescent="0.3">
      <c r="A1632" s="404"/>
      <c r="B1632" s="404" t="s">
        <v>987</v>
      </c>
      <c r="C1632" s="637"/>
      <c r="D1632" s="637"/>
      <c r="E1632" s="57"/>
      <c r="F1632" s="1"/>
      <c r="AC1632" s="412"/>
      <c r="AE1632" s="412"/>
      <c r="AH1632" s="409"/>
      <c r="AI1632" s="410"/>
      <c r="BB1632" s="406">
        <f>IF($B$1603=$AF$1601,AC$1601*AC1631,IF($B$1603=$AF$1602,AC1631*AC$1602,IF($B$1603=$AF$1603,AC1631*AC$1603,IF($B$1603=$AF$1604,AC1631*AC$1604,IF($B$1603=$AF$1605,AC1631*AC$1605,"")))))</f>
        <v>45888.55</v>
      </c>
      <c r="BD1632" s="642">
        <f>IF($B$1603=$AF$1601,AC$1601*AE1631,IF($B$1603=$AF$1602,AE1631*AC$1602,IF($B$1603=$AF$1603,AE1631*AC$1603,IF($B$1603=$AF$1604,AE1631*AC$1604,IF($B$1603=$AF$1605,AE1631*AC$1605,"")))))</f>
        <v>141336.734</v>
      </c>
      <c r="BE1632" s="643"/>
      <c r="BF1632" s="643"/>
      <c r="BG1632" s="403"/>
    </row>
    <row r="1633" spans="1:84" ht="9" customHeight="1" x14ac:dyDescent="0.25">
      <c r="A1633" s="400"/>
      <c r="B1633" s="57"/>
      <c r="C1633" s="57"/>
      <c r="D1633" s="57"/>
      <c r="E1633" s="57"/>
      <c r="F1633" s="1"/>
      <c r="AC1633" s="412"/>
      <c r="AE1633" s="412"/>
    </row>
    <row r="1634" spans="1:84" ht="14.4" x14ac:dyDescent="0.3">
      <c r="A1634" s="400">
        <v>10</v>
      </c>
      <c r="B1634" s="401" t="str">
        <f>AM1634</f>
        <v>6%</v>
      </c>
      <c r="C1634" s="637" t="str">
        <f>BO1634</f>
        <v>applied to registered sex offenders totals 55,066. This represents 5.05% cleared cases.</v>
      </c>
      <c r="D1634" s="637"/>
      <c r="E1634" s="57"/>
      <c r="F1634" s="1"/>
      <c r="AC1634" s="412">
        <v>0.06</v>
      </c>
      <c r="AE1634" s="412"/>
      <c r="AH1634" s="646" t="str">
        <f>TEXT(AC1634,"0%")</f>
        <v>6%</v>
      </c>
      <c r="AI1634" s="609"/>
      <c r="AM1634" s="56" t="str">
        <f>CONCATENATE(AH1634,AJ1634)</f>
        <v>6%</v>
      </c>
      <c r="AR1634" s="56" t="str">
        <f>CONCATENATE($AU$1600,$AX$1600,$BD$1600,$BF$1600)</f>
        <v xml:space="preserve">applied to registered sex offenders totals </v>
      </c>
      <c r="BB1634" s="411" t="str">
        <f>TEXT(BB1635,"00,000")</f>
        <v>55,066</v>
      </c>
      <c r="BG1634" s="56" t="s">
        <v>977</v>
      </c>
      <c r="BH1634" s="403" t="str">
        <f>IF($B$1601&gt;BB1634,"over 100%",TEXT($B$1601/BB1634,"0.00%"))</f>
        <v>5.05%</v>
      </c>
      <c r="BK1634" s="56" t="s">
        <v>978</v>
      </c>
      <c r="BO1634" s="390" t="str">
        <f>CONCATENATE(AR1634,BB1634,BC1634,BD1634,BG1634,BH1634,BI1634,BJ1634,BK1634)</f>
        <v>applied to registered sex offenders totals 55,066. This represents 5.05% cleared cases.</v>
      </c>
      <c r="BP1634" s="390"/>
      <c r="BQ1634" s="390"/>
      <c r="BR1634" s="390"/>
      <c r="BS1634" s="390"/>
      <c r="BT1634" s="390"/>
      <c r="BU1634" s="390"/>
      <c r="BV1634" s="390"/>
      <c r="BW1634" s="390"/>
      <c r="BX1634" s="390"/>
      <c r="BY1634" s="390"/>
      <c r="BZ1634" s="390"/>
      <c r="CA1634" s="390"/>
      <c r="CB1634" s="390"/>
      <c r="CC1634" s="390"/>
      <c r="CD1634" s="390"/>
      <c r="CE1634" s="390"/>
      <c r="CF1634" s="390"/>
    </row>
    <row r="1635" spans="1:84" ht="14.4" x14ac:dyDescent="0.3">
      <c r="A1635" s="404"/>
      <c r="B1635" s="404" t="s">
        <v>988</v>
      </c>
      <c r="C1635" s="637"/>
      <c r="D1635" s="637"/>
      <c r="E1635" s="57"/>
      <c r="F1635" s="1"/>
      <c r="AC1635" s="412"/>
      <c r="AE1635" s="412"/>
      <c r="AH1635" s="409"/>
      <c r="AI1635" s="410"/>
      <c r="BB1635" s="406">
        <f>IF($B$1603=$AF$1601,AC$1601*AC1634,IF($B$1603=$AF$1602,AC1634*AC$1602,IF($B$1603=$AF$1603,AC1634*AC$1603,IF($B$1603=$AF$1604,AC1634*AC$1604,IF($B$1603=$AF$1605,AC1634*AC$1605,"")))))</f>
        <v>55066.259999999995</v>
      </c>
    </row>
    <row r="1636" spans="1:84" ht="9" customHeight="1" x14ac:dyDescent="0.25">
      <c r="A1636" s="400"/>
      <c r="B1636" s="57"/>
      <c r="C1636" s="57"/>
      <c r="D1636" s="57"/>
      <c r="E1636" s="57"/>
      <c r="F1636" s="1"/>
      <c r="AC1636" s="412"/>
      <c r="AE1636" s="412"/>
    </row>
    <row r="1637" spans="1:84" ht="14.4" x14ac:dyDescent="0.3">
      <c r="A1637" s="400">
        <v>11</v>
      </c>
      <c r="B1637" s="401" t="str">
        <f>AM1637</f>
        <v>11.60%</v>
      </c>
      <c r="C1637" s="637" t="str">
        <f>BO1637</f>
        <v>applied to registered sex offenders totals 106,461. This represents 2.61% cleared cases.</v>
      </c>
      <c r="D1637" s="637"/>
      <c r="E1637" s="57"/>
      <c r="F1637" s="1"/>
      <c r="AC1637" s="412">
        <v>0.11600000000000001</v>
      </c>
      <c r="AE1637" s="412"/>
      <c r="AH1637" s="646" t="str">
        <f>TEXT(AC1637,"0.00%")</f>
        <v>11.60%</v>
      </c>
      <c r="AI1637" s="609"/>
      <c r="AM1637" s="56" t="str">
        <f>CONCATENATE(AH1637,AJ1637)</f>
        <v>11.60%</v>
      </c>
      <c r="AR1637" s="56" t="str">
        <f>CONCATENATE($AU$1600,$AX$1600,$BD$1600,$BF$1600)</f>
        <v xml:space="preserve">applied to registered sex offenders totals </v>
      </c>
      <c r="BB1637" s="411" t="str">
        <f>TEXT(BB1638,"00,000")</f>
        <v>106,461</v>
      </c>
      <c r="BG1637" s="56" t="s">
        <v>977</v>
      </c>
      <c r="BH1637" s="403" t="str">
        <f>IF($B$1601&gt;BB1637,"over 100%",TEXT($B$1601/BB1637,"0.00%"))</f>
        <v>2.61%</v>
      </c>
      <c r="BK1637" s="56" t="s">
        <v>978</v>
      </c>
      <c r="BO1637" s="390" t="str">
        <f>CONCATENATE(AR1637,BB1637,BC1637,BD1637,BG1637,BH1637,BI1637,BJ1637,BK1637)</f>
        <v>applied to registered sex offenders totals 106,461. This represents 2.61% cleared cases.</v>
      </c>
      <c r="BP1637" s="390"/>
      <c r="BQ1637" s="390"/>
      <c r="BR1637" s="390"/>
      <c r="BS1637" s="390"/>
      <c r="BT1637" s="390"/>
      <c r="BU1637" s="390"/>
      <c r="BV1637" s="390"/>
      <c r="BW1637" s="390"/>
      <c r="BX1637" s="390"/>
      <c r="BY1637" s="390"/>
      <c r="BZ1637" s="390"/>
      <c r="CA1637" s="390"/>
      <c r="CB1637" s="390"/>
      <c r="CC1637" s="390"/>
      <c r="CD1637" s="390"/>
      <c r="CE1637" s="390"/>
      <c r="CF1637" s="390"/>
    </row>
    <row r="1638" spans="1:84" ht="14.4" x14ac:dyDescent="0.3">
      <c r="A1638" s="404"/>
      <c r="B1638" s="404" t="s">
        <v>989</v>
      </c>
      <c r="C1638" s="637"/>
      <c r="D1638" s="637"/>
      <c r="E1638" s="57"/>
      <c r="F1638" s="1"/>
      <c r="AH1638" s="409"/>
      <c r="AI1638" s="410"/>
      <c r="BB1638" s="406">
        <f>IF($B$1603=$AF$1601,AC$1601*AC1637,IF($B$1603=$AF$1602,AC1637*AC$1602,IF($B$1603=$AF$1603,AC1637*AC$1603,IF($B$1603=$AF$1604,AC1637*AC$1604,IF($B$1603=$AF$1605,AC1637*AC$1605,"")))))</f>
        <v>106461.436</v>
      </c>
    </row>
    <row r="1639" spans="1:84" ht="9" customHeight="1" x14ac:dyDescent="0.25">
      <c r="A1639" s="57"/>
      <c r="B1639" s="57"/>
      <c r="C1639" s="57"/>
      <c r="D1639" s="57"/>
      <c r="E1639" s="57"/>
      <c r="F1639" s="1"/>
    </row>
    <row r="1640" spans="1:84" ht="14.4" x14ac:dyDescent="0.3">
      <c r="A1640" s="400">
        <v>12</v>
      </c>
      <c r="B1640" s="401" t="str">
        <f>AM1640</f>
        <v>15.4%</v>
      </c>
      <c r="C1640" s="637" t="str">
        <f>BO1640</f>
        <v>applied to registered sex offenders totals 141,337. This represents 1.97% cleared cases.</v>
      </c>
      <c r="D1640" s="637"/>
      <c r="E1640" s="57"/>
      <c r="F1640" s="1"/>
      <c r="AC1640" s="412">
        <v>0.154</v>
      </c>
      <c r="AD1640" s="412"/>
      <c r="AH1640" s="646" t="str">
        <f>TEXT(AC1640,"0.0%")</f>
        <v>15.4%</v>
      </c>
      <c r="AI1640" s="609"/>
      <c r="AM1640" s="56" t="str">
        <f>CONCATENATE(AH1640,AJ1640)</f>
        <v>15.4%</v>
      </c>
      <c r="AR1640" s="56" t="str">
        <f>CONCATENATE($AU$1600,$AX$1600,$BD$1600,$BF$1600)</f>
        <v xml:space="preserve">applied to registered sex offenders totals </v>
      </c>
      <c r="BB1640" s="411" t="str">
        <f>TEXT(BB1641,"00,000")</f>
        <v>141,337</v>
      </c>
      <c r="BG1640" s="56" t="s">
        <v>977</v>
      </c>
      <c r="BH1640" s="403" t="str">
        <f>IF($B$1601&gt;BB1640,"over 100%",TEXT($B$1601/BB1640,"0.00%"))</f>
        <v>1.97%</v>
      </c>
      <c r="BK1640" s="56" t="s">
        <v>978</v>
      </c>
      <c r="BO1640" s="390" t="str">
        <f>CONCATENATE(AR1640,BB1640,BC1640,BD1640,BG1640,BH1640,BI1640,BJ1640,BK1640)</f>
        <v>applied to registered sex offenders totals 141,337. This represents 1.97% cleared cases.</v>
      </c>
      <c r="BP1640" s="390"/>
      <c r="BQ1640" s="390"/>
      <c r="BR1640" s="390"/>
      <c r="BS1640" s="390"/>
      <c r="BT1640" s="390"/>
      <c r="BU1640" s="390"/>
      <c r="BV1640" s="390"/>
      <c r="BW1640" s="390"/>
      <c r="BX1640" s="390"/>
      <c r="BY1640" s="390"/>
      <c r="BZ1640" s="390"/>
      <c r="CA1640" s="390"/>
      <c r="CB1640" s="390"/>
      <c r="CC1640" s="390"/>
      <c r="CD1640" s="390"/>
      <c r="CE1640" s="390"/>
      <c r="CF1640" s="390"/>
    </row>
    <row r="1641" spans="1:84" x14ac:dyDescent="0.25">
      <c r="A1641" s="404"/>
      <c r="B1641" s="404" t="s">
        <v>990</v>
      </c>
      <c r="C1641" s="637"/>
      <c r="D1641" s="637"/>
      <c r="E1641" s="57"/>
      <c r="F1641" s="1"/>
      <c r="BB1641" s="406">
        <f>IF($B$1603=$AF$1601,AC$1601*AC1640,IF($B$1603=$AF$1602,AC1640*AC$1602,IF($B$1603=$AF$1603,AC1640*AC$1603,IF($B$1603=$AF$1604,AC1640*AC$1604,IF($B$1603=$AF$1605,AC1640*AC$1605,"")))))</f>
        <v>141336.734</v>
      </c>
    </row>
    <row r="1642" spans="1:84" ht="15" customHeight="1" x14ac:dyDescent="0.25">
      <c r="A1642" s="57"/>
      <c r="B1642" s="57"/>
      <c r="C1642" s="57"/>
      <c r="D1642" s="57"/>
      <c r="E1642" s="57"/>
      <c r="F1642" s="1"/>
    </row>
    <row r="1643" spans="1:84" ht="19.95" customHeight="1" x14ac:dyDescent="0.25">
      <c r="A1643" s="652" t="s">
        <v>1539</v>
      </c>
      <c r="B1643" s="652"/>
      <c r="C1643" s="652"/>
      <c r="D1643" s="652"/>
      <c r="E1643" s="652"/>
      <c r="F1643" s="1"/>
    </row>
    <row r="1644" spans="1:84" ht="19.95" customHeight="1" x14ac:dyDescent="0.25">
      <c r="A1644" s="652"/>
      <c r="B1644" s="652"/>
      <c r="C1644" s="652"/>
      <c r="D1644" s="652"/>
      <c r="E1644" s="652"/>
      <c r="F1644" s="1"/>
    </row>
    <row r="1645" spans="1:84" ht="19.95" customHeight="1" x14ac:dyDescent="0.25">
      <c r="A1645" s="652"/>
      <c r="B1645" s="652"/>
      <c r="C1645" s="652"/>
      <c r="D1645" s="652"/>
      <c r="E1645" s="652"/>
      <c r="F1645" s="1"/>
    </row>
    <row r="1646" spans="1:84" ht="10.050000000000001" customHeight="1" x14ac:dyDescent="0.25">
      <c r="A1646" s="483"/>
      <c r="B1646" s="483"/>
      <c r="C1646" s="483"/>
      <c r="D1646" s="483"/>
      <c r="E1646" s="483"/>
      <c r="F1646" s="1"/>
    </row>
    <row r="1647" spans="1:84" s="5" customFormat="1" x14ac:dyDescent="0.25">
      <c r="BB1647" s="413"/>
    </row>
    <row r="1648" spans="1:84" s="5" customFormat="1" x14ac:dyDescent="0.25">
      <c r="BB1648" s="413"/>
    </row>
    <row r="1649" spans="54:54" s="5" customFormat="1" x14ac:dyDescent="0.25">
      <c r="BB1649" s="413"/>
    </row>
    <row r="1650" spans="54:54" s="5" customFormat="1" x14ac:dyDescent="0.25">
      <c r="BB1650" s="413"/>
    </row>
    <row r="1651" spans="54:54" s="5" customFormat="1" x14ac:dyDescent="0.25">
      <c r="BB1651" s="413"/>
    </row>
    <row r="1652" spans="54:54" s="5" customFormat="1" x14ac:dyDescent="0.25">
      <c r="BB1652" s="413"/>
    </row>
    <row r="1653" spans="54:54" s="5" customFormat="1" x14ac:dyDescent="0.25">
      <c r="BB1653" s="413"/>
    </row>
    <row r="1654" spans="54:54" s="5" customFormat="1" x14ac:dyDescent="0.25">
      <c r="BB1654" s="413"/>
    </row>
    <row r="1655" spans="54:54" s="5" customFormat="1" x14ac:dyDescent="0.25">
      <c r="BB1655" s="413"/>
    </row>
    <row r="1656" spans="54:54" s="5" customFormat="1" x14ac:dyDescent="0.25">
      <c r="BB1656" s="413"/>
    </row>
    <row r="1657" spans="54:54" s="5" customFormat="1" x14ac:dyDescent="0.25">
      <c r="BB1657" s="413"/>
    </row>
    <row r="1658" spans="54:54" s="5" customFormat="1" x14ac:dyDescent="0.25">
      <c r="BB1658" s="413"/>
    </row>
    <row r="1659" spans="54:54" s="5" customFormat="1" x14ac:dyDescent="0.25">
      <c r="BB1659" s="413"/>
    </row>
    <row r="1660" spans="54:54" s="5" customFormat="1" x14ac:dyDescent="0.25">
      <c r="BB1660" s="413"/>
    </row>
    <row r="1661" spans="54:54" s="5" customFormat="1" x14ac:dyDescent="0.25">
      <c r="BB1661" s="413"/>
    </row>
    <row r="1662" spans="54:54" s="5" customFormat="1" x14ac:dyDescent="0.25">
      <c r="BB1662" s="413"/>
    </row>
    <row r="1663" spans="54:54" s="5" customFormat="1" x14ac:dyDescent="0.25">
      <c r="BB1663" s="413"/>
    </row>
    <row r="1664" spans="54:54" s="5" customFormat="1" x14ac:dyDescent="0.25">
      <c r="BB1664" s="413"/>
    </row>
    <row r="1665" spans="54:54" s="5" customFormat="1" x14ac:dyDescent="0.25">
      <c r="BB1665" s="413"/>
    </row>
    <row r="1666" spans="54:54" s="5" customFormat="1" x14ac:dyDescent="0.25">
      <c r="BB1666" s="413"/>
    </row>
    <row r="1667" spans="54:54" s="5" customFormat="1" x14ac:dyDescent="0.25">
      <c r="BB1667" s="413"/>
    </row>
    <row r="1668" spans="54:54" s="5" customFormat="1" x14ac:dyDescent="0.25">
      <c r="BB1668" s="413"/>
    </row>
    <row r="1669" spans="54:54" s="5" customFormat="1" x14ac:dyDescent="0.25">
      <c r="BB1669" s="413"/>
    </row>
    <row r="1670" spans="54:54" s="5" customFormat="1" x14ac:dyDescent="0.25">
      <c r="BB1670" s="413"/>
    </row>
    <row r="1671" spans="54:54" s="5" customFormat="1" x14ac:dyDescent="0.25">
      <c r="BB1671" s="413"/>
    </row>
    <row r="1672" spans="54:54" s="5" customFormat="1" x14ac:dyDescent="0.25">
      <c r="BB1672" s="413"/>
    </row>
    <row r="1673" spans="54:54" s="5" customFormat="1" x14ac:dyDescent="0.25">
      <c r="BB1673" s="413"/>
    </row>
    <row r="1674" spans="54:54" s="5" customFormat="1" x14ac:dyDescent="0.25">
      <c r="BB1674" s="413"/>
    </row>
    <row r="1675" spans="54:54" s="5" customFormat="1" x14ac:dyDescent="0.25">
      <c r="BB1675" s="413"/>
    </row>
    <row r="1676" spans="54:54" s="5" customFormat="1" x14ac:dyDescent="0.25">
      <c r="BB1676" s="413"/>
    </row>
    <row r="1677" spans="54:54" s="5" customFormat="1" x14ac:dyDescent="0.25">
      <c r="BB1677" s="413"/>
    </row>
    <row r="1678" spans="54:54" s="5" customFormat="1" x14ac:dyDescent="0.25">
      <c r="BB1678" s="413"/>
    </row>
    <row r="1679" spans="54:54" s="5" customFormat="1" x14ac:dyDescent="0.25">
      <c r="BB1679" s="413"/>
    </row>
    <row r="1680" spans="54:54" s="5" customFormat="1" x14ac:dyDescent="0.25">
      <c r="BB1680" s="413"/>
    </row>
    <row r="1681" spans="1:54" s="5" customFormat="1" x14ac:dyDescent="0.25">
      <c r="BB1681" s="413"/>
    </row>
    <row r="1682" spans="1:54" s="5" customFormat="1" x14ac:dyDescent="0.25">
      <c r="BB1682" s="413"/>
    </row>
    <row r="1683" spans="1:54" s="5" customFormat="1" x14ac:dyDescent="0.25">
      <c r="BB1683" s="413"/>
    </row>
    <row r="1684" spans="1:54" s="5" customFormat="1" x14ac:dyDescent="0.25">
      <c r="BB1684" s="413"/>
    </row>
    <row r="1685" spans="1:54" s="5" customFormat="1" x14ac:dyDescent="0.25">
      <c r="BB1685" s="413"/>
    </row>
    <row r="1686" spans="1:54" s="5" customFormat="1" x14ac:dyDescent="0.25">
      <c r="BB1686" s="413"/>
    </row>
    <row r="1687" spans="1:54" s="5" customFormat="1" x14ac:dyDescent="0.25">
      <c r="BB1687" s="413"/>
    </row>
    <row r="1688" spans="1:54" s="5" customFormat="1" x14ac:dyDescent="0.25">
      <c r="BB1688" s="413"/>
    </row>
    <row r="1689" spans="1:54" s="5" customFormat="1" x14ac:dyDescent="0.25">
      <c r="BB1689" s="413"/>
    </row>
    <row r="1690" spans="1:54" s="5" customFormat="1" x14ac:dyDescent="0.25">
      <c r="BB1690" s="413"/>
    </row>
    <row r="1691" spans="1:54" s="5" customFormat="1" x14ac:dyDescent="0.25">
      <c r="BB1691" s="413"/>
    </row>
    <row r="1692" spans="1:54" s="5" customFormat="1" x14ac:dyDescent="0.25">
      <c r="AC1692" s="413" t="s">
        <v>991</v>
      </c>
      <c r="BB1692" s="413"/>
    </row>
    <row r="1693" spans="1:54" s="5" customFormat="1" x14ac:dyDescent="0.25">
      <c r="AC1693" s="414" t="s">
        <v>25</v>
      </c>
      <c r="BB1693" s="413"/>
    </row>
    <row r="1694" spans="1:54" s="5" customFormat="1" x14ac:dyDescent="0.25">
      <c r="AC1694" s="414" t="s">
        <v>59</v>
      </c>
      <c r="BB1694" s="413"/>
    </row>
    <row r="1695" spans="1:54" s="5" customFormat="1" ht="14.4" thickBot="1" x14ac:dyDescent="0.3">
      <c r="AC1695" s="414" t="s">
        <v>63</v>
      </c>
      <c r="BB1695" s="413"/>
    </row>
    <row r="1696" spans="1:54" s="5" customFormat="1" x14ac:dyDescent="0.25">
      <c r="A1696" s="415"/>
      <c r="B1696" s="416"/>
      <c r="C1696" s="416"/>
      <c r="D1696" s="416"/>
      <c r="E1696" s="416"/>
      <c r="F1696" s="417"/>
      <c r="AC1696" s="414" t="s">
        <v>64</v>
      </c>
      <c r="BB1696" s="413"/>
    </row>
    <row r="1697" spans="1:54" s="5" customFormat="1" x14ac:dyDescent="0.25">
      <c r="A1697" s="418"/>
      <c r="F1697" s="419"/>
      <c r="AC1697" s="414" t="s">
        <v>992</v>
      </c>
      <c r="BB1697" s="413"/>
    </row>
    <row r="1698" spans="1:54" s="5" customFormat="1" x14ac:dyDescent="0.25">
      <c r="A1698" s="418"/>
      <c r="F1698" s="419"/>
      <c r="AC1698" s="414" t="s">
        <v>993</v>
      </c>
      <c r="BB1698" s="413"/>
    </row>
    <row r="1699" spans="1:54" s="5" customFormat="1" x14ac:dyDescent="0.25">
      <c r="A1699" s="418"/>
      <c r="F1699" s="419"/>
      <c r="BB1699" s="413"/>
    </row>
    <row r="1700" spans="1:54" s="5" customFormat="1" x14ac:dyDescent="0.25">
      <c r="A1700" s="418"/>
      <c r="F1700" s="419"/>
      <c r="BB1700" s="413"/>
    </row>
    <row r="1701" spans="1:54" s="5" customFormat="1" x14ac:dyDescent="0.25">
      <c r="A1701" s="418"/>
      <c r="F1701" s="419"/>
      <c r="AC1701" s="5" t="s">
        <v>994</v>
      </c>
      <c r="BB1701" s="413"/>
    </row>
    <row r="1702" spans="1:54" s="5" customFormat="1" x14ac:dyDescent="0.25">
      <c r="A1702" s="418"/>
      <c r="F1702" s="419"/>
      <c r="BB1702" s="413"/>
    </row>
    <row r="1703" spans="1:54" s="5" customFormat="1" x14ac:dyDescent="0.25">
      <c r="A1703" s="418"/>
      <c r="F1703" s="419"/>
      <c r="BB1703" s="413"/>
    </row>
    <row r="1704" spans="1:54" s="5" customFormat="1" x14ac:dyDescent="0.25">
      <c r="A1704" s="418"/>
      <c r="F1704" s="419"/>
      <c r="AC1704" s="5" t="s">
        <v>995</v>
      </c>
      <c r="BB1704" s="413"/>
    </row>
    <row r="1705" spans="1:54" s="5" customFormat="1" x14ac:dyDescent="0.25">
      <c r="A1705" s="418"/>
      <c r="F1705" s="419"/>
      <c r="BB1705" s="413"/>
    </row>
    <row r="1706" spans="1:54" s="5" customFormat="1" x14ac:dyDescent="0.25">
      <c r="A1706" s="418"/>
      <c r="F1706" s="419"/>
      <c r="BB1706" s="413"/>
    </row>
    <row r="1707" spans="1:54" s="5" customFormat="1" x14ac:dyDescent="0.25">
      <c r="A1707" s="418"/>
      <c r="F1707" s="419"/>
      <c r="AC1707" s="5" t="s">
        <v>996</v>
      </c>
      <c r="BB1707" s="413"/>
    </row>
    <row r="1708" spans="1:54" s="5" customFormat="1" x14ac:dyDescent="0.25">
      <c r="A1708" s="418"/>
      <c r="F1708" s="419"/>
      <c r="BB1708" s="413"/>
    </row>
    <row r="1709" spans="1:54" s="5" customFormat="1" x14ac:dyDescent="0.25">
      <c r="A1709" s="418"/>
      <c r="F1709" s="419"/>
      <c r="BB1709" s="413"/>
    </row>
    <row r="1710" spans="1:54" s="5" customFormat="1" x14ac:dyDescent="0.25">
      <c r="A1710" s="418"/>
      <c r="F1710" s="419"/>
      <c r="BB1710" s="413"/>
    </row>
    <row r="1711" spans="1:54" s="5" customFormat="1" x14ac:dyDescent="0.25">
      <c r="A1711" s="418"/>
      <c r="F1711" s="419"/>
      <c r="BB1711" s="413"/>
    </row>
    <row r="1712" spans="1:54" s="5" customFormat="1" x14ac:dyDescent="0.25">
      <c r="A1712" s="418"/>
      <c r="F1712" s="419"/>
      <c r="BB1712" s="413"/>
    </row>
    <row r="1713" spans="1:54" s="5" customFormat="1" x14ac:dyDescent="0.25">
      <c r="A1713" s="418"/>
      <c r="F1713" s="419"/>
      <c r="BB1713" s="413"/>
    </row>
    <row r="1714" spans="1:54" s="5" customFormat="1" x14ac:dyDescent="0.25">
      <c r="A1714" s="418"/>
      <c r="F1714" s="419"/>
      <c r="BB1714" s="413"/>
    </row>
    <row r="1715" spans="1:54" s="5" customFormat="1" x14ac:dyDescent="0.25">
      <c r="A1715" s="418"/>
      <c r="F1715" s="419"/>
      <c r="BB1715" s="413"/>
    </row>
    <row r="1716" spans="1:54" s="5" customFormat="1" x14ac:dyDescent="0.25">
      <c r="A1716" s="418"/>
      <c r="F1716" s="419"/>
      <c r="BB1716" s="413"/>
    </row>
    <row r="1717" spans="1:54" s="5" customFormat="1" x14ac:dyDescent="0.25">
      <c r="A1717" s="418"/>
      <c r="F1717" s="419"/>
      <c r="BB1717" s="413"/>
    </row>
    <row r="1718" spans="1:54" s="5" customFormat="1" x14ac:dyDescent="0.25">
      <c r="A1718" s="418"/>
      <c r="F1718" s="419"/>
      <c r="BB1718" s="413"/>
    </row>
    <row r="1719" spans="1:54" s="5" customFormat="1" x14ac:dyDescent="0.25">
      <c r="A1719" s="418"/>
      <c r="F1719" s="419"/>
      <c r="BB1719" s="413"/>
    </row>
    <row r="1720" spans="1:54" s="5" customFormat="1" x14ac:dyDescent="0.25">
      <c r="A1720" s="418"/>
      <c r="F1720" s="419"/>
      <c r="BB1720" s="413"/>
    </row>
    <row r="1721" spans="1:54" s="5" customFormat="1" x14ac:dyDescent="0.25">
      <c r="A1721" s="418"/>
      <c r="F1721" s="419"/>
      <c r="BB1721" s="413"/>
    </row>
    <row r="1722" spans="1:54" s="5" customFormat="1" x14ac:dyDescent="0.25">
      <c r="A1722" s="418"/>
      <c r="F1722" s="419"/>
      <c r="BB1722" s="413"/>
    </row>
    <row r="1723" spans="1:54" s="5" customFormat="1" x14ac:dyDescent="0.25">
      <c r="A1723" s="418"/>
      <c r="F1723" s="419"/>
      <c r="BB1723" s="413"/>
    </row>
    <row r="1724" spans="1:54" s="5" customFormat="1" x14ac:dyDescent="0.25">
      <c r="A1724" s="418"/>
      <c r="F1724" s="419"/>
      <c r="BB1724" s="413"/>
    </row>
    <row r="1725" spans="1:54" s="5" customFormat="1" x14ac:dyDescent="0.25">
      <c r="A1725" s="418"/>
      <c r="F1725" s="419"/>
      <c r="BB1725" s="413"/>
    </row>
    <row r="1726" spans="1:54" s="5" customFormat="1" x14ac:dyDescent="0.25">
      <c r="A1726" s="418"/>
      <c r="F1726" s="419"/>
      <c r="BB1726" s="413"/>
    </row>
    <row r="1727" spans="1:54" s="5" customFormat="1" x14ac:dyDescent="0.25">
      <c r="A1727" s="418"/>
      <c r="F1727" s="419"/>
      <c r="BB1727" s="413"/>
    </row>
    <row r="1728" spans="1:54" s="5" customFormat="1" x14ac:dyDescent="0.25">
      <c r="A1728" s="418"/>
      <c r="F1728" s="419"/>
      <c r="BB1728" s="413"/>
    </row>
    <row r="1729" spans="1:54" s="5" customFormat="1" x14ac:dyDescent="0.25">
      <c r="A1729" s="418"/>
      <c r="F1729" s="419"/>
      <c r="BB1729" s="413"/>
    </row>
    <row r="1730" spans="1:54" s="5" customFormat="1" x14ac:dyDescent="0.25">
      <c r="A1730" s="418"/>
      <c r="F1730" s="419"/>
      <c r="BB1730" s="413"/>
    </row>
    <row r="1731" spans="1:54" s="5" customFormat="1" x14ac:dyDescent="0.25">
      <c r="A1731" s="418"/>
      <c r="F1731" s="419"/>
      <c r="BB1731" s="413"/>
    </row>
    <row r="1732" spans="1:54" s="5" customFormat="1" x14ac:dyDescent="0.25">
      <c r="A1732" s="418"/>
      <c r="F1732" s="419"/>
      <c r="BB1732" s="413"/>
    </row>
    <row r="1733" spans="1:54" s="5" customFormat="1" x14ac:dyDescent="0.25">
      <c r="A1733" s="418"/>
      <c r="F1733" s="419"/>
      <c r="BB1733" s="413"/>
    </row>
    <row r="1734" spans="1:54" s="5" customFormat="1" x14ac:dyDescent="0.25">
      <c r="A1734" s="418"/>
      <c r="F1734" s="419"/>
      <c r="BB1734" s="413"/>
    </row>
    <row r="1735" spans="1:54" s="5" customFormat="1" x14ac:dyDescent="0.25">
      <c r="A1735" s="418"/>
      <c r="F1735" s="419"/>
      <c r="BB1735" s="413"/>
    </row>
    <row r="1736" spans="1:54" s="5" customFormat="1" x14ac:dyDescent="0.25">
      <c r="A1736" s="418"/>
      <c r="F1736" s="419"/>
      <c r="BB1736" s="413"/>
    </row>
    <row r="1737" spans="1:54" s="5" customFormat="1" x14ac:dyDescent="0.25">
      <c r="A1737" s="418"/>
      <c r="F1737" s="419"/>
      <c r="BB1737" s="413"/>
    </row>
    <row r="1738" spans="1:54" s="5" customFormat="1" x14ac:dyDescent="0.25">
      <c r="A1738" s="418"/>
      <c r="F1738" s="419"/>
      <c r="BB1738" s="413"/>
    </row>
    <row r="1739" spans="1:54" s="5" customFormat="1" x14ac:dyDescent="0.25">
      <c r="A1739" s="418"/>
      <c r="F1739" s="419"/>
      <c r="BB1739" s="413"/>
    </row>
    <row r="1740" spans="1:54" s="5" customFormat="1" x14ac:dyDescent="0.25">
      <c r="A1740" s="418"/>
      <c r="F1740" s="419"/>
      <c r="BB1740" s="413"/>
    </row>
    <row r="1741" spans="1:54" s="5" customFormat="1" x14ac:dyDescent="0.25">
      <c r="A1741" s="418"/>
      <c r="F1741" s="419"/>
      <c r="BB1741" s="413"/>
    </row>
    <row r="1742" spans="1:54" s="5" customFormat="1" x14ac:dyDescent="0.25">
      <c r="A1742" s="418"/>
      <c r="F1742" s="419"/>
      <c r="BB1742" s="413"/>
    </row>
    <row r="1743" spans="1:54" s="5" customFormat="1" x14ac:dyDescent="0.25">
      <c r="A1743" s="418"/>
      <c r="F1743" s="419"/>
      <c r="BB1743" s="413"/>
    </row>
    <row r="1744" spans="1:54" s="5" customFormat="1" ht="14.4" thickBot="1" x14ac:dyDescent="0.3">
      <c r="A1744" s="420"/>
      <c r="B1744" s="421"/>
      <c r="C1744" s="421"/>
      <c r="D1744" s="421"/>
      <c r="E1744" s="421"/>
      <c r="F1744" s="422"/>
      <c r="BB1744" s="413"/>
    </row>
    <row r="1745" spans="54:54" s="5" customFormat="1" x14ac:dyDescent="0.25">
      <c r="BB1745" s="413"/>
    </row>
    <row r="1746" spans="54:54" s="5" customFormat="1" x14ac:dyDescent="0.25">
      <c r="BB1746" s="413"/>
    </row>
    <row r="1747" spans="54:54" s="5" customFormat="1" x14ac:dyDescent="0.25">
      <c r="BB1747" s="413"/>
    </row>
    <row r="1748" spans="54:54" s="5" customFormat="1" x14ac:dyDescent="0.25">
      <c r="BB1748" s="413"/>
    </row>
    <row r="1749" spans="54:54" s="5" customFormat="1" x14ac:dyDescent="0.25">
      <c r="BB1749" s="413"/>
    </row>
    <row r="1750" spans="54:54" s="5" customFormat="1" x14ac:dyDescent="0.25">
      <c r="BB1750" s="413"/>
    </row>
    <row r="1751" spans="54:54" s="5" customFormat="1" x14ac:dyDescent="0.25">
      <c r="BB1751" s="413"/>
    </row>
    <row r="1752" spans="54:54" s="5" customFormat="1" x14ac:dyDescent="0.25">
      <c r="BB1752" s="413"/>
    </row>
    <row r="1753" spans="54:54" s="5" customFormat="1" x14ac:dyDescent="0.25">
      <c r="BB1753" s="413"/>
    </row>
    <row r="1754" spans="54:54" s="5" customFormat="1" x14ac:dyDescent="0.25">
      <c r="BB1754" s="413"/>
    </row>
    <row r="1755" spans="54:54" s="5" customFormat="1" x14ac:dyDescent="0.25">
      <c r="BB1755" s="413"/>
    </row>
    <row r="1756" spans="54:54" s="5" customFormat="1" x14ac:dyDescent="0.25">
      <c r="BB1756" s="413"/>
    </row>
    <row r="1757" spans="54:54" s="5" customFormat="1" x14ac:dyDescent="0.25">
      <c r="BB1757" s="413"/>
    </row>
    <row r="1758" spans="54:54" s="5" customFormat="1" x14ac:dyDescent="0.25">
      <c r="BB1758" s="413"/>
    </row>
    <row r="1759" spans="54:54" s="5" customFormat="1" x14ac:dyDescent="0.25">
      <c r="BB1759" s="413"/>
    </row>
    <row r="1760" spans="54:54" s="5" customFormat="1" x14ac:dyDescent="0.25">
      <c r="BB1760" s="413"/>
    </row>
    <row r="1761" spans="54:54" s="5" customFormat="1" x14ac:dyDescent="0.25">
      <c r="BB1761" s="413"/>
    </row>
    <row r="1762" spans="54:54" s="5" customFormat="1" x14ac:dyDescent="0.25">
      <c r="BB1762" s="413"/>
    </row>
    <row r="1763" spans="54:54" s="5" customFormat="1" x14ac:dyDescent="0.25">
      <c r="BB1763" s="413"/>
    </row>
    <row r="1764" spans="54:54" s="5" customFormat="1" x14ac:dyDescent="0.25">
      <c r="BB1764" s="413"/>
    </row>
    <row r="1765" spans="54:54" s="5" customFormat="1" x14ac:dyDescent="0.25">
      <c r="BB1765" s="413"/>
    </row>
    <row r="1766" spans="54:54" s="5" customFormat="1" x14ac:dyDescent="0.25">
      <c r="BB1766" s="413"/>
    </row>
    <row r="1767" spans="54:54" s="5" customFormat="1" x14ac:dyDescent="0.25">
      <c r="BB1767" s="413"/>
    </row>
    <row r="1768" spans="54:54" s="5" customFormat="1" x14ac:dyDescent="0.25">
      <c r="BB1768" s="413"/>
    </row>
    <row r="1769" spans="54:54" s="5" customFormat="1" x14ac:dyDescent="0.25">
      <c r="BB1769" s="413"/>
    </row>
    <row r="1770" spans="54:54" s="5" customFormat="1" x14ac:dyDescent="0.25">
      <c r="BB1770" s="413"/>
    </row>
    <row r="1771" spans="54:54" s="5" customFormat="1" x14ac:dyDescent="0.25">
      <c r="BB1771" s="413"/>
    </row>
    <row r="1772" spans="54:54" s="5" customFormat="1" x14ac:dyDescent="0.25">
      <c r="BB1772" s="413"/>
    </row>
    <row r="1773" spans="54:54" s="5" customFormat="1" x14ac:dyDescent="0.25">
      <c r="BB1773" s="413"/>
    </row>
    <row r="1774" spans="54:54" s="5" customFormat="1" x14ac:dyDescent="0.25">
      <c r="BB1774" s="413"/>
    </row>
    <row r="1775" spans="54:54" s="5" customFormat="1" x14ac:dyDescent="0.25">
      <c r="BB1775" s="413"/>
    </row>
    <row r="1776" spans="54:54" s="5" customFormat="1" x14ac:dyDescent="0.25">
      <c r="BB1776" s="413"/>
    </row>
    <row r="1777" spans="54:54" s="5" customFormat="1" x14ac:dyDescent="0.25">
      <c r="BB1777" s="413"/>
    </row>
    <row r="1778" spans="54:54" s="5" customFormat="1" x14ac:dyDescent="0.25">
      <c r="BB1778" s="413"/>
    </row>
    <row r="1779" spans="54:54" s="5" customFormat="1" x14ac:dyDescent="0.25">
      <c r="BB1779" s="413"/>
    </row>
    <row r="1780" spans="54:54" s="5" customFormat="1" x14ac:dyDescent="0.25">
      <c r="BB1780" s="413"/>
    </row>
    <row r="1781" spans="54:54" s="5" customFormat="1" x14ac:dyDescent="0.25">
      <c r="BB1781" s="413"/>
    </row>
    <row r="1782" spans="54:54" s="5" customFormat="1" x14ac:dyDescent="0.25">
      <c r="BB1782" s="413"/>
    </row>
    <row r="1783" spans="54:54" s="5" customFormat="1" x14ac:dyDescent="0.25">
      <c r="BB1783" s="413"/>
    </row>
    <row r="1784" spans="54:54" s="5" customFormat="1" x14ac:dyDescent="0.25">
      <c r="BB1784" s="413"/>
    </row>
    <row r="1785" spans="54:54" s="5" customFormat="1" x14ac:dyDescent="0.25">
      <c r="BB1785" s="413"/>
    </row>
    <row r="1786" spans="54:54" s="5" customFormat="1" x14ac:dyDescent="0.25">
      <c r="BB1786" s="413"/>
    </row>
    <row r="1787" spans="54:54" s="5" customFormat="1" x14ac:dyDescent="0.25">
      <c r="BB1787" s="413"/>
    </row>
    <row r="1788" spans="54:54" s="5" customFormat="1" x14ac:dyDescent="0.25">
      <c r="BB1788" s="413"/>
    </row>
    <row r="1789" spans="54:54" s="5" customFormat="1" x14ac:dyDescent="0.25">
      <c r="BB1789" s="413"/>
    </row>
    <row r="1790" spans="54:54" s="5" customFormat="1" x14ac:dyDescent="0.25">
      <c r="BB1790" s="413"/>
    </row>
    <row r="1791" spans="54:54" s="5" customFormat="1" x14ac:dyDescent="0.25">
      <c r="BB1791" s="413"/>
    </row>
    <row r="1792" spans="54:54" s="5" customFormat="1" x14ac:dyDescent="0.25">
      <c r="BB1792" s="413"/>
    </row>
    <row r="1793" spans="2:54" s="5" customFormat="1" x14ac:dyDescent="0.25">
      <c r="BB1793" s="413"/>
    </row>
    <row r="1794" spans="2:54" s="5" customFormat="1" hidden="1" x14ac:dyDescent="0.25">
      <c r="BB1794" s="413"/>
    </row>
    <row r="1795" spans="2:54" s="5" customFormat="1" hidden="1" x14ac:dyDescent="0.25">
      <c r="BB1795" s="413"/>
    </row>
    <row r="1796" spans="2:54" s="5" customFormat="1" hidden="1" x14ac:dyDescent="0.25">
      <c r="B1796" s="56"/>
      <c r="C1796" s="56" t="s">
        <v>997</v>
      </c>
      <c r="D1796" s="56" t="s">
        <v>998</v>
      </c>
      <c r="BB1796" s="413"/>
    </row>
    <row r="1797" spans="2:54" s="5" customFormat="1" hidden="1" x14ac:dyDescent="0.25">
      <c r="B1797" s="371"/>
      <c r="C1797" s="56"/>
      <c r="D1797" s="56"/>
      <c r="BB1797" s="413"/>
    </row>
    <row r="1798" spans="2:54" s="5" customFormat="1" hidden="1" x14ac:dyDescent="0.25">
      <c r="B1798" s="343">
        <v>43395</v>
      </c>
      <c r="C1798" s="371">
        <f>$AJ$909</f>
        <v>0</v>
      </c>
      <c r="D1798" s="371">
        <v>44</v>
      </c>
      <c r="G1798" s="370">
        <f>$AF$1039</f>
        <v>0</v>
      </c>
      <c r="H1798" s="370"/>
      <c r="I1798" s="370"/>
      <c r="J1798" s="370"/>
      <c r="K1798" s="370"/>
      <c r="L1798" s="370"/>
      <c r="M1798" s="370"/>
      <c r="N1798" s="370"/>
      <c r="O1798" s="370"/>
      <c r="P1798" s="370"/>
      <c r="Q1798" s="370"/>
      <c r="R1798" s="370"/>
      <c r="S1798" s="370"/>
      <c r="T1798" s="370"/>
      <c r="U1798" s="370"/>
      <c r="V1798" s="370"/>
      <c r="W1798" s="370"/>
      <c r="X1798" s="370"/>
      <c r="Y1798" s="370"/>
      <c r="Z1798" s="370"/>
      <c r="BB1798" s="413"/>
    </row>
    <row r="1799" spans="2:54" s="5" customFormat="1" hidden="1" x14ac:dyDescent="0.25">
      <c r="B1799" s="371"/>
      <c r="C1799" s="345"/>
      <c r="D1799" s="345"/>
      <c r="BB1799" s="413"/>
    </row>
    <row r="1800" spans="2:54" s="5" customFormat="1" hidden="1" x14ac:dyDescent="0.25">
      <c r="B1800" s="343">
        <f>B1798+14</f>
        <v>43409</v>
      </c>
      <c r="C1800" s="371">
        <v>25</v>
      </c>
      <c r="D1800" s="371">
        <v>33</v>
      </c>
      <c r="BB1800" s="413"/>
    </row>
    <row r="1801" spans="2:54" s="5" customFormat="1" hidden="1" x14ac:dyDescent="0.25">
      <c r="B1801" s="371"/>
      <c r="C1801" s="423" t="e">
        <f>C1800/C1798</f>
        <v>#DIV/0!</v>
      </c>
      <c r="D1801" s="423">
        <f>(D1798/D1800)</f>
        <v>1.3333333333333333</v>
      </c>
      <c r="BB1801" s="413"/>
    </row>
    <row r="1802" spans="2:54" s="5" customFormat="1" hidden="1" x14ac:dyDescent="0.25">
      <c r="B1802" s="370"/>
      <c r="C1802" s="370"/>
      <c r="D1802" s="370"/>
      <c r="BB1802" s="413"/>
    </row>
    <row r="1803" spans="2:54" s="5" customFormat="1" hidden="1" x14ac:dyDescent="0.25">
      <c r="B1803" s="370"/>
      <c r="C1803" s="370"/>
      <c r="D1803" s="370"/>
      <c r="BB1803" s="413"/>
    </row>
    <row r="1804" spans="2:54" s="5" customFormat="1" hidden="1" x14ac:dyDescent="0.25">
      <c r="B1804" s="370"/>
      <c r="BB1804" s="413"/>
    </row>
    <row r="1805" spans="2:54" s="5" customFormat="1" hidden="1" x14ac:dyDescent="0.25">
      <c r="B1805" s="370"/>
      <c r="BB1805" s="413"/>
    </row>
    <row r="1806" spans="2:54" s="5" customFormat="1" hidden="1" x14ac:dyDescent="0.25">
      <c r="B1806" s="370"/>
      <c r="BB1806" s="413"/>
    </row>
    <row r="1807" spans="2:54" s="5" customFormat="1" hidden="1" x14ac:dyDescent="0.25">
      <c r="B1807" s="370"/>
      <c r="BB1807" s="413"/>
    </row>
    <row r="1808" spans="2:54" s="5" customFormat="1" hidden="1" x14ac:dyDescent="0.25">
      <c r="B1808" s="370"/>
      <c r="BB1808" s="413"/>
    </row>
    <row r="1809" spans="2:54" s="5" customFormat="1" hidden="1" x14ac:dyDescent="0.25">
      <c r="B1809" s="370"/>
      <c r="BB1809" s="413"/>
    </row>
    <row r="1810" spans="2:54" s="5" customFormat="1" hidden="1" x14ac:dyDescent="0.25">
      <c r="B1810" s="370"/>
      <c r="BB1810" s="413"/>
    </row>
    <row r="1811" spans="2:54" s="5" customFormat="1" hidden="1" x14ac:dyDescent="0.25">
      <c r="B1811" s="370"/>
      <c r="BB1811" s="413"/>
    </row>
    <row r="1812" spans="2:54" s="5" customFormat="1" hidden="1" x14ac:dyDescent="0.25">
      <c r="B1812" s="370"/>
      <c r="BB1812" s="413"/>
    </row>
    <row r="1813" spans="2:54" s="5" customFormat="1" hidden="1" x14ac:dyDescent="0.25">
      <c r="B1813" s="370"/>
      <c r="BB1813" s="413"/>
    </row>
    <row r="1814" spans="2:54" s="5" customFormat="1" hidden="1" x14ac:dyDescent="0.25">
      <c r="B1814" s="370"/>
      <c r="BB1814" s="413"/>
    </row>
    <row r="1815" spans="2:54" s="5" customFormat="1" hidden="1" x14ac:dyDescent="0.25">
      <c r="B1815" s="370"/>
      <c r="BB1815" s="413"/>
    </row>
    <row r="1816" spans="2:54" s="5" customFormat="1" hidden="1" x14ac:dyDescent="0.25">
      <c r="B1816" s="370"/>
      <c r="BB1816" s="413"/>
    </row>
    <row r="1817" spans="2:54" s="5" customFormat="1" hidden="1" x14ac:dyDescent="0.25">
      <c r="B1817" s="370"/>
      <c r="BB1817" s="413"/>
    </row>
    <row r="1818" spans="2:54" s="5" customFormat="1" hidden="1" x14ac:dyDescent="0.25">
      <c r="BB1818" s="413"/>
    </row>
    <row r="1819" spans="2:54" s="5" customFormat="1" hidden="1" x14ac:dyDescent="0.25">
      <c r="BB1819" s="413"/>
    </row>
    <row r="1820" spans="2:54" s="5" customFormat="1" hidden="1" x14ac:dyDescent="0.25">
      <c r="BB1820" s="413"/>
    </row>
    <row r="1821" spans="2:54" s="5" customFormat="1" hidden="1" x14ac:dyDescent="0.25">
      <c r="BB1821" s="413"/>
    </row>
    <row r="1822" spans="2:54" s="5" customFormat="1" hidden="1" x14ac:dyDescent="0.25">
      <c r="BB1822" s="413"/>
    </row>
    <row r="1823" spans="2:54" s="5" customFormat="1" hidden="1" x14ac:dyDescent="0.25">
      <c r="BB1823" s="413"/>
    </row>
    <row r="1824" spans="2:54" s="5" customFormat="1" hidden="1" x14ac:dyDescent="0.25">
      <c r="BB1824" s="413"/>
    </row>
    <row r="1825" spans="54:54" s="5" customFormat="1" hidden="1" x14ac:dyDescent="0.25">
      <c r="BB1825" s="413"/>
    </row>
    <row r="1826" spans="54:54" s="5" customFormat="1" hidden="1" x14ac:dyDescent="0.25">
      <c r="BB1826" s="413"/>
    </row>
    <row r="1827" spans="54:54" s="5" customFormat="1" hidden="1" x14ac:dyDescent="0.25">
      <c r="BB1827" s="413"/>
    </row>
    <row r="1828" spans="54:54" s="5" customFormat="1" hidden="1" x14ac:dyDescent="0.25">
      <c r="BB1828" s="413"/>
    </row>
    <row r="1829" spans="54:54" s="5" customFormat="1" hidden="1" x14ac:dyDescent="0.25">
      <c r="BB1829" s="413"/>
    </row>
    <row r="1830" spans="54:54" s="5" customFormat="1" hidden="1" x14ac:dyDescent="0.25">
      <c r="BB1830" s="413"/>
    </row>
    <row r="1831" spans="54:54" s="5" customFormat="1" hidden="1" x14ac:dyDescent="0.25">
      <c r="BB1831" s="413"/>
    </row>
    <row r="1832" spans="54:54" s="5" customFormat="1" hidden="1" x14ac:dyDescent="0.25">
      <c r="BB1832" s="413"/>
    </row>
    <row r="1833" spans="54:54" s="5" customFormat="1" hidden="1" x14ac:dyDescent="0.25">
      <c r="BB1833" s="413"/>
    </row>
    <row r="1834" spans="54:54" s="5" customFormat="1" hidden="1" x14ac:dyDescent="0.25">
      <c r="BB1834" s="413"/>
    </row>
    <row r="1835" spans="54:54" s="5" customFormat="1" hidden="1" x14ac:dyDescent="0.25">
      <c r="BB1835" s="413"/>
    </row>
    <row r="1836" spans="54:54" s="5" customFormat="1" hidden="1" x14ac:dyDescent="0.25">
      <c r="BB1836" s="413"/>
    </row>
    <row r="1837" spans="54:54" s="5" customFormat="1" hidden="1" x14ac:dyDescent="0.25">
      <c r="BB1837" s="413"/>
    </row>
    <row r="1838" spans="54:54" s="5" customFormat="1" hidden="1" x14ac:dyDescent="0.25">
      <c r="BB1838" s="413"/>
    </row>
    <row r="1839" spans="54:54" s="5" customFormat="1" hidden="1" x14ac:dyDescent="0.25">
      <c r="BB1839" s="413"/>
    </row>
    <row r="1840" spans="54:54" s="5" customFormat="1" hidden="1" x14ac:dyDescent="0.25">
      <c r="BB1840" s="413"/>
    </row>
    <row r="1841" spans="1:54" s="5" customFormat="1" hidden="1" x14ac:dyDescent="0.25">
      <c r="BB1841" s="413"/>
    </row>
    <row r="1842" spans="1:54" s="5" customFormat="1" ht="14.4" hidden="1" thickBot="1" x14ac:dyDescent="0.3">
      <c r="A1842" s="424"/>
      <c r="B1842" s="424"/>
      <c r="C1842" s="424"/>
      <c r="D1842" s="424"/>
      <c r="E1842" s="424"/>
      <c r="F1842" s="424"/>
      <c r="BB1842" s="413"/>
    </row>
    <row r="1843" spans="1:54" hidden="1" x14ac:dyDescent="0.25"/>
    <row r="1844" spans="1:54" hidden="1" x14ac:dyDescent="0.25"/>
    <row r="1845" spans="1:54" ht="14.4" hidden="1" x14ac:dyDescent="0.3">
      <c r="B1845" s="56" t="s">
        <v>999</v>
      </c>
      <c r="D1845" s="77" t="s">
        <v>139</v>
      </c>
    </row>
    <row r="1846" spans="1:54" ht="14.4" hidden="1" x14ac:dyDescent="0.3">
      <c r="B1846" s="56" t="s">
        <v>1000</v>
      </c>
      <c r="D1846" s="77" t="s">
        <v>1001</v>
      </c>
    </row>
    <row r="1847" spans="1:54" ht="14.4" hidden="1" x14ac:dyDescent="0.3">
      <c r="B1847" s="28" t="s">
        <v>138</v>
      </c>
      <c r="D1847" s="77" t="s">
        <v>1002</v>
      </c>
    </row>
    <row r="1848" spans="1:54" ht="14.4" hidden="1" x14ac:dyDescent="0.3">
      <c r="B1848" s="56" t="s">
        <v>1003</v>
      </c>
      <c r="D1848" s="77" t="s">
        <v>1004</v>
      </c>
    </row>
    <row r="1849" spans="1:54" ht="14.4" hidden="1" x14ac:dyDescent="0.3">
      <c r="B1849" s="28" t="s">
        <v>1005</v>
      </c>
      <c r="D1849" s="77" t="s">
        <v>1006</v>
      </c>
    </row>
    <row r="1850" spans="1:54" ht="14.4" hidden="1" x14ac:dyDescent="0.3">
      <c r="B1850" s="28"/>
      <c r="D1850" s="77" t="s">
        <v>1007</v>
      </c>
    </row>
    <row r="1851" spans="1:54" hidden="1" x14ac:dyDescent="0.25"/>
    <row r="1852" spans="1:54" hidden="1" x14ac:dyDescent="0.25"/>
    <row r="1853" spans="1:54" hidden="1" x14ac:dyDescent="0.25">
      <c r="B1853" s="56" t="s">
        <v>185</v>
      </c>
    </row>
    <row r="1854" spans="1:54" hidden="1" x14ac:dyDescent="0.25">
      <c r="B1854" s="56" t="s">
        <v>240</v>
      </c>
    </row>
    <row r="1855" spans="1:54" hidden="1" x14ac:dyDescent="0.25">
      <c r="B1855" s="56" t="s">
        <v>1008</v>
      </c>
    </row>
    <row r="1856" spans="1:54" hidden="1" x14ac:dyDescent="0.25">
      <c r="B1856" s="56" t="s">
        <v>188</v>
      </c>
    </row>
    <row r="1857" spans="2:5" hidden="1" x14ac:dyDescent="0.25"/>
    <row r="1858" spans="2:5" hidden="1" x14ac:dyDescent="0.25"/>
    <row r="1859" spans="2:5" ht="14.4" hidden="1" x14ac:dyDescent="0.3">
      <c r="B1859" s="425" t="s">
        <v>1009</v>
      </c>
    </row>
    <row r="1860" spans="2:5" ht="14.4" hidden="1" x14ac:dyDescent="0.3">
      <c r="B1860" s="425" t="s">
        <v>1010</v>
      </c>
    </row>
    <row r="1861" spans="2:5" ht="14.4" hidden="1" x14ac:dyDescent="0.3">
      <c r="B1861" s="425" t="s">
        <v>1011</v>
      </c>
    </row>
    <row r="1862" spans="2:5" ht="14.4" hidden="1" x14ac:dyDescent="0.3">
      <c r="B1862" s="425" t="s">
        <v>242</v>
      </c>
      <c r="D1862" s="425" t="s">
        <v>1012</v>
      </c>
    </row>
    <row r="1863" spans="2:5" ht="14.4" hidden="1" x14ac:dyDescent="0.3">
      <c r="B1863" s="425" t="s">
        <v>1013</v>
      </c>
    </row>
    <row r="1864" spans="2:5" hidden="1" x14ac:dyDescent="0.25"/>
    <row r="1865" spans="2:5" hidden="1" x14ac:dyDescent="0.25"/>
    <row r="1866" spans="2:5" hidden="1" x14ac:dyDescent="0.25"/>
    <row r="1867" spans="2:5" hidden="1" x14ac:dyDescent="0.25"/>
    <row r="1868" spans="2:5" hidden="1" x14ac:dyDescent="0.25"/>
    <row r="1869" spans="2:5" ht="14.4" hidden="1" x14ac:dyDescent="0.3">
      <c r="B1869" s="80"/>
    </row>
    <row r="1870" spans="2:5" ht="15" hidden="1" x14ac:dyDescent="0.25">
      <c r="B1870" s="426" t="s">
        <v>1014</v>
      </c>
    </row>
    <row r="1871" spans="2:5" hidden="1" x14ac:dyDescent="0.25">
      <c r="B1871" s="56" t="s">
        <v>323</v>
      </c>
      <c r="E1871" s="56">
        <v>0</v>
      </c>
    </row>
    <row r="1872" spans="2:5" hidden="1" x14ac:dyDescent="0.25">
      <c r="B1872" s="56" t="s">
        <v>340</v>
      </c>
      <c r="E1872" s="56">
        <v>1</v>
      </c>
    </row>
    <row r="1873" spans="2:54" hidden="1" x14ac:dyDescent="0.25">
      <c r="B1873" s="56" t="s">
        <v>373</v>
      </c>
      <c r="E1873" s="56">
        <v>2</v>
      </c>
    </row>
    <row r="1874" spans="2:54" hidden="1" x14ac:dyDescent="0.25">
      <c r="B1874" s="56" t="s">
        <v>331</v>
      </c>
      <c r="C1874" s="60"/>
      <c r="D1874" s="60"/>
      <c r="E1874" s="60">
        <v>4</v>
      </c>
      <c r="F1874" s="60"/>
    </row>
    <row r="1875" spans="2:54" hidden="1" x14ac:dyDescent="0.25">
      <c r="C1875" s="60"/>
      <c r="D1875" s="60"/>
      <c r="E1875" s="60"/>
      <c r="F1875" s="60"/>
    </row>
    <row r="1876" spans="2:54" ht="15" hidden="1" x14ac:dyDescent="0.25">
      <c r="B1876" s="426" t="s">
        <v>1015</v>
      </c>
      <c r="C1876" s="60"/>
      <c r="D1876" s="60"/>
      <c r="E1876" s="60"/>
      <c r="F1876" s="60"/>
    </row>
    <row r="1877" spans="2:54" hidden="1" x14ac:dyDescent="0.25">
      <c r="B1877" s="56" t="s">
        <v>388</v>
      </c>
      <c r="E1877" s="112">
        <f t="shared" ref="E1877:E1882" si="61">AC1877</f>
        <v>0.25000000000000006</v>
      </c>
      <c r="F1877" s="112"/>
      <c r="G1877" s="5">
        <f>G1878-0.1</f>
        <v>0.50000000000000011</v>
      </c>
      <c r="AA1877" s="112"/>
      <c r="AB1877" s="112">
        <f t="shared" ref="AB1877:AD1880" si="62">AB1878-0.05</f>
        <v>0.49999999999999983</v>
      </c>
      <c r="AC1877" s="112">
        <f t="shared" si="62"/>
        <v>0.25000000000000006</v>
      </c>
      <c r="AD1877" s="112">
        <f t="shared" si="62"/>
        <v>0</v>
      </c>
      <c r="AE1877" s="112">
        <f>AE1878-0.2</f>
        <v>0</v>
      </c>
      <c r="BB1877" s="56"/>
    </row>
    <row r="1878" spans="2:54" hidden="1" x14ac:dyDescent="0.25">
      <c r="B1878" s="56" t="s">
        <v>351</v>
      </c>
      <c r="E1878" s="112">
        <f t="shared" si="61"/>
        <v>0.30000000000000004</v>
      </c>
      <c r="F1878" s="112"/>
      <c r="G1878" s="5">
        <f>G1879-0.1</f>
        <v>0.60000000000000009</v>
      </c>
      <c r="AA1878" s="112"/>
      <c r="AB1878" s="112">
        <f t="shared" si="62"/>
        <v>0.54999999999999982</v>
      </c>
      <c r="AC1878" s="112">
        <f t="shared" si="62"/>
        <v>0.30000000000000004</v>
      </c>
      <c r="AD1878" s="112">
        <f t="shared" si="62"/>
        <v>5.0000000000000017E-2</v>
      </c>
      <c r="AE1878" s="112">
        <f>AE1879-0.2</f>
        <v>0.20000000000000007</v>
      </c>
      <c r="BB1878" s="56"/>
    </row>
    <row r="1879" spans="2:54" hidden="1" x14ac:dyDescent="0.25">
      <c r="B1879" s="56" t="s">
        <v>358</v>
      </c>
      <c r="E1879" s="112">
        <f t="shared" si="61"/>
        <v>0.35000000000000003</v>
      </c>
      <c r="F1879" s="112"/>
      <c r="G1879" s="5">
        <f>G1880-0.1</f>
        <v>0.70000000000000007</v>
      </c>
      <c r="AA1879" s="112"/>
      <c r="AB1879" s="112">
        <f t="shared" si="62"/>
        <v>0.59999999999999987</v>
      </c>
      <c r="AC1879" s="112">
        <f t="shared" si="62"/>
        <v>0.35000000000000003</v>
      </c>
      <c r="AD1879" s="112">
        <f t="shared" si="62"/>
        <v>0.10000000000000002</v>
      </c>
      <c r="AE1879" s="112">
        <f>AE1880-0.2</f>
        <v>0.40000000000000008</v>
      </c>
      <c r="BB1879" s="56"/>
    </row>
    <row r="1880" spans="2:54" hidden="1" x14ac:dyDescent="0.25">
      <c r="B1880" s="56" t="s">
        <v>423</v>
      </c>
      <c r="E1880" s="112">
        <f t="shared" si="61"/>
        <v>0.4</v>
      </c>
      <c r="F1880" s="112"/>
      <c r="G1880" s="5">
        <f>G1881-0.1</f>
        <v>0.8</v>
      </c>
      <c r="AA1880" s="112"/>
      <c r="AB1880" s="112">
        <f t="shared" si="62"/>
        <v>0.64999999999999991</v>
      </c>
      <c r="AC1880" s="112">
        <f t="shared" si="62"/>
        <v>0.4</v>
      </c>
      <c r="AD1880" s="112">
        <f t="shared" si="62"/>
        <v>0.15000000000000002</v>
      </c>
      <c r="AE1880" s="112">
        <f>AE1881-0.2</f>
        <v>0.60000000000000009</v>
      </c>
      <c r="BB1880" s="56"/>
    </row>
    <row r="1881" spans="2:54" hidden="1" x14ac:dyDescent="0.25">
      <c r="B1881" s="56" t="s">
        <v>347</v>
      </c>
      <c r="E1881" s="112">
        <f t="shared" si="61"/>
        <v>0.45</v>
      </c>
      <c r="F1881" s="112"/>
      <c r="G1881" s="5">
        <f>G1882-0.1</f>
        <v>0.9</v>
      </c>
      <c r="AA1881" s="112"/>
      <c r="AB1881" s="112">
        <f>AB1882-0.05</f>
        <v>0.7</v>
      </c>
      <c r="AC1881" s="112">
        <f>AC1882-0.05</f>
        <v>0.45</v>
      </c>
      <c r="AD1881" s="112">
        <f>AD1882-0.05</f>
        <v>0.2</v>
      </c>
      <c r="AE1881" s="112">
        <f>AE1882-0.2</f>
        <v>0.8</v>
      </c>
      <c r="BB1881" s="56"/>
    </row>
    <row r="1882" spans="2:54" hidden="1" x14ac:dyDescent="0.25">
      <c r="B1882" s="56" t="s">
        <v>332</v>
      </c>
      <c r="E1882" s="112">
        <f t="shared" si="61"/>
        <v>0.5</v>
      </c>
      <c r="F1882" s="112"/>
      <c r="G1882" s="5">
        <v>1</v>
      </c>
      <c r="AA1882" s="112"/>
      <c r="AB1882" s="112">
        <v>0.75</v>
      </c>
      <c r="AC1882" s="56">
        <v>0.5</v>
      </c>
      <c r="AD1882" s="112">
        <v>0.25</v>
      </c>
      <c r="AE1882" s="112">
        <v>1</v>
      </c>
      <c r="BB1882" s="56"/>
    </row>
    <row r="1883" spans="2:54" hidden="1" x14ac:dyDescent="0.25">
      <c r="C1883" s="60"/>
      <c r="D1883" s="60"/>
      <c r="BB1883" s="56"/>
    </row>
    <row r="1884" spans="2:54" ht="15" hidden="1" x14ac:dyDescent="0.25">
      <c r="B1884" s="426" t="s">
        <v>1016</v>
      </c>
      <c r="BB1884" s="56"/>
    </row>
    <row r="1885" spans="2:54" hidden="1" x14ac:dyDescent="0.25">
      <c r="B1885" s="56" t="s">
        <v>1017</v>
      </c>
      <c r="E1885" s="112">
        <v>-2</v>
      </c>
      <c r="F1885" s="112"/>
      <c r="BB1885" s="56"/>
    </row>
    <row r="1886" spans="2:54" hidden="1" x14ac:dyDescent="0.25">
      <c r="B1886" s="56" t="s">
        <v>1018</v>
      </c>
      <c r="E1886" s="112">
        <v>-1</v>
      </c>
      <c r="F1886" s="112"/>
      <c r="BB1886" s="56"/>
    </row>
    <row r="1887" spans="2:54" hidden="1" x14ac:dyDescent="0.25">
      <c r="B1887" s="56" t="s">
        <v>1019</v>
      </c>
      <c r="E1887" s="112">
        <v>-0.5</v>
      </c>
      <c r="F1887" s="112"/>
      <c r="BB1887" s="56"/>
    </row>
    <row r="1888" spans="2:54" hidden="1" x14ac:dyDescent="0.25">
      <c r="B1888" s="56" t="s">
        <v>1020</v>
      </c>
      <c r="E1888" s="112">
        <v>-0.25</v>
      </c>
      <c r="F1888" s="112"/>
      <c r="BB1888" s="56"/>
    </row>
    <row r="1889" spans="2:54" hidden="1" x14ac:dyDescent="0.25">
      <c r="B1889" s="56" t="s">
        <v>1021</v>
      </c>
      <c r="E1889" s="112">
        <v>0</v>
      </c>
      <c r="F1889" s="112"/>
      <c r="BB1889" s="56"/>
    </row>
    <row r="1890" spans="2:54" hidden="1" x14ac:dyDescent="0.25">
      <c r="B1890" s="56" t="s">
        <v>1022</v>
      </c>
      <c r="E1890" s="112">
        <v>0.25</v>
      </c>
      <c r="F1890" s="112"/>
      <c r="BB1890" s="56"/>
    </row>
    <row r="1891" spans="2:54" hidden="1" x14ac:dyDescent="0.25">
      <c r="B1891" s="56" t="s">
        <v>1023</v>
      </c>
      <c r="E1891" s="112">
        <v>0.5</v>
      </c>
      <c r="F1891" s="112"/>
      <c r="BB1891" s="56"/>
    </row>
    <row r="1892" spans="2:54" hidden="1" x14ac:dyDescent="0.25">
      <c r="B1892" s="56" t="s">
        <v>341</v>
      </c>
      <c r="E1892" s="112">
        <v>1</v>
      </c>
      <c r="F1892" s="112"/>
      <c r="BB1892" s="56"/>
    </row>
    <row r="1893" spans="2:54" hidden="1" x14ac:dyDescent="0.25"/>
    <row r="1894" spans="2:54" hidden="1" x14ac:dyDescent="0.25"/>
    <row r="1895" spans="2:54" ht="15.6" hidden="1" x14ac:dyDescent="0.3">
      <c r="B1895" s="426" t="s">
        <v>1024</v>
      </c>
      <c r="D1895" s="427" t="s">
        <v>1025</v>
      </c>
      <c r="BB1895" s="56"/>
    </row>
    <row r="1896" spans="2:54" ht="14.4" hidden="1" x14ac:dyDescent="0.3">
      <c r="B1896" s="56" t="s">
        <v>264</v>
      </c>
      <c r="D1896" s="77" t="s">
        <v>1026</v>
      </c>
      <c r="G1896" s="5">
        <v>0.12</v>
      </c>
      <c r="AC1896" s="56" t="str">
        <f>B1896</f>
        <v>By URL below, searchable text  (best)</v>
      </c>
      <c r="AD1896" s="56" t="str">
        <f>B1897</f>
        <v>By URL below, audio/visual recording  (great)</v>
      </c>
      <c r="AE1896" s="56" t="str">
        <f>B1898</f>
        <v>By URL below, image only  (good)</v>
      </c>
      <c r="AF1896" s="56" t="str">
        <f>B1899</f>
        <v>By email below  (fair)</v>
      </c>
      <c r="AG1896" s="56" t="str">
        <f>B1900</f>
        <v>Not at this time  (poor)</v>
      </c>
      <c r="AH1896" s="56" t="str">
        <f>B1901</f>
        <v>Not applicable  (okay)</v>
      </c>
      <c r="BB1896" s="56"/>
    </row>
    <row r="1897" spans="2:54" ht="14.4" hidden="1" x14ac:dyDescent="0.3">
      <c r="B1897" s="56" t="s">
        <v>1027</v>
      </c>
      <c r="D1897" s="77" t="s">
        <v>1028</v>
      </c>
      <c r="G1897" s="5">
        <v>0.25</v>
      </c>
      <c r="BB1897" s="56"/>
    </row>
    <row r="1898" spans="2:54" ht="14.4" hidden="1" x14ac:dyDescent="0.3">
      <c r="B1898" s="56" t="s">
        <v>276</v>
      </c>
      <c r="D1898" s="77" t="s">
        <v>1029</v>
      </c>
      <c r="G1898" s="5">
        <v>0.5</v>
      </c>
      <c r="BB1898" s="56"/>
    </row>
    <row r="1899" spans="2:54" ht="14.4" hidden="1" x14ac:dyDescent="0.3">
      <c r="B1899" s="56" t="s">
        <v>1030</v>
      </c>
      <c r="D1899" s="77" t="s">
        <v>1031</v>
      </c>
      <c r="G1899" s="5">
        <v>1</v>
      </c>
      <c r="BB1899" s="56"/>
    </row>
    <row r="1900" spans="2:54" ht="14.4" hidden="1" x14ac:dyDescent="0.3">
      <c r="B1900" s="56" t="s">
        <v>1032</v>
      </c>
      <c r="D1900" s="77" t="s">
        <v>270</v>
      </c>
      <c r="G1900" s="5">
        <v>0</v>
      </c>
      <c r="BB1900" s="56"/>
    </row>
    <row r="1901" spans="2:54" hidden="1" x14ac:dyDescent="0.25">
      <c r="B1901" s="56" t="s">
        <v>1033</v>
      </c>
      <c r="D1901" s="56" t="s">
        <v>1034</v>
      </c>
      <c r="BB1901" s="56"/>
    </row>
    <row r="1902" spans="2:54" hidden="1" x14ac:dyDescent="0.25"/>
    <row r="1903" spans="2:54" hidden="1" x14ac:dyDescent="0.25"/>
    <row r="1904" spans="2:54" hidden="1" x14ac:dyDescent="0.25">
      <c r="B1904" s="56" t="s">
        <v>11</v>
      </c>
      <c r="BB1904" s="56"/>
    </row>
    <row r="1905" spans="2:54" hidden="1" x14ac:dyDescent="0.25">
      <c r="B1905" s="56" t="s">
        <v>1035</v>
      </c>
      <c r="BB1905" s="56"/>
    </row>
    <row r="1906" spans="2:54" hidden="1" x14ac:dyDescent="0.25">
      <c r="B1906" s="56" t="s">
        <v>1036</v>
      </c>
      <c r="BB1906" s="56"/>
    </row>
    <row r="1907" spans="2:54" hidden="1" x14ac:dyDescent="0.25"/>
    <row r="1908" spans="2:54" ht="14.4" hidden="1" x14ac:dyDescent="0.3">
      <c r="B1908" s="77" t="s">
        <v>512</v>
      </c>
      <c r="BB1908" s="56"/>
    </row>
    <row r="1909" spans="2:54" ht="14.4" hidden="1" x14ac:dyDescent="0.3">
      <c r="B1909" s="77" t="s">
        <v>503</v>
      </c>
      <c r="BB1909" s="56"/>
    </row>
    <row r="1910" spans="2:54" ht="14.4" hidden="1" x14ac:dyDescent="0.3">
      <c r="B1910" s="77" t="s">
        <v>485</v>
      </c>
      <c r="BB1910" s="56"/>
    </row>
    <row r="1911" spans="2:54" hidden="1" x14ac:dyDescent="0.25"/>
    <row r="1912" spans="2:54" ht="14.4" hidden="1" x14ac:dyDescent="0.3">
      <c r="B1912" s="77" t="s">
        <v>506</v>
      </c>
      <c r="BB1912" s="56"/>
    </row>
    <row r="1913" spans="2:54" ht="14.4" hidden="1" x14ac:dyDescent="0.3">
      <c r="B1913" s="77" t="s">
        <v>494</v>
      </c>
      <c r="BB1913" s="56"/>
    </row>
    <row r="1914" spans="2:54" ht="14.4" hidden="1" x14ac:dyDescent="0.3">
      <c r="B1914" s="77" t="s">
        <v>487</v>
      </c>
      <c r="BB1914" s="56"/>
    </row>
    <row r="1915" spans="2:54" hidden="1" x14ac:dyDescent="0.25"/>
    <row r="1916" spans="2:54" hidden="1" x14ac:dyDescent="0.25"/>
    <row r="1917" spans="2:54" ht="14.4" hidden="1" x14ac:dyDescent="0.3">
      <c r="B1917" s="427" t="s">
        <v>1037</v>
      </c>
    </row>
    <row r="1918" spans="2:54" ht="14.4" hidden="1" x14ac:dyDescent="0.3">
      <c r="B1918" s="77" t="s">
        <v>568</v>
      </c>
    </row>
    <row r="1919" spans="2:54" ht="14.4" hidden="1" x14ac:dyDescent="0.3">
      <c r="B1919" s="77" t="s">
        <v>563</v>
      </c>
    </row>
    <row r="1920" spans="2:54" ht="14.4" hidden="1" x14ac:dyDescent="0.3">
      <c r="B1920" s="77" t="s">
        <v>565</v>
      </c>
    </row>
    <row r="1921" spans="2:2" ht="14.4" hidden="1" x14ac:dyDescent="0.3">
      <c r="B1921" s="77" t="s">
        <v>560</v>
      </c>
    </row>
    <row r="1922" spans="2:2" ht="14.4" hidden="1" x14ac:dyDescent="0.3">
      <c r="B1922" s="77" t="s">
        <v>1038</v>
      </c>
    </row>
    <row r="1923" spans="2:2" hidden="1" x14ac:dyDescent="0.25"/>
    <row r="1924" spans="2:2" hidden="1" x14ac:dyDescent="0.25"/>
    <row r="1925" spans="2:2" ht="14.4" hidden="1" x14ac:dyDescent="0.3">
      <c r="B1925" s="427" t="s">
        <v>1039</v>
      </c>
    </row>
    <row r="1926" spans="2:2" ht="14.4" hidden="1" x14ac:dyDescent="0.3">
      <c r="B1926" s="77" t="s">
        <v>583</v>
      </c>
    </row>
    <row r="1927" spans="2:2" ht="14.4" hidden="1" x14ac:dyDescent="0.3">
      <c r="B1927" s="77" t="s">
        <v>1040</v>
      </c>
    </row>
    <row r="1928" spans="2:2" ht="14.4" hidden="1" x14ac:dyDescent="0.3">
      <c r="B1928" s="77" t="s">
        <v>1041</v>
      </c>
    </row>
    <row r="1929" spans="2:2" ht="14.4" hidden="1" x14ac:dyDescent="0.3">
      <c r="B1929" s="77" t="s">
        <v>575</v>
      </c>
    </row>
    <row r="1930" spans="2:2" ht="14.4" hidden="1" x14ac:dyDescent="0.3">
      <c r="B1930" s="77" t="s">
        <v>578</v>
      </c>
    </row>
    <row r="1931" spans="2:2" ht="14.4" hidden="1" x14ac:dyDescent="0.3">
      <c r="B1931" s="77" t="s">
        <v>1042</v>
      </c>
    </row>
    <row r="1932" spans="2:2" ht="14.4" hidden="1" x14ac:dyDescent="0.3">
      <c r="B1932" s="77" t="s">
        <v>580</v>
      </c>
    </row>
    <row r="1933" spans="2:2" ht="14.4" hidden="1" x14ac:dyDescent="0.3">
      <c r="B1933" s="77"/>
    </row>
    <row r="1934" spans="2:2" ht="14.4" hidden="1" x14ac:dyDescent="0.3">
      <c r="B1934" s="77"/>
    </row>
    <row r="1935" spans="2:2" ht="14.4" hidden="1" x14ac:dyDescent="0.3">
      <c r="B1935" s="427" t="s">
        <v>1043</v>
      </c>
    </row>
    <row r="1936" spans="2:2" ht="14.4" hidden="1" x14ac:dyDescent="0.3">
      <c r="B1936" s="77" t="s">
        <v>1044</v>
      </c>
    </row>
    <row r="1937" spans="2:4" ht="14.4" hidden="1" x14ac:dyDescent="0.3">
      <c r="B1937" s="77" t="s">
        <v>473</v>
      </c>
    </row>
    <row r="1938" spans="2:4" ht="14.4" hidden="1" x14ac:dyDescent="0.3">
      <c r="B1938" s="77" t="s">
        <v>471</v>
      </c>
    </row>
    <row r="1939" spans="2:4" ht="14.4" hidden="1" x14ac:dyDescent="0.3">
      <c r="B1939" s="77" t="s">
        <v>1045</v>
      </c>
    </row>
    <row r="1940" spans="2:4" ht="14.4" hidden="1" x14ac:dyDescent="0.3">
      <c r="B1940" s="77" t="s">
        <v>476</v>
      </c>
    </row>
    <row r="1941" spans="2:4" ht="14.4" hidden="1" x14ac:dyDescent="0.3">
      <c r="B1941" s="77" t="s">
        <v>1046</v>
      </c>
    </row>
    <row r="1942" spans="2:4" ht="14.4" hidden="1" x14ac:dyDescent="0.3">
      <c r="B1942" s="77"/>
    </row>
    <row r="1943" spans="2:4" ht="14.4" hidden="1" x14ac:dyDescent="0.3">
      <c r="B1943" s="77"/>
    </row>
    <row r="1944" spans="2:4" ht="14.4" hidden="1" x14ac:dyDescent="0.3">
      <c r="B1944" s="427" t="s">
        <v>1047</v>
      </c>
    </row>
    <row r="1945" spans="2:4" ht="14.4" hidden="1" x14ac:dyDescent="0.3">
      <c r="B1945" s="77" t="s">
        <v>1048</v>
      </c>
      <c r="D1945" s="77" t="str">
        <f>B1484</f>
        <v xml:space="preserve">Entity name: </v>
      </c>
    </row>
    <row r="1946" spans="2:4" ht="14.4" hidden="1" x14ac:dyDescent="0.3">
      <c r="B1946" s="77" t="s">
        <v>1049</v>
      </c>
      <c r="D1946" s="77" t="str">
        <f>B1485</f>
        <v xml:space="preserve">Contact person: </v>
      </c>
    </row>
    <row r="1947" spans="2:4" ht="14.4" hidden="1" x14ac:dyDescent="0.3">
      <c r="B1947" s="77" t="s">
        <v>1050</v>
      </c>
      <c r="D1947" s="77" t="str">
        <f>B1487</f>
        <v xml:space="preserve">Email address: </v>
      </c>
    </row>
    <row r="1948" spans="2:4" ht="14.4" hidden="1" x14ac:dyDescent="0.3">
      <c r="B1948" s="77" t="s">
        <v>1051</v>
      </c>
      <c r="D1948" s="77" t="str">
        <f>B1488</f>
        <v xml:space="preserve">Mailing address: </v>
      </c>
    </row>
    <row r="1949" spans="2:4" ht="14.4" hidden="1" x14ac:dyDescent="0.3">
      <c r="B1949" s="77"/>
      <c r="D1949" s="56" t="str">
        <f>B1488</f>
        <v xml:space="preserve">Mailing address: </v>
      </c>
    </row>
    <row r="1950" spans="2:4" ht="14.4" hidden="1" x14ac:dyDescent="0.3">
      <c r="B1950" s="77"/>
      <c r="D1950" s="56">
        <f>B1489</f>
        <v>0</v>
      </c>
    </row>
    <row r="1951" spans="2:4" ht="14.4" hidden="1" x14ac:dyDescent="0.3">
      <c r="B1951" s="77" t="str">
        <f>CONCATENATE(B1945,D$1945)</f>
        <v xml:space="preserve">no, I don't need to notify any Entity name: </v>
      </c>
      <c r="D1951" s="56">
        <f>B1490</f>
        <v>0</v>
      </c>
    </row>
    <row r="1952" spans="2:4" ht="14.4" hidden="1" x14ac:dyDescent="0.3">
      <c r="B1952" s="77" t="str">
        <f>CONCATENATE(B1946,D$1945)</f>
        <v xml:space="preserve">I have not yet decided if needing to notify any Entity name: </v>
      </c>
    </row>
    <row r="1953" spans="2:2" ht="14.4" hidden="1" x14ac:dyDescent="0.3">
      <c r="B1953" s="77" t="str">
        <f>CONCATENATE(B1947,D$1945)</f>
        <v xml:space="preserve">yes, but I'll let you know when I need to notifiy any Entity name: </v>
      </c>
    </row>
    <row r="1954" spans="2:2" ht="14.4" hidden="1" x14ac:dyDescent="0.3">
      <c r="B1954" s="77" t="str">
        <f>CONCATENATE(B1948,D$1945)</f>
        <v xml:space="preserve">yes, I need you to immediately notify Entity name: </v>
      </c>
    </row>
    <row r="1955" spans="2:2" ht="14.4" hidden="1" x14ac:dyDescent="0.3">
      <c r="B1955" s="77"/>
    </row>
    <row r="1956" spans="2:2" ht="14.4" hidden="1" x14ac:dyDescent="0.3">
      <c r="B1956" s="77" t="str">
        <f>CONCATENATE(B1945,D$1946)</f>
        <v xml:space="preserve">no, I don't need to notify any Contact person: </v>
      </c>
    </row>
    <row r="1957" spans="2:2" ht="14.4" hidden="1" x14ac:dyDescent="0.3">
      <c r="B1957" s="77" t="str">
        <f>CONCATENATE(B1946,D$1946)</f>
        <v xml:space="preserve">I have not yet decided if needing to notify any Contact person: </v>
      </c>
    </row>
    <row r="1958" spans="2:2" ht="14.4" hidden="1" x14ac:dyDescent="0.3">
      <c r="B1958" s="77" t="str">
        <f>CONCATENATE(B1947,D$1946)</f>
        <v xml:space="preserve">yes, but I'll let you know when I need to notifiy any Contact person: </v>
      </c>
    </row>
    <row r="1959" spans="2:2" ht="14.4" hidden="1" x14ac:dyDescent="0.3">
      <c r="B1959" s="77" t="str">
        <f>CONCATENATE(B1948,D$1946)</f>
        <v xml:space="preserve">yes, I need you to immediately notify Contact person: </v>
      </c>
    </row>
    <row r="1960" spans="2:2" ht="14.4" hidden="1" x14ac:dyDescent="0.3">
      <c r="B1960" s="77"/>
    </row>
    <row r="1961" spans="2:2" ht="14.4" hidden="1" x14ac:dyDescent="0.3">
      <c r="B1961" s="77" t="str">
        <f>CONCATENATE(B1945,D$1947)</f>
        <v xml:space="preserve">no, I don't need to notify any Email address: </v>
      </c>
    </row>
    <row r="1962" spans="2:2" ht="14.4" hidden="1" x14ac:dyDescent="0.3">
      <c r="B1962" s="77" t="str">
        <f>CONCATENATE(B1946,D$1947)</f>
        <v xml:space="preserve">I have not yet decided if needing to notify any Email address: </v>
      </c>
    </row>
    <row r="1963" spans="2:2" ht="14.4" hidden="1" x14ac:dyDescent="0.3">
      <c r="B1963" s="77" t="str">
        <f>CONCATENATE(B1947,D$1947)</f>
        <v xml:space="preserve">yes, but I'll let you know when I need to notifiy any Email address: </v>
      </c>
    </row>
    <row r="1964" spans="2:2" ht="14.4" hidden="1" x14ac:dyDescent="0.3">
      <c r="B1964" s="77" t="str">
        <f>CONCATENATE(B1948,D$1947)</f>
        <v xml:space="preserve">yes, I need you to immediately notify Email address: </v>
      </c>
    </row>
    <row r="1965" spans="2:2" ht="14.4" hidden="1" x14ac:dyDescent="0.3">
      <c r="B1965" s="77"/>
    </row>
    <row r="1966" spans="2:2" ht="14.4" hidden="1" x14ac:dyDescent="0.3">
      <c r="B1966" s="77" t="str">
        <f>CONCATENATE(B1945,D$1948)</f>
        <v xml:space="preserve">no, I don't need to notify any Mailing address: </v>
      </c>
    </row>
    <row r="1967" spans="2:2" ht="14.4" hidden="1" x14ac:dyDescent="0.3">
      <c r="B1967" s="77" t="str">
        <f>CONCATENATE(B1946,D$1948)</f>
        <v xml:space="preserve">I have not yet decided if needing to notify any Mailing address: </v>
      </c>
    </row>
    <row r="1968" spans="2:2" ht="14.4" hidden="1" x14ac:dyDescent="0.3">
      <c r="B1968" s="77" t="str">
        <f>CONCATENATE(B1947,D$1948)</f>
        <v xml:space="preserve">yes, but I'll let you know when I need to notifiy any Mailing address: </v>
      </c>
    </row>
    <row r="1969" spans="2:33" ht="14.4" hidden="1" x14ac:dyDescent="0.3">
      <c r="B1969" s="77" t="str">
        <f>CONCATENATE(B1948,D$1948)</f>
        <v xml:space="preserve">yes, I need you to immediately notify Mailing address: </v>
      </c>
    </row>
    <row r="1970" spans="2:33" ht="14.4" hidden="1" x14ac:dyDescent="0.3">
      <c r="B1970" s="77"/>
    </row>
    <row r="1971" spans="2:33" ht="14.4" hidden="1" x14ac:dyDescent="0.3">
      <c r="B1971" s="77" t="str">
        <f>IF(D$1949=0,"",CONCATENATE(B1945,D$1949))</f>
        <v xml:space="preserve">no, I don't need to notify any Mailing address: </v>
      </c>
    </row>
    <row r="1972" spans="2:33" ht="133.19999999999999" hidden="1" customHeight="1" x14ac:dyDescent="0.3">
      <c r="B1972" s="427" t="s">
        <v>1052</v>
      </c>
      <c r="AC1972" s="428" t="str">
        <f>B1973</f>
        <v>no, not at this time</v>
      </c>
      <c r="AD1972" s="429" t="str">
        <f>B1974</f>
        <v>perhaps with more information</v>
      </c>
      <c r="AE1972" s="430" t="str">
        <f>B1975</f>
        <v>perhaps with some help</v>
      </c>
      <c r="AF1972" s="431" t="str">
        <f>B1976</f>
        <v xml:space="preserve">yes, with help affording or handling it </v>
      </c>
      <c r="AG1972" s="432" t="str">
        <f>B1977</f>
        <v>yes, as soon as possible</v>
      </c>
    </row>
    <row r="1973" spans="2:33" ht="14.4" hidden="1" x14ac:dyDescent="0.3">
      <c r="B1973" s="77" t="s">
        <v>1053</v>
      </c>
    </row>
    <row r="1974" spans="2:33" ht="14.4" hidden="1" x14ac:dyDescent="0.3">
      <c r="B1974" s="77" t="s">
        <v>1054</v>
      </c>
    </row>
    <row r="1975" spans="2:33" ht="14.4" hidden="1" x14ac:dyDescent="0.3">
      <c r="B1975" s="77" t="s">
        <v>1055</v>
      </c>
    </row>
    <row r="1976" spans="2:33" ht="14.4" hidden="1" x14ac:dyDescent="0.3">
      <c r="B1976" s="77" t="s">
        <v>1056</v>
      </c>
    </row>
    <row r="1977" spans="2:33" ht="14.4" hidden="1" x14ac:dyDescent="0.3">
      <c r="B1977" s="77" t="s">
        <v>1057</v>
      </c>
    </row>
    <row r="1978" spans="2:33" ht="14.4" hidden="1" x14ac:dyDescent="0.3">
      <c r="B1978" s="77" t="str">
        <f>IF(D$1950=0,"",CONCATENATE(B1947,D$1950))</f>
        <v/>
      </c>
    </row>
    <row r="1979" spans="2:33" ht="14.4" hidden="1" x14ac:dyDescent="0.3">
      <c r="B1979" s="77" t="str">
        <f>IF(D$1950=0,"",CONCATENATE(B1948,D$1950))</f>
        <v/>
      </c>
    </row>
    <row r="1980" spans="2:33" ht="14.4" hidden="1" x14ac:dyDescent="0.3">
      <c r="B1980" s="427" t="s">
        <v>1058</v>
      </c>
    </row>
    <row r="1981" spans="2:33" ht="14.4" hidden="1" x14ac:dyDescent="0.3">
      <c r="B1981" s="77" t="s">
        <v>1059</v>
      </c>
    </row>
    <row r="1982" spans="2:33" ht="14.4" hidden="1" x14ac:dyDescent="0.3">
      <c r="B1982" s="77" t="s">
        <v>1060</v>
      </c>
    </row>
    <row r="1983" spans="2:33" ht="14.4" hidden="1" x14ac:dyDescent="0.3">
      <c r="B1983" s="77" t="s">
        <v>1061</v>
      </c>
    </row>
    <row r="1984" spans="2:33" ht="14.4" hidden="1" x14ac:dyDescent="0.3">
      <c r="B1984" s="77" t="s">
        <v>1062</v>
      </c>
    </row>
    <row r="1985" spans="2:4" ht="14.4" hidden="1" x14ac:dyDescent="0.3">
      <c r="B1985" s="77"/>
    </row>
    <row r="1986" spans="2:4" ht="14.4" hidden="1" x14ac:dyDescent="0.3">
      <c r="B1986" s="77"/>
    </row>
    <row r="1987" spans="2:4" ht="18" hidden="1" x14ac:dyDescent="0.35">
      <c r="B1987" s="433" t="s">
        <v>1063</v>
      </c>
      <c r="C1987" s="77"/>
    </row>
    <row r="1988" spans="2:4" ht="14.4" hidden="1" x14ac:dyDescent="0.3">
      <c r="B1988" s="77" t="s">
        <v>512</v>
      </c>
      <c r="D1988" s="56">
        <v>0</v>
      </c>
    </row>
    <row r="1989" spans="2:4" ht="14.4" hidden="1" x14ac:dyDescent="0.3">
      <c r="B1989" s="77" t="s">
        <v>1064</v>
      </c>
      <c r="D1989" s="56">
        <v>1</v>
      </c>
    </row>
    <row r="1990" spans="2:4" ht="14.4" hidden="1" x14ac:dyDescent="0.3">
      <c r="B1990" s="77" t="s">
        <v>1065</v>
      </c>
      <c r="D1990" s="56">
        <v>2</v>
      </c>
    </row>
    <row r="1991" spans="2:4" ht="14.4" hidden="1" x14ac:dyDescent="0.3">
      <c r="B1991" s="77" t="s">
        <v>234</v>
      </c>
      <c r="D1991" s="56">
        <v>3</v>
      </c>
    </row>
    <row r="1992" spans="2:4" ht="14.4" hidden="1" x14ac:dyDescent="0.3">
      <c r="B1992" s="77"/>
    </row>
    <row r="1993" spans="2:4" ht="14.4" hidden="1" x14ac:dyDescent="0.3">
      <c r="B1993" s="77"/>
    </row>
    <row r="1994" spans="2:4" ht="14.4" hidden="1" x14ac:dyDescent="0.3">
      <c r="C1994" s="427" t="s">
        <v>1066</v>
      </c>
    </row>
    <row r="1995" spans="2:4" ht="14.4" hidden="1" x14ac:dyDescent="0.3">
      <c r="C1995" s="77" t="s">
        <v>512</v>
      </c>
      <c r="D1995" s="77" t="s">
        <v>486</v>
      </c>
    </row>
    <row r="1996" spans="2:4" ht="14.4" hidden="1" x14ac:dyDescent="0.3">
      <c r="C1996" s="77" t="s">
        <v>503</v>
      </c>
      <c r="D1996" s="77" t="s">
        <v>489</v>
      </c>
    </row>
    <row r="1997" spans="2:4" ht="14.4" hidden="1" x14ac:dyDescent="0.3">
      <c r="C1997" s="77" t="s">
        <v>527</v>
      </c>
      <c r="D1997" s="77" t="s">
        <v>491</v>
      </c>
    </row>
    <row r="1998" spans="2:4" ht="14.4" hidden="1" x14ac:dyDescent="0.3">
      <c r="C1998" s="77" t="s">
        <v>485</v>
      </c>
      <c r="D1998" s="77" t="s">
        <v>493</v>
      </c>
    </row>
    <row r="1999" spans="2:4" ht="14.4" hidden="1" x14ac:dyDescent="0.3">
      <c r="D1999" s="77" t="s">
        <v>498</v>
      </c>
    </row>
    <row r="2000" spans="2:4" ht="14.4" hidden="1" x14ac:dyDescent="0.3">
      <c r="D2000" s="77" t="s">
        <v>499</v>
      </c>
    </row>
    <row r="2001" spans="3:4" ht="14.4" hidden="1" x14ac:dyDescent="0.3">
      <c r="C2001" s="427" t="s">
        <v>1067</v>
      </c>
      <c r="D2001" s="77" t="s">
        <v>500</v>
      </c>
    </row>
    <row r="2002" spans="3:4" ht="14.4" hidden="1" x14ac:dyDescent="0.3">
      <c r="C2002" s="77" t="s">
        <v>545</v>
      </c>
      <c r="D2002" s="77" t="s">
        <v>1068</v>
      </c>
    </row>
    <row r="2003" spans="3:4" ht="14.4" hidden="1" x14ac:dyDescent="0.3">
      <c r="C2003" s="77" t="s">
        <v>1069</v>
      </c>
      <c r="D2003" s="77" t="s">
        <v>501</v>
      </c>
    </row>
    <row r="2004" spans="3:4" ht="14.4" hidden="1" x14ac:dyDescent="0.3">
      <c r="C2004" s="77" t="s">
        <v>529</v>
      </c>
      <c r="D2004" s="77" t="s">
        <v>502</v>
      </c>
    </row>
    <row r="2005" spans="3:4" ht="14.4" hidden="1" x14ac:dyDescent="0.3">
      <c r="C2005" s="77" t="s">
        <v>531</v>
      </c>
      <c r="D2005" s="77" t="s">
        <v>504</v>
      </c>
    </row>
    <row r="2006" spans="3:4" ht="14.4" hidden="1" x14ac:dyDescent="0.3">
      <c r="C2006" s="77" t="s">
        <v>1070</v>
      </c>
      <c r="D2006" s="77" t="s">
        <v>505</v>
      </c>
    </row>
    <row r="2007" spans="3:4" ht="14.4" hidden="1" x14ac:dyDescent="0.3">
      <c r="C2007" s="77" t="s">
        <v>534</v>
      </c>
      <c r="D2007" s="77" t="s">
        <v>508</v>
      </c>
    </row>
    <row r="2008" spans="3:4" ht="14.4" hidden="1" x14ac:dyDescent="0.3">
      <c r="C2008" s="77" t="s">
        <v>1071</v>
      </c>
      <c r="D2008" s="77" t="s">
        <v>509</v>
      </c>
    </row>
    <row r="2009" spans="3:4" ht="14.4" hidden="1" x14ac:dyDescent="0.3">
      <c r="C2009" s="77" t="s">
        <v>1072</v>
      </c>
      <c r="D2009" s="77" t="s">
        <v>511</v>
      </c>
    </row>
    <row r="2010" spans="3:4" ht="14.4" hidden="1" x14ac:dyDescent="0.3">
      <c r="D2010" s="77" t="s">
        <v>513</v>
      </c>
    </row>
    <row r="2011" spans="3:4" ht="14.4" hidden="1" x14ac:dyDescent="0.3">
      <c r="D2011" s="77" t="s">
        <v>515</v>
      </c>
    </row>
    <row r="2012" spans="3:4" ht="14.4" hidden="1" x14ac:dyDescent="0.3">
      <c r="D2012" s="77" t="s">
        <v>516</v>
      </c>
    </row>
    <row r="2013" spans="3:4" ht="14.4" hidden="1" x14ac:dyDescent="0.3">
      <c r="D2013" s="77" t="s">
        <v>517</v>
      </c>
    </row>
    <row r="2014" spans="3:4" hidden="1" x14ac:dyDescent="0.25"/>
    <row r="2015" spans="3:4" hidden="1" x14ac:dyDescent="0.25"/>
    <row r="2016" spans="3:4" ht="18" hidden="1" x14ac:dyDescent="0.35">
      <c r="C2016" s="433" t="s">
        <v>1073</v>
      </c>
      <c r="D2016" s="433" t="s">
        <v>1074</v>
      </c>
    </row>
    <row r="2017" spans="3:4" ht="14.4" hidden="1" x14ac:dyDescent="0.3">
      <c r="C2017" s="77" t="s">
        <v>1075</v>
      </c>
      <c r="D2017" s="77" t="s">
        <v>1076</v>
      </c>
    </row>
    <row r="2018" spans="3:4" ht="14.4" hidden="1" x14ac:dyDescent="0.3">
      <c r="C2018" s="434" t="s">
        <v>1077</v>
      </c>
      <c r="D2018" s="77" t="s">
        <v>1078</v>
      </c>
    </row>
    <row r="2019" spans="3:4" ht="14.4" hidden="1" x14ac:dyDescent="0.3">
      <c r="C2019" s="434" t="s">
        <v>1079</v>
      </c>
      <c r="D2019" s="77" t="s">
        <v>1080</v>
      </c>
    </row>
    <row r="2020" spans="3:4" ht="14.4" hidden="1" x14ac:dyDescent="0.3">
      <c r="C2020" s="434" t="s">
        <v>1081</v>
      </c>
      <c r="D2020" s="77" t="s">
        <v>231</v>
      </c>
    </row>
    <row r="2021" spans="3:4" ht="14.4" hidden="1" x14ac:dyDescent="0.3">
      <c r="C2021" s="434" t="s">
        <v>1082</v>
      </c>
      <c r="D2021" s="77" t="s">
        <v>1083</v>
      </c>
    </row>
    <row r="2022" spans="3:4" ht="14.4" hidden="1" x14ac:dyDescent="0.3">
      <c r="C2022" s="434" t="s">
        <v>1084</v>
      </c>
      <c r="D2022" s="77" t="s">
        <v>1085</v>
      </c>
    </row>
    <row r="2023" spans="3:4" ht="14.4" hidden="1" x14ac:dyDescent="0.3">
      <c r="C2023" s="434" t="s">
        <v>1086</v>
      </c>
      <c r="D2023" s="77" t="s">
        <v>1087</v>
      </c>
    </row>
    <row r="2024" spans="3:4" ht="14.4" hidden="1" x14ac:dyDescent="0.3">
      <c r="C2024" s="434" t="s">
        <v>1088</v>
      </c>
      <c r="D2024" s="77" t="s">
        <v>1089</v>
      </c>
    </row>
    <row r="2025" spans="3:4" ht="14.4" hidden="1" x14ac:dyDescent="0.3">
      <c r="C2025" s="434" t="s">
        <v>1090</v>
      </c>
      <c r="D2025" s="77"/>
    </row>
    <row r="2026" spans="3:4" ht="14.4" hidden="1" x14ac:dyDescent="0.3">
      <c r="C2026" s="434" t="s">
        <v>1091</v>
      </c>
      <c r="D2026" s="77"/>
    </row>
    <row r="2027" spans="3:4" ht="14.4" hidden="1" x14ac:dyDescent="0.3">
      <c r="C2027" s="77" t="s">
        <v>244</v>
      </c>
      <c r="D2027" s="77"/>
    </row>
    <row r="2028" spans="3:4" ht="14.4" hidden="1" x14ac:dyDescent="0.3">
      <c r="C2028" s="77" t="s">
        <v>1092</v>
      </c>
    </row>
    <row r="2029" spans="3:4" ht="14.4" hidden="1" x14ac:dyDescent="0.3">
      <c r="C2029" s="77" t="s">
        <v>1093</v>
      </c>
    </row>
    <row r="2030" spans="3:4" ht="14.4" hidden="1" x14ac:dyDescent="0.3">
      <c r="C2030" s="77" t="s">
        <v>1094</v>
      </c>
    </row>
    <row r="2031" spans="3:4" ht="14.4" hidden="1" x14ac:dyDescent="0.3">
      <c r="C2031" s="77" t="s">
        <v>1095</v>
      </c>
    </row>
    <row r="2032" spans="3:4" ht="14.4" hidden="1" x14ac:dyDescent="0.3">
      <c r="C2032" s="77" t="s">
        <v>1096</v>
      </c>
    </row>
    <row r="2033" spans="2:4" ht="14.4" hidden="1" x14ac:dyDescent="0.3">
      <c r="C2033" s="77" t="s">
        <v>224</v>
      </c>
    </row>
    <row r="2034" spans="2:4" ht="14.4" hidden="1" x14ac:dyDescent="0.3">
      <c r="C2034" s="77" t="s">
        <v>1097</v>
      </c>
    </row>
    <row r="2035" spans="2:4" ht="14.4" hidden="1" x14ac:dyDescent="0.3">
      <c r="C2035" s="435" t="s">
        <v>1098</v>
      </c>
    </row>
    <row r="2036" spans="2:4" ht="14.4" hidden="1" x14ac:dyDescent="0.3">
      <c r="C2036" s="435" t="s">
        <v>1099</v>
      </c>
      <c r="D2036" s="77"/>
    </row>
    <row r="2037" spans="2:4" ht="14.4" hidden="1" x14ac:dyDescent="0.3">
      <c r="C2037" s="435" t="s">
        <v>1100</v>
      </c>
    </row>
    <row r="2038" spans="2:4" ht="14.4" hidden="1" x14ac:dyDescent="0.3">
      <c r="C2038" s="77" t="s">
        <v>1101</v>
      </c>
    </row>
    <row r="2039" spans="2:4" hidden="1" x14ac:dyDescent="0.25"/>
    <row r="2040" spans="2:4" hidden="1" x14ac:dyDescent="0.25">
      <c r="B2040" s="56" t="s">
        <v>1102</v>
      </c>
    </row>
    <row r="2041" spans="2:4" ht="14.4" hidden="1" x14ac:dyDescent="0.3">
      <c r="B2041" s="77"/>
    </row>
    <row r="2042" spans="2:4" ht="14.4" hidden="1" x14ac:dyDescent="0.3">
      <c r="B2042" s="77"/>
      <c r="C2042" s="60" t="s">
        <v>1103</v>
      </c>
      <c r="D2042" s="56">
        <v>1</v>
      </c>
    </row>
    <row r="2043" spans="2:4" ht="14.4" hidden="1" x14ac:dyDescent="0.3">
      <c r="B2043" s="80" t="s">
        <v>1104</v>
      </c>
      <c r="C2043" s="56">
        <v>0</v>
      </c>
      <c r="D2043" s="56">
        <f t="shared" ref="D2043:D2048" si="63">C2043+D$2042</f>
        <v>1</v>
      </c>
    </row>
    <row r="2044" spans="2:4" ht="14.4" hidden="1" x14ac:dyDescent="0.3">
      <c r="B2044" s="80" t="s">
        <v>1105</v>
      </c>
      <c r="C2044" s="56">
        <v>2</v>
      </c>
      <c r="D2044" s="56">
        <f t="shared" si="63"/>
        <v>3</v>
      </c>
    </row>
    <row r="2045" spans="2:4" ht="14.4" hidden="1" x14ac:dyDescent="0.3">
      <c r="B2045" s="80" t="s">
        <v>1106</v>
      </c>
      <c r="C2045" s="56">
        <v>4</v>
      </c>
      <c r="D2045" s="56">
        <f t="shared" si="63"/>
        <v>5</v>
      </c>
    </row>
    <row r="2046" spans="2:4" ht="14.4" hidden="1" x14ac:dyDescent="0.3">
      <c r="B2046" s="80" t="s">
        <v>1107</v>
      </c>
      <c r="C2046" s="56">
        <v>8</v>
      </c>
      <c r="D2046" s="56">
        <f t="shared" si="63"/>
        <v>9</v>
      </c>
    </row>
    <row r="2047" spans="2:4" ht="14.4" hidden="1" x14ac:dyDescent="0.3">
      <c r="B2047" s="80" t="s">
        <v>1108</v>
      </c>
      <c r="C2047" s="56">
        <v>14</v>
      </c>
      <c r="D2047" s="56">
        <f t="shared" si="63"/>
        <v>15</v>
      </c>
    </row>
    <row r="2048" spans="2:4" ht="14.4" hidden="1" x14ac:dyDescent="0.3">
      <c r="B2048" s="77" t="s">
        <v>1109</v>
      </c>
      <c r="C2048" s="56">
        <f>44</f>
        <v>44</v>
      </c>
      <c r="D2048" s="56">
        <f t="shared" si="63"/>
        <v>45</v>
      </c>
    </row>
    <row r="2049" spans="2:2" ht="14.4" hidden="1" x14ac:dyDescent="0.3">
      <c r="B2049" s="77"/>
    </row>
    <row r="2050" spans="2:2" ht="14.4" hidden="1" x14ac:dyDescent="0.3">
      <c r="B2050" s="77"/>
    </row>
    <row r="2051" spans="2:2" ht="14.4" hidden="1" x14ac:dyDescent="0.3">
      <c r="B2051" s="77"/>
    </row>
    <row r="2052" spans="2:2" ht="14.4" hidden="1" x14ac:dyDescent="0.3">
      <c r="B2052" s="77"/>
    </row>
    <row r="2053" spans="2:2" ht="14.4" hidden="1" x14ac:dyDescent="0.3">
      <c r="B2053" s="77"/>
    </row>
    <row r="2054" spans="2:2" ht="14.4" hidden="1" x14ac:dyDescent="0.3">
      <c r="B2054" s="77"/>
    </row>
    <row r="2055" spans="2:2" ht="14.4" hidden="1" x14ac:dyDescent="0.3">
      <c r="B2055" s="77"/>
    </row>
    <row r="2056" spans="2:2" ht="14.4" hidden="1" x14ac:dyDescent="0.3">
      <c r="B2056" s="77"/>
    </row>
    <row r="2057" spans="2:2" ht="14.4" hidden="1" x14ac:dyDescent="0.3">
      <c r="B2057" s="77"/>
    </row>
    <row r="2058" spans="2:2" ht="14.4" hidden="1" x14ac:dyDescent="0.3">
      <c r="B2058" s="77"/>
    </row>
    <row r="2059" spans="2:2" ht="14.4" hidden="1" x14ac:dyDescent="0.3">
      <c r="B2059" s="77"/>
    </row>
    <row r="2060" spans="2:2" ht="14.4" hidden="1" x14ac:dyDescent="0.3">
      <c r="B2060" s="77"/>
    </row>
    <row r="2061" spans="2:2" ht="14.4" hidden="1" x14ac:dyDescent="0.3">
      <c r="B2061" s="77"/>
    </row>
    <row r="2062" spans="2:2" ht="14.4" hidden="1" x14ac:dyDescent="0.3">
      <c r="B2062" s="77"/>
    </row>
    <row r="2063" spans="2:2" ht="14.4" hidden="1" x14ac:dyDescent="0.3">
      <c r="B2063" s="77"/>
    </row>
    <row r="2064" spans="2:2"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spans="54:54" hidden="1" x14ac:dyDescent="0.25"/>
    <row r="2130" spans="54:54" hidden="1" x14ac:dyDescent="0.25"/>
    <row r="2131" spans="54:54" hidden="1" x14ac:dyDescent="0.25"/>
    <row r="2132" spans="54:54" hidden="1" x14ac:dyDescent="0.25"/>
    <row r="2133" spans="54:54" hidden="1" x14ac:dyDescent="0.25"/>
    <row r="2134" spans="54:54" hidden="1" x14ac:dyDescent="0.25"/>
    <row r="2135" spans="54:54" hidden="1" x14ac:dyDescent="0.25"/>
    <row r="2136" spans="54:54" hidden="1" x14ac:dyDescent="0.25"/>
    <row r="2137" spans="54:54" hidden="1" x14ac:dyDescent="0.25"/>
    <row r="2138" spans="54:54" hidden="1" x14ac:dyDescent="0.25"/>
    <row r="2139" spans="54:54" hidden="1" x14ac:dyDescent="0.25">
      <c r="BB2139" s="56"/>
    </row>
    <row r="2140" spans="54:54" hidden="1" x14ac:dyDescent="0.25"/>
    <row r="2141" spans="54:54" hidden="1" x14ac:dyDescent="0.25"/>
    <row r="2142" spans="54:54" hidden="1" x14ac:dyDescent="0.25"/>
    <row r="2143" spans="54:54" hidden="1" x14ac:dyDescent="0.25"/>
    <row r="2144" spans="54:54" hidden="1" x14ac:dyDescent="0.25"/>
    <row r="2145" spans="3:73" hidden="1" x14ac:dyDescent="0.25"/>
    <row r="2146" spans="3:73" hidden="1" x14ac:dyDescent="0.25">
      <c r="C2146" s="56" t="s">
        <v>1110</v>
      </c>
    </row>
    <row r="2147" spans="3:73" hidden="1" x14ac:dyDescent="0.25"/>
    <row r="2148" spans="3:73" hidden="1" x14ac:dyDescent="0.25"/>
    <row r="2149" spans="3:73" hidden="1" x14ac:dyDescent="0.25"/>
    <row r="2150" spans="3:73" hidden="1" x14ac:dyDescent="0.25"/>
    <row r="2151" spans="3:73" hidden="1" x14ac:dyDescent="0.25">
      <c r="AE2151" s="56" t="str">
        <f ca="1">CONCATENATE(AE$2159,AM$2159,AN$2159,B$2171,AE$2161)</f>
        <v>Since your conviction occurred 27 years ago, California prevents employers and others from running a criminal background check that far back.</v>
      </c>
    </row>
    <row r="2152" spans="3:73" hidden="1" x14ac:dyDescent="0.25">
      <c r="AE2152" s="56" t="str">
        <f ca="1">CONCATENATE(AE$2159,AM$2159,AN$2159,B$2193,AE$2161)</f>
        <v>Since your conviction occurred 27 years ago, Montana prevents employers and others from running a criminal background check that far back.</v>
      </c>
    </row>
    <row r="2153" spans="3:73" hidden="1" x14ac:dyDescent="0.25"/>
    <row r="2154" spans="3:73" hidden="1" x14ac:dyDescent="0.25"/>
    <row r="2155" spans="3:73" hidden="1" x14ac:dyDescent="0.25">
      <c r="AE2155" s="56" t="str">
        <f ca="1">CONCATENATE(AE2159,AM2159,AN2159,AE2160,AM2160,AO2160)</f>
        <v xml:space="preserve">Since your conviction occurred 27 years ago, and you earn only about $2200 per year, </v>
      </c>
    </row>
    <row r="2156" spans="3:73" hidden="1" x14ac:dyDescent="0.25">
      <c r="AE2156" s="56" t="str">
        <f ca="1">CONCATENATE(AE2163,AM2163,AN2163,AE2171,AJ2171,BO2171,B2188,AE2183)</f>
        <v xml:space="preserve"> does not limit how far back and employer can run a background check. Since your conviction occurred 27 years ago, and you earn only about $2200 per year, California prevents employers and others from running a criminal background check that far back.Massachusetts</v>
      </c>
    </row>
    <row r="2157" spans="3:73" hidden="1" x14ac:dyDescent="0.25">
      <c r="AC2157" s="57" t="str">
        <f>IF(AND($AD$54=$B2167,$AI$54=$B$2163),AC2167,IF(AND($AD$54=$B2168,$AI$54=$B$2163),AC2168,IF(AND($AD$54=$B2169,$AI$54=$B$2163),AC2169,IF(AND($AD$54=$B2170,$AI$54=$B$2163),AC2170,IF(AND($AD$54=$B2171,$AI$54=$B$2163),AC2171,IF(AND($AD$54=$B2172,$AI$54=$B$2163),AC2172,IF(AND($AD$54=$B2173,$AI$54=$B$2163),AC2173,IF(AND($AD$54=$B2174,$AI$54=$B$2163),AC2174,IF(AND($AD$54=$B2175,$AI$54=$B$2163),AC2175,IF(AND($AD$54=$B2176,$AI$54=$B$2163),AC2176,IF(AND($AD$54=$B2177,$AI$54=$B$2163),AC2177,IF(AND($AD$54=$B2178,$AI$54=$B$2163),AC2178,IF(AND($AD$54=$B2179,$AI$54=$B$2163),AC2179,IF(AND($AD$54=$B2180,$AI$54=$B$2163),AC2180,IF(AND($AD$54=$B2181,$AI$54=$B$2163),AC2181,IF(AND($AD$54=$B2182,$AI$54=$B$2163),AC2182,IF(AND($AD$54=$B2183,$AI$54=$B$2163),AC2183,IF(AND($AD$54=$B2184,$AI$54=$B$2163),AC2184,IF(AND($AD$54=$B2185,$AI$54=$B$2163),AC2185,IF(AND($AD$54=$B2186,$AI$54=$B$2163),AC2186,IF(AND($AD$54=$B2187,$AI$54=$B$2163),AC2187,IF(AND($AD$54=$B2188,$AI$54=$B$2163),AC2188,IF(AND($AD$54=$B2189,$AI$54=$B$2163),AC2189,IF(AND($AD$54=$B2190,$AI$54=$B$2163),AC2190,IF(AND($AD$54=$B2191,$AI$54=$B$2163),AC2191,IF(AND($AD$54=$B2192,$AI$54=$B$2163),AC2192,IF(AND($AD$54=$B2193,$AI$54=$B$2163),AC2193,IF(AND($AD$54=$B2194,$AI$54=$B$2163),AC2194,IF(AND($AD$54=$B2195,$AI$54=$B$2163),AC2195,IF(AND($AD$54=$B2196,$AI$54=$B$2163),AC2196,IF(AND($AD$54=$B2197,$AI$54=$B$2163),AC2197,IF(AND($AD$54=$B2198,$AI$54=$B$2163),AC2198,IF(AND($AD$54=$B2199,$AI$54=$B$2163),AC2199,IF(AND($AD$54=$B2200,$AI$54=$B$2163),AC2200,IF(AND($AD$54=$B2201,$AI$54=$B$2163),AC2201,IF(AND($AD$54=$B2202,$AI$54=$B$2163),AC2202,IF(AND($AD$54=$B2203,$AI$54=$B$2163),AC2203,IF(AND($AD$54=$B2204,$AI$54=$B$2163),AC2204,IF(AND($AD$54=$B2205,$AI$54=$B$2163),AC2205,IF(AND($AD$54=$B2206,$AI$54=$B$2163),AC2206,IF(AND($AD$54=$B2207,$AI$54=$B$2163),AC2207,IF(AND($AD$54=$B2208,$AI$54=$B$2163),AC2208,IF(AND($AD$54=$B2209,$AI$54=$B$2163),AC2209,IF(AND($AD$54=$B2210,$AI$54=$B$2163),AC2210,IF(AND($AD$54=$B2211,$AI$54=$B$2163),AC2211,IF(AND($AD$54=$B2212,$AI$54=$B$2163),AC2212,IF(AND($AD$54=$B2213,$AI$54=$B$2163),AC2213,IF(AND($AD$54=$B2214,$AI$54=$B$2163),AC2214,IF(AND($AD$54=$B2215,$AI$54=$B$2163),AC2215,IF(AND($AD$54=$B2216,$AI$54=$B$2163),AC2216,IF(AND($AD$54=$B2217,$AI$54=$B$2163),AC2217,IF(AND($AD$54=$B2218,$AI$54=$B$2163),AC2218,””))))))))))))))))))))))))))))))))))))))))))))))))))))</f>
        <v xml:space="preserve">Unfortunately, Michigan does not limit how far back and employer can run a background check. Background screeners must rely on indiscriminate records that fail to distinguish between "reliable evidence-based convictions" and "non-exonerated wrongful convictions"--permitting illicit discrimination. </v>
      </c>
      <c r="AD2157" s="57"/>
      <c r="AE2157" s="57"/>
      <c r="AF2157" s="57"/>
      <c r="AG2157" s="57"/>
      <c r="AH2157" s="57"/>
      <c r="AI2157" s="57"/>
      <c r="AJ2157" s="57"/>
      <c r="AK2157" s="57"/>
      <c r="AL2157" s="57"/>
      <c r="AM2157" s="57"/>
      <c r="AN2157" s="57"/>
      <c r="AO2157" s="57"/>
      <c r="AP2157" s="57"/>
      <c r="AQ2157" s="57"/>
      <c r="AR2157" s="57"/>
      <c r="AS2157" s="57"/>
      <c r="AT2157" s="57"/>
      <c r="AU2157" s="57"/>
      <c r="AV2157" s="57"/>
      <c r="AW2157" s="57"/>
      <c r="AX2157" s="57"/>
      <c r="AY2157" s="57"/>
      <c r="AZ2157" s="57"/>
      <c r="BA2157" s="57"/>
      <c r="BB2157" s="436"/>
      <c r="BC2157" s="57"/>
      <c r="BD2157" s="57"/>
      <c r="BE2157" s="57"/>
      <c r="BF2157" s="57"/>
      <c r="BG2157" s="57"/>
      <c r="BH2157" s="57"/>
      <c r="BI2157" s="57"/>
      <c r="BJ2157" s="57"/>
      <c r="BK2157" s="57"/>
      <c r="BL2157" s="57"/>
      <c r="BM2157" s="57"/>
      <c r="BN2157" s="57"/>
      <c r="BO2157" s="57"/>
      <c r="BP2157" s="57"/>
      <c r="BQ2157" s="57"/>
      <c r="BR2157" s="57"/>
      <c r="BS2157" s="57"/>
      <c r="BT2157" s="57"/>
      <c r="BU2157" s="57"/>
    </row>
    <row r="2158" spans="3:73" hidden="1" x14ac:dyDescent="0.25">
      <c r="AC2158" s="56" t="s">
        <v>1111</v>
      </c>
    </row>
    <row r="2159" spans="3:73" hidden="1" x14ac:dyDescent="0.25">
      <c r="AE2159" s="56" t="s">
        <v>1112</v>
      </c>
      <c r="AM2159" s="56">
        <f ca="1">ROUND(D2161,0)</f>
        <v>27</v>
      </c>
      <c r="AN2159" s="56" t="s">
        <v>1113</v>
      </c>
    </row>
    <row r="2160" spans="3:73" hidden="1" x14ac:dyDescent="0.25">
      <c r="AE2160" s="56" t="s">
        <v>1114</v>
      </c>
      <c r="AM2160" s="653">
        <f>B1101</f>
        <v>2200</v>
      </c>
      <c r="AN2160" s="653"/>
      <c r="AO2160" s="56" t="s">
        <v>1115</v>
      </c>
    </row>
    <row r="2161" spans="2:92" hidden="1" x14ac:dyDescent="0.25">
      <c r="B2161" s="356">
        <f ca="1">TODAY()</f>
        <v>44336</v>
      </c>
      <c r="C2161" s="356">
        <f>D202</f>
        <v>34316</v>
      </c>
      <c r="D2161" s="56">
        <f ca="1">(B2161-C2161)/365.25</f>
        <v>27.433264887063654</v>
      </c>
      <c r="AE2161" s="56" t="s">
        <v>1116</v>
      </c>
    </row>
    <row r="2162" spans="2:92" hidden="1" x14ac:dyDescent="0.25">
      <c r="AE2162" s="56" t="s">
        <v>1117</v>
      </c>
      <c r="AV2162" s="56" t="s">
        <v>1118</v>
      </c>
    </row>
    <row r="2163" spans="2:92" hidden="1" x14ac:dyDescent="0.25">
      <c r="B2163" s="438" t="str">
        <f>AI54</f>
        <v>yes</v>
      </c>
      <c r="AE2163" s="56" t="s">
        <v>1119</v>
      </c>
      <c r="AV2163" s="56" t="s">
        <v>1120</v>
      </c>
    </row>
    <row r="2164" spans="2:92" hidden="1" x14ac:dyDescent="0.25">
      <c r="AE2164" s="56" t="s">
        <v>1121</v>
      </c>
    </row>
    <row r="2165" spans="2:92" hidden="1" x14ac:dyDescent="0.25">
      <c r="AE2165" s="101" t="s">
        <v>1122</v>
      </c>
    </row>
    <row r="2166" spans="2:92" hidden="1" x14ac:dyDescent="0.25"/>
    <row r="2167" spans="2:92" ht="14.4" hidden="1" x14ac:dyDescent="0.25">
      <c r="B2167" s="439" t="str">
        <f t="shared" ref="B2167:B2174" si="64">B2242</f>
        <v>Alabama</v>
      </c>
      <c r="AC2167" s="56" t="str">
        <f>CONCATENATE(AV$2163,B2167,AE$2163,AE$2164)</f>
        <v xml:space="preserve">Unfortunately, Alabama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68" spans="2:92" ht="14.4" hidden="1" x14ac:dyDescent="0.25">
      <c r="B2168" s="439" t="str">
        <f t="shared" si="64"/>
        <v>Alaska</v>
      </c>
      <c r="AC2168" s="56" t="str">
        <f>CONCATENATE(AV$2163,B2168,AE$2163,AE$2164)</f>
        <v xml:space="preserve">Unfortunately, Alaska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69" spans="2:92" ht="14.4" hidden="1" x14ac:dyDescent="0.25">
      <c r="B2169" s="439" t="str">
        <f t="shared" si="64"/>
        <v>Arizona</v>
      </c>
      <c r="AC2169" s="56" t="str">
        <f>CONCATENATE(AV$2163,B2169,AE$2163,AE$2164)</f>
        <v xml:space="preserve">Unfortunately, Arizona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0" spans="2:92" ht="14.4" hidden="1" x14ac:dyDescent="0.25">
      <c r="B2170" s="439" t="str">
        <f t="shared" si="64"/>
        <v>Arkansas</v>
      </c>
      <c r="AC2170" s="56" t="str">
        <f>CONCATENATE(AV$2163,B2170,AE$2163,AE$2164)</f>
        <v xml:space="preserve">Unfortunately, Arkansas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1" spans="2:92" ht="14.4" hidden="1" x14ac:dyDescent="0.3">
      <c r="B2171" s="439" t="str">
        <f t="shared" si="64"/>
        <v>California</v>
      </c>
      <c r="C2171" s="440">
        <v>0</v>
      </c>
      <c r="D2171" s="441" t="s">
        <v>1123</v>
      </c>
      <c r="AC2171" s="56" t="str">
        <f ca="1">IF($D$2161&gt;7,AE2151,CN2171)</f>
        <v>Since your conviction occurred 27 years ago, California prevents employers and others from running a criminal background check that far back.</v>
      </c>
      <c r="BO2171" s="56" t="str">
        <f ca="1">CONCATENATE($AE$2155,B2171,$AE$2161)</f>
        <v>Since your conviction occurred 27 years ago, and you earn only about $2200 per year, California prevents employers and others from running a criminal background check that far back.</v>
      </c>
      <c r="CN2171" s="56" t="str">
        <f>CONCATENATE(B2171,AE2162)</f>
        <v>California cannnot limit how far back and employer can run a background check.</v>
      </c>
    </row>
    <row r="2172" spans="2:92" ht="14.4" hidden="1" x14ac:dyDescent="0.3">
      <c r="B2172" s="439" t="str">
        <f t="shared" si="64"/>
        <v>Colorado</v>
      </c>
      <c r="C2172" s="442">
        <v>75000</v>
      </c>
      <c r="D2172" s="441" t="s">
        <v>1124</v>
      </c>
      <c r="AC2172" s="56" t="str">
        <f ca="1">IF($D$2161&gt;7,BO2172,CN2172)</f>
        <v>Since your conviction occurred 27 years ago, and you earn only about $2200 per year, Colorado prevents employers and others from running a criminal background check that far back.</v>
      </c>
      <c r="BO2172" s="56" t="str">
        <f ca="1">CONCATENATE($AE$2155,B2172,$AE$2161)</f>
        <v>Since your conviction occurred 27 years ago, and you earn only about $2200 per year, Colorado prevents employers and others from running a criminal background check that far back.</v>
      </c>
      <c r="CN2172" s="56" t="str">
        <f>CONCATENATE(B2172,AE$2162)</f>
        <v>Colorado cannnot limit how far back and employer can run a background check.</v>
      </c>
    </row>
    <row r="2173" spans="2:92" ht="14.4" hidden="1" x14ac:dyDescent="0.3">
      <c r="B2173" s="439" t="str">
        <f t="shared" si="64"/>
        <v>Connecticut</v>
      </c>
      <c r="C2173" s="442"/>
      <c r="D2173" s="441"/>
      <c r="AC2173" s="56" t="str">
        <f t="shared" ref="AC2173:AC2182" si="65">CONCATENATE(AV$2163,B2173,AE$2163,AE$2164)</f>
        <v xml:space="preserve">Unfortunately, Connecticut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4" spans="2:92" ht="14.4" hidden="1" x14ac:dyDescent="0.3">
      <c r="B2174" s="439" t="str">
        <f t="shared" si="64"/>
        <v>Delaware</v>
      </c>
      <c r="C2174" s="442"/>
      <c r="D2174" s="441"/>
      <c r="AC2174" s="56" t="str">
        <f t="shared" si="65"/>
        <v xml:space="preserve">Unfortunately, Delaware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5" spans="2:92" ht="14.4" hidden="1" x14ac:dyDescent="0.3">
      <c r="B2175" s="439" t="s">
        <v>1125</v>
      </c>
      <c r="C2175" s="442"/>
      <c r="D2175" s="441"/>
      <c r="AC2175" s="56" t="str">
        <f t="shared" si="65"/>
        <v xml:space="preserve">Unfortunately, DC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6" spans="2:92" ht="14.4" hidden="1" x14ac:dyDescent="0.3">
      <c r="B2176" s="439" t="str">
        <f t="shared" ref="B2176:B2217" si="66">B2251</f>
        <v>Florida</v>
      </c>
      <c r="C2176" s="442"/>
      <c r="D2176" s="441"/>
      <c r="AC2176" s="56" t="str">
        <f t="shared" si="65"/>
        <v xml:space="preserve">Unfortunately, Florida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7" spans="2:92" ht="14.4" hidden="1" x14ac:dyDescent="0.3">
      <c r="B2177" s="439" t="str">
        <f t="shared" si="66"/>
        <v>Georgia</v>
      </c>
      <c r="C2177" s="442"/>
      <c r="D2177" s="441"/>
      <c r="AC2177" s="56" t="str">
        <f t="shared" si="65"/>
        <v xml:space="preserve">Unfortunately, Georgia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8" spans="2:92" ht="14.4" hidden="1" x14ac:dyDescent="0.3">
      <c r="B2178" s="439" t="str">
        <f t="shared" si="66"/>
        <v>Hawaii</v>
      </c>
      <c r="C2178" s="442"/>
      <c r="D2178" s="441"/>
      <c r="AC2178" s="56" t="str">
        <f t="shared" si="65"/>
        <v xml:space="preserve">Unfortunately, Hawaii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79" spans="2:92" ht="14.4" hidden="1" x14ac:dyDescent="0.3">
      <c r="B2179" s="439" t="str">
        <f t="shared" si="66"/>
        <v>Idaho</v>
      </c>
      <c r="C2179" s="442"/>
      <c r="D2179" s="441"/>
      <c r="AC2179" s="56" t="str">
        <f t="shared" si="65"/>
        <v xml:space="preserve">Unfortunately, Idaho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0" spans="2:92" ht="14.4" hidden="1" x14ac:dyDescent="0.3">
      <c r="B2180" s="439" t="str">
        <f t="shared" si="66"/>
        <v>Illinois</v>
      </c>
      <c r="C2180" s="442"/>
      <c r="D2180" s="441"/>
      <c r="AC2180" s="56" t="str">
        <f t="shared" si="65"/>
        <v xml:space="preserve">Unfortunately, Illinois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1" spans="2:92" ht="14.4" hidden="1" x14ac:dyDescent="0.3">
      <c r="B2181" s="439" t="str">
        <f t="shared" si="66"/>
        <v>Indiana</v>
      </c>
      <c r="C2181" s="442"/>
      <c r="D2181" s="441"/>
      <c r="AC2181" s="56" t="str">
        <f t="shared" si="65"/>
        <v xml:space="preserve">Unfortunately, Indiana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2" spans="2:92" ht="14.4" hidden="1" x14ac:dyDescent="0.3">
      <c r="B2182" s="439" t="str">
        <f t="shared" si="66"/>
        <v>Iowa</v>
      </c>
      <c r="C2182" s="442"/>
      <c r="D2182" s="441"/>
      <c r="AC2182" s="56" t="str">
        <f t="shared" si="65"/>
        <v xml:space="preserve">Unfortunately, Iowa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3" spans="2:92" ht="14.4" hidden="1" x14ac:dyDescent="0.3">
      <c r="B2183" s="439" t="str">
        <f t="shared" si="66"/>
        <v>Kansas</v>
      </c>
      <c r="C2183" s="442">
        <v>20000</v>
      </c>
      <c r="D2183" s="441" t="s">
        <v>1124</v>
      </c>
      <c r="AC2183" s="56" t="str">
        <f ca="1">IF($D$2161&gt;7,BO2183,CN2183)</f>
        <v>Since your conviction occurred 27 years ago, and you earn only about $2200 per year, Kansas prevents employers and others from running a criminal background check that far back.</v>
      </c>
      <c r="BO2183" s="56" t="str">
        <f ca="1">CONCATENATE($AE$2155,B2183,$AE$2161)</f>
        <v>Since your conviction occurred 27 years ago, and you earn only about $2200 per year, Kansas prevents employers and others from running a criminal background check that far back.</v>
      </c>
      <c r="CN2183" s="56" t="str">
        <f>CONCATENATE(B2183,AE$2162)</f>
        <v>Kansas cannnot limit how far back and employer can run a background check.</v>
      </c>
    </row>
    <row r="2184" spans="2:92" ht="14.4" hidden="1" x14ac:dyDescent="0.3">
      <c r="B2184" s="439" t="str">
        <f t="shared" si="66"/>
        <v>Kentucky</v>
      </c>
      <c r="C2184" s="442"/>
      <c r="D2184" s="441"/>
      <c r="AC2184" s="56" t="str">
        <f>CONCATENATE(AV$2163,B2184,AE$2163,AE$2164)</f>
        <v xml:space="preserve">Unfortunately, Kentucky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5" spans="2:92" ht="14.4" hidden="1" x14ac:dyDescent="0.3">
      <c r="B2185" s="439" t="str">
        <f t="shared" si="66"/>
        <v>Louisiana</v>
      </c>
      <c r="C2185" s="442"/>
      <c r="D2185" s="441"/>
      <c r="AC2185" s="56" t="str">
        <f>CONCATENATE(AV$2163,B2185,AE$2163,AE$2164)</f>
        <v xml:space="preserve">Unfortunately, Louisiana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6" spans="2:92" ht="14.4" hidden="1" x14ac:dyDescent="0.3">
      <c r="B2186" s="439" t="str">
        <f t="shared" si="66"/>
        <v>Maine</v>
      </c>
      <c r="C2186" s="442"/>
      <c r="D2186" s="441"/>
      <c r="AC2186" s="56" t="str">
        <f>CONCATENATE(AV$2163,B2186,AE$2163,AE$2164)</f>
        <v xml:space="preserve">Unfortunately, Maine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87" spans="2:92" ht="14.4" hidden="1" x14ac:dyDescent="0.3">
      <c r="B2187" s="439" t="str">
        <f t="shared" si="66"/>
        <v>Maryland</v>
      </c>
      <c r="C2187" s="442">
        <v>20000</v>
      </c>
      <c r="D2187" s="441" t="s">
        <v>1124</v>
      </c>
      <c r="AC2187" s="56" t="str">
        <f ca="1">IF($D$2161&gt;7,BO2187,CN2187)</f>
        <v>Since your conviction occurred 27 years ago, and you earn only about $2200 per year, Maryland prevents employers and others from running a criminal background check that far back.</v>
      </c>
      <c r="BO2187" s="56" t="str">
        <f ca="1">CONCATENATE($AE$2155,B2187,$AE$2161)</f>
        <v>Since your conviction occurred 27 years ago, and you earn only about $2200 per year, Maryland prevents employers and others from running a criminal background check that far back.</v>
      </c>
      <c r="CN2187" s="56" t="str">
        <f>CONCATENATE(B2187,AE$2162)</f>
        <v>Maryland cannnot limit how far back and employer can run a background check.</v>
      </c>
    </row>
    <row r="2188" spans="2:92" ht="14.4" hidden="1" x14ac:dyDescent="0.3">
      <c r="B2188" s="439" t="str">
        <f t="shared" si="66"/>
        <v>Massachusetts</v>
      </c>
      <c r="C2188" s="442">
        <v>20000</v>
      </c>
      <c r="D2188" s="441" t="s">
        <v>1124</v>
      </c>
      <c r="AC2188" s="56" t="str">
        <f ca="1">IF($D$2161&gt;7,BO2188,CN2188)</f>
        <v>Since your conviction occurred 27 years ago, and you earn only about $2200 per year, Massachusetts prevents employers and others from running a criminal background check that far back.</v>
      </c>
      <c r="BO2188" s="56" t="str">
        <f ca="1">CONCATENATE($AE$2155,B2188,$AE$2161)</f>
        <v>Since your conviction occurred 27 years ago, and you earn only about $2200 per year, Massachusetts prevents employers and others from running a criminal background check that far back.</v>
      </c>
      <c r="CN2188" s="56" t="str">
        <f>CONCATENATE(B2188,AE$2162)</f>
        <v>Massachusetts cannnot limit how far back and employer can run a background check.</v>
      </c>
    </row>
    <row r="2189" spans="2:92" ht="14.4" hidden="1" x14ac:dyDescent="0.25">
      <c r="B2189" s="439" t="str">
        <f t="shared" si="66"/>
        <v>Michigan</v>
      </c>
      <c r="AC2189" s="56" t="str">
        <f>CONCATENATE(AV$2163,B2189,AE$2163,AE$2164)</f>
        <v xml:space="preserve">Unfortunately, Michigan does not limit how far back and employer can run a background check. Background screeners must rely on indiscriminate records that fail to distinguish between "reliable evidence-based convictions" and "non-exonerated wrongful convictions"--permitting illicit discrimination. </v>
      </c>
      <c r="BB2189" s="56"/>
    </row>
    <row r="2190" spans="2:92" ht="14.4" hidden="1" x14ac:dyDescent="0.3">
      <c r="B2190" s="439" t="str">
        <f t="shared" si="66"/>
        <v>Minnesota</v>
      </c>
      <c r="C2190" s="440"/>
      <c r="D2190" s="441"/>
      <c r="AC2190" s="56" t="str">
        <f>CONCATENATE(AV$2163,B2190,AE$2163,AE$2164)</f>
        <v xml:space="preserve">Unfortunately, Minnesota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91" spans="2:92" ht="14.4" hidden="1" x14ac:dyDescent="0.3">
      <c r="B2191" s="439" t="str">
        <f t="shared" si="66"/>
        <v>Mississippi</v>
      </c>
      <c r="C2191" s="440"/>
      <c r="D2191" s="441"/>
      <c r="AC2191" s="56" t="str">
        <f>CONCATENATE(AV$2163,B2191,AE$2163,AE$2164)</f>
        <v xml:space="preserve">Unfortunately, Mississippi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92" spans="2:92" ht="14.4" hidden="1" x14ac:dyDescent="0.3">
      <c r="B2192" s="439" t="str">
        <f t="shared" si="66"/>
        <v>Missouri</v>
      </c>
      <c r="C2192" s="440"/>
      <c r="D2192" s="441"/>
      <c r="AC2192" s="56" t="str">
        <f>CONCATENATE(AV$2163,B2192,AE$2163,AE$2164)</f>
        <v xml:space="preserve">Unfortunately, Missouri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93" spans="2:92" ht="14.4" hidden="1" x14ac:dyDescent="0.3">
      <c r="B2193" s="439" t="str">
        <f t="shared" si="66"/>
        <v>Montana</v>
      </c>
      <c r="C2193" s="440">
        <v>0</v>
      </c>
      <c r="D2193" s="441" t="s">
        <v>1123</v>
      </c>
      <c r="AC2193" s="56" t="str">
        <f ca="1">IF($D$2161&gt;7,AE2152,CN2193)</f>
        <v>Since your conviction occurred 27 years ago, Montana prevents employers and others from running a criminal background check that far back.</v>
      </c>
      <c r="BO2193" s="56" t="str">
        <f ca="1">CONCATENATE($AE$2155,B2189,$AE$2161)</f>
        <v>Since your conviction occurred 27 years ago, and you earn only about $2200 per year, Michigan prevents employers and others from running a criminal background check that far back.</v>
      </c>
      <c r="CN2193" s="56" t="str">
        <f>CONCATENATE(B2189,AE$2162)</f>
        <v>Michigan cannnot limit how far back and employer can run a background check.</v>
      </c>
    </row>
    <row r="2194" spans="2:92" ht="14.4" hidden="1" x14ac:dyDescent="0.3">
      <c r="B2194" s="439" t="str">
        <f t="shared" si="66"/>
        <v>Nebraska</v>
      </c>
      <c r="C2194" s="440"/>
      <c r="D2194" s="441"/>
      <c r="AC2194" s="56" t="str">
        <f>CONCATENATE(AV$2163,B2194,AE$2163,AE$2164)</f>
        <v xml:space="preserve">Unfortunately, Nebraska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95" spans="2:92" ht="14.4" hidden="1" x14ac:dyDescent="0.3">
      <c r="B2195" s="439" t="str">
        <f t="shared" si="66"/>
        <v>Nevada</v>
      </c>
      <c r="C2195" s="442">
        <v>20000</v>
      </c>
      <c r="D2195" s="441" t="s">
        <v>1124</v>
      </c>
      <c r="AC2195" s="56" t="str">
        <f ca="1">IF($D$2161&gt;7,BO2195,CN2195)</f>
        <v>Since your conviction occurred 27 years ago, and you earn only about $2200 per year, Nevada prevents employers and others from running a criminal background check that far back.</v>
      </c>
      <c r="BO2195" s="56" t="str">
        <f ca="1">CONCATENATE($AE$2155,B2195,$AE$2161)</f>
        <v>Since your conviction occurred 27 years ago, and you earn only about $2200 per year, Nevada prevents employers and others from running a criminal background check that far back.</v>
      </c>
      <c r="CN2195" s="56" t="str">
        <f>CONCATENATE(B2195,AE$2162)</f>
        <v>Nevada cannnot limit how far back and employer can run a background check.</v>
      </c>
    </row>
    <row r="2196" spans="2:92" ht="14.4" hidden="1" x14ac:dyDescent="0.3">
      <c r="B2196" s="439" t="str">
        <f t="shared" si="66"/>
        <v>New Hampshire</v>
      </c>
      <c r="C2196" s="442">
        <v>20000</v>
      </c>
      <c r="D2196" s="441" t="s">
        <v>1124</v>
      </c>
      <c r="AC2196" s="56" t="str">
        <f ca="1">IF($D$2161&gt;7,BO2196,CN2196)</f>
        <v>Since your conviction occurred 27 years ago, and you earn only about $2200 per year, New Hampshire prevents employers and others from running a criminal background check that far back.</v>
      </c>
      <c r="BO2196" s="56" t="str">
        <f ca="1">CONCATENATE($AE$2155,B2196,$AE$2161)</f>
        <v>Since your conviction occurred 27 years ago, and you earn only about $2200 per year, New Hampshire prevents employers and others from running a criminal background check that far back.</v>
      </c>
      <c r="CN2196" s="56" t="str">
        <f>CONCATENATE(B2196,AE$2162)</f>
        <v>New Hampshire cannnot limit how far back and employer can run a background check.</v>
      </c>
    </row>
    <row r="2197" spans="2:92" ht="14.4" hidden="1" x14ac:dyDescent="0.3">
      <c r="B2197" s="439" t="str">
        <f t="shared" si="66"/>
        <v>New Jersey</v>
      </c>
      <c r="C2197" s="442"/>
      <c r="D2197" s="441"/>
      <c r="AC2197" s="56" t="str">
        <f>CONCATENATE(AV$2163,B2197,AE$2163,AE$2164)</f>
        <v xml:space="preserve">Unfortunately, New Jersey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198" spans="2:92" ht="14.4" hidden="1" x14ac:dyDescent="0.3">
      <c r="B2198" s="439" t="str">
        <f t="shared" si="66"/>
        <v>New Mexico</v>
      </c>
      <c r="C2198" s="442">
        <v>20000</v>
      </c>
      <c r="D2198" s="441" t="s">
        <v>1124</v>
      </c>
      <c r="AC2198" s="56" t="str">
        <f ca="1">IF($D$2161&gt;7,BO2198,CN2198)</f>
        <v>Since your conviction occurred 27 years ago, and you earn only about $2200 per year, New Mexico prevents employers and others from running a criminal background check that far back.</v>
      </c>
      <c r="BO2198" s="56" t="str">
        <f ca="1">CONCATENATE($AE$2155,B2198,$AE$2161)</f>
        <v>Since your conviction occurred 27 years ago, and you earn only about $2200 per year, New Mexico prevents employers and others from running a criminal background check that far back.</v>
      </c>
      <c r="CN2198" s="56" t="str">
        <f>CONCATENATE(B2198,AE$2162)</f>
        <v>New Mexico cannnot limit how far back and employer can run a background check.</v>
      </c>
    </row>
    <row r="2199" spans="2:92" ht="14.4" hidden="1" x14ac:dyDescent="0.3">
      <c r="B2199" s="439" t="str">
        <f t="shared" si="66"/>
        <v>New York</v>
      </c>
      <c r="C2199" s="442">
        <v>25000</v>
      </c>
      <c r="D2199" s="441" t="s">
        <v>1124</v>
      </c>
      <c r="AC2199" s="56" t="str">
        <f ca="1">IF($D$2161&gt;7,BO2199,CN2199)</f>
        <v>Since your conviction occurred 27 years ago, and you earn only about $2200 per year, New York prevents employers and others from running a criminal background check that far back.</v>
      </c>
      <c r="BO2199" s="56" t="str">
        <f ca="1">CONCATENATE($AE$2155,B2199,$AE$2161)</f>
        <v>Since your conviction occurred 27 years ago, and you earn only about $2200 per year, New York prevents employers and others from running a criminal background check that far back.</v>
      </c>
      <c r="CN2199" s="56" t="str">
        <f>CONCATENATE(B2199,AE$2162)</f>
        <v>New York cannnot limit how far back and employer can run a background check.</v>
      </c>
    </row>
    <row r="2200" spans="2:92" ht="14.4" hidden="1" x14ac:dyDescent="0.3">
      <c r="B2200" s="439" t="str">
        <f t="shared" si="66"/>
        <v>North Carolina</v>
      </c>
      <c r="C2200" s="442"/>
      <c r="D2200" s="441"/>
      <c r="AC2200" s="56" t="str">
        <f t="shared" ref="AC2200:AC2209" si="67">CONCATENATE(AV$2163,B2200,AE$2163,AE$2164)</f>
        <v xml:space="preserve">Unfortunately, North Carolina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1" spans="2:92" ht="14.4" hidden="1" x14ac:dyDescent="0.3">
      <c r="B2201" s="439" t="str">
        <f t="shared" si="66"/>
        <v>North Dakota</v>
      </c>
      <c r="C2201" s="442"/>
      <c r="D2201" s="441"/>
      <c r="AC2201" s="56" t="str">
        <f t="shared" si="67"/>
        <v xml:space="preserve">Unfortunately, North Dakota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2" spans="2:92" ht="14.4" hidden="1" x14ac:dyDescent="0.3">
      <c r="B2202" s="439" t="str">
        <f t="shared" si="66"/>
        <v>Ohio</v>
      </c>
      <c r="C2202" s="442"/>
      <c r="D2202" s="441"/>
      <c r="AC2202" s="56" t="str">
        <f t="shared" si="67"/>
        <v xml:space="preserve">Unfortunately, Ohio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3" spans="2:92" ht="14.4" hidden="1" x14ac:dyDescent="0.3">
      <c r="B2203" s="439" t="str">
        <f t="shared" si="66"/>
        <v>Oklahoma</v>
      </c>
      <c r="C2203" s="442"/>
      <c r="D2203" s="441"/>
      <c r="AC2203" s="56" t="str">
        <f t="shared" si="67"/>
        <v xml:space="preserve">Unfortunately, Oklahoma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4" spans="2:92" ht="14.4" hidden="1" x14ac:dyDescent="0.3">
      <c r="B2204" s="439" t="str">
        <f t="shared" si="66"/>
        <v>Oregon</v>
      </c>
      <c r="C2204" s="442"/>
      <c r="D2204" s="441"/>
      <c r="AC2204" s="56" t="str">
        <f t="shared" si="67"/>
        <v xml:space="preserve">Unfortunately, Oregon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5" spans="2:92" ht="14.4" hidden="1" x14ac:dyDescent="0.3">
      <c r="B2205" s="439" t="str">
        <f t="shared" si="66"/>
        <v>Pennsylvania</v>
      </c>
      <c r="C2205" s="442"/>
      <c r="D2205" s="441"/>
      <c r="AC2205" s="56" t="str">
        <f t="shared" si="67"/>
        <v xml:space="preserve">Unfortunately, Pennsylvania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6" spans="2:92" ht="14.4" hidden="1" x14ac:dyDescent="0.3">
      <c r="B2206" s="439" t="str">
        <f t="shared" si="66"/>
        <v>Rhode Island</v>
      </c>
      <c r="C2206" s="442"/>
      <c r="D2206" s="441"/>
      <c r="AC2206" s="56" t="str">
        <f t="shared" si="67"/>
        <v xml:space="preserve">Unfortunately, Rhode Island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7" spans="2:92" ht="14.4" hidden="1" x14ac:dyDescent="0.3">
      <c r="B2207" s="439" t="str">
        <f t="shared" si="66"/>
        <v>South Carolina</v>
      </c>
      <c r="C2207" s="442"/>
      <c r="D2207" s="441"/>
      <c r="AC2207" s="56" t="str">
        <f t="shared" si="67"/>
        <v xml:space="preserve">Unfortunately, South Carolina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8" spans="2:92" ht="14.4" hidden="1" x14ac:dyDescent="0.3">
      <c r="B2208" s="439" t="str">
        <f t="shared" si="66"/>
        <v>South Dakota</v>
      </c>
      <c r="C2208" s="442"/>
      <c r="D2208" s="441"/>
      <c r="AC2208" s="56" t="str">
        <f t="shared" si="67"/>
        <v xml:space="preserve">Unfortunately, South Dakota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09" spans="2:92" ht="14.4" hidden="1" x14ac:dyDescent="0.3">
      <c r="B2209" s="439" t="str">
        <f t="shared" si="66"/>
        <v>Tennessee</v>
      </c>
      <c r="C2209" s="442"/>
      <c r="D2209" s="441"/>
      <c r="AC2209" s="56" t="str">
        <f t="shared" si="67"/>
        <v xml:space="preserve">Unfortunately, Tennessee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0" spans="2:92" ht="14.4" hidden="1" x14ac:dyDescent="0.3">
      <c r="B2210" s="439" t="str">
        <f t="shared" si="66"/>
        <v>Texas</v>
      </c>
      <c r="C2210" s="442">
        <v>75000</v>
      </c>
      <c r="D2210" s="441" t="s">
        <v>1124</v>
      </c>
      <c r="AC2210" s="56" t="str">
        <f ca="1">IF($D$2161&gt;7,BO2210,CN2210)</f>
        <v>Since your conviction occurred 27 years ago, and you earn only about $2200 per year, Texas prevents employers and others from running a criminal background check that far back.</v>
      </c>
      <c r="BO2210" s="56" t="str">
        <f ca="1">CONCATENATE($AE$2155,B2210,$AE$2161)</f>
        <v>Since your conviction occurred 27 years ago, and you earn only about $2200 per year, Texas prevents employers and others from running a criminal background check that far back.</v>
      </c>
      <c r="CN2210" s="56" t="str">
        <f>CONCATENATE(B2210,AE$2162)</f>
        <v>Texas cannnot limit how far back and employer can run a background check.</v>
      </c>
    </row>
    <row r="2211" spans="2:92" ht="14.4" hidden="1" x14ac:dyDescent="0.3">
      <c r="B2211" s="439" t="str">
        <f t="shared" si="66"/>
        <v>Utah</v>
      </c>
      <c r="C2211" s="442"/>
      <c r="D2211" s="441"/>
      <c r="AC2211" s="56" t="str">
        <f>CONCATENATE(AV$2163,B2211,AE$2163,AE$2164)</f>
        <v xml:space="preserve">Unfortunately, Utah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2" spans="2:92" ht="14.4" hidden="1" x14ac:dyDescent="0.3">
      <c r="B2212" s="439" t="str">
        <f t="shared" si="66"/>
        <v>Vermont</v>
      </c>
      <c r="C2212" s="442"/>
      <c r="D2212" s="441"/>
      <c r="AC2212" s="56" t="str">
        <f>CONCATENATE(AV$2163,B2212,AE$2163,AE$2164)</f>
        <v xml:space="preserve">Unfortunately, Vermont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3" spans="2:92" ht="14.4" hidden="1" x14ac:dyDescent="0.3">
      <c r="B2213" s="439" t="str">
        <f t="shared" si="66"/>
        <v>Virginia</v>
      </c>
      <c r="C2213" s="442"/>
      <c r="D2213" s="441"/>
      <c r="AC2213" s="56" t="str">
        <f>CONCATENATE(AV$2163,B2213,AE$2163,AE$2164)</f>
        <v xml:space="preserve">Unfortunately, Virginia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4" spans="2:92" ht="14.4" hidden="1" x14ac:dyDescent="0.3">
      <c r="B2214" s="439" t="str">
        <f t="shared" si="66"/>
        <v>Washington</v>
      </c>
      <c r="C2214" s="442">
        <v>20000</v>
      </c>
      <c r="D2214" s="441" t="s">
        <v>1124</v>
      </c>
      <c r="AC2214" s="56" t="str">
        <f ca="1">IF($D$2161&gt;7,BO2214,CN2214)</f>
        <v>Since your conviction occurred 27 years ago, and you earn only about $2200 per year, Washington prevents employers and others from running a criminal background check that far back.</v>
      </c>
      <c r="BO2214" s="56" t="str">
        <f ca="1">CONCATENATE($AE$2155,B2214,$AE$2161)</f>
        <v>Since your conviction occurred 27 years ago, and you earn only about $2200 per year, Washington prevents employers and others from running a criminal background check that far back.</v>
      </c>
      <c r="CN2214" s="56" t="str">
        <f>CONCATENATE(B2214,AE$2162)</f>
        <v>Washington cannnot limit how far back and employer can run a background check.</v>
      </c>
    </row>
    <row r="2215" spans="2:92" ht="14.4" hidden="1" x14ac:dyDescent="0.25">
      <c r="B2215" s="439" t="str">
        <f t="shared" si="66"/>
        <v>West Virginia</v>
      </c>
      <c r="AC2215" s="56" t="str">
        <f>CONCATENATE(AV$2163,B2215,AE$2163,AE$2164)</f>
        <v xml:space="preserve">Unfortunately, West Virginia does not limit how far back and employer can run a background check. Background screeners must rely on indiscriminate records that fail to distinguish between "reliable evidence-based convictions" and "non-exonerated wrongful convictions"--permitting illicit discrimination. </v>
      </c>
      <c r="BO2215" s="56" t="str">
        <f ca="1">CONCATENATE($AE$2155,B2215,$AE$2161)</f>
        <v>Since your conviction occurred 27 years ago, and you earn only about $2200 per year, West Virginia prevents employers and others from running a criminal background check that far back.</v>
      </c>
      <c r="CN2215" s="56" t="str">
        <f>CONCATENATE(B2215,AE$2162)</f>
        <v>West Virginia cannnot limit how far back and employer can run a background check.</v>
      </c>
    </row>
    <row r="2216" spans="2:92" ht="14.4" hidden="1" x14ac:dyDescent="0.25">
      <c r="B2216" s="439" t="str">
        <f t="shared" si="66"/>
        <v>Wisconsin</v>
      </c>
      <c r="AC2216" s="56" t="str">
        <f>CONCATENATE(AV$2163,B2216,AE$2163,AE$2164)</f>
        <v xml:space="preserve">Unfortunately, Wisconsin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7" spans="2:92" ht="14.4" hidden="1" x14ac:dyDescent="0.25">
      <c r="B2217" s="439" t="str">
        <f t="shared" si="66"/>
        <v>Wyoming</v>
      </c>
      <c r="AC2217" s="56" t="str">
        <f>CONCATENATE(AV$2163,B2217,AE$2163,AE$2164)</f>
        <v xml:space="preserve">Unfortunately, Wyoming does not limit how far back and employer can run a background check. Background screeners must rely on indiscriminate records that fail to distinguish between "reliable evidence-based convictions" and "non-exonerated wrongful convictions"--permitting illicit discrimination. </v>
      </c>
    </row>
    <row r="2218" spans="2:92" ht="14.4" hidden="1" x14ac:dyDescent="0.25">
      <c r="B2218" s="443" t="s">
        <v>1126</v>
      </c>
      <c r="AC2218" s="92"/>
      <c r="AD2218" s="92"/>
      <c r="AE2218" s="92"/>
      <c r="AF2218" s="92"/>
      <c r="AG2218" s="92"/>
      <c r="AH2218" s="92"/>
      <c r="AI2218" s="92"/>
      <c r="AJ2218" s="92"/>
      <c r="AK2218" s="92"/>
      <c r="AL2218" s="92"/>
      <c r="AM2218" s="92"/>
      <c r="AN2218" s="92"/>
      <c r="AO2218" s="92"/>
      <c r="AP2218" s="92"/>
      <c r="AQ2218" s="92"/>
      <c r="AR2218" s="92"/>
      <c r="AS2218" s="92"/>
      <c r="AT2218" s="92"/>
      <c r="AU2218" s="92"/>
      <c r="AV2218" s="92"/>
      <c r="AW2218" s="92"/>
    </row>
    <row r="2219" spans="2:92" hidden="1" x14ac:dyDescent="0.25">
      <c r="AC2219" s="92"/>
      <c r="AD2219" s="92"/>
      <c r="AE2219" s="92"/>
      <c r="AF2219" s="92"/>
      <c r="AG2219" s="92"/>
      <c r="AH2219" s="92"/>
      <c r="AI2219" s="92"/>
      <c r="AJ2219" s="92"/>
      <c r="AK2219" s="92"/>
      <c r="AL2219" s="92"/>
      <c r="AM2219" s="92"/>
      <c r="AN2219" s="92"/>
      <c r="AO2219" s="92"/>
      <c r="AP2219" s="92"/>
      <c r="AQ2219" s="92"/>
      <c r="AR2219" s="92"/>
      <c r="AS2219" s="92"/>
      <c r="AT2219" s="92"/>
      <c r="AU2219" s="92"/>
      <c r="AV2219" s="92"/>
      <c r="AW2219" s="92"/>
    </row>
    <row r="2220" spans="2:92" hidden="1" x14ac:dyDescent="0.25"/>
    <row r="2221" spans="2:92" ht="15" hidden="1" x14ac:dyDescent="0.3">
      <c r="B2221" s="444" t="str">
        <f>B1066</f>
        <v>Statute</v>
      </c>
      <c r="D2221" s="445" t="str">
        <f>IF($B$208=B2242,AB2242,IF($B$208=B2243,AB2243,IF($B$208=B2244,AB2244,IF($B$208=B2245,AB2245,IF($B$208=B2246,AB2246,IF($B$208=B2247,AB2247,IF($B$208=B2248,AB2248,IF($B$208=B2249,AB2249,IF($B$208=B2250,AB2250,IF($B$208=B2251,AB2251,IF($B$208=B2252,AB2252,IF($B$208=B2253,AB2253,IF($B$208=B2254,AB2254,IF($B$208=B2255,AB2255,IF($B$208=B2256,AB2256,IF($B$208=B2257,AB2257,IF($B$208=B2258,AB2258,IF($B$208=B2259,AB2259,IF($B$208=B2260,AB2260,IF($B$208=B2261,AB2261,IF($B$208=B2262,AB2262,IF($B$208=B2263,AB2263,IF($B$208=B2264,AB2264,IF($B$208=B2265,AB2265,IF($B$208=B2266,AB2266,IF($B$208=B2267,AB2267,IF($B$208=B2268,AB2268,IF($B$208=B2269,AB2269,IF($B$208=B2270,AB2270,IF($B$208=B2271,AB2271,IF($B$208=B2272,AB2272,IF($B$208=B2273,AB2273,IF($B$208=B2274,AB2274,IF($B$208=B2275,AB2275,IF($B$208=B2276,AB2276,IF($B$208=B2277,AB2277,IF($B$208=B2278,AB2278,IF($B$208=B2279,AB2279,IF($B$208=B2280,AB2280,IF($B$208=B2281,AB2281,IF($B$208=B2282,AB2282,IF($B$208=B2283,AB2283,IF($B$208=B2284,AB2284,IF($B$208=B2285,AB2285,IF($B$208=B2286,AB2286,IF($B$208=B2287,AB2287,IF($B$208=B2288,AB2288,IF($B$208=B22742,AB2289,IF($B$208=B2290,AB2290,IF($B$208=B2291,AB2291,IF($B$208=B2292,AB2292,IF($B$208=B2293,AB2293,AB2240))))))))))))))))))))))))))))))))))))))))))))))))))))</f>
        <v>MCLS 691.1751 et seq</v>
      </c>
    </row>
    <row r="2222" spans="2:92" hidden="1" x14ac:dyDescent="0.25">
      <c r="B2222" s="390" t="str">
        <f>B1068</f>
        <v>Eligibility</v>
      </c>
      <c r="D2222" s="446" t="str">
        <f>IF($B$208=B2242,AO2242,IF($B$208=B2243,AO2243,IF($B$208=B2244,AO2244,IF($B$208=B2245,AO2245,IF($B$208=B2246,AO2246,IF($B$208=B2247,AO2247,IF($B$208=B2248,AO2248,IF($B$208=B2249,AO2249,IF($B$208=B2250,AO2250,IF($B$208=B2251,AO2251,IF($B$208=B2252,AO2252,IF($B$208=B2253,AO2253,IF($B$208=B2254,AO2254,IF($B$208=B2255,AO2255,IF($B$208=B2256,AO2256,IF($B$208=B2257,AO2257,IF($B$208=B2258,AO2258,IF($B$208=B2259,AO2259,IF($B$208=B2260,AO2260,IF($B$208=B2261,AO2261,IF($B$208=B2262,AO2262,IF($B$208=B2263,AO2263,IF($B$208=B2264,AO2264,IF($B$208=B2265,AO2265,IF($B$208=B2266,AO2266,IF($B$208=B2267,AO2267,IF($B$208=B2268,AO2268,IF($B$208=B2269,AO2269,IF($B$208=B2270,AO2270,IF($B$208=B2271,AO2271,IF($B$208=B2272,AO2272,IF($B$208=B2273,AO2273,IF($B$208=B2274,AO2274,IF($B$208=B2275,AO2275,IF($B$208=B2276,AO2276,IF($B$208=B2277,AO2277,IF($B$208=B2278,AO2278,IF($B$208=B2279,AO2279,IF($B$208=B2280,AO2280,IF($B$208=B2281,AO2281,IF($B$208=B2282,AO2282,IF($B$208=B2283,AO2283,IF($B$208=B2284,AO2284,IF($B$208=B2285,AO2285,IF($B$208=B2286,AO2286,IF($B$208=B2287,AO2287,IF($B$208=B2288,AO2288,IF($B$208=B22742,AO2289,IF($B$208=B2290,AO2290,IF($B$208=B2291,AO2291,IF($B$208=B2292,AO2292,IF($B$208=B2293,AO2293,AO2240))))))))))))))))))))))))))))))))))))))))))))))))))))</f>
        <v>Judgment of conviction was reversed or vacated and charges were dismissed or found not guilty on retrial.</v>
      </c>
    </row>
    <row r="2223" spans="2:92" hidden="1" x14ac:dyDescent="0.25">
      <c r="B2223" s="390" t="str">
        <f>B1076</f>
        <v xml:space="preserve">Standard </v>
      </c>
      <c r="D2223" s="446" t="str">
        <f>IF($B$208=B2242,AS2242,IF($B$208=B2243,AS2243,IF($B$208=B2244,AS2244,IF($B$208=B2245,AS2245,IF($B$208=B2246,AS2246,IF($B$208=B2247,AS2247,IF($B$208=B2248,AS2248,IF($B$208=B2249,AS2249,IF($B$208=B2250,AS2250,IF($B$208=B2251,AS2251,IF($B$208=B2252,AS2252,IF($B$208=B2253,AS2253,IF($B$208=B2254,AS2254,IF($B$208=B2255,AS2255,IF($B$208=B2256,AS2256,IF($B$208=B2257,AS2257,IF($B$208=B2258,AS2258,IF($B$208=B2259,AS2259,IF($B$208=B2260,AS2260,IF($B$208=B2261,AS2261,IF($B$208=B2262,AS2262,IF($B$208=B2263,AS2263,IF($B$208=B2264,AS2264,IF($B$208=B2265,AS2265,IF($B$208=B2266,AS2266,IF($B$208=B2267,AS2267,IF($B$208=B2268,AS2268,IF($B$208=B2269,AS2269,IF($B$208=B2270,AS2270,IF($B$208=B2271,AS2271,IF($B$208=B2272,AS2272,IF($B$208=B2273,AS2273,IF($B$208=B2274,AS2274,IF($B$208=B2275,AS2275,IF($B$208=B2276,AS2276,IF($B$208=B2277,AS2277,IF($B$208=B2278,AS2278,IF($B$208=B2279,AS2279,IF($B$208=B2280,AS2280,IF($B$208=B2281,AS2281,IF($B$208=B2282,AS2282,IF($B$208=B2283,AS2283,IF($B$208=B2284,AS2284,IF($B$208=B2285,AS2285,IF($B$208=B2286,AS2286,IF($B$208=B2287,AS2287,IF($B$208=B2288,AS2288,IF($B$208=B22742,AS2289,IF($B$208=B2290,AS2290,IF($B$208=B2291,AS2291,IF($B$208=B2292,AS2292,IF($B$208=B2293,AS2293,AS2240))))))))))))))))))))))))))))))))))))))))))))))))))))</f>
        <v>Clear and convincing</v>
      </c>
    </row>
    <row r="2224" spans="2:92" hidden="1" x14ac:dyDescent="0.25">
      <c r="B2224" s="390" t="str">
        <f>B1080</f>
        <v xml:space="preserve">Determined </v>
      </c>
      <c r="D2224" s="445" t="str">
        <f>IF($B$208=B2242,AD2242,IF($B$208=B2243,AD2243,IF($B$208=B2244,AD2244,IF($B$208=B2245,AD2245,IF($B$208=B2246,AD2246,IF($B$208=B2247,AD2247,IF($B$208=B2248,AD2248,IF($B$208=B2249,AD2249,IF($B$208=B2250,AD2250,IF($B$208=B2251,AD2251,IF($B$208=B2252,AD2252,IF($B$208=B2253,AD2253,IF($B$208=B2254,AD2254,IF($B$208=B2255,AD2255,IF($B$208=B2256,AD2256,IF($B$208=B2257,AD2257,IF($B$208=B2258,AD2258,IF($B$208=B2259,AD2259,IF($B$208=B2260,AD2260,IF($B$208=B2261,AD2261,IF($B$208=B2262,AD2262,IF($B$208=B2263,AD2263,IF($B$208=B2264,AD2264,IF($B$208=B2265,AD2265,IF($B$208=B2266,AD2266,IF($B$208=B2267,AD2267,IF($B$208=B2268,AD2268,IF($B$208=B2269,AD2269,IF($B$208=B2270,AD2270,IF($B$208=B2271,AD2271,IF($B$208=B2272,AD2272,IF($B$208=B2273,AD2273,IF($B$208=B2274,AD2274,IF($B$208=B2275,AD2275,IF($B$208=B2276,AD2276,IF($B$208=B2277,AD2277,IF($B$208=B2278,AD2278,IF($B$208=B2279,AD2279,IF($B$208=B2280,AD2280,IF($B$208=B2281,AD2281,IF($B$208=B2282,AD2282,IF($B$208=B2283,AD2283,IF($B$208=B2284,AD2284,IF($B$208=B2285,AD2285,IF($B$208=B2286,AD2286,IF($B$208=B2287,AD2287,IF($B$208=B2288,AD2288,IF($B$208=B22742,AD2289,IF($B$208=B2290,AD2290,IF($B$208=B2291,AD2291,IF($B$208=B2292,AD2292,IF($B$208=B2293,AD2293,AD2240))))))))))))))))))))))))))))))))))))))))))))))))))))</f>
        <v>Court of Claims</v>
      </c>
    </row>
    <row r="2225" spans="2:45" hidden="1" x14ac:dyDescent="0.25">
      <c r="B2225" s="390" t="str">
        <f>B1083</f>
        <v>Timely filing</v>
      </c>
      <c r="D2225" s="445" t="str">
        <f>IF($B$208=B2242,AI2242,IF($B$208=B2243,AI2243,IF($B$208=B2244,AI2244,IF($B$208=B2245,AI2245,IF($B$208=B2246,AI2246,IF($B$208=B2247,AI2247,IF($B$208=B2248,AI2248,IF($B$208=B2249,AI2249,IF($B$208=B2250,AI2250,IF($B$208=B2251,AI2251,IF($B$208=B2252,AI2252,IF($B$208=B2253,AI2253,IF($B$208=B2254,AI2254,IF($B$208=B2255,AI2255,IF($B$208=B2256,AI2256,IF($B$208=B2257,AI2257,IF($B$208=B2258,AI2258,IF($B$208=B2259,AI2259,IF($B$208=B2260,AI2260,IF($B$208=B2261,AI2261,IF($B$208=B2262,AI2262,IF($B$208=B2263,AI2263,IF($B$208=B2264,AI2264,IF($B$208=B2265,AI2265,IF($B$208=B2266,AI2266,IF($B$208=B2267,AI2267,IF($B$208=B2268,AI2268,IF($B$208=B2269,AI2269,IF($B$208=B2270,AI2270,IF($B$208=B2271,AI2271,IF($B$208=B2272,AI2272,IF($B$208=B2273,AI2273,IF($B$208=B2274,AI2274,IF($B$208=B2275,AI2275,IF($B$208=B2276,AI2276,IF($B$208=B2277,AI2277,IF($B$208=B2278,AI2278,IF($B$208=B2279,AI2279,IF($B$208=B2280,AI2280,IF($B$208=B2281,AI2281,IF($B$208=B2282,AI2282,IF($B$208=B2283,AI2283,IF($B$208=B2284,AI2284,IF($B$208=B2285,AI2285,IF($B$208=B2286,AI2286,IF($B$208=B2287,AI2287,IF($B$208=B2288,AI2288,IF($B$208=B22742,AI2289,IF($B$208=B2290,AI2290,IF($B$208=B2291,AI2291,IF($B$208=B2292,AI2292,IF($B$208=B2293,AI2293,AI2240))))))))))))))))))))))))))))))))))))))))))))))))))))</f>
        <v>3 years</v>
      </c>
    </row>
    <row r="2226" spans="2:45" hidden="1" x14ac:dyDescent="0.25">
      <c r="B2226" s="390" t="str">
        <f>B1085</f>
        <v xml:space="preserve">Maximum </v>
      </c>
      <c r="D2226" s="446" t="str">
        <f>IF($B$208=B2242,D2242,IF($B$208=B2243,D2243,IF($B$208=B2244,D2244,IF($B$208=B2245,D2245,IF($B$208=B2246,D2246,IF($B$208=B2247,D2247,IF($B$208=B2248,D2248,IF($B$208=B2249,D2249,IF($B$208=B2250,D2250,IF($B$208=B2251,D2251,IF($B$208=B2252,D2252,IF($B$208=B2253,D2253,IF($B$208=B2254,D2254,IF($B$208=B2255,D2255,IF($B$208=B2256,D2256,IF($B$208=B2257,D2257,IF($B$208=B2258,D2258,IF($B$208=B2259,D2259,IF($B$208=B2260,D2260,IF($B$208=B2261,D2261,IF($B$208=B2262,D2262,IF($B$208=B2263,D2263,IF($B$208=B2264,D2264,IF($B$208=B2265,D2265,IF($B$208=B2266,D2266,IF($B$208=B2267,D2267,IF($B$208=B2268,D2268,IF($B$208=B2269,D2269,IF($B$208=B2270,D2270,IF($B$208=B2271,D2271,IF($B$208=B2272,D2272,IF($B$208=B2273,D2273,IF($B$208=B2274,D2274,IF($B$208=B2275,D2275,IF($B$208=B2276,D2276,IF($B$208=B2277,D2277,IF($B$208=B2278,D2278,IF($B$208=B2279,D2279,IF($B$208=B2280,D2280,IF($B$208=B2281,D2281,IF($B$208=B2282,D2282,IF($B$208=B2283,D2283,IF($B$208=B2284,D2284,IF($B$208=B2285,D2285,IF($B$208=B2286,D2286,IF($B$208=B2287,D2287,IF($B$208=B2288,D2288,IF($B$208=B22742,D2289,IF($B$208=B2290,D2290,IF($B$208=B2291,D2291,IF($B$208=B2292,D2292,IF($B$208=B2293,D2293,D2240))))))))))))))))))))))))))))))))))))))))))))))))))))</f>
        <v>not provided</v>
      </c>
    </row>
    <row r="2227" spans="2:45" hidden="1" x14ac:dyDescent="0.25">
      <c r="B2227" s="390" t="str">
        <f>B1088</f>
        <v xml:space="preserve">Per year </v>
      </c>
      <c r="D2227" s="446">
        <f>IF($B$208=B2242,C2242,IF($B$208=B2243,C2243,IF($B$208=B2244,C2244,IF($B$208=B2245,C2245,IF($B$208=B2246,C2246,IF($B$208=B2247,C2247,IF($B$208=B2248,C2248,IF($B$208=B2249,C2249,IF($B$208=B2250,C2250,IF($B$208=B2251,C2251,IF($B$208=B2252,C2252,IF($B$208=B2253,C2253,IF($B$208=B2254,C2254,IF($B$208=B2255,C2255,IF($B$208=B2256,C2256,IF($B$208=B2257,C2257,IF($B$208=B2258,C2258,IF($B$208=B2259,C2259,IF($B$208=B2260,C2260,IF($B$208=B2261,C2261,IF($B$208=B2262,C2262,IF($B$208=B2263,C2263,IF($B$208=B2264,C2264,IF($B$208=B2265,C2265,IF($B$208=B2266,C2266,IF($B$208=B2267,C2267,IF($B$208=B2268,C2268,IF($B$208=B2269,C2269,IF($B$208=B2270,C2270,IF($B$208=B2271,C2271,IF($B$208=B2272,C2272,IF($B$208=B2273,C2273,IF($B$208=B2274,C2274,IF($B$208=B2275,C2275,IF($B$208=B2276,C2276,IF($B$208=B2277,C2277,IF($B$208=B2278,C2278,IF($B$208=B2279,C2279,IF($B$208=B2280,C2280,IF($B$208=B2281,C2281,IF($B$208=B2282,C2282,IF($B$208=B2283,C2283,IF($B$208=B2284,C2284,IF($B$208=B2285,C2285,IF($B$208=B2286,C2286,IF($B$208=B2287,C2287,IF($B$208=B2288,C2288,IF($B$208=B22742,C2289,IF($B$208=B2290,C2290,IF($B$208=B2291,C2291,IF($B$208=B2292,C2292,IF($B$208=B2293,C2293,C2240))))))))))))))))))))))))))))))))))))))))))))))))))))</f>
        <v>50000</v>
      </c>
    </row>
    <row r="2228" spans="2:45" hidden="1" x14ac:dyDescent="0.25">
      <c r="B2228" s="390" t="str">
        <f>B1091</f>
        <v xml:space="preserve">Future civil </v>
      </c>
      <c r="D2228" s="446" t="str">
        <f>IF($B$208=B2242,AK2242,IF($B$208=B2243,AK2243,IF($B$208=B2244,AK2244,IF($B$208=B2245,AK2245,IF($B$208=B2246,AK2246,IF($B$208=B2247,AK2247,IF($B$208=B2248,AK2248,IF($B$208=B2249,AK2249,IF($B$208=B2250,AK2250,IF($B$208=B2251,AK2251,IF($B$208=B2252,AK2252,IF($B$208=B2253,AK2253,IF($B$208=B2254,AK2254,IF($B$208=B2255,AK2255,IF($B$208=B2256,AK2256,IF($B$208=B2257,AK2257,IF($B$208=B2258,AK2258,IF($B$208=B2259,AK2259,IF($B$208=B2260,AK2260,IF($B$208=B2261,AK2261,IF($B$208=B2262,AK2262,IF($B$208=B2263,AK2263,IF($B$208=B2264,AK2264,IF($B$208=B2265,AK2265,IF($B$208=B2266,AK2266,IF($B$208=B2267,AK2267,IF($B$208=B2268,AK2268,IF($B$208=B2269,AK2269,IF($B$208=B2270,AK2270,IF($B$208=B2271,AK2271,IF($B$208=B2272,AK2272,IF($B$208=B2273,AK2273,IF($B$208=B2274,AK2274,IF($B$208=B2275,AK2275,IF($B$208=B2276,AK2276,IF($B$208=B2277,AK2277,IF($B$208=B2278,AK2278,IF($B$208=B2279,AK2279,IF($B$208=B2280,AK2280,IF($B$208=B2281,AK2281,IF($B$208=B2282,AK2282,IF($B$208=B2283,AK2283,IF($B$208=B2284,AK2284,IF($B$208=B2285,AK2285,IF($B$208=B2286,AK2286,IF($B$208=B2287,AK2287,IF($B$208=B2288,AK2288,IF($B$208=B22742,AK2289,IF($B$208=B2290,AK2290,IF($B$208=B2291,AK2291,IF($B$208=B2292,AK2292,IF($B$208=B2293,AK2293,AK2240))))))))))))))))))))))))))))))))))))))))))))))))))))</f>
        <v>conditional</v>
      </c>
    </row>
    <row r="2229" spans="2:45" hidden="1" x14ac:dyDescent="0.25">
      <c r="D2229" s="371"/>
    </row>
    <row r="2230" spans="2:45" hidden="1" x14ac:dyDescent="0.25">
      <c r="D2230" s="371"/>
    </row>
    <row r="2231" spans="2:45" hidden="1" x14ac:dyDescent="0.25">
      <c r="D2231" s="371"/>
    </row>
    <row r="2232" spans="2:45" hidden="1" x14ac:dyDescent="0.25"/>
    <row r="2233" spans="2:45" hidden="1" x14ac:dyDescent="0.25">
      <c r="D2233" s="371"/>
    </row>
    <row r="2234" spans="2:45" hidden="1" x14ac:dyDescent="0.25"/>
    <row r="2235" spans="2:45" hidden="1" x14ac:dyDescent="0.25"/>
    <row r="2236" spans="2:45" hidden="1" x14ac:dyDescent="0.25"/>
    <row r="2237" spans="2:45" hidden="1" x14ac:dyDescent="0.25"/>
    <row r="2238" spans="2:45" hidden="1" x14ac:dyDescent="0.25"/>
    <row r="2239" spans="2:45" hidden="1" x14ac:dyDescent="0.25"/>
    <row r="2240" spans="2:45" hidden="1" x14ac:dyDescent="0.25">
      <c r="B2240" s="447"/>
      <c r="C2240" s="56" t="s">
        <v>512</v>
      </c>
      <c r="D2240" s="56" t="s">
        <v>1127</v>
      </c>
      <c r="AB2240" s="448" t="s">
        <v>1128</v>
      </c>
      <c r="AD2240" s="56" t="s">
        <v>1129</v>
      </c>
      <c r="AI2240" s="56" t="s">
        <v>1130</v>
      </c>
      <c r="AO2240" s="56" t="s">
        <v>1130</v>
      </c>
      <c r="AS2240" s="56" t="s">
        <v>1130</v>
      </c>
    </row>
    <row r="2241" spans="1:63" ht="15.6" hidden="1" x14ac:dyDescent="0.3">
      <c r="A2241" s="449" t="s">
        <v>1131</v>
      </c>
      <c r="B2241" s="450" t="s">
        <v>1132</v>
      </c>
      <c r="C2241" s="449" t="s">
        <v>1133</v>
      </c>
      <c r="D2241" s="449" t="s">
        <v>1134</v>
      </c>
      <c r="E2241" s="60" t="s">
        <v>1135</v>
      </c>
      <c r="F2241" s="449"/>
      <c r="G2241" s="5" t="s">
        <v>1136</v>
      </c>
      <c r="AB2241" s="449" t="s">
        <v>799</v>
      </c>
      <c r="AC2241" s="449"/>
      <c r="AD2241" s="449" t="s">
        <v>1137</v>
      </c>
      <c r="AF2241" s="451" t="s">
        <v>1138</v>
      </c>
      <c r="AG2241" s="60" t="s">
        <v>1139</v>
      </c>
      <c r="AK2241" s="60" t="s">
        <v>1140</v>
      </c>
      <c r="AO2241" s="60" t="s">
        <v>1141</v>
      </c>
      <c r="AS2241" s="60" t="s">
        <v>1142</v>
      </c>
      <c r="BG2241" s="452">
        <f>MAX(BG2242:BG2292)</f>
        <v>2200</v>
      </c>
      <c r="BH2241" s="437">
        <f>MAX(BH2242:BH2292)</f>
        <v>24413</v>
      </c>
      <c r="BI2241" s="322">
        <f>MAX(BI2242:BI2292)</f>
        <v>2034.4166666666667</v>
      </c>
      <c r="BJ2241" s="437">
        <f>MAX(BJ2242:BJ2292)</f>
        <v>469.48076923076923</v>
      </c>
      <c r="BK2241" s="453">
        <f>MAX(BK2242:BK2292)</f>
        <v>0.91733363393830081</v>
      </c>
    </row>
    <row r="2242" spans="1:63" ht="15.6" hidden="1" x14ac:dyDescent="0.3">
      <c r="A2242" s="454" t="s">
        <v>1143</v>
      </c>
      <c r="B2242" s="455" t="s">
        <v>1144</v>
      </c>
      <c r="C2242" s="456">
        <v>50000</v>
      </c>
      <c r="D2242" s="456"/>
      <c r="E2242" s="56">
        <v>50000</v>
      </c>
      <c r="G2242" s="457"/>
      <c r="H2242" s="457"/>
      <c r="I2242" s="457"/>
      <c r="J2242" s="457"/>
      <c r="K2242" s="457"/>
      <c r="L2242" s="457"/>
      <c r="M2242" s="457"/>
      <c r="N2242" s="457"/>
      <c r="O2242" s="457"/>
      <c r="P2242" s="457"/>
      <c r="Q2242" s="457"/>
      <c r="R2242" s="457"/>
      <c r="S2242" s="457"/>
      <c r="T2242" s="457"/>
      <c r="U2242" s="457"/>
      <c r="V2242" s="457"/>
      <c r="W2242" s="457"/>
      <c r="X2242" s="457"/>
      <c r="Y2242" s="457"/>
      <c r="Z2242" s="457"/>
      <c r="AB2242" s="56" t="s">
        <v>1145</v>
      </c>
      <c r="AC2242" s="262" t="s">
        <v>966</v>
      </c>
      <c r="AD2242" s="56" t="s">
        <v>1146</v>
      </c>
      <c r="AF2242" s="458">
        <v>2</v>
      </c>
      <c r="AG2242" s="56">
        <v>2</v>
      </c>
      <c r="AH2242" s="56" t="s">
        <v>1147</v>
      </c>
      <c r="AI2242" s="56" t="str">
        <f>CONCATENATE(AG2242,AH2242)</f>
        <v>2 years</v>
      </c>
      <c r="AK2242" s="56" t="s">
        <v>1148</v>
      </c>
      <c r="AL2242" s="459"/>
      <c r="AO2242" s="56" t="s">
        <v>1149</v>
      </c>
      <c r="AR2242" s="262" t="s">
        <v>966</v>
      </c>
      <c r="AS2242" s="56" t="s">
        <v>1150</v>
      </c>
      <c r="AW2242" s="262" t="s">
        <v>966</v>
      </c>
      <c r="BB2242" s="437">
        <f t="shared" ref="BB2242:BB2292" ca="1" si="68">MIN(((C2242*$AE$264)+($AE$271*G2242)),D2242)</f>
        <v>600000</v>
      </c>
      <c r="BF2242" s="460">
        <v>23606</v>
      </c>
      <c r="BG2242" s="452">
        <f t="shared" ref="BG2242:BG2293" si="69">IF($B$208=$B2242,$B$1101,0)</f>
        <v>0</v>
      </c>
      <c r="BH2242" s="452">
        <f>IF(BG2242=0,0,BF2242-BG2242)</f>
        <v>0</v>
      </c>
      <c r="BI2242" s="389">
        <f>BH2242/12</f>
        <v>0</v>
      </c>
      <c r="BJ2242" s="170">
        <f>BH2242/52</f>
        <v>0</v>
      </c>
      <c r="BK2242" s="453">
        <f>IF(BH2242=0,0,BH2242/BF2242)</f>
        <v>0</v>
      </c>
    </row>
    <row r="2243" spans="1:63" ht="15.6" hidden="1" x14ac:dyDescent="0.25">
      <c r="A2243" s="454" t="s">
        <v>1151</v>
      </c>
      <c r="B2243" s="455" t="s">
        <v>1152</v>
      </c>
      <c r="C2243" s="456">
        <v>0</v>
      </c>
      <c r="D2243" s="456"/>
      <c r="G2243" s="457"/>
      <c r="H2243" s="457"/>
      <c r="I2243" s="457"/>
      <c r="J2243" s="457"/>
      <c r="K2243" s="457"/>
      <c r="L2243" s="457"/>
      <c r="M2243" s="457"/>
      <c r="N2243" s="457"/>
      <c r="O2243" s="457"/>
      <c r="P2243" s="457"/>
      <c r="Q2243" s="457"/>
      <c r="R2243" s="457"/>
      <c r="S2243" s="457"/>
      <c r="T2243" s="457"/>
      <c r="U2243" s="457"/>
      <c r="V2243" s="457"/>
      <c r="W2243" s="457"/>
      <c r="X2243" s="457"/>
      <c r="Y2243" s="457"/>
      <c r="Z2243" s="457"/>
      <c r="AA2243" s="448"/>
      <c r="AB2243" s="448" t="s">
        <v>1128</v>
      </c>
      <c r="AC2243" s="262" t="s">
        <v>966</v>
      </c>
      <c r="AF2243" s="458"/>
      <c r="AR2243" s="262" t="s">
        <v>966</v>
      </c>
      <c r="AW2243" s="262" t="s">
        <v>966</v>
      </c>
      <c r="BB2243" s="437">
        <f t="shared" ca="1" si="68"/>
        <v>0</v>
      </c>
      <c r="BF2243" s="460">
        <v>33062</v>
      </c>
      <c r="BG2243" s="452">
        <f t="shared" si="69"/>
        <v>0</v>
      </c>
      <c r="BH2243" s="452">
        <f t="shared" ref="BH2243:BH2292" si="70">IF(BG2243=0,0,BF2243-BG2243)</f>
        <v>0</v>
      </c>
      <c r="BI2243" s="389">
        <f t="shared" ref="BI2243:BI2293" si="71">BH2243/12</f>
        <v>0</v>
      </c>
      <c r="BJ2243" s="170">
        <f t="shared" ref="BJ2243:BJ2293" si="72">BH2243/52</f>
        <v>0</v>
      </c>
      <c r="BK2243" s="453">
        <f t="shared" ref="BK2243:BK2293" si="73">IF(BH2243=0,0,BH2243/BF2243)</f>
        <v>0</v>
      </c>
    </row>
    <row r="2244" spans="1:63" ht="15.6" hidden="1" x14ac:dyDescent="0.25">
      <c r="A2244" s="454" t="s">
        <v>1153</v>
      </c>
      <c r="B2244" s="455" t="s">
        <v>1154</v>
      </c>
      <c r="C2244" s="456">
        <v>0</v>
      </c>
      <c r="D2244" s="456"/>
      <c r="G2244" s="457"/>
      <c r="H2244" s="457"/>
      <c r="I2244" s="457"/>
      <c r="J2244" s="457"/>
      <c r="K2244" s="457"/>
      <c r="L2244" s="457"/>
      <c r="M2244" s="457"/>
      <c r="N2244" s="457"/>
      <c r="O2244" s="457"/>
      <c r="P2244" s="457"/>
      <c r="Q2244" s="457"/>
      <c r="R2244" s="457"/>
      <c r="S2244" s="457"/>
      <c r="T2244" s="457"/>
      <c r="U2244" s="457"/>
      <c r="V2244" s="457"/>
      <c r="W2244" s="457"/>
      <c r="X2244" s="457"/>
      <c r="Y2244" s="457"/>
      <c r="Z2244" s="457"/>
      <c r="AA2244" s="448"/>
      <c r="AB2244" s="448" t="s">
        <v>1128</v>
      </c>
      <c r="AC2244" s="262" t="s">
        <v>966</v>
      </c>
      <c r="AF2244" s="458"/>
      <c r="AR2244" s="262" t="s">
        <v>966</v>
      </c>
      <c r="AW2244" s="262" t="s">
        <v>966</v>
      </c>
      <c r="BB2244" s="437">
        <f t="shared" ca="1" si="68"/>
        <v>0</v>
      </c>
      <c r="BF2244" s="460">
        <v>25715</v>
      </c>
      <c r="BG2244" s="452">
        <f t="shared" si="69"/>
        <v>0</v>
      </c>
      <c r="BH2244" s="452">
        <f t="shared" si="70"/>
        <v>0</v>
      </c>
      <c r="BI2244" s="389">
        <f t="shared" si="71"/>
        <v>0</v>
      </c>
      <c r="BJ2244" s="170">
        <f t="shared" si="72"/>
        <v>0</v>
      </c>
      <c r="BK2244" s="453">
        <f t="shared" si="73"/>
        <v>0</v>
      </c>
    </row>
    <row r="2245" spans="1:63" ht="15.6" hidden="1" x14ac:dyDescent="0.25">
      <c r="A2245" s="454" t="s">
        <v>1155</v>
      </c>
      <c r="B2245" s="455" t="s">
        <v>1156</v>
      </c>
      <c r="C2245" s="456">
        <v>0</v>
      </c>
      <c r="D2245" s="456"/>
      <c r="G2245" s="457"/>
      <c r="H2245" s="457"/>
      <c r="I2245" s="457"/>
      <c r="J2245" s="457"/>
      <c r="K2245" s="457"/>
      <c r="L2245" s="457"/>
      <c r="M2245" s="457"/>
      <c r="N2245" s="457"/>
      <c r="O2245" s="457"/>
      <c r="P2245" s="457"/>
      <c r="Q2245" s="457"/>
      <c r="R2245" s="457"/>
      <c r="S2245" s="457"/>
      <c r="T2245" s="457"/>
      <c r="U2245" s="457"/>
      <c r="V2245" s="457"/>
      <c r="W2245" s="457"/>
      <c r="X2245" s="457"/>
      <c r="Y2245" s="457"/>
      <c r="Z2245" s="457"/>
      <c r="AA2245" s="448"/>
      <c r="AB2245" s="448" t="s">
        <v>1128</v>
      </c>
      <c r="AC2245" s="262" t="s">
        <v>966</v>
      </c>
      <c r="AF2245" s="458"/>
      <c r="AR2245" s="262" t="s">
        <v>966</v>
      </c>
      <c r="AW2245" s="262" t="s">
        <v>966</v>
      </c>
      <c r="BB2245" s="437">
        <f t="shared" ca="1" si="68"/>
        <v>0</v>
      </c>
      <c r="BF2245" s="460">
        <v>22883</v>
      </c>
      <c r="BG2245" s="452">
        <f t="shared" si="69"/>
        <v>0</v>
      </c>
      <c r="BH2245" s="452">
        <f t="shared" si="70"/>
        <v>0</v>
      </c>
      <c r="BI2245" s="389">
        <f t="shared" si="71"/>
        <v>0</v>
      </c>
      <c r="BJ2245" s="170">
        <f t="shared" si="72"/>
        <v>0</v>
      </c>
      <c r="BK2245" s="453">
        <f t="shared" si="73"/>
        <v>0</v>
      </c>
    </row>
    <row r="2246" spans="1:63" ht="15.6" hidden="1" x14ac:dyDescent="0.25">
      <c r="A2246" s="454" t="s">
        <v>1157</v>
      </c>
      <c r="B2246" s="455" t="s">
        <v>1158</v>
      </c>
      <c r="C2246" s="456">
        <f>140*365.25</f>
        <v>51135</v>
      </c>
      <c r="D2246" s="456"/>
      <c r="G2246" s="457"/>
      <c r="H2246" s="457"/>
      <c r="I2246" s="457"/>
      <c r="J2246" s="457"/>
      <c r="K2246" s="457"/>
      <c r="L2246" s="457"/>
      <c r="M2246" s="457"/>
      <c r="N2246" s="457"/>
      <c r="O2246" s="457"/>
      <c r="P2246" s="457"/>
      <c r="Q2246" s="457"/>
      <c r="R2246" s="457"/>
      <c r="S2246" s="457"/>
      <c r="T2246" s="457"/>
      <c r="U2246" s="457"/>
      <c r="V2246" s="457"/>
      <c r="W2246" s="457"/>
      <c r="X2246" s="457"/>
      <c r="Y2246" s="457"/>
      <c r="Z2246" s="457"/>
      <c r="AB2246" s="56" t="s">
        <v>1159</v>
      </c>
      <c r="AC2246" s="262" t="s">
        <v>966</v>
      </c>
      <c r="AD2246" s="56" t="s">
        <v>1160</v>
      </c>
      <c r="AF2246" s="458">
        <v>2</v>
      </c>
      <c r="AG2246" s="56">
        <v>2</v>
      </c>
      <c r="AH2246" s="56" t="s">
        <v>1147</v>
      </c>
      <c r="AI2246" s="56" t="str">
        <f>CONCATENATE(AG2246,AH2246)</f>
        <v>2 years</v>
      </c>
      <c r="AK2246" s="56" t="s">
        <v>1148</v>
      </c>
      <c r="AO2246" s="56" t="s">
        <v>1161</v>
      </c>
      <c r="AR2246" s="262" t="s">
        <v>966</v>
      </c>
      <c r="AS2246" s="56" t="s">
        <v>1150</v>
      </c>
      <c r="AW2246" s="262" t="s">
        <v>966</v>
      </c>
      <c r="BB2246" s="437">
        <f t="shared" ca="1" si="68"/>
        <v>613620</v>
      </c>
      <c r="BF2246" s="460">
        <v>30441</v>
      </c>
      <c r="BG2246" s="452">
        <f t="shared" si="69"/>
        <v>0</v>
      </c>
      <c r="BH2246" s="452">
        <f t="shared" si="70"/>
        <v>0</v>
      </c>
      <c r="BI2246" s="389">
        <f t="shared" si="71"/>
        <v>0</v>
      </c>
      <c r="BJ2246" s="170">
        <f t="shared" si="72"/>
        <v>0</v>
      </c>
      <c r="BK2246" s="453">
        <f t="shared" si="73"/>
        <v>0</v>
      </c>
    </row>
    <row r="2247" spans="1:63" ht="15.6" hidden="1" x14ac:dyDescent="0.25">
      <c r="A2247" s="454" t="s">
        <v>1162</v>
      </c>
      <c r="B2247" s="455" t="s">
        <v>1163</v>
      </c>
      <c r="C2247" s="456">
        <v>70000</v>
      </c>
      <c r="D2247" s="456"/>
      <c r="G2247" s="457">
        <v>25000</v>
      </c>
      <c r="H2247" s="457"/>
      <c r="I2247" s="457"/>
      <c r="J2247" s="457"/>
      <c r="K2247" s="457"/>
      <c r="L2247" s="457"/>
      <c r="M2247" s="457"/>
      <c r="N2247" s="457"/>
      <c r="O2247" s="457"/>
      <c r="P2247" s="457"/>
      <c r="Q2247" s="457"/>
      <c r="R2247" s="457"/>
      <c r="S2247" s="457"/>
      <c r="T2247" s="457"/>
      <c r="U2247" s="457"/>
      <c r="V2247" s="457"/>
      <c r="W2247" s="457"/>
      <c r="X2247" s="457"/>
      <c r="Y2247" s="457"/>
      <c r="Z2247" s="457"/>
      <c r="AB2247" s="56" t="s">
        <v>1164</v>
      </c>
      <c r="AC2247" s="262" t="s">
        <v>966</v>
      </c>
      <c r="AD2247" s="56" t="s">
        <v>1165</v>
      </c>
      <c r="AF2247" s="458">
        <v>2</v>
      </c>
      <c r="AG2247" s="56">
        <v>2</v>
      </c>
      <c r="AH2247" s="56" t="s">
        <v>1147</v>
      </c>
      <c r="AI2247" s="56" t="str">
        <f>CONCATENATE(AG2247,AH2247)</f>
        <v>2 years</v>
      </c>
      <c r="AK2247" s="56" t="s">
        <v>1148</v>
      </c>
      <c r="AO2247" s="448" t="s">
        <v>1166</v>
      </c>
      <c r="AR2247" s="262" t="s">
        <v>966</v>
      </c>
      <c r="AS2247" s="56" t="s">
        <v>1167</v>
      </c>
      <c r="AW2247" s="262" t="s">
        <v>966</v>
      </c>
      <c r="BB2247" s="437">
        <f t="shared" ca="1" si="68"/>
        <v>1240000</v>
      </c>
      <c r="BF2247" s="460">
        <v>32357</v>
      </c>
      <c r="BG2247" s="452">
        <f t="shared" si="69"/>
        <v>0</v>
      </c>
      <c r="BH2247" s="452">
        <f t="shared" si="70"/>
        <v>0</v>
      </c>
      <c r="BI2247" s="389">
        <f t="shared" si="71"/>
        <v>0</v>
      </c>
      <c r="BJ2247" s="170">
        <f t="shared" si="72"/>
        <v>0</v>
      </c>
      <c r="BK2247" s="453">
        <f t="shared" si="73"/>
        <v>0</v>
      </c>
    </row>
    <row r="2248" spans="1:63" ht="15.6" hidden="1" x14ac:dyDescent="0.25">
      <c r="A2248" s="454" t="s">
        <v>1168</v>
      </c>
      <c r="B2248" s="455" t="s">
        <v>1169</v>
      </c>
      <c r="C2248" s="456">
        <f>ROUND((94449*2),-3)</f>
        <v>189000</v>
      </c>
      <c r="D2248" s="456"/>
      <c r="G2248" s="457"/>
      <c r="H2248" s="457"/>
      <c r="I2248" s="457"/>
      <c r="J2248" s="457"/>
      <c r="K2248" s="457"/>
      <c r="L2248" s="457"/>
      <c r="M2248" s="457"/>
      <c r="N2248" s="457"/>
      <c r="O2248" s="457"/>
      <c r="P2248" s="457"/>
      <c r="Q2248" s="457"/>
      <c r="R2248" s="457"/>
      <c r="S2248" s="457"/>
      <c r="T2248" s="457"/>
      <c r="U2248" s="457"/>
      <c r="V2248" s="457"/>
      <c r="W2248" s="457"/>
      <c r="X2248" s="457"/>
      <c r="Y2248" s="457"/>
      <c r="Z2248" s="457"/>
      <c r="AB2248" s="56" t="s">
        <v>1170</v>
      </c>
      <c r="AC2248" s="262" t="s">
        <v>966</v>
      </c>
      <c r="AD2248" s="56" t="s">
        <v>1171</v>
      </c>
      <c r="AF2248" s="458">
        <v>2</v>
      </c>
      <c r="AG2248" s="56">
        <v>2</v>
      </c>
      <c r="AH2248" s="56" t="s">
        <v>1147</v>
      </c>
      <c r="AI2248" s="56" t="str">
        <f>CONCATENATE(AG2248,AH2248)</f>
        <v>2 years</v>
      </c>
      <c r="AK2248" s="56" t="s">
        <v>1172</v>
      </c>
      <c r="AO2248" s="56" t="s">
        <v>1173</v>
      </c>
      <c r="AR2248" s="262" t="s">
        <v>966</v>
      </c>
      <c r="AS2248" s="56" t="s">
        <v>1174</v>
      </c>
      <c r="AW2248" s="262" t="s">
        <v>966</v>
      </c>
      <c r="BB2248" s="437">
        <f t="shared" ca="1" si="68"/>
        <v>2268000</v>
      </c>
      <c r="BF2248" s="460">
        <v>39373</v>
      </c>
      <c r="BG2248" s="452">
        <f t="shared" si="69"/>
        <v>0</v>
      </c>
      <c r="BH2248" s="452">
        <f t="shared" si="70"/>
        <v>0</v>
      </c>
      <c r="BI2248" s="389">
        <f t="shared" si="71"/>
        <v>0</v>
      </c>
      <c r="BJ2248" s="170">
        <f t="shared" si="72"/>
        <v>0</v>
      </c>
      <c r="BK2248" s="453">
        <f t="shared" si="73"/>
        <v>0</v>
      </c>
    </row>
    <row r="2249" spans="1:63" ht="15.6" hidden="1" x14ac:dyDescent="0.25">
      <c r="A2249" s="454" t="s">
        <v>1175</v>
      </c>
      <c r="B2249" s="455" t="s">
        <v>1176</v>
      </c>
      <c r="C2249" s="456">
        <v>0</v>
      </c>
      <c r="D2249" s="456"/>
      <c r="G2249" s="457"/>
      <c r="H2249" s="457"/>
      <c r="I2249" s="457"/>
      <c r="J2249" s="457"/>
      <c r="K2249" s="457"/>
      <c r="L2249" s="457"/>
      <c r="M2249" s="457"/>
      <c r="N2249" s="457"/>
      <c r="O2249" s="457"/>
      <c r="P2249" s="457"/>
      <c r="Q2249" s="457"/>
      <c r="R2249" s="457"/>
      <c r="S2249" s="457"/>
      <c r="T2249" s="457"/>
      <c r="U2249" s="457"/>
      <c r="V2249" s="457"/>
      <c r="W2249" s="457"/>
      <c r="X2249" s="457"/>
      <c r="Y2249" s="457"/>
      <c r="Z2249" s="457"/>
      <c r="AA2249" s="448"/>
      <c r="AB2249" s="448" t="s">
        <v>1128</v>
      </c>
      <c r="AC2249" s="262" t="s">
        <v>966</v>
      </c>
      <c r="AF2249" s="458"/>
      <c r="AR2249" s="262" t="s">
        <v>966</v>
      </c>
      <c r="AW2249" s="262" t="s">
        <v>966</v>
      </c>
      <c r="BB2249" s="437">
        <f t="shared" ca="1" si="68"/>
        <v>0</v>
      </c>
      <c r="BF2249" s="460">
        <v>30488</v>
      </c>
      <c r="BG2249" s="452">
        <f t="shared" si="69"/>
        <v>0</v>
      </c>
      <c r="BH2249" s="452">
        <f t="shared" si="70"/>
        <v>0</v>
      </c>
      <c r="BI2249" s="389">
        <f t="shared" si="71"/>
        <v>0</v>
      </c>
      <c r="BJ2249" s="170">
        <f t="shared" si="72"/>
        <v>0</v>
      </c>
      <c r="BK2249" s="453">
        <f t="shared" si="73"/>
        <v>0</v>
      </c>
    </row>
    <row r="2250" spans="1:63" ht="15.6" hidden="1" x14ac:dyDescent="0.25">
      <c r="A2250" s="461" t="s">
        <v>1177</v>
      </c>
      <c r="B2250" s="462" t="s">
        <v>1178</v>
      </c>
      <c r="C2250" s="463">
        <v>200000</v>
      </c>
      <c r="D2250" s="463"/>
      <c r="G2250" s="457">
        <v>40000</v>
      </c>
      <c r="H2250" s="457"/>
      <c r="I2250" s="457"/>
      <c r="J2250" s="457"/>
      <c r="K2250" s="457"/>
      <c r="L2250" s="457"/>
      <c r="M2250" s="457"/>
      <c r="N2250" s="457"/>
      <c r="O2250" s="457"/>
      <c r="P2250" s="457"/>
      <c r="Q2250" s="457"/>
      <c r="R2250" s="457"/>
      <c r="S2250" s="457"/>
      <c r="T2250" s="457"/>
      <c r="U2250" s="457"/>
      <c r="V2250" s="457"/>
      <c r="W2250" s="457"/>
      <c r="X2250" s="457"/>
      <c r="Y2250" s="457"/>
      <c r="Z2250" s="457"/>
      <c r="AB2250" s="56" t="s">
        <v>1179</v>
      </c>
      <c r="AC2250" s="262" t="s">
        <v>966</v>
      </c>
      <c r="AD2250" s="56" t="s">
        <v>1180</v>
      </c>
      <c r="AF2250" s="458"/>
      <c r="AG2250" s="360"/>
      <c r="AI2250" s="371" t="s">
        <v>1181</v>
      </c>
      <c r="AK2250" s="56" t="s">
        <v>1148</v>
      </c>
      <c r="AO2250" s="56" t="s">
        <v>1182</v>
      </c>
      <c r="AR2250" s="262" t="s">
        <v>966</v>
      </c>
      <c r="AS2250" s="56" t="s">
        <v>1167</v>
      </c>
      <c r="AW2250" s="262" t="s">
        <v>966</v>
      </c>
      <c r="BB2250" s="437">
        <f t="shared" ca="1" si="68"/>
        <v>3040000</v>
      </c>
      <c r="BF2250" s="460">
        <v>45877</v>
      </c>
      <c r="BG2250" s="452">
        <f t="shared" si="69"/>
        <v>0</v>
      </c>
      <c r="BH2250" s="452">
        <f t="shared" si="70"/>
        <v>0</v>
      </c>
      <c r="BI2250" s="389">
        <f t="shared" si="71"/>
        <v>0</v>
      </c>
      <c r="BJ2250" s="170">
        <f t="shared" si="72"/>
        <v>0</v>
      </c>
      <c r="BK2250" s="453">
        <f t="shared" si="73"/>
        <v>0</v>
      </c>
    </row>
    <row r="2251" spans="1:63" ht="15.6" hidden="1" x14ac:dyDescent="0.25">
      <c r="A2251" s="454" t="s">
        <v>1183</v>
      </c>
      <c r="B2251" s="455" t="s">
        <v>1184</v>
      </c>
      <c r="C2251" s="456">
        <v>50000</v>
      </c>
      <c r="D2251" s="456">
        <v>2000000</v>
      </c>
      <c r="G2251" s="457"/>
      <c r="H2251" s="457"/>
      <c r="I2251" s="457"/>
      <c r="J2251" s="457"/>
      <c r="K2251" s="457"/>
      <c r="L2251" s="457"/>
      <c r="M2251" s="457"/>
      <c r="N2251" s="457"/>
      <c r="O2251" s="457"/>
      <c r="P2251" s="457"/>
      <c r="Q2251" s="457"/>
      <c r="R2251" s="457"/>
      <c r="S2251" s="457"/>
      <c r="T2251" s="457"/>
      <c r="U2251" s="457"/>
      <c r="V2251" s="457"/>
      <c r="W2251" s="457"/>
      <c r="X2251" s="457"/>
      <c r="Y2251" s="457"/>
      <c r="Z2251" s="457"/>
      <c r="AB2251" s="56" t="s">
        <v>1185</v>
      </c>
      <c r="AC2251" s="262" t="s">
        <v>966</v>
      </c>
      <c r="AD2251" s="448" t="s">
        <v>1186</v>
      </c>
      <c r="AF2251" s="458">
        <v>2</v>
      </c>
      <c r="AG2251" s="56">
        <v>90</v>
      </c>
      <c r="AH2251" s="56" t="s">
        <v>1187</v>
      </c>
      <c r="AI2251" s="56" t="str">
        <f>CONCATENATE(AG2251,AH2251)</f>
        <v>90 days</v>
      </c>
      <c r="AK2251" s="56" t="s">
        <v>1188</v>
      </c>
      <c r="AO2251" s="56" t="s">
        <v>1189</v>
      </c>
      <c r="AR2251" s="262" t="s">
        <v>966</v>
      </c>
      <c r="AS2251" s="56" t="s">
        <v>1190</v>
      </c>
      <c r="AW2251" s="262" t="s">
        <v>966</v>
      </c>
      <c r="BB2251" s="437">
        <f t="shared" ca="1" si="68"/>
        <v>600000</v>
      </c>
      <c r="BF2251" s="460">
        <v>26582</v>
      </c>
      <c r="BG2251" s="452">
        <f t="shared" si="69"/>
        <v>0</v>
      </c>
      <c r="BH2251" s="452">
        <f t="shared" si="70"/>
        <v>0</v>
      </c>
      <c r="BI2251" s="389">
        <f t="shared" si="71"/>
        <v>0</v>
      </c>
      <c r="BJ2251" s="170">
        <f t="shared" si="72"/>
        <v>0</v>
      </c>
      <c r="BK2251" s="453">
        <f t="shared" si="73"/>
        <v>0</v>
      </c>
    </row>
    <row r="2252" spans="1:63" ht="15.6" hidden="1" x14ac:dyDescent="0.25">
      <c r="A2252" s="454" t="s">
        <v>1191</v>
      </c>
      <c r="B2252" s="455" t="s">
        <v>1192</v>
      </c>
      <c r="C2252" s="456"/>
      <c r="D2252" s="456"/>
      <c r="G2252" s="457"/>
      <c r="H2252" s="457"/>
      <c r="I2252" s="457"/>
      <c r="J2252" s="457"/>
      <c r="K2252" s="457"/>
      <c r="L2252" s="457"/>
      <c r="M2252" s="457"/>
      <c r="N2252" s="457"/>
      <c r="O2252" s="457"/>
      <c r="P2252" s="457"/>
      <c r="Q2252" s="457"/>
      <c r="R2252" s="457"/>
      <c r="S2252" s="457"/>
      <c r="T2252" s="457"/>
      <c r="U2252" s="457"/>
      <c r="V2252" s="457"/>
      <c r="W2252" s="457"/>
      <c r="X2252" s="457"/>
      <c r="Y2252" s="457"/>
      <c r="Z2252" s="457"/>
      <c r="AA2252" s="448"/>
      <c r="AB2252" s="448" t="s">
        <v>1128</v>
      </c>
      <c r="AC2252" s="262" t="s">
        <v>966</v>
      </c>
      <c r="AF2252" s="458"/>
      <c r="AR2252" s="262" t="s">
        <v>966</v>
      </c>
      <c r="AW2252" s="262" t="s">
        <v>966</v>
      </c>
      <c r="BB2252" s="437">
        <f t="shared" ca="1" si="68"/>
        <v>0</v>
      </c>
      <c r="BF2252" s="460">
        <v>25615</v>
      </c>
      <c r="BG2252" s="452">
        <f t="shared" si="69"/>
        <v>0</v>
      </c>
      <c r="BH2252" s="452">
        <f t="shared" si="70"/>
        <v>0</v>
      </c>
      <c r="BI2252" s="389">
        <f t="shared" si="71"/>
        <v>0</v>
      </c>
      <c r="BJ2252" s="170">
        <f t="shared" si="72"/>
        <v>0</v>
      </c>
      <c r="BK2252" s="453">
        <f t="shared" si="73"/>
        <v>0</v>
      </c>
    </row>
    <row r="2253" spans="1:63" ht="15.6" hidden="1" x14ac:dyDescent="0.25">
      <c r="A2253" s="454" t="s">
        <v>1193</v>
      </c>
      <c r="B2253" s="455" t="s">
        <v>1194</v>
      </c>
      <c r="C2253" s="456"/>
      <c r="D2253" s="456">
        <f>IF(AE264&lt;=5,85350,IF(AND(AE264&gt;5,AE264&lt;=14),170000,IF(AE264&gt;14,199150,"$85,350 or $170,000 or $199,150")))</f>
        <v>170000</v>
      </c>
      <c r="G2253" s="457"/>
      <c r="H2253" s="457"/>
      <c r="I2253" s="457"/>
      <c r="J2253" s="457"/>
      <c r="K2253" s="457"/>
      <c r="L2253" s="457"/>
      <c r="M2253" s="457"/>
      <c r="N2253" s="457"/>
      <c r="O2253" s="457"/>
      <c r="P2253" s="457"/>
      <c r="Q2253" s="457"/>
      <c r="R2253" s="457"/>
      <c r="S2253" s="457"/>
      <c r="T2253" s="457"/>
      <c r="U2253" s="457"/>
      <c r="V2253" s="457"/>
      <c r="W2253" s="457"/>
      <c r="X2253" s="457"/>
      <c r="Y2253" s="457"/>
      <c r="Z2253" s="457"/>
      <c r="AA2253" s="448"/>
      <c r="AB2253" s="56" t="s">
        <v>1195</v>
      </c>
      <c r="AC2253" s="262" t="s">
        <v>966</v>
      </c>
      <c r="AD2253" s="56" t="s">
        <v>1196</v>
      </c>
      <c r="AF2253" s="458"/>
      <c r="AG2253" s="56">
        <v>2</v>
      </c>
      <c r="AH2253" s="56" t="s">
        <v>1147</v>
      </c>
      <c r="AI2253" s="56" t="str">
        <f>CONCATENATE(AG2253,AH2253)</f>
        <v>2 years</v>
      </c>
      <c r="AK2253" s="56" t="s">
        <v>1188</v>
      </c>
      <c r="AO2253" s="56" t="s">
        <v>1197</v>
      </c>
      <c r="AR2253" s="262" t="s">
        <v>966</v>
      </c>
      <c r="AS2253" s="56" t="s">
        <v>1174</v>
      </c>
      <c r="AW2253" s="262" t="s">
        <v>966</v>
      </c>
      <c r="BB2253" s="437">
        <f t="shared" ca="1" si="68"/>
        <v>0</v>
      </c>
      <c r="BF2253" s="460">
        <v>29736</v>
      </c>
      <c r="BG2253" s="452">
        <f t="shared" si="69"/>
        <v>0</v>
      </c>
      <c r="BH2253" s="452">
        <f t="shared" si="70"/>
        <v>0</v>
      </c>
      <c r="BI2253" s="389">
        <f t="shared" si="71"/>
        <v>0</v>
      </c>
      <c r="BJ2253" s="170">
        <f t="shared" si="72"/>
        <v>0</v>
      </c>
      <c r="BK2253" s="453">
        <f t="shared" si="73"/>
        <v>0</v>
      </c>
    </row>
    <row r="2254" spans="1:63" ht="15.6" hidden="1" x14ac:dyDescent="0.25">
      <c r="A2254" s="454" t="s">
        <v>1198</v>
      </c>
      <c r="B2254" s="455" t="s">
        <v>1199</v>
      </c>
      <c r="C2254" s="456"/>
      <c r="D2254" s="456"/>
      <c r="G2254" s="457"/>
      <c r="H2254" s="457"/>
      <c r="I2254" s="457"/>
      <c r="J2254" s="457"/>
      <c r="K2254" s="457"/>
      <c r="L2254" s="457"/>
      <c r="M2254" s="457"/>
      <c r="N2254" s="457"/>
      <c r="O2254" s="457"/>
      <c r="P2254" s="457"/>
      <c r="Q2254" s="457"/>
      <c r="R2254" s="457"/>
      <c r="S2254" s="457"/>
      <c r="T2254" s="457"/>
      <c r="U2254" s="457"/>
      <c r="V2254" s="457"/>
      <c r="W2254" s="457"/>
      <c r="X2254" s="457"/>
      <c r="Y2254" s="457"/>
      <c r="Z2254" s="457"/>
      <c r="AA2254" s="448"/>
      <c r="AB2254" s="448" t="s">
        <v>1128</v>
      </c>
      <c r="AC2254" s="262" t="s">
        <v>966</v>
      </c>
      <c r="AF2254" s="458"/>
      <c r="AR2254" s="262" t="s">
        <v>966</v>
      </c>
      <c r="AW2254" s="262" t="s">
        <v>966</v>
      </c>
      <c r="BB2254" s="437">
        <f t="shared" ca="1" si="68"/>
        <v>0</v>
      </c>
      <c r="BF2254" s="460">
        <v>23938</v>
      </c>
      <c r="BG2254" s="452">
        <f t="shared" si="69"/>
        <v>0</v>
      </c>
      <c r="BH2254" s="452">
        <f t="shared" si="70"/>
        <v>0</v>
      </c>
      <c r="BI2254" s="389">
        <f t="shared" si="71"/>
        <v>0</v>
      </c>
      <c r="BJ2254" s="170">
        <f t="shared" si="72"/>
        <v>0</v>
      </c>
      <c r="BK2254" s="453">
        <f t="shared" si="73"/>
        <v>0</v>
      </c>
    </row>
    <row r="2255" spans="1:63" ht="15.6" hidden="1" x14ac:dyDescent="0.25">
      <c r="A2255" s="454" t="s">
        <v>1200</v>
      </c>
      <c r="B2255" s="455" t="s">
        <v>1201</v>
      </c>
      <c r="C2255" s="464">
        <f>IF(AND(AE264&gt;0,AE264&lt;5),85350,IF(AND(AE264&gt;5,AE264&lt;14),170000,IF(AND(AE264&gt;14,AE264&lt;199),199500,D2255)))</f>
        <v>170000</v>
      </c>
      <c r="D2255" s="465"/>
      <c r="G2255" s="457"/>
      <c r="H2255" s="457"/>
      <c r="I2255" s="457"/>
      <c r="J2255" s="457"/>
      <c r="K2255" s="457"/>
      <c r="L2255" s="457"/>
      <c r="M2255" s="457"/>
      <c r="N2255" s="457"/>
      <c r="O2255" s="457"/>
      <c r="P2255" s="457"/>
      <c r="Q2255" s="457"/>
      <c r="R2255" s="457"/>
      <c r="S2255" s="457"/>
      <c r="T2255" s="457"/>
      <c r="U2255" s="457"/>
      <c r="V2255" s="457"/>
      <c r="W2255" s="457"/>
      <c r="X2255" s="457"/>
      <c r="Y2255" s="457"/>
      <c r="Z2255" s="457"/>
      <c r="AB2255" s="56" t="s">
        <v>1202</v>
      </c>
      <c r="AC2255" s="262" t="s">
        <v>966</v>
      </c>
      <c r="AD2255" s="56" t="s">
        <v>1203</v>
      </c>
      <c r="AF2255" s="458">
        <v>2</v>
      </c>
      <c r="AG2255" s="56">
        <v>2</v>
      </c>
      <c r="AH2255" s="56" t="s">
        <v>1147</v>
      </c>
      <c r="AI2255" s="56" t="str">
        <f>CONCATENATE(AG2255,AH2255)</f>
        <v>2 years</v>
      </c>
      <c r="AK2255" s="56" t="s">
        <v>1148</v>
      </c>
      <c r="AO2255" s="56" t="s">
        <v>1204</v>
      </c>
      <c r="AR2255" s="262" t="s">
        <v>966</v>
      </c>
      <c r="AS2255" s="56" t="s">
        <v>1174</v>
      </c>
      <c r="AW2255" s="262" t="s">
        <v>966</v>
      </c>
      <c r="BB2255" s="437">
        <f t="shared" ca="1" si="68"/>
        <v>2040000</v>
      </c>
      <c r="BD2255" s="56">
        <f>IF(D2255=1,"varies",C2255)</f>
        <v>170000</v>
      </c>
      <c r="BF2255" s="460">
        <v>30417</v>
      </c>
      <c r="BG2255" s="452">
        <f t="shared" si="69"/>
        <v>0</v>
      </c>
      <c r="BH2255" s="452">
        <f t="shared" si="70"/>
        <v>0</v>
      </c>
      <c r="BI2255" s="389">
        <f t="shared" si="71"/>
        <v>0</v>
      </c>
      <c r="BJ2255" s="170">
        <f t="shared" si="72"/>
        <v>0</v>
      </c>
      <c r="BK2255" s="453">
        <f t="shared" si="73"/>
        <v>0</v>
      </c>
    </row>
    <row r="2256" spans="1:63" ht="15.6" hidden="1" x14ac:dyDescent="0.25">
      <c r="A2256" s="454" t="s">
        <v>1205</v>
      </c>
      <c r="B2256" s="455" t="s">
        <v>1206</v>
      </c>
      <c r="C2256" s="456">
        <v>50000</v>
      </c>
      <c r="D2256" s="456"/>
      <c r="G2256" s="457"/>
      <c r="H2256" s="457"/>
      <c r="I2256" s="457"/>
      <c r="J2256" s="457"/>
      <c r="K2256" s="457"/>
      <c r="L2256" s="457"/>
      <c r="M2256" s="457"/>
      <c r="N2256" s="457"/>
      <c r="O2256" s="457"/>
      <c r="P2256" s="457"/>
      <c r="Q2256" s="457"/>
      <c r="R2256" s="457"/>
      <c r="S2256" s="457"/>
      <c r="T2256" s="457"/>
      <c r="U2256" s="457"/>
      <c r="V2256" s="457"/>
      <c r="W2256" s="457"/>
      <c r="X2256" s="457"/>
      <c r="Y2256" s="457"/>
      <c r="Z2256" s="457"/>
      <c r="AB2256" s="466" t="s">
        <v>1207</v>
      </c>
      <c r="AC2256" s="262" t="s">
        <v>966</v>
      </c>
      <c r="AD2256" s="458" t="s">
        <v>1208</v>
      </c>
      <c r="AF2256" s="458">
        <v>2</v>
      </c>
      <c r="AI2256" s="458" t="str">
        <f>AI2250</f>
        <v>unspecfied</v>
      </c>
      <c r="AK2256" s="467" t="s">
        <v>1208</v>
      </c>
      <c r="AO2256" s="458" t="s">
        <v>1208</v>
      </c>
      <c r="AR2256" s="262" t="s">
        <v>966</v>
      </c>
      <c r="AW2256" s="262" t="s">
        <v>966</v>
      </c>
      <c r="BB2256" s="437">
        <f t="shared" ca="1" si="68"/>
        <v>600000</v>
      </c>
      <c r="BF2256" s="460">
        <v>25140</v>
      </c>
      <c r="BG2256" s="452">
        <f t="shared" si="69"/>
        <v>0</v>
      </c>
      <c r="BH2256" s="452">
        <f t="shared" si="70"/>
        <v>0</v>
      </c>
      <c r="BI2256" s="389">
        <f t="shared" si="71"/>
        <v>0</v>
      </c>
      <c r="BJ2256" s="170">
        <f t="shared" si="72"/>
        <v>0</v>
      </c>
      <c r="BK2256" s="453">
        <f t="shared" si="73"/>
        <v>0</v>
      </c>
    </row>
    <row r="2257" spans="1:63" ht="15.6" hidden="1" x14ac:dyDescent="0.25">
      <c r="A2257" s="454" t="s">
        <v>1209</v>
      </c>
      <c r="B2257" s="455" t="s">
        <v>1210</v>
      </c>
      <c r="C2257" s="456">
        <f>365.25*50</f>
        <v>18262.5</v>
      </c>
      <c r="D2257" s="456"/>
      <c r="G2257" s="457"/>
      <c r="H2257" s="457"/>
      <c r="I2257" s="457"/>
      <c r="J2257" s="457"/>
      <c r="K2257" s="457"/>
      <c r="L2257" s="457"/>
      <c r="M2257" s="457"/>
      <c r="N2257" s="457"/>
      <c r="O2257" s="457"/>
      <c r="P2257" s="457"/>
      <c r="Q2257" s="457"/>
      <c r="R2257" s="457"/>
      <c r="S2257" s="457"/>
      <c r="T2257" s="457"/>
      <c r="U2257" s="457"/>
      <c r="V2257" s="457"/>
      <c r="W2257" s="457"/>
      <c r="X2257" s="457"/>
      <c r="Y2257" s="457"/>
      <c r="Z2257" s="457"/>
      <c r="AA2257" s="468"/>
      <c r="AB2257" s="468" t="s">
        <v>1211</v>
      </c>
      <c r="AC2257" s="262" t="s">
        <v>966</v>
      </c>
      <c r="AD2257" s="56" t="s">
        <v>1212</v>
      </c>
      <c r="AF2257" s="458">
        <v>2</v>
      </c>
      <c r="AG2257" s="56">
        <v>2</v>
      </c>
      <c r="AH2257" s="56" t="s">
        <v>1147</v>
      </c>
      <c r="AI2257" s="56" t="str">
        <f>CONCATENATE(AG2257,AH2257)</f>
        <v>2 years</v>
      </c>
      <c r="AK2257" s="56" t="s">
        <v>1213</v>
      </c>
      <c r="AO2257" s="56" t="s">
        <v>1214</v>
      </c>
      <c r="AR2257" s="262" t="s">
        <v>966</v>
      </c>
      <c r="AS2257" s="56" t="s">
        <v>1167</v>
      </c>
      <c r="AW2257" s="262" t="s">
        <v>966</v>
      </c>
      <c r="BB2257" s="437">
        <f t="shared" ca="1" si="68"/>
        <v>219150</v>
      </c>
      <c r="BF2257" s="460">
        <v>28361</v>
      </c>
      <c r="BG2257" s="452">
        <f t="shared" si="69"/>
        <v>0</v>
      </c>
      <c r="BH2257" s="452">
        <f t="shared" si="70"/>
        <v>0</v>
      </c>
      <c r="BI2257" s="389">
        <f t="shared" si="71"/>
        <v>0</v>
      </c>
      <c r="BJ2257" s="170">
        <f t="shared" si="72"/>
        <v>0</v>
      </c>
      <c r="BK2257" s="453">
        <f t="shared" si="73"/>
        <v>0</v>
      </c>
    </row>
    <row r="2258" spans="1:63" ht="15.6" hidden="1" x14ac:dyDescent="0.25">
      <c r="A2258" s="454" t="s">
        <v>1215</v>
      </c>
      <c r="B2258" s="455" t="s">
        <v>1216</v>
      </c>
      <c r="C2258" s="456">
        <v>65000</v>
      </c>
      <c r="G2258" s="469">
        <v>25000</v>
      </c>
      <c r="H2258" s="469"/>
      <c r="I2258" s="469"/>
      <c r="J2258" s="469"/>
      <c r="K2258" s="469"/>
      <c r="L2258" s="469"/>
      <c r="M2258" s="469"/>
      <c r="N2258" s="469"/>
      <c r="O2258" s="469"/>
      <c r="P2258" s="469"/>
      <c r="Q2258" s="469"/>
      <c r="R2258" s="469"/>
      <c r="S2258" s="469"/>
      <c r="T2258" s="469"/>
      <c r="U2258" s="469"/>
      <c r="V2258" s="469"/>
      <c r="W2258" s="469"/>
      <c r="X2258" s="469"/>
      <c r="Y2258" s="469"/>
      <c r="Z2258" s="469"/>
      <c r="AB2258" s="466" t="s">
        <v>1217</v>
      </c>
      <c r="AC2258" s="262" t="s">
        <v>966</v>
      </c>
      <c r="AD2258" s="56" t="s">
        <v>163</v>
      </c>
      <c r="AF2258" s="458"/>
      <c r="AG2258" s="56">
        <v>2</v>
      </c>
      <c r="AH2258" s="56" t="s">
        <v>1147</v>
      </c>
      <c r="AI2258" s="56" t="str">
        <f>CONCATENATE(AG2258,AH2258)</f>
        <v>2 years</v>
      </c>
      <c r="AK2258" s="56" t="s">
        <v>1172</v>
      </c>
      <c r="AO2258" s="56" t="s">
        <v>1218</v>
      </c>
      <c r="AR2258" s="262" t="s">
        <v>966</v>
      </c>
      <c r="AW2258" s="262" t="s">
        <v>966</v>
      </c>
      <c r="BB2258" s="437">
        <f t="shared" ca="1" si="68"/>
        <v>1180000</v>
      </c>
      <c r="BF2258" s="460">
        <v>27870</v>
      </c>
      <c r="BG2258" s="452">
        <f t="shared" si="69"/>
        <v>0</v>
      </c>
      <c r="BH2258" s="452">
        <f t="shared" si="70"/>
        <v>0</v>
      </c>
      <c r="BI2258" s="389">
        <f t="shared" si="71"/>
        <v>0</v>
      </c>
      <c r="BJ2258" s="170">
        <f t="shared" si="72"/>
        <v>0</v>
      </c>
      <c r="BK2258" s="453">
        <f t="shared" si="73"/>
        <v>0</v>
      </c>
    </row>
    <row r="2259" spans="1:63" ht="15.6" hidden="1" x14ac:dyDescent="0.25">
      <c r="A2259" s="454" t="s">
        <v>1219</v>
      </c>
      <c r="B2259" s="455" t="s">
        <v>1220</v>
      </c>
      <c r="C2259" s="456"/>
      <c r="D2259" s="456"/>
      <c r="G2259" s="457"/>
      <c r="H2259" s="457"/>
      <c r="I2259" s="457"/>
      <c r="J2259" s="457"/>
      <c r="K2259" s="457"/>
      <c r="L2259" s="457"/>
      <c r="M2259" s="457"/>
      <c r="N2259" s="457"/>
      <c r="O2259" s="457"/>
      <c r="P2259" s="457"/>
      <c r="Q2259" s="457"/>
      <c r="R2259" s="457"/>
      <c r="S2259" s="457"/>
      <c r="T2259" s="457"/>
      <c r="U2259" s="457"/>
      <c r="V2259" s="457"/>
      <c r="W2259" s="457"/>
      <c r="X2259" s="457"/>
      <c r="Y2259" s="457"/>
      <c r="Z2259" s="457"/>
      <c r="AA2259" s="448"/>
      <c r="AB2259" s="448" t="s">
        <v>1128</v>
      </c>
      <c r="AC2259" s="262" t="s">
        <v>966</v>
      </c>
      <c r="AF2259" s="458"/>
      <c r="AR2259" s="262" t="s">
        <v>966</v>
      </c>
      <c r="AW2259" s="262" t="s">
        <v>966</v>
      </c>
      <c r="BB2259" s="437">
        <f t="shared" ca="1" si="68"/>
        <v>0</v>
      </c>
      <c r="BF2259" s="460">
        <v>23684</v>
      </c>
      <c r="BG2259" s="452">
        <f t="shared" si="69"/>
        <v>0</v>
      </c>
      <c r="BH2259" s="452">
        <f t="shared" si="70"/>
        <v>0</v>
      </c>
      <c r="BI2259" s="389">
        <f t="shared" si="71"/>
        <v>0</v>
      </c>
      <c r="BJ2259" s="170">
        <f t="shared" si="72"/>
        <v>0</v>
      </c>
      <c r="BK2259" s="453">
        <f t="shared" si="73"/>
        <v>0</v>
      </c>
    </row>
    <row r="2260" spans="1:63" ht="15.6" hidden="1" x14ac:dyDescent="0.25">
      <c r="A2260" s="454" t="s">
        <v>1221</v>
      </c>
      <c r="B2260" s="455" t="s">
        <v>1222</v>
      </c>
      <c r="C2260" s="456">
        <v>25000</v>
      </c>
      <c r="D2260" s="456">
        <f>C2260*10</f>
        <v>250000</v>
      </c>
      <c r="G2260" s="457"/>
      <c r="H2260" s="457"/>
      <c r="I2260" s="457"/>
      <c r="J2260" s="457"/>
      <c r="K2260" s="457"/>
      <c r="L2260" s="457"/>
      <c r="M2260" s="457"/>
      <c r="N2260" s="457"/>
      <c r="O2260" s="457"/>
      <c r="P2260" s="457"/>
      <c r="Q2260" s="457"/>
      <c r="R2260" s="457"/>
      <c r="S2260" s="457"/>
      <c r="T2260" s="457"/>
      <c r="U2260" s="457"/>
      <c r="V2260" s="457"/>
      <c r="W2260" s="457"/>
      <c r="X2260" s="457"/>
      <c r="Y2260" s="457"/>
      <c r="Z2260" s="457"/>
      <c r="AB2260" s="56" t="s">
        <v>1223</v>
      </c>
      <c r="AC2260" s="262" t="s">
        <v>966</v>
      </c>
      <c r="AD2260" s="56" t="s">
        <v>1224</v>
      </c>
      <c r="AF2260" s="458">
        <v>2</v>
      </c>
      <c r="AG2260" s="56">
        <v>2</v>
      </c>
      <c r="AH2260" s="56" t="s">
        <v>1147</v>
      </c>
      <c r="AI2260" s="56" t="str">
        <f>CONCATENATE(AG2260,AH2260)</f>
        <v>2 years</v>
      </c>
      <c r="AK2260" s="56" t="s">
        <v>1172</v>
      </c>
      <c r="AO2260" s="56" t="s">
        <v>1225</v>
      </c>
      <c r="AR2260" s="262" t="s">
        <v>966</v>
      </c>
      <c r="AS2260" s="56" t="s">
        <v>1167</v>
      </c>
      <c r="AW2260" s="262" t="s">
        <v>966</v>
      </c>
      <c r="BB2260" s="437">
        <f t="shared" ca="1" si="68"/>
        <v>250000</v>
      </c>
      <c r="BF2260" s="460">
        <v>24800</v>
      </c>
      <c r="BG2260" s="452">
        <f t="shared" si="69"/>
        <v>0</v>
      </c>
      <c r="BH2260" s="452">
        <f t="shared" si="70"/>
        <v>0</v>
      </c>
      <c r="BI2260" s="389">
        <f t="shared" si="71"/>
        <v>0</v>
      </c>
      <c r="BJ2260" s="170">
        <f t="shared" si="72"/>
        <v>0</v>
      </c>
      <c r="BK2260" s="453">
        <f t="shared" si="73"/>
        <v>0</v>
      </c>
    </row>
    <row r="2261" spans="1:63" ht="15.6" hidden="1" x14ac:dyDescent="0.25">
      <c r="A2261" s="454" t="s">
        <v>1226</v>
      </c>
      <c r="B2261" s="455" t="s">
        <v>1227</v>
      </c>
      <c r="C2261" s="456"/>
      <c r="D2261" s="456">
        <v>300000</v>
      </c>
      <c r="G2261" s="457"/>
      <c r="H2261" s="457"/>
      <c r="I2261" s="457"/>
      <c r="J2261" s="457"/>
      <c r="K2261" s="457"/>
      <c r="L2261" s="457"/>
      <c r="M2261" s="457"/>
      <c r="N2261" s="457"/>
      <c r="O2261" s="457"/>
      <c r="P2261" s="457"/>
      <c r="Q2261" s="457"/>
      <c r="R2261" s="457"/>
      <c r="S2261" s="457"/>
      <c r="T2261" s="457"/>
      <c r="U2261" s="457"/>
      <c r="V2261" s="457"/>
      <c r="W2261" s="457"/>
      <c r="X2261" s="457"/>
      <c r="Y2261" s="457"/>
      <c r="Z2261" s="457"/>
      <c r="AB2261" s="56" t="s">
        <v>1228</v>
      </c>
      <c r="AC2261" s="262" t="s">
        <v>966</v>
      </c>
      <c r="AD2261" s="56" t="s">
        <v>1229</v>
      </c>
      <c r="AF2261" s="458">
        <v>2</v>
      </c>
      <c r="AG2261" s="56">
        <v>2</v>
      </c>
      <c r="AH2261" s="56" t="s">
        <v>1147</v>
      </c>
      <c r="AI2261" s="56" t="str">
        <f>CONCATENATE(AG2261,AH2261)</f>
        <v>2 years</v>
      </c>
      <c r="AK2261" s="56" t="s">
        <v>1148</v>
      </c>
      <c r="AO2261" s="56" t="s">
        <v>1230</v>
      </c>
      <c r="AR2261" s="262" t="s">
        <v>966</v>
      </c>
      <c r="AS2261" s="56" t="s">
        <v>1167</v>
      </c>
      <c r="AW2261" s="262" t="s">
        <v>966</v>
      </c>
      <c r="BB2261" s="437">
        <f t="shared" ca="1" si="68"/>
        <v>0</v>
      </c>
      <c r="BF2261" s="460">
        <v>27978</v>
      </c>
      <c r="BG2261" s="452">
        <f t="shared" si="69"/>
        <v>0</v>
      </c>
      <c r="BH2261" s="452">
        <f t="shared" si="70"/>
        <v>0</v>
      </c>
      <c r="BI2261" s="389">
        <f t="shared" si="71"/>
        <v>0</v>
      </c>
      <c r="BJ2261" s="170">
        <f t="shared" si="72"/>
        <v>0</v>
      </c>
      <c r="BK2261" s="453">
        <f t="shared" si="73"/>
        <v>0</v>
      </c>
    </row>
    <row r="2262" spans="1:63" ht="15.6" hidden="1" x14ac:dyDescent="0.25">
      <c r="A2262" s="454" t="s">
        <v>1231</v>
      </c>
      <c r="B2262" s="455" t="s">
        <v>1232</v>
      </c>
      <c r="C2262" s="465">
        <v>1E-8</v>
      </c>
      <c r="D2262" s="465">
        <v>999999</v>
      </c>
      <c r="G2262" s="457"/>
      <c r="H2262" s="457"/>
      <c r="I2262" s="457"/>
      <c r="J2262" s="457"/>
      <c r="K2262" s="457"/>
      <c r="L2262" s="457"/>
      <c r="M2262" s="457"/>
      <c r="N2262" s="457"/>
      <c r="O2262" s="457"/>
      <c r="P2262" s="457"/>
      <c r="Q2262" s="457"/>
      <c r="R2262" s="457"/>
      <c r="S2262" s="457"/>
      <c r="T2262" s="457"/>
      <c r="U2262" s="457"/>
      <c r="V2262" s="457"/>
      <c r="W2262" s="457"/>
      <c r="X2262" s="457"/>
      <c r="Y2262" s="457"/>
      <c r="Z2262" s="457"/>
      <c r="AB2262" s="56" t="s">
        <v>1233</v>
      </c>
      <c r="AC2262" s="262" t="s">
        <v>966</v>
      </c>
      <c r="AD2262" s="56" t="s">
        <v>1234</v>
      </c>
      <c r="AF2262" s="458"/>
      <c r="AI2262" s="56" t="str">
        <f>AI2258</f>
        <v>2 years</v>
      </c>
      <c r="AK2262" s="56" t="s">
        <v>1148</v>
      </c>
      <c r="AO2262" s="56" t="s">
        <v>1235</v>
      </c>
      <c r="AR2262" s="262" t="s">
        <v>966</v>
      </c>
      <c r="AS2262" s="56" t="s">
        <v>1150</v>
      </c>
      <c r="AW2262" s="262" t="s">
        <v>966</v>
      </c>
      <c r="BB2262" s="437">
        <f t="shared" ca="1" si="68"/>
        <v>1.2000000000000002E-7</v>
      </c>
      <c r="BF2262" s="460">
        <v>36338</v>
      </c>
      <c r="BG2262" s="452">
        <f t="shared" si="69"/>
        <v>0</v>
      </c>
      <c r="BH2262" s="452">
        <f t="shared" si="70"/>
        <v>0</v>
      </c>
      <c r="BI2262" s="389">
        <f t="shared" si="71"/>
        <v>0</v>
      </c>
      <c r="BJ2262" s="170">
        <f t="shared" si="72"/>
        <v>0</v>
      </c>
      <c r="BK2262" s="453">
        <f t="shared" si="73"/>
        <v>0</v>
      </c>
    </row>
    <row r="2263" spans="1:63" ht="15.6" hidden="1" x14ac:dyDescent="0.25">
      <c r="A2263" s="454" t="s">
        <v>1236</v>
      </c>
      <c r="B2263" s="455" t="s">
        <v>1237</v>
      </c>
      <c r="C2263" s="456"/>
      <c r="D2263" s="456">
        <v>1000000</v>
      </c>
      <c r="G2263" s="457"/>
      <c r="H2263" s="457"/>
      <c r="I2263" s="457"/>
      <c r="J2263" s="457"/>
      <c r="K2263" s="457"/>
      <c r="L2263" s="457"/>
      <c r="M2263" s="457"/>
      <c r="N2263" s="457"/>
      <c r="O2263" s="457"/>
      <c r="P2263" s="457"/>
      <c r="Q2263" s="457"/>
      <c r="R2263" s="457"/>
      <c r="S2263" s="457"/>
      <c r="T2263" s="457"/>
      <c r="U2263" s="457"/>
      <c r="V2263" s="457"/>
      <c r="W2263" s="457"/>
      <c r="X2263" s="457"/>
      <c r="Y2263" s="457"/>
      <c r="Z2263" s="457"/>
      <c r="AB2263" s="56" t="s">
        <v>1238</v>
      </c>
      <c r="AC2263" s="262" t="s">
        <v>966</v>
      </c>
      <c r="AD2263" s="56" t="s">
        <v>1229</v>
      </c>
      <c r="AF2263" s="458">
        <v>3</v>
      </c>
      <c r="AG2263" s="56">
        <v>2</v>
      </c>
      <c r="AH2263" s="56" t="s">
        <v>1147</v>
      </c>
      <c r="AI2263" s="56" t="str">
        <f t="shared" ref="AI2263:AI2269" si="74">CONCATENATE(AG2263,AH2263)</f>
        <v>2 years</v>
      </c>
      <c r="AK2263" s="56" t="s">
        <v>1172</v>
      </c>
      <c r="AO2263" s="56" t="s">
        <v>1239</v>
      </c>
      <c r="AR2263" s="262" t="s">
        <v>966</v>
      </c>
      <c r="AS2263" s="56" t="s">
        <v>1167</v>
      </c>
      <c r="AW2263" s="262" t="s">
        <v>966</v>
      </c>
      <c r="BB2263" s="437">
        <f t="shared" ca="1" si="68"/>
        <v>0</v>
      </c>
      <c r="BF2263" s="460">
        <v>36593</v>
      </c>
      <c r="BG2263" s="452">
        <f t="shared" si="69"/>
        <v>0</v>
      </c>
      <c r="BH2263" s="452">
        <f t="shared" si="70"/>
        <v>0</v>
      </c>
      <c r="BI2263" s="389">
        <f t="shared" si="71"/>
        <v>0</v>
      </c>
      <c r="BJ2263" s="170">
        <f t="shared" si="72"/>
        <v>0</v>
      </c>
      <c r="BK2263" s="453">
        <f t="shared" si="73"/>
        <v>0</v>
      </c>
    </row>
    <row r="2264" spans="1:63" ht="15.6" hidden="1" x14ac:dyDescent="0.25">
      <c r="A2264" s="454" t="s">
        <v>1240</v>
      </c>
      <c r="B2264" s="455" t="s">
        <v>160</v>
      </c>
      <c r="C2264" s="456">
        <v>50000</v>
      </c>
      <c r="D2264" s="456" t="s">
        <v>1241</v>
      </c>
      <c r="G2264" s="457"/>
      <c r="H2264" s="457"/>
      <c r="I2264" s="457"/>
      <c r="J2264" s="457"/>
      <c r="K2264" s="457"/>
      <c r="L2264" s="457"/>
      <c r="M2264" s="457"/>
      <c r="N2264" s="457"/>
      <c r="O2264" s="457"/>
      <c r="P2264" s="457"/>
      <c r="Q2264" s="457"/>
      <c r="R2264" s="457"/>
      <c r="S2264" s="457"/>
      <c r="T2264" s="457"/>
      <c r="U2264" s="457"/>
      <c r="V2264" s="457"/>
      <c r="W2264" s="457"/>
      <c r="X2264" s="457"/>
      <c r="Y2264" s="457"/>
      <c r="Z2264" s="457"/>
      <c r="AB2264" s="56" t="s">
        <v>1242</v>
      </c>
      <c r="AC2264" s="262" t="s">
        <v>966</v>
      </c>
      <c r="AD2264" s="56" t="s">
        <v>1203</v>
      </c>
      <c r="AF2264" s="458"/>
      <c r="AG2264" s="56">
        <v>3</v>
      </c>
      <c r="AH2264" s="56" t="s">
        <v>1147</v>
      </c>
      <c r="AI2264" s="56" t="str">
        <f t="shared" si="74"/>
        <v>3 years</v>
      </c>
      <c r="AK2264" s="56" t="s">
        <v>1213</v>
      </c>
      <c r="AO2264" s="56" t="s">
        <v>1243</v>
      </c>
      <c r="AR2264" s="262" t="s">
        <v>966</v>
      </c>
      <c r="AS2264" s="56" t="s">
        <v>1167</v>
      </c>
      <c r="AW2264" s="262" t="s">
        <v>966</v>
      </c>
      <c r="BB2264" s="437">
        <f t="shared" ca="1" si="68"/>
        <v>600000</v>
      </c>
      <c r="BF2264" s="460">
        <v>26613</v>
      </c>
      <c r="BG2264" s="452">
        <f t="shared" si="69"/>
        <v>2200</v>
      </c>
      <c r="BH2264" s="452">
        <f t="shared" si="70"/>
        <v>24413</v>
      </c>
      <c r="BI2264" s="389">
        <f t="shared" si="71"/>
        <v>2034.4166666666667</v>
      </c>
      <c r="BJ2264" s="170">
        <f t="shared" si="72"/>
        <v>469.48076923076923</v>
      </c>
      <c r="BK2264" s="453">
        <f t="shared" si="73"/>
        <v>0.91733363393830081</v>
      </c>
    </row>
    <row r="2265" spans="1:63" ht="15.6" hidden="1" x14ac:dyDescent="0.25">
      <c r="A2265" s="454" t="s">
        <v>1244</v>
      </c>
      <c r="B2265" s="455" t="s">
        <v>1245</v>
      </c>
      <c r="C2265" s="456">
        <v>100000</v>
      </c>
      <c r="D2265" s="456">
        <v>50000</v>
      </c>
      <c r="G2265" s="457"/>
      <c r="H2265" s="457"/>
      <c r="I2265" s="457"/>
      <c r="J2265" s="457"/>
      <c r="K2265" s="457"/>
      <c r="L2265" s="457"/>
      <c r="M2265" s="457"/>
      <c r="N2265" s="457"/>
      <c r="O2265" s="457"/>
      <c r="P2265" s="457"/>
      <c r="Q2265" s="457"/>
      <c r="R2265" s="457"/>
      <c r="S2265" s="457"/>
      <c r="T2265" s="457"/>
      <c r="U2265" s="457"/>
      <c r="V2265" s="457"/>
      <c r="W2265" s="457"/>
      <c r="X2265" s="457"/>
      <c r="Y2265" s="457"/>
      <c r="Z2265" s="457"/>
      <c r="AB2265" s="56" t="s">
        <v>1246</v>
      </c>
      <c r="AC2265" s="262" t="s">
        <v>966</v>
      </c>
      <c r="AD2265" s="56" t="s">
        <v>1247</v>
      </c>
      <c r="AF2265" s="458">
        <v>2</v>
      </c>
      <c r="AG2265" s="56">
        <v>60</v>
      </c>
      <c r="AH2265" s="56" t="s">
        <v>1187</v>
      </c>
      <c r="AI2265" s="56" t="str">
        <f t="shared" si="74"/>
        <v>60 days</v>
      </c>
      <c r="AK2265" s="56" t="s">
        <v>1213</v>
      </c>
      <c r="AO2265" s="56" t="s">
        <v>1248</v>
      </c>
      <c r="AR2265" s="262" t="s">
        <v>966</v>
      </c>
      <c r="AS2265" s="56" t="s">
        <v>1174</v>
      </c>
      <c r="AW2265" s="262" t="s">
        <v>966</v>
      </c>
      <c r="BB2265" s="437">
        <f t="shared" ca="1" si="68"/>
        <v>50000</v>
      </c>
      <c r="BF2265" s="460">
        <v>32638</v>
      </c>
      <c r="BG2265" s="452">
        <f t="shared" si="69"/>
        <v>0</v>
      </c>
      <c r="BH2265" s="452">
        <f t="shared" si="70"/>
        <v>0</v>
      </c>
      <c r="BI2265" s="389">
        <f t="shared" si="71"/>
        <v>0</v>
      </c>
      <c r="BJ2265" s="170">
        <f t="shared" si="72"/>
        <v>0</v>
      </c>
      <c r="BK2265" s="453">
        <f t="shared" si="73"/>
        <v>0</v>
      </c>
    </row>
    <row r="2266" spans="1:63" ht="15.6" hidden="1" x14ac:dyDescent="0.25">
      <c r="A2266" s="454" t="s">
        <v>1249</v>
      </c>
      <c r="B2266" s="455" t="s">
        <v>1250</v>
      </c>
      <c r="C2266" s="456">
        <v>50000</v>
      </c>
      <c r="D2266" s="456">
        <f>C2266*10</f>
        <v>500000</v>
      </c>
      <c r="G2266" s="457"/>
      <c r="H2266" s="457"/>
      <c r="I2266" s="457"/>
      <c r="J2266" s="457"/>
      <c r="K2266" s="457"/>
      <c r="L2266" s="457"/>
      <c r="M2266" s="457"/>
      <c r="N2266" s="457"/>
      <c r="O2266" s="457"/>
      <c r="P2266" s="457"/>
      <c r="Q2266" s="457"/>
      <c r="R2266" s="457"/>
      <c r="S2266" s="457"/>
      <c r="T2266" s="457"/>
      <c r="U2266" s="457"/>
      <c r="V2266" s="457"/>
      <c r="W2266" s="457"/>
      <c r="X2266" s="457"/>
      <c r="Y2266" s="457"/>
      <c r="Z2266" s="457"/>
      <c r="AB2266" s="56" t="s">
        <v>1251</v>
      </c>
      <c r="AC2266" s="262" t="s">
        <v>966</v>
      </c>
      <c r="AD2266" s="56" t="s">
        <v>1252</v>
      </c>
      <c r="AF2266" s="458"/>
      <c r="AG2266" s="56">
        <v>3</v>
      </c>
      <c r="AH2266" s="56" t="s">
        <v>1147</v>
      </c>
      <c r="AI2266" s="56" t="str">
        <f t="shared" si="74"/>
        <v>3 years</v>
      </c>
      <c r="AK2266" s="56" t="s">
        <v>1213</v>
      </c>
      <c r="AO2266" s="56" t="s">
        <v>1253</v>
      </c>
      <c r="AR2266" s="262" t="s">
        <v>966</v>
      </c>
      <c r="AS2266" s="56" t="s">
        <v>1174</v>
      </c>
      <c r="AW2266" s="262" t="s">
        <v>966</v>
      </c>
      <c r="BB2266" s="437">
        <f t="shared" ca="1" si="68"/>
        <v>500000</v>
      </c>
      <c r="BF2266" s="460">
        <v>21036</v>
      </c>
      <c r="BG2266" s="452">
        <f t="shared" si="69"/>
        <v>0</v>
      </c>
      <c r="BH2266" s="452">
        <f t="shared" si="70"/>
        <v>0</v>
      </c>
      <c r="BI2266" s="389">
        <f t="shared" si="71"/>
        <v>0</v>
      </c>
      <c r="BJ2266" s="170">
        <f t="shared" si="72"/>
        <v>0</v>
      </c>
      <c r="BK2266" s="453">
        <f t="shared" si="73"/>
        <v>0</v>
      </c>
    </row>
    <row r="2267" spans="1:63" ht="15.6" hidden="1" x14ac:dyDescent="0.25">
      <c r="A2267" s="454" t="s">
        <v>1254</v>
      </c>
      <c r="B2267" s="455" t="s">
        <v>1255</v>
      </c>
      <c r="C2267" s="456">
        <f>50*365.25</f>
        <v>18262.5</v>
      </c>
      <c r="D2267" s="456"/>
      <c r="G2267" s="457"/>
      <c r="H2267" s="457"/>
      <c r="I2267" s="457"/>
      <c r="J2267" s="457"/>
      <c r="K2267" s="457"/>
      <c r="L2267" s="457"/>
      <c r="M2267" s="457"/>
      <c r="N2267" s="457"/>
      <c r="O2267" s="457"/>
      <c r="P2267" s="457"/>
      <c r="Q2267" s="457"/>
      <c r="R2267" s="457"/>
      <c r="S2267" s="457"/>
      <c r="T2267" s="457"/>
      <c r="U2267" s="457"/>
      <c r="V2267" s="457"/>
      <c r="W2267" s="457"/>
      <c r="X2267" s="457"/>
      <c r="Y2267" s="457"/>
      <c r="Z2267" s="457"/>
      <c r="AB2267" s="56" t="s">
        <v>1256</v>
      </c>
      <c r="AC2267" s="262" t="s">
        <v>966</v>
      </c>
      <c r="AD2267" s="56" t="s">
        <v>1257</v>
      </c>
      <c r="AF2267" s="458">
        <v>1</v>
      </c>
      <c r="AI2267" s="56" t="str">
        <f>AI2262</f>
        <v>2 years</v>
      </c>
      <c r="AK2267" s="56" t="s">
        <v>1188</v>
      </c>
      <c r="AO2267" s="56" t="s">
        <v>1258</v>
      </c>
      <c r="AR2267" s="262" t="s">
        <v>966</v>
      </c>
      <c r="AS2267" s="56" t="s">
        <v>1259</v>
      </c>
      <c r="AW2267" s="262" t="s">
        <v>966</v>
      </c>
      <c r="BB2267" s="437">
        <f t="shared" ca="1" si="68"/>
        <v>219150</v>
      </c>
      <c r="BF2267" s="460">
        <v>26126</v>
      </c>
      <c r="BG2267" s="452">
        <f t="shared" si="69"/>
        <v>0</v>
      </c>
      <c r="BH2267" s="452">
        <f t="shared" si="70"/>
        <v>0</v>
      </c>
      <c r="BI2267" s="389">
        <f t="shared" si="71"/>
        <v>0</v>
      </c>
      <c r="BJ2267" s="170">
        <f t="shared" si="72"/>
        <v>0</v>
      </c>
      <c r="BK2267" s="453">
        <f t="shared" si="73"/>
        <v>0</v>
      </c>
    </row>
    <row r="2268" spans="1:63" ht="15.6" hidden="1" x14ac:dyDescent="0.25">
      <c r="A2268" s="454" t="s">
        <v>1260</v>
      </c>
      <c r="B2268" s="455" t="s">
        <v>1261</v>
      </c>
      <c r="C2268" s="465">
        <v>1E-8</v>
      </c>
      <c r="D2268" s="456"/>
      <c r="G2268" s="457"/>
      <c r="H2268" s="457"/>
      <c r="I2268" s="457"/>
      <c r="J2268" s="457"/>
      <c r="K2268" s="457"/>
      <c r="L2268" s="457"/>
      <c r="M2268" s="457"/>
      <c r="N2268" s="457"/>
      <c r="O2268" s="457"/>
      <c r="P2268" s="457"/>
      <c r="Q2268" s="457"/>
      <c r="R2268" s="457"/>
      <c r="S2268" s="457"/>
      <c r="T2268" s="457"/>
      <c r="U2268" s="457"/>
      <c r="V2268" s="457"/>
      <c r="W2268" s="457"/>
      <c r="X2268" s="457"/>
      <c r="Y2268" s="457"/>
      <c r="Z2268" s="457"/>
      <c r="AB2268" s="56" t="s">
        <v>1262</v>
      </c>
      <c r="AC2268" s="262" t="s">
        <v>966</v>
      </c>
      <c r="AD2268" s="56" t="s">
        <v>1263</v>
      </c>
      <c r="AF2268" s="458"/>
      <c r="AG2268" s="56">
        <v>10</v>
      </c>
      <c r="AH2268" s="56" t="s">
        <v>1147</v>
      </c>
      <c r="AI2268" s="56" t="str">
        <f t="shared" si="74"/>
        <v>10 years</v>
      </c>
      <c r="AK2268" s="56" t="s">
        <v>1148</v>
      </c>
      <c r="AO2268" s="56" t="s">
        <v>1264</v>
      </c>
      <c r="AR2268" s="262" t="s">
        <v>966</v>
      </c>
      <c r="AS2268" s="56" t="s">
        <v>1265</v>
      </c>
      <c r="AW2268" s="262" t="s">
        <v>966</v>
      </c>
      <c r="BB2268" s="437">
        <f t="shared" ca="1" si="68"/>
        <v>1.2000000000000002E-7</v>
      </c>
      <c r="BF2268" s="460">
        <v>25989</v>
      </c>
      <c r="BG2268" s="452">
        <f t="shared" si="69"/>
        <v>0</v>
      </c>
      <c r="BH2268" s="452">
        <f t="shared" si="70"/>
        <v>0</v>
      </c>
      <c r="BI2268" s="389">
        <f t="shared" si="71"/>
        <v>0</v>
      </c>
      <c r="BJ2268" s="170">
        <f t="shared" si="72"/>
        <v>0</v>
      </c>
      <c r="BK2268" s="453">
        <f t="shared" si="73"/>
        <v>0</v>
      </c>
    </row>
    <row r="2269" spans="1:63" ht="15.6" hidden="1" x14ac:dyDescent="0.25">
      <c r="A2269" s="454" t="s">
        <v>1266</v>
      </c>
      <c r="B2269" s="455" t="s">
        <v>1267</v>
      </c>
      <c r="C2269" s="456"/>
      <c r="D2269" s="456">
        <v>500000</v>
      </c>
      <c r="G2269" s="457"/>
      <c r="H2269" s="457"/>
      <c r="I2269" s="457"/>
      <c r="J2269" s="457"/>
      <c r="K2269" s="457"/>
      <c r="L2269" s="457"/>
      <c r="M2269" s="457"/>
      <c r="N2269" s="457"/>
      <c r="O2269" s="457"/>
      <c r="P2269" s="457"/>
      <c r="Q2269" s="457"/>
      <c r="R2269" s="457"/>
      <c r="S2269" s="457"/>
      <c r="T2269" s="457"/>
      <c r="U2269" s="457"/>
      <c r="V2269" s="457"/>
      <c r="W2269" s="457"/>
      <c r="X2269" s="457"/>
      <c r="Y2269" s="457"/>
      <c r="Z2269" s="457"/>
      <c r="AB2269" s="56" t="s">
        <v>1268</v>
      </c>
      <c r="AC2269" s="262" t="s">
        <v>966</v>
      </c>
      <c r="AD2269" s="56" t="s">
        <v>1150</v>
      </c>
      <c r="AF2269" s="458"/>
      <c r="AG2269" s="56">
        <v>2</v>
      </c>
      <c r="AH2269" s="56" t="s">
        <v>1147</v>
      </c>
      <c r="AI2269" s="56" t="str">
        <f t="shared" si="74"/>
        <v>2 years</v>
      </c>
      <c r="AK2269" s="56" t="s">
        <v>1213</v>
      </c>
      <c r="AO2269" s="56" t="s">
        <v>1269</v>
      </c>
      <c r="AR2269" s="262" t="s">
        <v>966</v>
      </c>
      <c r="AS2269" s="56" t="s">
        <v>1167</v>
      </c>
      <c r="AW2269" s="262" t="s">
        <v>966</v>
      </c>
      <c r="BB2269" s="437">
        <f t="shared" ca="1" si="68"/>
        <v>0</v>
      </c>
      <c r="BF2269" s="460">
        <v>27446</v>
      </c>
      <c r="BG2269" s="452">
        <f t="shared" si="69"/>
        <v>0</v>
      </c>
      <c r="BH2269" s="452">
        <f t="shared" si="70"/>
        <v>0</v>
      </c>
      <c r="BI2269" s="389">
        <f t="shared" si="71"/>
        <v>0</v>
      </c>
      <c r="BJ2269" s="170">
        <f t="shared" si="72"/>
        <v>0</v>
      </c>
      <c r="BK2269" s="453">
        <f t="shared" si="73"/>
        <v>0</v>
      </c>
    </row>
    <row r="2270" spans="1:63" ht="15.6" hidden="1" x14ac:dyDescent="0.25">
      <c r="A2270" s="454" t="s">
        <v>1270</v>
      </c>
      <c r="B2270" s="455" t="s">
        <v>1271</v>
      </c>
      <c r="C2270" s="456"/>
      <c r="D2270" s="456"/>
      <c r="G2270" s="457"/>
      <c r="H2270" s="457"/>
      <c r="I2270" s="457"/>
      <c r="J2270" s="457"/>
      <c r="K2270" s="457"/>
      <c r="L2270" s="457"/>
      <c r="M2270" s="457"/>
      <c r="N2270" s="457"/>
      <c r="O2270" s="457"/>
      <c r="P2270" s="457"/>
      <c r="Q2270" s="457"/>
      <c r="R2270" s="457"/>
      <c r="S2270" s="457"/>
      <c r="T2270" s="457"/>
      <c r="U2270" s="457"/>
      <c r="V2270" s="457"/>
      <c r="W2270" s="457"/>
      <c r="X2270" s="457"/>
      <c r="Y2270" s="457"/>
      <c r="Z2270" s="457"/>
      <c r="AA2270" s="448"/>
      <c r="AB2270" s="448" t="s">
        <v>1128</v>
      </c>
      <c r="AC2270" s="262" t="s">
        <v>966</v>
      </c>
      <c r="AF2270" s="458"/>
      <c r="AR2270" s="262" t="s">
        <v>966</v>
      </c>
      <c r="AW2270" s="262" t="s">
        <v>966</v>
      </c>
      <c r="BB2270" s="437">
        <f t="shared" ca="1" si="68"/>
        <v>0</v>
      </c>
      <c r="BF2270" s="460">
        <v>25773</v>
      </c>
      <c r="BG2270" s="452">
        <f t="shared" si="69"/>
        <v>0</v>
      </c>
      <c r="BH2270" s="452">
        <f t="shared" si="70"/>
        <v>0</v>
      </c>
      <c r="BI2270" s="389">
        <f t="shared" si="71"/>
        <v>0</v>
      </c>
      <c r="BJ2270" s="170">
        <f t="shared" si="72"/>
        <v>0</v>
      </c>
      <c r="BK2270" s="453">
        <f t="shared" si="73"/>
        <v>0</v>
      </c>
    </row>
    <row r="2271" spans="1:63" ht="15.6" hidden="1" x14ac:dyDescent="0.25">
      <c r="A2271" s="454" t="s">
        <v>1272</v>
      </c>
      <c r="B2271" s="455" t="s">
        <v>1273</v>
      </c>
      <c r="C2271" s="456"/>
      <c r="D2271" s="456">
        <v>20000</v>
      </c>
      <c r="G2271" s="457"/>
      <c r="H2271" s="457"/>
      <c r="I2271" s="457"/>
      <c r="J2271" s="457"/>
      <c r="K2271" s="457"/>
      <c r="L2271" s="457"/>
      <c r="M2271" s="457"/>
      <c r="N2271" s="457"/>
      <c r="O2271" s="457"/>
      <c r="P2271" s="457"/>
      <c r="Q2271" s="457"/>
      <c r="R2271" s="457"/>
      <c r="S2271" s="457"/>
      <c r="T2271" s="457"/>
      <c r="U2271" s="457"/>
      <c r="V2271" s="457"/>
      <c r="W2271" s="457"/>
      <c r="X2271" s="457"/>
      <c r="Y2271" s="457"/>
      <c r="Z2271" s="457"/>
      <c r="AB2271" s="56" t="s">
        <v>1274</v>
      </c>
      <c r="AC2271" s="262" t="s">
        <v>966</v>
      </c>
      <c r="AD2271" s="56" t="s">
        <v>1275</v>
      </c>
      <c r="AF2271" s="458">
        <v>3</v>
      </c>
      <c r="AG2271" s="56">
        <v>3</v>
      </c>
      <c r="AH2271" s="56" t="s">
        <v>1147</v>
      </c>
      <c r="AI2271" s="56" t="str">
        <f>CONCATENATE(AG2271,AH2271)</f>
        <v>3 years</v>
      </c>
      <c r="AK2271" s="56" t="s">
        <v>1213</v>
      </c>
      <c r="AO2271" s="56" t="s">
        <v>1276</v>
      </c>
      <c r="AR2271" s="262" t="s">
        <v>966</v>
      </c>
      <c r="AS2271" s="56" t="s">
        <v>1277</v>
      </c>
      <c r="AW2271" s="262" t="s">
        <v>966</v>
      </c>
      <c r="BB2271" s="437">
        <f t="shared" ca="1" si="68"/>
        <v>0</v>
      </c>
      <c r="BF2271" s="460">
        <v>34691</v>
      </c>
      <c r="BG2271" s="452">
        <f t="shared" si="69"/>
        <v>0</v>
      </c>
      <c r="BH2271" s="452">
        <f t="shared" si="70"/>
        <v>0</v>
      </c>
      <c r="BI2271" s="389">
        <f t="shared" si="71"/>
        <v>0</v>
      </c>
      <c r="BJ2271" s="170">
        <f t="shared" si="72"/>
        <v>0</v>
      </c>
      <c r="BK2271" s="453">
        <f t="shared" si="73"/>
        <v>0</v>
      </c>
    </row>
    <row r="2272" spans="1:63" ht="15.6" hidden="1" x14ac:dyDescent="0.25">
      <c r="A2272" s="454" t="s">
        <v>1278</v>
      </c>
      <c r="B2272" s="455" t="s">
        <v>1279</v>
      </c>
      <c r="C2272" s="470">
        <v>50000</v>
      </c>
      <c r="D2272" s="470">
        <v>1000000</v>
      </c>
      <c r="G2272" s="457"/>
      <c r="H2272" s="457"/>
      <c r="I2272" s="457"/>
      <c r="J2272" s="457"/>
      <c r="K2272" s="457"/>
      <c r="L2272" s="457"/>
      <c r="M2272" s="457"/>
      <c r="N2272" s="457"/>
      <c r="O2272" s="457"/>
      <c r="P2272" s="457"/>
      <c r="Q2272" s="457"/>
      <c r="R2272" s="457"/>
      <c r="S2272" s="457"/>
      <c r="T2272" s="457"/>
      <c r="U2272" s="457"/>
      <c r="V2272" s="457"/>
      <c r="W2272" s="457"/>
      <c r="X2272" s="457"/>
      <c r="Y2272" s="457"/>
      <c r="Z2272" s="457"/>
      <c r="AB2272" s="56" t="s">
        <v>1280</v>
      </c>
      <c r="AC2272" s="262" t="s">
        <v>966</v>
      </c>
      <c r="AD2272" s="56" t="s">
        <v>1281</v>
      </c>
      <c r="AF2272" s="458">
        <v>2</v>
      </c>
      <c r="AG2272" s="56">
        <v>2</v>
      </c>
      <c r="AH2272" s="56" t="s">
        <v>1147</v>
      </c>
      <c r="AI2272" s="56" t="str">
        <f>CONCATENATE(AG2272,AH2272)</f>
        <v>2 years</v>
      </c>
      <c r="AK2272" s="56" t="s">
        <v>1213</v>
      </c>
      <c r="AO2272" s="56" t="s">
        <v>1282</v>
      </c>
      <c r="AR2272" s="262" t="s">
        <v>966</v>
      </c>
      <c r="AS2272" s="56" t="s">
        <v>1167</v>
      </c>
      <c r="AW2272" s="262" t="s">
        <v>966</v>
      </c>
      <c r="BB2272" s="437">
        <f t="shared" ca="1" si="68"/>
        <v>600000</v>
      </c>
      <c r="BF2272" s="460">
        <v>37288</v>
      </c>
      <c r="BG2272" s="452">
        <f t="shared" si="69"/>
        <v>0</v>
      </c>
      <c r="BH2272" s="452">
        <f t="shared" si="70"/>
        <v>0</v>
      </c>
      <c r="BI2272" s="389">
        <f t="shared" si="71"/>
        <v>0</v>
      </c>
      <c r="BJ2272" s="170">
        <f t="shared" si="72"/>
        <v>0</v>
      </c>
      <c r="BK2272" s="453">
        <f t="shared" si="73"/>
        <v>0</v>
      </c>
    </row>
    <row r="2273" spans="1:63" ht="15.6" hidden="1" x14ac:dyDescent="0.25">
      <c r="A2273" s="454" t="s">
        <v>1283</v>
      </c>
      <c r="B2273" s="455" t="s">
        <v>1284</v>
      </c>
      <c r="C2273" s="456"/>
      <c r="D2273" s="456"/>
      <c r="G2273" s="457"/>
      <c r="H2273" s="457"/>
      <c r="I2273" s="457"/>
      <c r="J2273" s="457"/>
      <c r="K2273" s="457"/>
      <c r="L2273" s="457"/>
      <c r="M2273" s="457"/>
      <c r="N2273" s="457"/>
      <c r="O2273" s="457"/>
      <c r="P2273" s="457"/>
      <c r="Q2273" s="457"/>
      <c r="R2273" s="457"/>
      <c r="S2273" s="457"/>
      <c r="T2273" s="457"/>
      <c r="U2273" s="457"/>
      <c r="V2273" s="457"/>
      <c r="W2273" s="457"/>
      <c r="X2273" s="457"/>
      <c r="Y2273" s="457"/>
      <c r="Z2273" s="457"/>
      <c r="AB2273" s="56" t="s">
        <v>1130</v>
      </c>
      <c r="AC2273" s="262" t="s">
        <v>966</v>
      </c>
      <c r="AF2273" s="458"/>
      <c r="AR2273" s="262" t="s">
        <v>966</v>
      </c>
      <c r="AW2273" s="262" t="s">
        <v>966</v>
      </c>
      <c r="BB2273" s="437">
        <f t="shared" ca="1" si="68"/>
        <v>0</v>
      </c>
      <c r="BF2273" s="460">
        <v>23683</v>
      </c>
      <c r="BG2273" s="452">
        <f t="shared" si="69"/>
        <v>0</v>
      </c>
      <c r="BH2273" s="452">
        <f t="shared" si="70"/>
        <v>0</v>
      </c>
      <c r="BI2273" s="389">
        <f t="shared" si="71"/>
        <v>0</v>
      </c>
      <c r="BJ2273" s="170">
        <f t="shared" si="72"/>
        <v>0</v>
      </c>
      <c r="BK2273" s="453">
        <f t="shared" si="73"/>
        <v>0</v>
      </c>
    </row>
    <row r="2274" spans="1:63" ht="15.6" hidden="1" x14ac:dyDescent="0.25">
      <c r="A2274" s="454" t="s">
        <v>1285</v>
      </c>
      <c r="B2274" s="455" t="s">
        <v>1286</v>
      </c>
      <c r="C2274" s="465">
        <v>1E-8</v>
      </c>
      <c r="D2274" s="465">
        <f>D2262</f>
        <v>999999</v>
      </c>
      <c r="G2274" s="457"/>
      <c r="H2274" s="457"/>
      <c r="I2274" s="457"/>
      <c r="J2274" s="457"/>
      <c r="K2274" s="457"/>
      <c r="L2274" s="457"/>
      <c r="M2274" s="457"/>
      <c r="N2274" s="457"/>
      <c r="O2274" s="457"/>
      <c r="P2274" s="457"/>
      <c r="Q2274" s="457"/>
      <c r="R2274" s="457"/>
      <c r="S2274" s="457"/>
      <c r="T2274" s="457"/>
      <c r="U2274" s="457"/>
      <c r="V2274" s="457"/>
      <c r="W2274" s="457"/>
      <c r="X2274" s="457"/>
      <c r="Y2274" s="457"/>
      <c r="Z2274" s="457"/>
      <c r="AB2274" s="56" t="s">
        <v>1287</v>
      </c>
      <c r="AC2274" s="262" t="s">
        <v>966</v>
      </c>
      <c r="AD2274" s="56" t="s">
        <v>1203</v>
      </c>
      <c r="AF2274" s="458">
        <v>2</v>
      </c>
      <c r="AG2274" s="56">
        <v>2</v>
      </c>
      <c r="AH2274" s="56" t="s">
        <v>1147</v>
      </c>
      <c r="AI2274" s="56" t="str">
        <f>CONCATENATE(AG2274,AH2274)</f>
        <v>2 years</v>
      </c>
      <c r="AK2274" s="56" t="s">
        <v>1148</v>
      </c>
      <c r="AO2274" s="56" t="s">
        <v>1239</v>
      </c>
      <c r="AR2274" s="262" t="s">
        <v>966</v>
      </c>
      <c r="AS2274" s="56" t="s">
        <v>1167</v>
      </c>
      <c r="AW2274" s="262" t="s">
        <v>966</v>
      </c>
      <c r="BB2274" s="437">
        <f t="shared" ca="1" si="68"/>
        <v>1.2000000000000002E-7</v>
      </c>
      <c r="BF2274" s="460">
        <v>33095</v>
      </c>
      <c r="BG2274" s="452">
        <f t="shared" si="69"/>
        <v>0</v>
      </c>
      <c r="BH2274" s="452">
        <f t="shared" si="70"/>
        <v>0</v>
      </c>
      <c r="BI2274" s="389">
        <f t="shared" si="71"/>
        <v>0</v>
      </c>
      <c r="BJ2274" s="170">
        <f t="shared" si="72"/>
        <v>0</v>
      </c>
      <c r="BK2274" s="453">
        <f t="shared" si="73"/>
        <v>0</v>
      </c>
    </row>
    <row r="2275" spans="1:63" ht="15.6" hidden="1" x14ac:dyDescent="0.25">
      <c r="A2275" s="454" t="s">
        <v>1288</v>
      </c>
      <c r="B2275" s="455" t="s">
        <v>1289</v>
      </c>
      <c r="C2275" s="456">
        <v>50000</v>
      </c>
      <c r="D2275" s="456">
        <v>750000</v>
      </c>
      <c r="G2275" s="457"/>
      <c r="H2275" s="457"/>
      <c r="I2275" s="457"/>
      <c r="J2275" s="457"/>
      <c r="K2275" s="457"/>
      <c r="L2275" s="457"/>
      <c r="M2275" s="457"/>
      <c r="N2275" s="457"/>
      <c r="O2275" s="457"/>
      <c r="P2275" s="457"/>
      <c r="Q2275" s="457"/>
      <c r="R2275" s="457"/>
      <c r="S2275" s="457"/>
      <c r="T2275" s="457"/>
      <c r="U2275" s="457"/>
      <c r="V2275" s="457"/>
      <c r="W2275" s="457"/>
      <c r="X2275" s="457"/>
      <c r="Y2275" s="457"/>
      <c r="Z2275" s="457"/>
      <c r="AB2275" s="56" t="s">
        <v>1290</v>
      </c>
      <c r="AC2275" s="262" t="s">
        <v>966</v>
      </c>
      <c r="AD2275" s="56" t="s">
        <v>1291</v>
      </c>
      <c r="AF2275" s="458">
        <v>5</v>
      </c>
      <c r="AG2275" s="56">
        <v>5</v>
      </c>
      <c r="AH2275" s="56" t="s">
        <v>1147</v>
      </c>
      <c r="AI2275" s="56" t="str">
        <f>CONCATENATE(AG2275,AH2275)</f>
        <v>5 years</v>
      </c>
      <c r="AK2275" s="56" t="s">
        <v>1148</v>
      </c>
      <c r="AO2275" s="56" t="s">
        <v>1292</v>
      </c>
      <c r="AR2275" s="262" t="s">
        <v>966</v>
      </c>
      <c r="AS2275" s="56" t="s">
        <v>1150</v>
      </c>
      <c r="AW2275" s="262" t="s">
        <v>966</v>
      </c>
      <c r="BB2275" s="437">
        <f t="shared" ca="1" si="68"/>
        <v>600000</v>
      </c>
      <c r="BF2275" s="460">
        <v>25774</v>
      </c>
      <c r="BG2275" s="452">
        <f t="shared" si="69"/>
        <v>0</v>
      </c>
      <c r="BH2275" s="452">
        <f t="shared" si="70"/>
        <v>0</v>
      </c>
      <c r="BI2275" s="389">
        <f t="shared" si="71"/>
        <v>0</v>
      </c>
      <c r="BJ2275" s="170">
        <f t="shared" si="72"/>
        <v>0</v>
      </c>
      <c r="BK2275" s="453">
        <f t="shared" si="73"/>
        <v>0</v>
      </c>
    </row>
    <row r="2276" spans="1:63" ht="15.6" hidden="1" x14ac:dyDescent="0.25">
      <c r="A2276" s="454" t="s">
        <v>1293</v>
      </c>
      <c r="B2276" s="455" t="s">
        <v>1294</v>
      </c>
      <c r="C2276" s="456"/>
      <c r="D2276" s="456"/>
      <c r="G2276" s="457"/>
      <c r="H2276" s="457"/>
      <c r="I2276" s="457"/>
      <c r="J2276" s="457"/>
      <c r="K2276" s="457"/>
      <c r="L2276" s="457"/>
      <c r="M2276" s="457"/>
      <c r="N2276" s="457"/>
      <c r="O2276" s="457"/>
      <c r="P2276" s="457"/>
      <c r="Q2276" s="457"/>
      <c r="R2276" s="457"/>
      <c r="S2276" s="457"/>
      <c r="T2276" s="457"/>
      <c r="U2276" s="457"/>
      <c r="V2276" s="457"/>
      <c r="W2276" s="457"/>
      <c r="X2276" s="457"/>
      <c r="Y2276" s="457"/>
      <c r="Z2276" s="457"/>
      <c r="AA2276" s="448"/>
      <c r="AB2276" s="448" t="s">
        <v>1128</v>
      </c>
      <c r="AC2276" s="262" t="s">
        <v>966</v>
      </c>
      <c r="AF2276" s="458"/>
      <c r="AR2276" s="262" t="s">
        <v>966</v>
      </c>
      <c r="AW2276" s="262" t="s">
        <v>966</v>
      </c>
      <c r="BB2276" s="437">
        <f t="shared" ca="1" si="68"/>
        <v>0</v>
      </c>
      <c r="BF2276" s="460">
        <v>33071</v>
      </c>
      <c r="BG2276" s="452">
        <f t="shared" si="69"/>
        <v>0</v>
      </c>
      <c r="BH2276" s="452">
        <f t="shared" si="70"/>
        <v>0</v>
      </c>
      <c r="BI2276" s="389">
        <f t="shared" si="71"/>
        <v>0</v>
      </c>
      <c r="BJ2276" s="170">
        <f t="shared" si="72"/>
        <v>0</v>
      </c>
      <c r="BK2276" s="453">
        <f t="shared" si="73"/>
        <v>0</v>
      </c>
    </row>
    <row r="2277" spans="1:63" ht="15.6" hidden="1" x14ac:dyDescent="0.25">
      <c r="A2277" s="454" t="s">
        <v>1295</v>
      </c>
      <c r="B2277" s="455" t="s">
        <v>1296</v>
      </c>
      <c r="C2277" s="470">
        <v>40330</v>
      </c>
      <c r="D2277" s="456"/>
      <c r="G2277" s="457"/>
      <c r="H2277" s="457"/>
      <c r="I2277" s="457"/>
      <c r="J2277" s="457"/>
      <c r="K2277" s="457"/>
      <c r="L2277" s="457"/>
      <c r="M2277" s="457"/>
      <c r="N2277" s="457"/>
      <c r="O2277" s="457"/>
      <c r="P2277" s="457"/>
      <c r="Q2277" s="457"/>
      <c r="R2277" s="457"/>
      <c r="S2277" s="457"/>
      <c r="T2277" s="457"/>
      <c r="U2277" s="457"/>
      <c r="V2277" s="457"/>
      <c r="W2277" s="457"/>
      <c r="X2277" s="457"/>
      <c r="Y2277" s="457"/>
      <c r="Z2277" s="457"/>
      <c r="AB2277" s="56" t="s">
        <v>1297</v>
      </c>
      <c r="AC2277" s="262" t="s">
        <v>966</v>
      </c>
      <c r="AD2277" s="56" t="s">
        <v>1298</v>
      </c>
      <c r="AF2277" s="458">
        <v>2</v>
      </c>
      <c r="AG2277" s="56">
        <v>2</v>
      </c>
      <c r="AH2277" s="56" t="s">
        <v>1147</v>
      </c>
      <c r="AI2277" s="56" t="str">
        <f>CONCATENATE(AG2277,AH2277)</f>
        <v>2 years</v>
      </c>
      <c r="AK2277" s="56" t="s">
        <v>1148</v>
      </c>
      <c r="AO2277" s="56" t="s">
        <v>1214</v>
      </c>
      <c r="AR2277" s="262" t="s">
        <v>966</v>
      </c>
      <c r="AS2277" s="56" t="s">
        <v>1299</v>
      </c>
      <c r="AW2277" s="262" t="s">
        <v>966</v>
      </c>
      <c r="BB2277" s="437">
        <f t="shared" ca="1" si="68"/>
        <v>483960</v>
      </c>
      <c r="BF2277" s="460">
        <v>26937</v>
      </c>
      <c r="BG2277" s="452">
        <f t="shared" si="69"/>
        <v>0</v>
      </c>
      <c r="BH2277" s="452">
        <f t="shared" si="70"/>
        <v>0</v>
      </c>
      <c r="BI2277" s="389">
        <f t="shared" si="71"/>
        <v>0</v>
      </c>
      <c r="BJ2277" s="170">
        <f t="shared" si="72"/>
        <v>0</v>
      </c>
      <c r="BK2277" s="453">
        <f t="shared" si="73"/>
        <v>0</v>
      </c>
    </row>
    <row r="2278" spans="1:63" ht="15.6" hidden="1" x14ac:dyDescent="0.25">
      <c r="A2278" s="454" t="s">
        <v>1300</v>
      </c>
      <c r="B2278" s="455" t="s">
        <v>1301</v>
      </c>
      <c r="C2278" s="456"/>
      <c r="D2278" s="456">
        <v>175000</v>
      </c>
      <c r="G2278" s="457"/>
      <c r="H2278" s="457"/>
      <c r="I2278" s="457"/>
      <c r="J2278" s="457"/>
      <c r="K2278" s="457"/>
      <c r="L2278" s="457"/>
      <c r="M2278" s="457"/>
      <c r="N2278" s="457"/>
      <c r="O2278" s="457"/>
      <c r="P2278" s="457"/>
      <c r="Q2278" s="457"/>
      <c r="R2278" s="457"/>
      <c r="S2278" s="457"/>
      <c r="T2278" s="457"/>
      <c r="U2278" s="457"/>
      <c r="V2278" s="457"/>
      <c r="W2278" s="457"/>
      <c r="X2278" s="457"/>
      <c r="Y2278" s="457"/>
      <c r="Z2278" s="457"/>
      <c r="AB2278" s="56" t="s">
        <v>1302</v>
      </c>
      <c r="AC2278" s="262" t="s">
        <v>966</v>
      </c>
      <c r="AD2278" s="56" t="s">
        <v>1303</v>
      </c>
      <c r="AF2278" s="458">
        <v>0</v>
      </c>
      <c r="AG2278" s="56">
        <v>1</v>
      </c>
      <c r="AH2278" s="56" t="s">
        <v>1147</v>
      </c>
      <c r="AI2278" s="56" t="str">
        <f>CONCATENATE(AG2278,AH2278)</f>
        <v>1 years</v>
      </c>
      <c r="AK2278" s="56" t="s">
        <v>1148</v>
      </c>
      <c r="AO2278" s="56" t="s">
        <v>1304</v>
      </c>
      <c r="AR2278" s="262" t="s">
        <v>966</v>
      </c>
      <c r="AS2278" s="56" t="s">
        <v>1167</v>
      </c>
      <c r="AW2278" s="262" t="s">
        <v>966</v>
      </c>
      <c r="BB2278" s="437">
        <f t="shared" ca="1" si="68"/>
        <v>0</v>
      </c>
      <c r="BF2278" s="460">
        <v>25229</v>
      </c>
      <c r="BG2278" s="452">
        <f t="shared" si="69"/>
        <v>0</v>
      </c>
      <c r="BH2278" s="452">
        <f t="shared" si="70"/>
        <v>0</v>
      </c>
      <c r="BI2278" s="389">
        <f t="shared" si="71"/>
        <v>0</v>
      </c>
      <c r="BJ2278" s="170">
        <f t="shared" si="72"/>
        <v>0</v>
      </c>
      <c r="BK2278" s="453">
        <f t="shared" si="73"/>
        <v>0</v>
      </c>
    </row>
    <row r="2279" spans="1:63" ht="15.6" hidden="1" x14ac:dyDescent="0.25">
      <c r="A2279" s="454" t="s">
        <v>1305</v>
      </c>
      <c r="B2279" s="455" t="s">
        <v>1306</v>
      </c>
      <c r="C2279" s="456"/>
      <c r="D2279" s="456"/>
      <c r="G2279" s="457"/>
      <c r="H2279" s="457"/>
      <c r="I2279" s="457"/>
      <c r="J2279" s="457"/>
      <c r="K2279" s="457"/>
      <c r="L2279" s="457"/>
      <c r="M2279" s="457"/>
      <c r="N2279" s="457"/>
      <c r="O2279" s="457"/>
      <c r="P2279" s="457"/>
      <c r="Q2279" s="457"/>
      <c r="R2279" s="457"/>
      <c r="S2279" s="457"/>
      <c r="T2279" s="457"/>
      <c r="U2279" s="457"/>
      <c r="V2279" s="457"/>
      <c r="W2279" s="457"/>
      <c r="X2279" s="457"/>
      <c r="Y2279" s="457"/>
      <c r="Z2279" s="457"/>
      <c r="AA2279" s="448"/>
      <c r="AB2279" s="448" t="s">
        <v>1128</v>
      </c>
      <c r="AC2279" s="262" t="s">
        <v>966</v>
      </c>
      <c r="AF2279" s="458"/>
      <c r="AR2279" s="262" t="s">
        <v>966</v>
      </c>
      <c r="AW2279" s="262" t="s">
        <v>966</v>
      </c>
      <c r="BB2279" s="437">
        <f t="shared" ca="1" si="68"/>
        <v>0</v>
      </c>
      <c r="BF2279" s="460">
        <v>27646</v>
      </c>
      <c r="BG2279" s="452">
        <f t="shared" si="69"/>
        <v>0</v>
      </c>
      <c r="BH2279" s="452">
        <f t="shared" si="70"/>
        <v>0</v>
      </c>
      <c r="BI2279" s="389">
        <f t="shared" si="71"/>
        <v>0</v>
      </c>
      <c r="BJ2279" s="170">
        <f t="shared" si="72"/>
        <v>0</v>
      </c>
      <c r="BK2279" s="453">
        <f t="shared" si="73"/>
        <v>0</v>
      </c>
    </row>
    <row r="2280" spans="1:63" ht="15.6" hidden="1" x14ac:dyDescent="0.25">
      <c r="A2280" s="454" t="s">
        <v>1307</v>
      </c>
      <c r="B2280" s="455" t="s">
        <v>1308</v>
      </c>
      <c r="C2280" s="456"/>
      <c r="D2280" s="456"/>
      <c r="G2280" s="457"/>
      <c r="H2280" s="457"/>
      <c r="I2280" s="457"/>
      <c r="J2280" s="457"/>
      <c r="K2280" s="457"/>
      <c r="L2280" s="457"/>
      <c r="M2280" s="457"/>
      <c r="N2280" s="457"/>
      <c r="O2280" s="457"/>
      <c r="P2280" s="457"/>
      <c r="Q2280" s="457"/>
      <c r="R2280" s="457"/>
      <c r="S2280" s="457"/>
      <c r="T2280" s="457"/>
      <c r="U2280" s="457"/>
      <c r="V2280" s="457"/>
      <c r="W2280" s="457"/>
      <c r="X2280" s="457"/>
      <c r="Y2280" s="457"/>
      <c r="Z2280" s="457"/>
      <c r="AA2280" s="448"/>
      <c r="AB2280" s="448" t="s">
        <v>1128</v>
      </c>
      <c r="AC2280" s="262" t="s">
        <v>966</v>
      </c>
      <c r="AF2280" s="458"/>
      <c r="AR2280" s="262" t="s">
        <v>966</v>
      </c>
      <c r="AW2280" s="262" t="s">
        <v>966</v>
      </c>
      <c r="BB2280" s="437">
        <f t="shared" ca="1" si="68"/>
        <v>0</v>
      </c>
      <c r="BF2280" s="460">
        <v>29220</v>
      </c>
      <c r="BG2280" s="452">
        <f t="shared" si="69"/>
        <v>0</v>
      </c>
      <c r="BH2280" s="452">
        <f t="shared" si="70"/>
        <v>0</v>
      </c>
      <c r="BI2280" s="389">
        <f t="shared" si="71"/>
        <v>0</v>
      </c>
      <c r="BJ2280" s="170">
        <f t="shared" si="72"/>
        <v>0</v>
      </c>
      <c r="BK2280" s="453">
        <f t="shared" si="73"/>
        <v>0</v>
      </c>
    </row>
    <row r="2281" spans="1:63" ht="15.6" hidden="1" x14ac:dyDescent="0.25">
      <c r="A2281" s="454" t="s">
        <v>1309</v>
      </c>
      <c r="B2281" s="455" t="s">
        <v>1310</v>
      </c>
      <c r="C2281" s="456"/>
      <c r="D2281" s="456"/>
      <c r="G2281" s="457"/>
      <c r="H2281" s="457"/>
      <c r="I2281" s="457"/>
      <c r="J2281" s="457"/>
      <c r="K2281" s="457"/>
      <c r="L2281" s="457"/>
      <c r="M2281" s="457"/>
      <c r="N2281" s="457"/>
      <c r="O2281" s="457"/>
      <c r="P2281" s="457"/>
      <c r="Q2281" s="457"/>
      <c r="R2281" s="457"/>
      <c r="S2281" s="457"/>
      <c r="T2281" s="457"/>
      <c r="U2281" s="457"/>
      <c r="V2281" s="457"/>
      <c r="W2281" s="457"/>
      <c r="X2281" s="457"/>
      <c r="Y2281" s="457"/>
      <c r="Z2281" s="457"/>
      <c r="AA2281" s="448"/>
      <c r="AB2281" s="448" t="s">
        <v>1128</v>
      </c>
      <c r="AC2281" s="262" t="s">
        <v>966</v>
      </c>
      <c r="AF2281" s="458"/>
      <c r="AR2281" s="262" t="s">
        <v>966</v>
      </c>
      <c r="AW2281" s="262" t="s">
        <v>966</v>
      </c>
      <c r="BB2281" s="437">
        <f t="shared" ca="1" si="68"/>
        <v>0</v>
      </c>
      <c r="BF2281" s="460">
        <v>30830</v>
      </c>
      <c r="BG2281" s="452">
        <f t="shared" si="69"/>
        <v>0</v>
      </c>
      <c r="BH2281" s="452">
        <f t="shared" si="70"/>
        <v>0</v>
      </c>
      <c r="BI2281" s="389">
        <f t="shared" si="71"/>
        <v>0</v>
      </c>
      <c r="BJ2281" s="170">
        <f t="shared" si="72"/>
        <v>0</v>
      </c>
      <c r="BK2281" s="453">
        <f t="shared" si="73"/>
        <v>0</v>
      </c>
    </row>
    <row r="2282" spans="1:63" ht="15.6" hidden="1" x14ac:dyDescent="0.25">
      <c r="A2282" s="454" t="s">
        <v>1311</v>
      </c>
      <c r="B2282" s="455" t="s">
        <v>1312</v>
      </c>
      <c r="C2282" s="456"/>
      <c r="D2282" s="456"/>
      <c r="G2282" s="457"/>
      <c r="H2282" s="457"/>
      <c r="I2282" s="457"/>
      <c r="J2282" s="457"/>
      <c r="K2282" s="457"/>
      <c r="L2282" s="457"/>
      <c r="M2282" s="457"/>
      <c r="N2282" s="457"/>
      <c r="O2282" s="457"/>
      <c r="P2282" s="457"/>
      <c r="Q2282" s="457"/>
      <c r="R2282" s="457"/>
      <c r="S2282" s="457"/>
      <c r="T2282" s="457"/>
      <c r="U2282" s="457"/>
      <c r="V2282" s="457"/>
      <c r="W2282" s="457"/>
      <c r="X2282" s="457"/>
      <c r="Y2282" s="457"/>
      <c r="Z2282" s="457"/>
      <c r="AA2282" s="448"/>
      <c r="AB2282" s="448" t="s">
        <v>1128</v>
      </c>
      <c r="AC2282" s="262" t="s">
        <v>966</v>
      </c>
      <c r="AF2282" s="458"/>
      <c r="AR2282" s="262" t="s">
        <v>966</v>
      </c>
      <c r="AW2282" s="262" t="s">
        <v>966</v>
      </c>
      <c r="BB2282" s="437">
        <f t="shared" ca="1" si="68"/>
        <v>0</v>
      </c>
      <c r="BF2282" s="460">
        <v>24596</v>
      </c>
      <c r="BG2282" s="452">
        <f t="shared" si="69"/>
        <v>0</v>
      </c>
      <c r="BH2282" s="452">
        <f t="shared" si="70"/>
        <v>0</v>
      </c>
      <c r="BI2282" s="389">
        <f t="shared" si="71"/>
        <v>0</v>
      </c>
      <c r="BJ2282" s="170">
        <f t="shared" si="72"/>
        <v>0</v>
      </c>
      <c r="BK2282" s="453">
        <f t="shared" si="73"/>
        <v>0</v>
      </c>
    </row>
    <row r="2283" spans="1:63" ht="15.6" hidden="1" x14ac:dyDescent="0.25">
      <c r="A2283" s="454" t="s">
        <v>1313</v>
      </c>
      <c r="B2283" s="455" t="s">
        <v>1314</v>
      </c>
      <c r="C2283" s="456"/>
      <c r="D2283" s="456"/>
      <c r="G2283" s="457"/>
      <c r="H2283" s="457"/>
      <c r="I2283" s="457"/>
      <c r="J2283" s="457"/>
      <c r="K2283" s="457"/>
      <c r="L2283" s="457"/>
      <c r="M2283" s="457"/>
      <c r="N2283" s="457"/>
      <c r="O2283" s="457"/>
      <c r="P2283" s="457"/>
      <c r="Q2283" s="457"/>
      <c r="R2283" s="457"/>
      <c r="S2283" s="457"/>
      <c r="T2283" s="457"/>
      <c r="U2283" s="457"/>
      <c r="V2283" s="457"/>
      <c r="W2283" s="457"/>
      <c r="X2283" s="457"/>
      <c r="Y2283" s="457"/>
      <c r="Z2283" s="457"/>
      <c r="AA2283" s="448"/>
      <c r="AB2283" s="448" t="s">
        <v>1128</v>
      </c>
      <c r="AC2283" s="262" t="s">
        <v>966</v>
      </c>
      <c r="AF2283" s="458"/>
      <c r="AR2283" s="262" t="s">
        <v>966</v>
      </c>
      <c r="AW2283" s="262" t="s">
        <v>966</v>
      </c>
      <c r="BB2283" s="437">
        <f t="shared" ca="1" si="68"/>
        <v>0</v>
      </c>
      <c r="BF2283" s="460">
        <v>26959</v>
      </c>
      <c r="BG2283" s="452">
        <f t="shared" si="69"/>
        <v>0</v>
      </c>
      <c r="BH2283" s="452">
        <f t="shared" si="70"/>
        <v>0</v>
      </c>
      <c r="BI2283" s="389">
        <f t="shared" si="71"/>
        <v>0</v>
      </c>
      <c r="BJ2283" s="170">
        <f t="shared" si="72"/>
        <v>0</v>
      </c>
      <c r="BK2283" s="453">
        <f t="shared" si="73"/>
        <v>0</v>
      </c>
    </row>
    <row r="2284" spans="1:63" ht="15.6" hidden="1" x14ac:dyDescent="0.25">
      <c r="A2284" s="454" t="s">
        <v>1315</v>
      </c>
      <c r="B2284" s="455" t="s">
        <v>1316</v>
      </c>
      <c r="C2284" s="456"/>
      <c r="D2284" s="456">
        <v>1000000</v>
      </c>
      <c r="G2284" s="457"/>
      <c r="H2284" s="457"/>
      <c r="I2284" s="457"/>
      <c r="J2284" s="457"/>
      <c r="K2284" s="457"/>
      <c r="L2284" s="457"/>
      <c r="M2284" s="457"/>
      <c r="N2284" s="457"/>
      <c r="O2284" s="457"/>
      <c r="P2284" s="457"/>
      <c r="Q2284" s="457"/>
      <c r="R2284" s="457"/>
      <c r="S2284" s="457"/>
      <c r="T2284" s="457"/>
      <c r="U2284" s="457"/>
      <c r="V2284" s="457"/>
      <c r="W2284" s="457"/>
      <c r="X2284" s="457"/>
      <c r="Y2284" s="457"/>
      <c r="Z2284" s="457"/>
      <c r="AB2284" s="56" t="s">
        <v>1317</v>
      </c>
      <c r="AC2284" s="262" t="s">
        <v>966</v>
      </c>
      <c r="AD2284" s="56" t="s">
        <v>1275</v>
      </c>
      <c r="AF2284" s="458">
        <v>1</v>
      </c>
      <c r="AG2284" s="56">
        <v>1</v>
      </c>
      <c r="AH2284" s="56" t="s">
        <v>1318</v>
      </c>
      <c r="AI2284" s="56" t="str">
        <f>CONCATENATE(AG2284,AH2284)</f>
        <v>1 year</v>
      </c>
      <c r="AK2284" s="56" t="s">
        <v>1148</v>
      </c>
      <c r="AO2284" s="56" t="s">
        <v>1319</v>
      </c>
      <c r="AR2284" s="262" t="s">
        <v>966</v>
      </c>
      <c r="AS2284" s="56" t="s">
        <v>1150</v>
      </c>
      <c r="AW2284" s="262" t="s">
        <v>966</v>
      </c>
      <c r="BB2284" s="437">
        <f t="shared" ca="1" si="68"/>
        <v>0</v>
      </c>
      <c r="BF2284" s="460">
        <v>24922</v>
      </c>
      <c r="BG2284" s="452">
        <f t="shared" si="69"/>
        <v>0</v>
      </c>
      <c r="BH2284" s="452">
        <f t="shared" si="70"/>
        <v>0</v>
      </c>
      <c r="BI2284" s="389">
        <f t="shared" si="71"/>
        <v>0</v>
      </c>
      <c r="BJ2284" s="170">
        <f t="shared" si="72"/>
        <v>0</v>
      </c>
      <c r="BK2284" s="453">
        <f t="shared" si="73"/>
        <v>0</v>
      </c>
    </row>
    <row r="2285" spans="1:63" ht="15.6" hidden="1" x14ac:dyDescent="0.25">
      <c r="A2285" s="454" t="s">
        <v>1320</v>
      </c>
      <c r="B2285" s="455" t="s">
        <v>1321</v>
      </c>
      <c r="C2285" s="456">
        <v>80000</v>
      </c>
      <c r="D2285" s="456"/>
      <c r="G2285" s="457"/>
      <c r="H2285" s="457"/>
      <c r="I2285" s="457"/>
      <c r="J2285" s="457"/>
      <c r="K2285" s="457"/>
      <c r="L2285" s="457"/>
      <c r="M2285" s="457"/>
      <c r="N2285" s="457"/>
      <c r="O2285" s="457"/>
      <c r="P2285" s="457"/>
      <c r="Q2285" s="457"/>
      <c r="R2285" s="457"/>
      <c r="S2285" s="457"/>
      <c r="T2285" s="457"/>
      <c r="U2285" s="457"/>
      <c r="V2285" s="457"/>
      <c r="W2285" s="457"/>
      <c r="X2285" s="457"/>
      <c r="Y2285" s="457"/>
      <c r="Z2285" s="457"/>
      <c r="AB2285" s="56" t="s">
        <v>1322</v>
      </c>
      <c r="AC2285" s="262" t="s">
        <v>966</v>
      </c>
      <c r="AD2285" s="56" t="s">
        <v>1323</v>
      </c>
      <c r="AF2285" s="458"/>
      <c r="AG2285" s="56">
        <v>3</v>
      </c>
      <c r="AH2285" s="56" t="s">
        <v>1147</v>
      </c>
      <c r="AI2285" s="56" t="str">
        <f>CONCATENATE(AG2285,AH2285)</f>
        <v>3 years</v>
      </c>
      <c r="AK2285" s="56" t="s">
        <v>1213</v>
      </c>
      <c r="AO2285" s="56" t="s">
        <v>1324</v>
      </c>
      <c r="AR2285" s="262" t="s">
        <v>966</v>
      </c>
      <c r="AS2285" s="56" t="s">
        <v>1325</v>
      </c>
      <c r="AW2285" s="262" t="s">
        <v>966</v>
      </c>
      <c r="BB2285" s="437">
        <f t="shared" ca="1" si="68"/>
        <v>960000</v>
      </c>
      <c r="BF2285" s="460">
        <v>27125</v>
      </c>
      <c r="BG2285" s="452">
        <f t="shared" si="69"/>
        <v>0</v>
      </c>
      <c r="BH2285" s="452">
        <f t="shared" si="70"/>
        <v>0</v>
      </c>
      <c r="BI2285" s="389">
        <f t="shared" si="71"/>
        <v>0</v>
      </c>
      <c r="BJ2285" s="170">
        <f t="shared" si="72"/>
        <v>0</v>
      </c>
      <c r="BK2285" s="453">
        <f t="shared" si="73"/>
        <v>0</v>
      </c>
    </row>
    <row r="2286" spans="1:63" ht="15.6" hidden="1" x14ac:dyDescent="0.25">
      <c r="A2286" s="454" t="s">
        <v>1326</v>
      </c>
      <c r="B2286" s="455" t="s">
        <v>1327</v>
      </c>
      <c r="C2286" s="470"/>
      <c r="D2286" s="470">
        <f>65977*15</f>
        <v>989655</v>
      </c>
      <c r="G2286" s="457"/>
      <c r="H2286" s="457"/>
      <c r="I2286" s="457"/>
      <c r="J2286" s="457"/>
      <c r="K2286" s="457"/>
      <c r="L2286" s="457"/>
      <c r="M2286" s="457"/>
      <c r="N2286" s="457"/>
      <c r="O2286" s="457"/>
      <c r="P2286" s="457"/>
      <c r="Q2286" s="457"/>
      <c r="R2286" s="457"/>
      <c r="S2286" s="457"/>
      <c r="T2286" s="457"/>
      <c r="U2286" s="457"/>
      <c r="V2286" s="457"/>
      <c r="W2286" s="457"/>
      <c r="X2286" s="457"/>
      <c r="Y2286" s="457"/>
      <c r="Z2286" s="457"/>
      <c r="AB2286" s="56" t="s">
        <v>1328</v>
      </c>
      <c r="AC2286" s="262" t="s">
        <v>966</v>
      </c>
      <c r="AD2286" s="56" t="s">
        <v>1329</v>
      </c>
      <c r="AF2286" s="458">
        <v>1</v>
      </c>
      <c r="AI2286" s="56" t="str">
        <f>AI2267</f>
        <v>2 years</v>
      </c>
      <c r="AK2286" s="56" t="s">
        <v>1213</v>
      </c>
      <c r="AO2286" s="56" t="s">
        <v>1330</v>
      </c>
      <c r="AR2286" s="262" t="s">
        <v>966</v>
      </c>
      <c r="AS2286" s="56" t="s">
        <v>1265</v>
      </c>
      <c r="AW2286" s="262" t="s">
        <v>966</v>
      </c>
      <c r="BB2286" s="437">
        <f t="shared" ca="1" si="68"/>
        <v>0</v>
      </c>
      <c r="BF2286" s="460">
        <v>24877</v>
      </c>
      <c r="BG2286" s="452">
        <f t="shared" si="69"/>
        <v>0</v>
      </c>
      <c r="BH2286" s="452">
        <f t="shared" si="70"/>
        <v>0</v>
      </c>
      <c r="BI2286" s="389">
        <f t="shared" si="71"/>
        <v>0</v>
      </c>
      <c r="BJ2286" s="170">
        <f t="shared" si="72"/>
        <v>0</v>
      </c>
      <c r="BK2286" s="453">
        <f t="shared" si="73"/>
        <v>0</v>
      </c>
    </row>
    <row r="2287" spans="1:63" ht="15.6" hidden="1" x14ac:dyDescent="0.25">
      <c r="A2287" s="454" t="s">
        <v>1331</v>
      </c>
      <c r="B2287" s="455" t="s">
        <v>1332</v>
      </c>
      <c r="C2287" s="456">
        <v>60000</v>
      </c>
      <c r="D2287" s="456"/>
      <c r="G2287" s="457"/>
      <c r="H2287" s="457"/>
      <c r="I2287" s="457"/>
      <c r="J2287" s="457"/>
      <c r="K2287" s="457"/>
      <c r="L2287" s="457"/>
      <c r="M2287" s="457"/>
      <c r="N2287" s="457"/>
      <c r="O2287" s="457"/>
      <c r="P2287" s="457"/>
      <c r="Q2287" s="457"/>
      <c r="R2287" s="457"/>
      <c r="S2287" s="457"/>
      <c r="T2287" s="457"/>
      <c r="U2287" s="457"/>
      <c r="V2287" s="457"/>
      <c r="W2287" s="457"/>
      <c r="X2287" s="457"/>
      <c r="Y2287" s="457"/>
      <c r="Z2287" s="457"/>
      <c r="AB2287" s="56" t="s">
        <v>1333</v>
      </c>
      <c r="AC2287" s="262" t="s">
        <v>966</v>
      </c>
      <c r="AD2287" s="56" t="s">
        <v>1334</v>
      </c>
      <c r="AF2287" s="458">
        <v>3</v>
      </c>
      <c r="AG2287" s="56">
        <v>3</v>
      </c>
      <c r="AH2287" s="56" t="s">
        <v>1147</v>
      </c>
      <c r="AI2287" s="56" t="str">
        <f>CONCATENATE(AG2287,AH2287)</f>
        <v>3 years</v>
      </c>
      <c r="AK2287" s="56" t="s">
        <v>1188</v>
      </c>
      <c r="AO2287" s="56" t="s">
        <v>1335</v>
      </c>
      <c r="AR2287" s="262" t="s">
        <v>966</v>
      </c>
      <c r="AS2287" s="56" t="s">
        <v>1336</v>
      </c>
      <c r="AW2287" s="262" t="s">
        <v>966</v>
      </c>
      <c r="BB2287" s="437">
        <f t="shared" ca="1" si="68"/>
        <v>720000</v>
      </c>
      <c r="BF2287" s="460">
        <v>29178</v>
      </c>
      <c r="BG2287" s="452">
        <f t="shared" si="69"/>
        <v>0</v>
      </c>
      <c r="BH2287" s="452">
        <f t="shared" si="70"/>
        <v>0</v>
      </c>
      <c r="BI2287" s="389">
        <f t="shared" si="71"/>
        <v>0</v>
      </c>
      <c r="BJ2287" s="170">
        <f t="shared" si="72"/>
        <v>0</v>
      </c>
      <c r="BK2287" s="453">
        <f t="shared" si="73"/>
        <v>0</v>
      </c>
    </row>
    <row r="2288" spans="1:63" ht="15.6" hidden="1" x14ac:dyDescent="0.25">
      <c r="A2288" s="454" t="s">
        <v>1337</v>
      </c>
      <c r="B2288" s="455" t="s">
        <v>1338</v>
      </c>
      <c r="C2288" s="470">
        <f>23975*0.9</f>
        <v>21577.5</v>
      </c>
      <c r="D2288" s="456"/>
      <c r="G2288" s="457"/>
      <c r="H2288" s="457"/>
      <c r="I2288" s="457"/>
      <c r="J2288" s="457"/>
      <c r="K2288" s="457"/>
      <c r="L2288" s="457"/>
      <c r="M2288" s="457"/>
      <c r="N2288" s="457"/>
      <c r="O2288" s="457"/>
      <c r="P2288" s="457"/>
      <c r="Q2288" s="457"/>
      <c r="R2288" s="457"/>
      <c r="S2288" s="457"/>
      <c r="T2288" s="457"/>
      <c r="U2288" s="457"/>
      <c r="V2288" s="457"/>
      <c r="W2288" s="457"/>
      <c r="X2288" s="457"/>
      <c r="Y2288" s="457"/>
      <c r="Z2288" s="457"/>
      <c r="AB2288" s="56" t="s">
        <v>1339</v>
      </c>
      <c r="AC2288" s="262" t="s">
        <v>966</v>
      </c>
      <c r="AD2288" s="56" t="s">
        <v>1340</v>
      </c>
      <c r="AF2288" s="458"/>
      <c r="AI2288" s="56" t="str">
        <f>AI2286</f>
        <v>2 years</v>
      </c>
      <c r="AK2288" s="56" t="s">
        <v>1213</v>
      </c>
      <c r="AO2288" s="56" t="s">
        <v>1341</v>
      </c>
      <c r="AR2288" s="262" t="s">
        <v>966</v>
      </c>
      <c r="AS2288" s="56" t="s">
        <v>1150</v>
      </c>
      <c r="AW2288" s="262" t="s">
        <v>966</v>
      </c>
      <c r="BB2288" s="437">
        <f t="shared" ca="1" si="68"/>
        <v>258930</v>
      </c>
      <c r="BF2288" s="460">
        <v>34052</v>
      </c>
      <c r="BG2288" s="452">
        <f t="shared" si="69"/>
        <v>0</v>
      </c>
      <c r="BH2288" s="452">
        <f t="shared" si="70"/>
        <v>0</v>
      </c>
      <c r="BI2288" s="389">
        <f t="shared" si="71"/>
        <v>0</v>
      </c>
      <c r="BJ2288" s="170">
        <f t="shared" si="72"/>
        <v>0</v>
      </c>
      <c r="BK2288" s="453">
        <f t="shared" si="73"/>
        <v>0</v>
      </c>
    </row>
    <row r="2289" spans="1:63" ht="15.6" hidden="1" x14ac:dyDescent="0.25">
      <c r="A2289" s="454" t="s">
        <v>1342</v>
      </c>
      <c r="B2289" s="455" t="s">
        <v>1343</v>
      </c>
      <c r="C2289" s="456">
        <v>50000</v>
      </c>
      <c r="D2289" s="456">
        <v>25000</v>
      </c>
      <c r="G2289" s="457"/>
      <c r="H2289" s="457"/>
      <c r="I2289" s="457"/>
      <c r="J2289" s="457"/>
      <c r="K2289" s="457"/>
      <c r="L2289" s="457"/>
      <c r="M2289" s="457"/>
      <c r="N2289" s="457"/>
      <c r="O2289" s="457"/>
      <c r="P2289" s="457"/>
      <c r="Q2289" s="457"/>
      <c r="R2289" s="457"/>
      <c r="S2289" s="457"/>
      <c r="T2289" s="457"/>
      <c r="U2289" s="457"/>
      <c r="V2289" s="457"/>
      <c r="W2289" s="457"/>
      <c r="X2289" s="457"/>
      <c r="Y2289" s="457"/>
      <c r="Z2289" s="457"/>
      <c r="AB2289" s="56" t="s">
        <v>1344</v>
      </c>
      <c r="AC2289" s="262" t="s">
        <v>966</v>
      </c>
      <c r="AD2289" s="56" t="s">
        <v>1345</v>
      </c>
      <c r="AF2289" s="458">
        <v>3</v>
      </c>
      <c r="AG2289" s="56">
        <v>3</v>
      </c>
      <c r="AH2289" s="56" t="s">
        <v>1147</v>
      </c>
      <c r="AI2289" s="56" t="str">
        <f>CONCATENATE(AG2289,AH2289)</f>
        <v>3 years</v>
      </c>
      <c r="AK2289" s="56" t="s">
        <v>1213</v>
      </c>
      <c r="AO2289" s="56" t="s">
        <v>1346</v>
      </c>
      <c r="AR2289" s="262" t="s">
        <v>966</v>
      </c>
      <c r="AS2289" s="56" t="s">
        <v>1336</v>
      </c>
      <c r="AW2289" s="262" t="s">
        <v>966</v>
      </c>
      <c r="BB2289" s="437">
        <f t="shared" ca="1" si="68"/>
        <v>25000</v>
      </c>
      <c r="BF2289" s="460">
        <v>31841</v>
      </c>
      <c r="BG2289" s="452">
        <f t="shared" si="69"/>
        <v>0</v>
      </c>
      <c r="BH2289" s="452">
        <f t="shared" si="70"/>
        <v>0</v>
      </c>
      <c r="BI2289" s="389">
        <f t="shared" si="71"/>
        <v>0</v>
      </c>
      <c r="BJ2289" s="170">
        <f t="shared" si="72"/>
        <v>0</v>
      </c>
      <c r="BK2289" s="453">
        <f t="shared" si="73"/>
        <v>0</v>
      </c>
    </row>
    <row r="2290" spans="1:63" ht="15.6" hidden="1" x14ac:dyDescent="0.25">
      <c r="A2290" s="454" t="s">
        <v>1347</v>
      </c>
      <c r="B2290" s="455" t="s">
        <v>1348</v>
      </c>
      <c r="C2290" s="456"/>
      <c r="D2290" s="465">
        <f>D2274</f>
        <v>999999</v>
      </c>
      <c r="G2290" s="457"/>
      <c r="H2290" s="457"/>
      <c r="I2290" s="457"/>
      <c r="J2290" s="457"/>
      <c r="K2290" s="457"/>
      <c r="L2290" s="457"/>
      <c r="M2290" s="457"/>
      <c r="N2290" s="457"/>
      <c r="O2290" s="457"/>
      <c r="P2290" s="457"/>
      <c r="Q2290" s="457"/>
      <c r="R2290" s="457"/>
      <c r="S2290" s="457"/>
      <c r="T2290" s="457"/>
      <c r="U2290" s="457"/>
      <c r="V2290" s="457"/>
      <c r="W2290" s="457"/>
      <c r="X2290" s="457"/>
      <c r="Y2290" s="457"/>
      <c r="Z2290" s="457"/>
      <c r="AB2290" s="56" t="s">
        <v>1349</v>
      </c>
      <c r="AC2290" s="262" t="s">
        <v>966</v>
      </c>
      <c r="AD2290" s="56" t="s">
        <v>1203</v>
      </c>
      <c r="AF2290" s="458"/>
      <c r="AG2290" s="56">
        <v>2</v>
      </c>
      <c r="AH2290" s="56" t="s">
        <v>1147</v>
      </c>
      <c r="AI2290" s="56" t="str">
        <f>CONCATENATE(AG2290,AH2290)</f>
        <v>2 years</v>
      </c>
      <c r="AO2290" s="56" t="s">
        <v>1350</v>
      </c>
      <c r="AR2290" s="262" t="s">
        <v>966</v>
      </c>
      <c r="AS2290" s="56" t="s">
        <v>1336</v>
      </c>
      <c r="AW2290" s="262" t="s">
        <v>966</v>
      </c>
      <c r="BB2290" s="437">
        <f t="shared" ca="1" si="68"/>
        <v>0</v>
      </c>
      <c r="BF2290" s="460">
        <v>22714</v>
      </c>
      <c r="BG2290" s="452">
        <f t="shared" si="69"/>
        <v>0</v>
      </c>
      <c r="BH2290" s="452">
        <f t="shared" si="70"/>
        <v>0</v>
      </c>
      <c r="BI2290" s="389">
        <f t="shared" si="71"/>
        <v>0</v>
      </c>
      <c r="BJ2290" s="170">
        <f t="shared" si="72"/>
        <v>0</v>
      </c>
      <c r="BK2290" s="453">
        <f t="shared" si="73"/>
        <v>0</v>
      </c>
    </row>
    <row r="2291" spans="1:63" ht="15.6" hidden="1" x14ac:dyDescent="0.25">
      <c r="A2291" s="454" t="s">
        <v>1351</v>
      </c>
      <c r="B2291" s="455" t="s">
        <v>1352</v>
      </c>
      <c r="C2291" s="456">
        <v>25000</v>
      </c>
      <c r="D2291" s="456"/>
      <c r="G2291" s="457"/>
      <c r="H2291" s="457"/>
      <c r="I2291" s="457"/>
      <c r="J2291" s="457"/>
      <c r="K2291" s="457"/>
      <c r="L2291" s="457"/>
      <c r="M2291" s="457"/>
      <c r="N2291" s="457"/>
      <c r="O2291" s="457"/>
      <c r="P2291" s="457"/>
      <c r="Q2291" s="457"/>
      <c r="R2291" s="457"/>
      <c r="S2291" s="457"/>
      <c r="T2291" s="457"/>
      <c r="U2291" s="457"/>
      <c r="V2291" s="457"/>
      <c r="W2291" s="457"/>
      <c r="X2291" s="457"/>
      <c r="Y2291" s="457"/>
      <c r="Z2291" s="457"/>
      <c r="AB2291" s="56" t="s">
        <v>1353</v>
      </c>
      <c r="AC2291" s="262" t="s">
        <v>966</v>
      </c>
      <c r="AD2291" s="56" t="s">
        <v>1354</v>
      </c>
      <c r="AF2291" s="458"/>
      <c r="AI2291" s="56" t="str">
        <f>AI2288</f>
        <v>2 years</v>
      </c>
      <c r="AK2291" s="56" t="s">
        <v>1148</v>
      </c>
      <c r="AO2291" s="56" t="s">
        <v>1355</v>
      </c>
      <c r="AR2291" s="262" t="s">
        <v>966</v>
      </c>
      <c r="AS2291" s="56" t="s">
        <v>1336</v>
      </c>
      <c r="AW2291" s="262" t="s">
        <v>966</v>
      </c>
      <c r="BB2291" s="437">
        <f t="shared" ca="1" si="68"/>
        <v>300000</v>
      </c>
      <c r="BF2291" s="460">
        <v>28213</v>
      </c>
      <c r="BG2291" s="452">
        <f t="shared" si="69"/>
        <v>0</v>
      </c>
      <c r="BH2291" s="452">
        <f t="shared" si="70"/>
        <v>0</v>
      </c>
      <c r="BI2291" s="389">
        <f t="shared" si="71"/>
        <v>0</v>
      </c>
      <c r="BJ2291" s="170">
        <f t="shared" si="72"/>
        <v>0</v>
      </c>
      <c r="BK2291" s="453">
        <f t="shared" si="73"/>
        <v>0</v>
      </c>
    </row>
    <row r="2292" spans="1:63" ht="15.6" hidden="1" x14ac:dyDescent="0.25">
      <c r="A2292" s="454" t="s">
        <v>1356</v>
      </c>
      <c r="B2292" s="455" t="s">
        <v>1357</v>
      </c>
      <c r="C2292" s="456"/>
      <c r="D2292" s="456"/>
      <c r="G2292" s="457"/>
      <c r="H2292" s="457"/>
      <c r="I2292" s="457"/>
      <c r="J2292" s="457"/>
      <c r="K2292" s="457"/>
      <c r="L2292" s="457"/>
      <c r="M2292" s="457"/>
      <c r="N2292" s="457"/>
      <c r="O2292" s="457"/>
      <c r="P2292" s="457"/>
      <c r="Q2292" s="457"/>
      <c r="R2292" s="457"/>
      <c r="S2292" s="457"/>
      <c r="T2292" s="457"/>
      <c r="U2292" s="457"/>
      <c r="V2292" s="457"/>
      <c r="W2292" s="457"/>
      <c r="X2292" s="457"/>
      <c r="Y2292" s="457"/>
      <c r="Z2292" s="457"/>
      <c r="AA2292" s="448"/>
      <c r="AB2292" s="448" t="s">
        <v>1128</v>
      </c>
      <c r="AC2292" s="262" t="s">
        <v>966</v>
      </c>
      <c r="AF2292" s="458"/>
      <c r="AK2292" s="56" t="s">
        <v>1148</v>
      </c>
      <c r="AR2292" s="262" t="s">
        <v>966</v>
      </c>
      <c r="AW2292" s="262" t="s">
        <v>966</v>
      </c>
      <c r="BB2292" s="437">
        <f t="shared" ca="1" si="68"/>
        <v>0</v>
      </c>
      <c r="BF2292" s="460">
        <v>29698</v>
      </c>
      <c r="BG2292" s="452">
        <f t="shared" si="69"/>
        <v>0</v>
      </c>
      <c r="BH2292" s="452">
        <f t="shared" si="70"/>
        <v>0</v>
      </c>
      <c r="BI2292" s="389">
        <f t="shared" si="71"/>
        <v>0</v>
      </c>
      <c r="BJ2292" s="170">
        <f t="shared" si="72"/>
        <v>0</v>
      </c>
      <c r="BK2292" s="453">
        <f t="shared" si="73"/>
        <v>0</v>
      </c>
    </row>
    <row r="2293" spans="1:63" ht="15.6" hidden="1" x14ac:dyDescent="0.25">
      <c r="A2293" s="454" t="s">
        <v>1358</v>
      </c>
      <c r="B2293" s="455" t="s">
        <v>1359</v>
      </c>
      <c r="C2293" s="456">
        <v>50000</v>
      </c>
      <c r="D2293" s="456"/>
      <c r="G2293" s="457"/>
      <c r="H2293" s="457"/>
      <c r="I2293" s="457"/>
      <c r="J2293" s="457"/>
      <c r="K2293" s="457"/>
      <c r="L2293" s="457"/>
      <c r="M2293" s="457"/>
      <c r="N2293" s="457"/>
      <c r="O2293" s="457"/>
      <c r="P2293" s="457"/>
      <c r="Q2293" s="457"/>
      <c r="R2293" s="457"/>
      <c r="S2293" s="457"/>
      <c r="T2293" s="457"/>
      <c r="U2293" s="457"/>
      <c r="V2293" s="457"/>
      <c r="W2293" s="457"/>
      <c r="X2293" s="457"/>
      <c r="Y2293" s="457"/>
      <c r="Z2293" s="457"/>
      <c r="AB2293" s="466" t="s">
        <v>1360</v>
      </c>
      <c r="AC2293" s="262" t="s">
        <v>966</v>
      </c>
      <c r="AD2293" s="56" t="s">
        <v>1361</v>
      </c>
      <c r="AF2293" s="458"/>
      <c r="AK2293" s="56" t="s">
        <v>1148</v>
      </c>
      <c r="AO2293" s="56" t="s">
        <v>1362</v>
      </c>
      <c r="AR2293" s="262" t="s">
        <v>966</v>
      </c>
      <c r="AS2293" s="56" t="s">
        <v>1150</v>
      </c>
      <c r="AW2293" s="262" t="s">
        <v>966</v>
      </c>
      <c r="BB2293" s="437"/>
      <c r="BF2293" s="460">
        <v>28889</v>
      </c>
      <c r="BG2293" s="452">
        <f t="shared" si="69"/>
        <v>0</v>
      </c>
      <c r="BH2293" s="452">
        <f>BF2293-BG2293</f>
        <v>28889</v>
      </c>
      <c r="BI2293" s="170">
        <f t="shared" si="71"/>
        <v>2407.4166666666665</v>
      </c>
      <c r="BJ2293" s="170">
        <f t="shared" si="72"/>
        <v>555.55769230769226</v>
      </c>
      <c r="BK2293" s="453">
        <f t="shared" si="73"/>
        <v>1</v>
      </c>
    </row>
    <row r="2294" spans="1:63" ht="15.6" hidden="1" x14ac:dyDescent="0.25">
      <c r="A2294" s="56" t="s">
        <v>993</v>
      </c>
      <c r="B2294" s="455" t="s">
        <v>993</v>
      </c>
      <c r="G2294" s="457"/>
      <c r="H2294" s="457"/>
      <c r="I2294" s="457"/>
      <c r="J2294" s="457"/>
      <c r="K2294" s="457"/>
      <c r="L2294" s="457"/>
      <c r="M2294" s="457"/>
      <c r="N2294" s="457"/>
      <c r="O2294" s="457"/>
      <c r="P2294" s="457"/>
      <c r="Q2294" s="457"/>
      <c r="R2294" s="457"/>
      <c r="S2294" s="457"/>
      <c r="T2294" s="457"/>
      <c r="U2294" s="457"/>
      <c r="V2294" s="457"/>
      <c r="W2294" s="457"/>
      <c r="X2294" s="457"/>
      <c r="Y2294" s="457"/>
      <c r="Z2294" s="457"/>
      <c r="AF2294" s="458"/>
      <c r="AW2294" s="262" t="s">
        <v>966</v>
      </c>
    </row>
    <row r="2295" spans="1:63" hidden="1" x14ac:dyDescent="0.25">
      <c r="AF2295" s="458"/>
    </row>
    <row r="2296" spans="1:63" hidden="1" x14ac:dyDescent="0.25">
      <c r="AF2296" s="458"/>
    </row>
    <row r="2297" spans="1:63" hidden="1" x14ac:dyDescent="0.25"/>
    <row r="2298" spans="1:63" hidden="1" x14ac:dyDescent="0.25"/>
    <row r="2299" spans="1:63" hidden="1" x14ac:dyDescent="0.25">
      <c r="B2299" s="56" t="s">
        <v>997</v>
      </c>
      <c r="BB2299" s="56"/>
    </row>
    <row r="2300" spans="1:63" hidden="1" x14ac:dyDescent="0.25">
      <c r="B2300" s="56" t="s">
        <v>998</v>
      </c>
      <c r="BB2300" s="56"/>
    </row>
    <row r="2301" spans="1:63" hidden="1" x14ac:dyDescent="0.25"/>
    <row r="2302" spans="1:63" hidden="1" x14ac:dyDescent="0.25"/>
    <row r="2303" spans="1:63" hidden="1" x14ac:dyDescent="0.25"/>
    <row r="2304" spans="1:63" hidden="1" x14ac:dyDescent="0.25"/>
    <row r="2305" spans="54:54" hidden="1" x14ac:dyDescent="0.25"/>
    <row r="2306" spans="54:54" hidden="1" x14ac:dyDescent="0.25"/>
    <row r="2307" spans="54:54" hidden="1" x14ac:dyDescent="0.25"/>
    <row r="2308" spans="54:54" hidden="1" x14ac:dyDescent="0.25"/>
    <row r="2309" spans="54:54" hidden="1" x14ac:dyDescent="0.25"/>
    <row r="2310" spans="54:54" hidden="1" x14ac:dyDescent="0.25"/>
    <row r="2311" spans="54:54" hidden="1" x14ac:dyDescent="0.25"/>
    <row r="2312" spans="54:54" hidden="1" x14ac:dyDescent="0.25"/>
    <row r="2313" spans="54:54" hidden="1" x14ac:dyDescent="0.25"/>
    <row r="2314" spans="54:54" hidden="1" x14ac:dyDescent="0.25"/>
    <row r="2315" spans="54:54" hidden="1" x14ac:dyDescent="0.25"/>
    <row r="2316" spans="54:54" hidden="1" x14ac:dyDescent="0.25"/>
    <row r="2317" spans="54:54" hidden="1" x14ac:dyDescent="0.25"/>
    <row r="2318" spans="54:54" hidden="1" x14ac:dyDescent="0.25">
      <c r="BB2318" s="56"/>
    </row>
    <row r="2319" spans="54:54" hidden="1" x14ac:dyDescent="0.25">
      <c r="BB2319" s="56"/>
    </row>
    <row r="2320" spans="54:54" hidden="1" x14ac:dyDescent="0.25">
      <c r="BB2320" s="56"/>
    </row>
    <row r="2321" spans="54:54" hidden="1" x14ac:dyDescent="0.25">
      <c r="BB2321" s="56"/>
    </row>
    <row r="2322" spans="54:54" hidden="1" x14ac:dyDescent="0.25">
      <c r="BB2322" s="56"/>
    </row>
    <row r="2323" spans="54:54" hidden="1" x14ac:dyDescent="0.25">
      <c r="BB2323" s="56"/>
    </row>
    <row r="2324" spans="54:54" hidden="1" x14ac:dyDescent="0.25">
      <c r="BB2324" s="56"/>
    </row>
    <row r="2325" spans="54:54" hidden="1" x14ac:dyDescent="0.25">
      <c r="BB2325" s="56"/>
    </row>
    <row r="2326" spans="54:54" hidden="1" x14ac:dyDescent="0.25">
      <c r="BB2326" s="56"/>
    </row>
    <row r="2327" spans="54:54" hidden="1" x14ac:dyDescent="0.25">
      <c r="BB2327" s="56"/>
    </row>
    <row r="2328" spans="54:54" hidden="1" x14ac:dyDescent="0.25">
      <c r="BB2328" s="56"/>
    </row>
    <row r="2329" spans="54:54" hidden="1" x14ac:dyDescent="0.25">
      <c r="BB2329" s="56"/>
    </row>
    <row r="2330" spans="54:54" hidden="1" x14ac:dyDescent="0.25"/>
    <row r="2331" spans="54:54" hidden="1" x14ac:dyDescent="0.25"/>
    <row r="2332" spans="54:54" hidden="1" x14ac:dyDescent="0.25">
      <c r="BB2332" s="56"/>
    </row>
    <row r="2333" spans="54:54" hidden="1" x14ac:dyDescent="0.25">
      <c r="BB2333" s="56"/>
    </row>
    <row r="2334" spans="54:54" hidden="1" x14ac:dyDescent="0.25">
      <c r="BB2334" s="56"/>
    </row>
    <row r="2335" spans="54:54" hidden="1" x14ac:dyDescent="0.25">
      <c r="BB2335" s="56"/>
    </row>
    <row r="2336" spans="54:54" hidden="1" x14ac:dyDescent="0.25">
      <c r="BB2336" s="56"/>
    </row>
    <row r="2337" spans="54:54" hidden="1" x14ac:dyDescent="0.25">
      <c r="BB2337" s="56"/>
    </row>
    <row r="2338" spans="54:54" hidden="1" x14ac:dyDescent="0.25">
      <c r="BB2338" s="56"/>
    </row>
    <row r="2339" spans="54:54" hidden="1" x14ac:dyDescent="0.25">
      <c r="BB2339" s="56"/>
    </row>
    <row r="2340" spans="54:54" hidden="1" x14ac:dyDescent="0.25">
      <c r="BB2340" s="56"/>
    </row>
    <row r="2341" spans="54:54" hidden="1" x14ac:dyDescent="0.25">
      <c r="BB2341" s="56"/>
    </row>
    <row r="2342" spans="54:54" hidden="1" x14ac:dyDescent="0.25">
      <c r="BB2342" s="56"/>
    </row>
    <row r="2343" spans="54:54" hidden="1" x14ac:dyDescent="0.25">
      <c r="BB2343" s="56"/>
    </row>
    <row r="2344" spans="54:54" hidden="1" x14ac:dyDescent="0.25">
      <c r="BB2344" s="56"/>
    </row>
    <row r="2345" spans="54:54" hidden="1" x14ac:dyDescent="0.25">
      <c r="BB2345" s="56"/>
    </row>
    <row r="2346" spans="54:54" hidden="1" x14ac:dyDescent="0.25">
      <c r="BB2346" s="56"/>
    </row>
    <row r="2347" spans="54:54" hidden="1" x14ac:dyDescent="0.25">
      <c r="BB2347" s="56"/>
    </row>
    <row r="2348" spans="54:54" hidden="1" x14ac:dyDescent="0.25">
      <c r="BB2348" s="56"/>
    </row>
    <row r="2349" spans="54:54" hidden="1" x14ac:dyDescent="0.25">
      <c r="BB2349" s="56"/>
    </row>
    <row r="2350" spans="54:54" hidden="1" x14ac:dyDescent="0.25">
      <c r="BB2350" s="56"/>
    </row>
    <row r="2351" spans="54:54" hidden="1" x14ac:dyDescent="0.25">
      <c r="BB2351" s="56"/>
    </row>
    <row r="2352" spans="54:54" hidden="1" x14ac:dyDescent="0.25">
      <c r="BB2352" s="56"/>
    </row>
    <row r="2353" spans="54:54" hidden="1" x14ac:dyDescent="0.25">
      <c r="BB2353" s="56"/>
    </row>
    <row r="2354" spans="54:54" hidden="1" x14ac:dyDescent="0.25">
      <c r="BB2354" s="56"/>
    </row>
    <row r="2355" spans="54:54" hidden="1" x14ac:dyDescent="0.25"/>
    <row r="2356" spans="54:54" hidden="1" x14ac:dyDescent="0.25"/>
    <row r="2357" spans="54:54" hidden="1" x14ac:dyDescent="0.25"/>
    <row r="2358" spans="54:54" hidden="1" x14ac:dyDescent="0.25"/>
    <row r="2359" spans="54:54" hidden="1" x14ac:dyDescent="0.25"/>
    <row r="2360" spans="54:54" hidden="1" x14ac:dyDescent="0.25"/>
    <row r="2361" spans="54:54" hidden="1" x14ac:dyDescent="0.25"/>
    <row r="2362" spans="54:54" hidden="1" x14ac:dyDescent="0.25"/>
    <row r="2363" spans="54:54" hidden="1" x14ac:dyDescent="0.25"/>
    <row r="2364" spans="54:54" hidden="1" x14ac:dyDescent="0.25"/>
    <row r="2365" spans="54:54" hidden="1" x14ac:dyDescent="0.25"/>
    <row r="2366" spans="54:54" hidden="1" x14ac:dyDescent="0.25"/>
    <row r="2367" spans="54:54" hidden="1" x14ac:dyDescent="0.25"/>
    <row r="2368" spans="54:54" hidden="1" x14ac:dyDescent="0.25"/>
    <row r="2369" spans="2:54" ht="14.4" hidden="1" x14ac:dyDescent="0.25">
      <c r="C2369" s="471" t="s">
        <v>1363</v>
      </c>
      <c r="BB2369" s="56"/>
    </row>
    <row r="2370" spans="2:54" ht="14.4" hidden="1" x14ac:dyDescent="0.25">
      <c r="C2370" s="471" t="s">
        <v>1364</v>
      </c>
      <c r="BB2370" s="56"/>
    </row>
    <row r="2371" spans="2:54" ht="14.4" hidden="1" x14ac:dyDescent="0.25">
      <c r="C2371" s="471" t="s">
        <v>1365</v>
      </c>
      <c r="BB2371" s="56"/>
    </row>
    <row r="2372" spans="2:54" ht="14.4" hidden="1" x14ac:dyDescent="0.25">
      <c r="C2372" s="471" t="s">
        <v>1366</v>
      </c>
      <c r="BB2372" s="56"/>
    </row>
    <row r="2373" spans="2:54" ht="14.4" hidden="1" x14ac:dyDescent="0.25">
      <c r="C2373" s="471" t="s">
        <v>1367</v>
      </c>
      <c r="BB2373" s="56"/>
    </row>
    <row r="2374" spans="2:54" ht="14.4" hidden="1" x14ac:dyDescent="0.25">
      <c r="C2374" s="471" t="s">
        <v>1368</v>
      </c>
      <c r="BB2374" s="56"/>
    </row>
    <row r="2375" spans="2:54" ht="14.4" hidden="1" x14ac:dyDescent="0.25">
      <c r="C2375" s="471" t="s">
        <v>1369</v>
      </c>
      <c r="BB2375" s="56"/>
    </row>
    <row r="2376" spans="2:54" ht="14.4" hidden="1" x14ac:dyDescent="0.25">
      <c r="C2376" s="471" t="s">
        <v>1370</v>
      </c>
      <c r="BB2376" s="56"/>
    </row>
    <row r="2377" spans="2:54" ht="14.4" hidden="1" x14ac:dyDescent="0.25">
      <c r="C2377" s="471" t="s">
        <v>1371</v>
      </c>
      <c r="BB2377" s="56"/>
    </row>
    <row r="2378" spans="2:54" ht="14.4" hidden="1" x14ac:dyDescent="0.25">
      <c r="C2378" s="471" t="s">
        <v>1372</v>
      </c>
      <c r="BB2378" s="56"/>
    </row>
    <row r="2379" spans="2:54" hidden="1" x14ac:dyDescent="0.25"/>
    <row r="2380" spans="2:54" hidden="1" x14ac:dyDescent="0.25"/>
    <row r="2381" spans="2:54" hidden="1" x14ac:dyDescent="0.25"/>
    <row r="2382" spans="2:54" hidden="1" x14ac:dyDescent="0.25"/>
    <row r="2383" spans="2:54" ht="36" hidden="1" x14ac:dyDescent="0.35">
      <c r="B2383" s="472" t="s">
        <v>1373</v>
      </c>
      <c r="C2383" s="472" t="s">
        <v>1374</v>
      </c>
      <c r="D2383" s="472" t="s">
        <v>1375</v>
      </c>
      <c r="BB2383" s="56"/>
    </row>
    <row r="2384" spans="2:54" ht="14.4" hidden="1" x14ac:dyDescent="0.3">
      <c r="B2384" s="77" t="s">
        <v>1376</v>
      </c>
      <c r="D2384" s="56" t="s">
        <v>193</v>
      </c>
      <c r="BB2384" s="56"/>
    </row>
    <row r="2385" spans="2:54" ht="14.4" hidden="1" x14ac:dyDescent="0.3">
      <c r="B2385" s="77" t="s">
        <v>1377</v>
      </c>
      <c r="D2385" s="56" t="s">
        <v>134</v>
      </c>
      <c r="BB2385" s="56"/>
    </row>
    <row r="2386" spans="2:54" ht="14.4" hidden="1" x14ac:dyDescent="0.3">
      <c r="B2386" s="77" t="s">
        <v>1378</v>
      </c>
      <c r="D2386" s="56" t="s">
        <v>201</v>
      </c>
      <c r="BB2386" s="56"/>
    </row>
    <row r="2387" spans="2:54" ht="14.4" hidden="1" x14ac:dyDescent="0.3">
      <c r="B2387" s="77" t="s">
        <v>133</v>
      </c>
      <c r="BB2387" s="56"/>
    </row>
    <row r="2388" spans="2:54" ht="14.4" hidden="1" x14ac:dyDescent="0.3">
      <c r="B2388" s="77" t="s">
        <v>1379</v>
      </c>
      <c r="D2388" s="56" t="s">
        <v>1380</v>
      </c>
      <c r="BB2388" s="56"/>
    </row>
    <row r="2389" spans="2:54" ht="14.4" hidden="1" x14ac:dyDescent="0.3">
      <c r="B2389" s="77" t="s">
        <v>1381</v>
      </c>
      <c r="D2389" s="56" t="s">
        <v>1382</v>
      </c>
      <c r="BB2389" s="56"/>
    </row>
    <row r="2390" spans="2:54" ht="14.4" hidden="1" x14ac:dyDescent="0.3">
      <c r="B2390" s="77" t="s">
        <v>1383</v>
      </c>
      <c r="BB2390" s="56"/>
    </row>
    <row r="2391" spans="2:54" ht="14.4" hidden="1" x14ac:dyDescent="0.3">
      <c r="B2391" s="77" t="s">
        <v>114</v>
      </c>
      <c r="BB2391" s="56"/>
    </row>
    <row r="2392" spans="2:54" hidden="1" x14ac:dyDescent="0.25"/>
    <row r="2393" spans="2:54" hidden="1" x14ac:dyDescent="0.25"/>
    <row r="2394" spans="2:54" hidden="1" x14ac:dyDescent="0.25">
      <c r="C2394" s="60" t="s">
        <v>1384</v>
      </c>
      <c r="BB2394" s="56"/>
    </row>
    <row r="2395" spans="2:54" ht="14.4" hidden="1" x14ac:dyDescent="0.3">
      <c r="C2395" s="77" t="s">
        <v>135</v>
      </c>
      <c r="BB2395" s="56"/>
    </row>
    <row r="2396" spans="2:54" ht="14.4" hidden="1" x14ac:dyDescent="0.3">
      <c r="C2396" s="77" t="s">
        <v>1385</v>
      </c>
      <c r="BB2396" s="56"/>
    </row>
    <row r="2397" spans="2:54" ht="14.4" hidden="1" x14ac:dyDescent="0.3">
      <c r="C2397" s="77" t="s">
        <v>1386</v>
      </c>
      <c r="BB2397" s="56"/>
    </row>
    <row r="2398" spans="2:54" ht="14.4" hidden="1" x14ac:dyDescent="0.3">
      <c r="C2398" s="77" t="s">
        <v>1387</v>
      </c>
      <c r="BB2398" s="56"/>
    </row>
    <row r="2399" spans="2:54" ht="14.4" hidden="1" x14ac:dyDescent="0.3">
      <c r="C2399" s="77" t="s">
        <v>1388</v>
      </c>
      <c r="BB2399" s="56"/>
    </row>
    <row r="2400" spans="2:54" ht="14.4" hidden="1" x14ac:dyDescent="0.3">
      <c r="C2400" s="77" t="s">
        <v>1389</v>
      </c>
      <c r="BB2400" s="56"/>
    </row>
    <row r="2401" spans="3:54" ht="14.4" hidden="1" x14ac:dyDescent="0.3">
      <c r="C2401" s="77" t="s">
        <v>1390</v>
      </c>
      <c r="BB2401" s="56"/>
    </row>
    <row r="2402" spans="3:54" ht="14.4" hidden="1" x14ac:dyDescent="0.3">
      <c r="C2402" s="77" t="s">
        <v>1391</v>
      </c>
      <c r="BB2402" s="56"/>
    </row>
    <row r="2403" spans="3:54" ht="14.4" hidden="1" x14ac:dyDescent="0.3">
      <c r="C2403" s="77" t="s">
        <v>1392</v>
      </c>
      <c r="BB2403" s="56"/>
    </row>
    <row r="2404" spans="3:54" ht="14.4" hidden="1" x14ac:dyDescent="0.3">
      <c r="C2404" s="77" t="s">
        <v>1393</v>
      </c>
      <c r="BB2404" s="56"/>
    </row>
    <row r="2405" spans="3:54" ht="14.4" hidden="1" x14ac:dyDescent="0.3">
      <c r="C2405" s="77" t="s">
        <v>1394</v>
      </c>
      <c r="BB2405" s="56"/>
    </row>
    <row r="2406" spans="3:54" hidden="1" x14ac:dyDescent="0.25"/>
    <row r="2407" spans="3:54" ht="18" hidden="1" x14ac:dyDescent="0.35">
      <c r="C2407" s="433" t="s">
        <v>1395</v>
      </c>
      <c r="BB2407" s="56"/>
    </row>
    <row r="2408" spans="3:54" ht="14.4" hidden="1" x14ac:dyDescent="0.3">
      <c r="C2408" s="77" t="s">
        <v>1396</v>
      </c>
      <c r="BB2408" s="56"/>
    </row>
    <row r="2409" spans="3:54" ht="14.4" hidden="1" x14ac:dyDescent="0.3">
      <c r="C2409" s="77" t="s">
        <v>127</v>
      </c>
      <c r="BB2409" s="56"/>
    </row>
    <row r="2410" spans="3:54" ht="14.4" hidden="1" x14ac:dyDescent="0.3">
      <c r="C2410" s="77" t="s">
        <v>1397</v>
      </c>
      <c r="BB2410" s="56"/>
    </row>
    <row r="2411" spans="3:54" ht="14.4" hidden="1" x14ac:dyDescent="0.3">
      <c r="C2411" s="77" t="s">
        <v>1398</v>
      </c>
      <c r="BB2411" s="56"/>
    </row>
    <row r="2412" spans="3:54" ht="14.4" hidden="1" x14ac:dyDescent="0.3">
      <c r="C2412" s="77"/>
      <c r="BB2412" s="56"/>
    </row>
    <row r="2413" spans="3:54" ht="14.4" hidden="1" x14ac:dyDescent="0.3">
      <c r="C2413" s="77" t="s">
        <v>1399</v>
      </c>
      <c r="BB2413" s="56"/>
    </row>
    <row r="2414" spans="3:54" ht="14.4" hidden="1" x14ac:dyDescent="0.3">
      <c r="C2414" s="77" t="s">
        <v>1400</v>
      </c>
      <c r="BB2414" s="56"/>
    </row>
    <row r="2415" spans="3:54" ht="14.4" hidden="1" x14ac:dyDescent="0.3">
      <c r="C2415" s="77" t="s">
        <v>1401</v>
      </c>
      <c r="BB2415" s="56"/>
    </row>
    <row r="2416" spans="3:54" ht="14.4" hidden="1" x14ac:dyDescent="0.3">
      <c r="C2416" s="77" t="s">
        <v>1402</v>
      </c>
      <c r="BB2416" s="56"/>
    </row>
    <row r="2417" spans="3:54" ht="14.4" hidden="1" x14ac:dyDescent="0.3">
      <c r="C2417" s="77" t="s">
        <v>1403</v>
      </c>
      <c r="BB2417" s="56"/>
    </row>
    <row r="2418" spans="3:54" ht="14.4" hidden="1" x14ac:dyDescent="0.3">
      <c r="C2418" s="77" t="s">
        <v>1404</v>
      </c>
      <c r="BB2418" s="56"/>
    </row>
    <row r="2419" spans="3:54" ht="14.4" hidden="1" x14ac:dyDescent="0.3">
      <c r="C2419" s="77" t="s">
        <v>1405</v>
      </c>
      <c r="BB2419" s="56"/>
    </row>
    <row r="2420" spans="3:54" ht="14.4" hidden="1" x14ac:dyDescent="0.3">
      <c r="C2420" s="77" t="s">
        <v>993</v>
      </c>
      <c r="BB2420" s="56"/>
    </row>
    <row r="2421" spans="3:54" hidden="1" x14ac:dyDescent="0.25"/>
    <row r="2422" spans="3:54" ht="18" hidden="1" x14ac:dyDescent="0.35">
      <c r="C2422" s="433" t="s">
        <v>1406</v>
      </c>
      <c r="BB2422" s="56"/>
    </row>
    <row r="2423" spans="3:54" ht="14.4" hidden="1" x14ac:dyDescent="0.3">
      <c r="C2423" s="77" t="s">
        <v>1407</v>
      </c>
      <c r="BB2423" s="56"/>
    </row>
    <row r="2424" spans="3:54" ht="14.4" hidden="1" x14ac:dyDescent="0.3">
      <c r="C2424" s="77" t="s">
        <v>1408</v>
      </c>
      <c r="BB2424" s="56"/>
    </row>
    <row r="2425" spans="3:54" ht="14.4" hidden="1" x14ac:dyDescent="0.3">
      <c r="C2425" s="77" t="s">
        <v>114</v>
      </c>
      <c r="BB2425" s="56"/>
    </row>
    <row r="2426" spans="3:54" hidden="1" x14ac:dyDescent="0.25"/>
    <row r="2427" spans="3:54" ht="18" hidden="1" x14ac:dyDescent="0.35">
      <c r="C2427" s="433" t="s">
        <v>1409</v>
      </c>
      <c r="BB2427" s="56"/>
    </row>
    <row r="2428" spans="3:54" ht="14.4" hidden="1" x14ac:dyDescent="0.3">
      <c r="C2428" s="77" t="s">
        <v>118</v>
      </c>
      <c r="BB2428" s="56"/>
    </row>
    <row r="2429" spans="3:54" ht="14.4" hidden="1" x14ac:dyDescent="0.3">
      <c r="C2429" s="77" t="s">
        <v>1410</v>
      </c>
      <c r="BB2429" s="56"/>
    </row>
    <row r="2430" spans="3:54" ht="14.4" hidden="1" x14ac:dyDescent="0.3">
      <c r="C2430" s="77" t="s">
        <v>1411</v>
      </c>
      <c r="BB2430" s="56"/>
    </row>
    <row r="2431" spans="3:54" ht="14.4" hidden="1" x14ac:dyDescent="0.3">
      <c r="C2431" s="77" t="s">
        <v>114</v>
      </c>
      <c r="BB2431" s="56"/>
    </row>
    <row r="2432" spans="3:54" hidden="1" x14ac:dyDescent="0.25"/>
    <row r="2433" spans="3:54" ht="18" hidden="1" x14ac:dyDescent="0.35">
      <c r="C2433" s="433" t="s">
        <v>1412</v>
      </c>
      <c r="BB2433" s="56"/>
    </row>
    <row r="2434" spans="3:54" ht="14.4" hidden="1" x14ac:dyDescent="0.3">
      <c r="C2434" s="77" t="s">
        <v>119</v>
      </c>
      <c r="BB2434" s="56"/>
    </row>
    <row r="2435" spans="3:54" ht="14.4" hidden="1" x14ac:dyDescent="0.3">
      <c r="C2435" s="77" t="s">
        <v>1413</v>
      </c>
      <c r="BB2435" s="56"/>
    </row>
    <row r="2436" spans="3:54" ht="14.4" hidden="1" x14ac:dyDescent="0.3">
      <c r="C2436" s="77" t="s">
        <v>1013</v>
      </c>
      <c r="BB2436" s="56"/>
    </row>
    <row r="2437" spans="3:54" ht="14.4" hidden="1" x14ac:dyDescent="0.3">
      <c r="C2437" s="77"/>
      <c r="BB2437" s="56"/>
    </row>
    <row r="2438" spans="3:54" hidden="1" x14ac:dyDescent="0.25"/>
    <row r="2439" spans="3:54" ht="18" hidden="1" x14ac:dyDescent="0.35">
      <c r="C2439" s="433" t="s">
        <v>1414</v>
      </c>
      <c r="BB2439" s="56"/>
    </row>
    <row r="2440" spans="3:54" ht="14.4" hidden="1" x14ac:dyDescent="0.3">
      <c r="C2440" s="77" t="s">
        <v>1415</v>
      </c>
      <c r="BB2440" s="56"/>
    </row>
    <row r="2441" spans="3:54" ht="14.4" hidden="1" x14ac:dyDescent="0.3">
      <c r="C2441" s="77" t="s">
        <v>128</v>
      </c>
      <c r="BB2441" s="56"/>
    </row>
    <row r="2442" spans="3:54" ht="14.4" hidden="1" x14ac:dyDescent="0.3">
      <c r="C2442" s="77" t="s">
        <v>494</v>
      </c>
      <c r="BB2442" s="56"/>
    </row>
    <row r="2443" spans="3:54" ht="14.4" hidden="1" x14ac:dyDescent="0.3">
      <c r="C2443" s="77" t="s">
        <v>1416</v>
      </c>
      <c r="BB2443" s="56"/>
    </row>
    <row r="2444" spans="3:54" hidden="1" x14ac:dyDescent="0.25"/>
    <row r="2445" spans="3:54" hidden="1" x14ac:dyDescent="0.25"/>
    <row r="2446" spans="3:54" ht="18" hidden="1" x14ac:dyDescent="0.35">
      <c r="C2446" s="433" t="s">
        <v>1417</v>
      </c>
      <c r="BB2446" s="56"/>
    </row>
    <row r="2447" spans="3:54" ht="14.4" hidden="1" x14ac:dyDescent="0.3">
      <c r="C2447" s="77" t="s">
        <v>1418</v>
      </c>
      <c r="BB2447" s="56"/>
    </row>
    <row r="2448" spans="3:54" ht="14.4" hidden="1" x14ac:dyDescent="0.3">
      <c r="C2448" s="77" t="s">
        <v>1419</v>
      </c>
      <c r="BB2448" s="56"/>
    </row>
    <row r="2449" spans="3:54" ht="14.4" hidden="1" x14ac:dyDescent="0.3">
      <c r="C2449" s="77" t="s">
        <v>221</v>
      </c>
      <c r="BB2449" s="56"/>
    </row>
    <row r="2450" spans="3:54" ht="14.4" hidden="1" x14ac:dyDescent="0.3">
      <c r="C2450" s="77" t="s">
        <v>1420</v>
      </c>
      <c r="BB2450" s="56"/>
    </row>
    <row r="2451" spans="3:54" ht="14.4" hidden="1" x14ac:dyDescent="0.3">
      <c r="C2451" s="77" t="s">
        <v>1007</v>
      </c>
      <c r="BB2451" s="56"/>
    </row>
    <row r="2452" spans="3:54" hidden="1" x14ac:dyDescent="0.25"/>
    <row r="2453" spans="3:54" hidden="1" x14ac:dyDescent="0.25"/>
    <row r="2454" spans="3:54" ht="18" hidden="1" x14ac:dyDescent="0.35">
      <c r="C2454" s="433" t="s">
        <v>1421</v>
      </c>
      <c r="BB2454" s="56"/>
    </row>
    <row r="2455" spans="3:54" ht="18" hidden="1" x14ac:dyDescent="0.35">
      <c r="C2455" s="433" t="s">
        <v>1422</v>
      </c>
      <c r="BB2455" s="56"/>
    </row>
    <row r="2456" spans="3:54" hidden="1" x14ac:dyDescent="0.25">
      <c r="C2456" s="56" t="s">
        <v>1423</v>
      </c>
      <c r="BB2456" s="56"/>
    </row>
    <row r="2457" spans="3:54" hidden="1" x14ac:dyDescent="0.25">
      <c r="C2457" s="56" t="s">
        <v>183</v>
      </c>
      <c r="BB2457" s="56"/>
    </row>
    <row r="2458" spans="3:54" hidden="1" x14ac:dyDescent="0.25">
      <c r="C2458" s="56" t="s">
        <v>1424</v>
      </c>
      <c r="BB2458" s="56"/>
    </row>
    <row r="2459" spans="3:54" hidden="1" x14ac:dyDescent="0.25">
      <c r="C2459" s="56" t="s">
        <v>1425</v>
      </c>
      <c r="BB2459" s="56"/>
    </row>
    <row r="2460" spans="3:54" hidden="1" x14ac:dyDescent="0.25">
      <c r="C2460" s="56" t="s">
        <v>1426</v>
      </c>
      <c r="BB2460" s="56"/>
    </row>
    <row r="2461" spans="3:54" hidden="1" x14ac:dyDescent="0.25">
      <c r="BB2461" s="56"/>
    </row>
    <row r="2462" spans="3:54" hidden="1" x14ac:dyDescent="0.25"/>
    <row r="2463" spans="3:54" ht="18" hidden="1" x14ac:dyDescent="0.35">
      <c r="C2463" s="433"/>
      <c r="BB2463" s="56"/>
    </row>
    <row r="2464" spans="3:54" hidden="1" x14ac:dyDescent="0.25">
      <c r="C2464" s="56" t="s">
        <v>1427</v>
      </c>
      <c r="BB2464" s="56"/>
    </row>
    <row r="2465" spans="2:54" hidden="1" x14ac:dyDescent="0.25">
      <c r="C2465" s="56" t="s">
        <v>184</v>
      </c>
      <c r="BB2465" s="56"/>
    </row>
    <row r="2466" spans="2:54" hidden="1" x14ac:dyDescent="0.25">
      <c r="C2466" s="56" t="s">
        <v>1428</v>
      </c>
      <c r="BB2466" s="56"/>
    </row>
    <row r="2467" spans="2:54" hidden="1" x14ac:dyDescent="0.25">
      <c r="C2467" s="56" t="s">
        <v>1429</v>
      </c>
      <c r="BB2467" s="56"/>
    </row>
    <row r="2468" spans="2:54" hidden="1" x14ac:dyDescent="0.25">
      <c r="C2468" s="56" t="s">
        <v>1430</v>
      </c>
      <c r="BB2468" s="56"/>
    </row>
    <row r="2469" spans="2:54" hidden="1" x14ac:dyDescent="0.25">
      <c r="C2469" s="56" t="s">
        <v>1431</v>
      </c>
      <c r="BB2469" s="56"/>
    </row>
    <row r="2470" spans="2:54" hidden="1" x14ac:dyDescent="0.25"/>
    <row r="2471" spans="2:54" hidden="1" x14ac:dyDescent="0.25"/>
    <row r="2472" spans="2:54" ht="18" hidden="1" x14ac:dyDescent="0.35">
      <c r="B2472" s="433" t="s">
        <v>246</v>
      </c>
      <c r="D2472" s="433" t="s">
        <v>1432</v>
      </c>
    </row>
    <row r="2473" spans="2:54" hidden="1" x14ac:dyDescent="0.25">
      <c r="B2473" s="56" t="s">
        <v>248</v>
      </c>
      <c r="D2473" s="56" t="s">
        <v>141</v>
      </c>
    </row>
    <row r="2474" spans="2:54" hidden="1" x14ac:dyDescent="0.25">
      <c r="B2474" s="56" t="s">
        <v>1433</v>
      </c>
      <c r="D2474" s="56" t="s">
        <v>1434</v>
      </c>
    </row>
    <row r="2475" spans="2:54" hidden="1" x14ac:dyDescent="0.25">
      <c r="B2475" s="56" t="s">
        <v>1435</v>
      </c>
      <c r="D2475" s="56" t="s">
        <v>1436</v>
      </c>
    </row>
    <row r="2476" spans="2:54" hidden="1" x14ac:dyDescent="0.25">
      <c r="B2476" s="56" t="s">
        <v>1437</v>
      </c>
      <c r="D2476" s="56" t="s">
        <v>1438</v>
      </c>
    </row>
    <row r="2477" spans="2:54" hidden="1" x14ac:dyDescent="0.25">
      <c r="B2477" s="56" t="s">
        <v>1439</v>
      </c>
      <c r="D2477" s="56" t="s">
        <v>1440</v>
      </c>
    </row>
    <row r="2478" spans="2:54" hidden="1" x14ac:dyDescent="0.25">
      <c r="B2478" s="56" t="s">
        <v>1441</v>
      </c>
      <c r="D2478" s="56" t="s">
        <v>1442</v>
      </c>
    </row>
    <row r="2479" spans="2:54" hidden="1" x14ac:dyDescent="0.25">
      <c r="B2479" s="56" t="s">
        <v>1443</v>
      </c>
    </row>
    <row r="2480" spans="2:54" hidden="1" x14ac:dyDescent="0.25">
      <c r="B2480" s="56" t="s">
        <v>1444</v>
      </c>
      <c r="AB2480" s="56" t="s">
        <v>1445</v>
      </c>
    </row>
    <row r="2481" spans="2:54" hidden="1" x14ac:dyDescent="0.25">
      <c r="B2481" s="56" t="s">
        <v>1443</v>
      </c>
      <c r="AB2481" s="56" t="s">
        <v>1446</v>
      </c>
    </row>
    <row r="2482" spans="2:54" hidden="1" x14ac:dyDescent="0.25">
      <c r="B2482" s="56" t="s">
        <v>1447</v>
      </c>
    </row>
    <row r="2483" spans="2:54" hidden="1" x14ac:dyDescent="0.25"/>
    <row r="2484" spans="2:54" hidden="1" x14ac:dyDescent="0.25"/>
    <row r="2485" spans="2:54" hidden="1" x14ac:dyDescent="0.25">
      <c r="C2485" s="56" t="s">
        <v>249</v>
      </c>
    </row>
    <row r="2486" spans="2:54" hidden="1" x14ac:dyDescent="0.25"/>
    <row r="2487" spans="2:54" hidden="1" x14ac:dyDescent="0.25"/>
    <row r="2488" spans="2:54" hidden="1" x14ac:dyDescent="0.25"/>
    <row r="2489" spans="2:54" ht="18" hidden="1" x14ac:dyDescent="0.35">
      <c r="B2489" s="473" t="s">
        <v>1448</v>
      </c>
      <c r="C2489" s="56" t="s">
        <v>1449</v>
      </c>
      <c r="BB2489" s="56"/>
    </row>
    <row r="2490" spans="2:54" hidden="1" x14ac:dyDescent="0.25">
      <c r="C2490" s="56" t="s">
        <v>1450</v>
      </c>
      <c r="BB2490" s="56"/>
    </row>
    <row r="2491" spans="2:54" hidden="1" x14ac:dyDescent="0.25">
      <c r="C2491" s="56" t="s">
        <v>1451</v>
      </c>
      <c r="BB2491" s="56"/>
    </row>
    <row r="2492" spans="2:54" hidden="1" x14ac:dyDescent="0.25">
      <c r="C2492" s="56" t="s">
        <v>1452</v>
      </c>
      <c r="BB2492" s="56"/>
    </row>
    <row r="2493" spans="2:54" hidden="1" x14ac:dyDescent="0.25">
      <c r="C2493" s="56" t="s">
        <v>993</v>
      </c>
      <c r="BB2493" s="56"/>
    </row>
    <row r="2494" spans="2:54" hidden="1" x14ac:dyDescent="0.25"/>
    <row r="2495" spans="2:54" hidden="1" x14ac:dyDescent="0.25"/>
    <row r="2496" spans="2:54" hidden="1" x14ac:dyDescent="0.25"/>
    <row r="2497" spans="1:104" hidden="1" x14ac:dyDescent="0.25">
      <c r="C2497" s="56" t="s">
        <v>1453</v>
      </c>
      <c r="BB2497" s="56"/>
    </row>
    <row r="2498" spans="1:104" hidden="1" x14ac:dyDescent="0.25">
      <c r="C2498" s="56" t="s">
        <v>1454</v>
      </c>
      <c r="BB2498" s="56"/>
    </row>
    <row r="2499" spans="1:104" hidden="1" x14ac:dyDescent="0.25">
      <c r="C2499" s="56" t="s">
        <v>1455</v>
      </c>
      <c r="BB2499" s="56"/>
    </row>
    <row r="2500" spans="1:104" hidden="1" x14ac:dyDescent="0.25">
      <c r="C2500" s="56" t="s">
        <v>1456</v>
      </c>
      <c r="BB2500" s="56"/>
    </row>
    <row r="2501" spans="1:104" hidden="1" x14ac:dyDescent="0.25"/>
    <row r="2502" spans="1:104" hidden="1" x14ac:dyDescent="0.25"/>
    <row r="2503" spans="1:104" hidden="1" x14ac:dyDescent="0.25">
      <c r="C2503" s="56" t="s">
        <v>1457</v>
      </c>
    </row>
    <row r="2504" spans="1:104" hidden="1" x14ac:dyDescent="0.25">
      <c r="C2504" s="56" t="s">
        <v>1458</v>
      </c>
    </row>
    <row r="2505" spans="1:104" hidden="1" x14ac:dyDescent="0.25">
      <c r="C2505" s="56" t="s">
        <v>1459</v>
      </c>
    </row>
    <row r="2506" spans="1:104" hidden="1" x14ac:dyDescent="0.25">
      <c r="C2506" s="56" t="s">
        <v>1460</v>
      </c>
    </row>
    <row r="2507" spans="1:104" hidden="1" x14ac:dyDescent="0.25">
      <c r="C2507" s="56" t="s">
        <v>1461</v>
      </c>
      <c r="BB2507" s="56"/>
    </row>
    <row r="2508" spans="1:104" hidden="1" x14ac:dyDescent="0.25">
      <c r="C2508" s="56" t="s">
        <v>1462</v>
      </c>
      <c r="BB2508" s="56"/>
    </row>
    <row r="2509" spans="1:104" hidden="1" x14ac:dyDescent="0.25">
      <c r="C2509" s="56" t="s">
        <v>1463</v>
      </c>
      <c r="BB2509" s="56"/>
    </row>
    <row r="2510" spans="1:104" hidden="1" x14ac:dyDescent="0.25">
      <c r="C2510" s="56" t="s">
        <v>1464</v>
      </c>
      <c r="BB2510" s="56"/>
    </row>
    <row r="2511" spans="1:104" s="5" customFormat="1" hidden="1" x14ac:dyDescent="0.25">
      <c r="A2511" s="56"/>
      <c r="B2511" s="56"/>
      <c r="C2511" s="56"/>
      <c r="D2511" s="56"/>
      <c r="E2511" s="56"/>
      <c r="F2511" s="56"/>
      <c r="AA2511" s="56"/>
      <c r="AB2511" s="56"/>
      <c r="AC2511" s="56"/>
      <c r="AD2511" s="56"/>
      <c r="AE2511" s="56"/>
      <c r="AF2511" s="56"/>
      <c r="AG2511" s="56"/>
      <c r="AH2511" s="56"/>
      <c r="AI2511" s="56"/>
      <c r="AJ2511" s="56"/>
      <c r="AK2511" s="56"/>
      <c r="AL2511" s="56"/>
      <c r="AM2511" s="56"/>
      <c r="AN2511" s="56"/>
      <c r="AO2511" s="56"/>
      <c r="AP2511" s="56"/>
      <c r="AQ2511" s="56"/>
      <c r="AR2511" s="56"/>
      <c r="AS2511" s="56"/>
      <c r="AT2511" s="56"/>
      <c r="AU2511" s="56"/>
      <c r="AV2511" s="56"/>
      <c r="AW2511" s="56"/>
      <c r="AX2511" s="56"/>
      <c r="AY2511" s="56"/>
      <c r="AZ2511" s="56"/>
      <c r="BA2511" s="56"/>
      <c r="BB2511" s="16"/>
      <c r="BC2511" s="56"/>
      <c r="BD2511" s="56"/>
      <c r="BE2511" s="56"/>
      <c r="BF2511" s="56"/>
      <c r="BG2511" s="56"/>
      <c r="BH2511" s="56"/>
      <c r="BI2511" s="56"/>
      <c r="BJ2511" s="56"/>
      <c r="BK2511" s="56"/>
      <c r="BL2511" s="56"/>
      <c r="BM2511" s="56"/>
      <c r="BN2511" s="56"/>
      <c r="BO2511" s="56"/>
      <c r="BP2511" s="56"/>
      <c r="BQ2511" s="56"/>
      <c r="BR2511" s="56"/>
      <c r="BS2511" s="56"/>
      <c r="BT2511" s="56"/>
      <c r="BU2511" s="56"/>
      <c r="BV2511" s="56"/>
      <c r="BW2511" s="56"/>
      <c r="BX2511" s="56"/>
      <c r="BY2511" s="56"/>
      <c r="BZ2511" s="56"/>
      <c r="CA2511" s="56"/>
      <c r="CB2511" s="56"/>
      <c r="CC2511" s="56"/>
      <c r="CD2511" s="56"/>
      <c r="CE2511" s="56"/>
      <c r="CF2511" s="56"/>
      <c r="CG2511" s="56"/>
      <c r="CH2511" s="56"/>
      <c r="CI2511" s="56"/>
      <c r="CJ2511" s="56"/>
      <c r="CK2511" s="56"/>
      <c r="CL2511" s="56"/>
      <c r="CM2511" s="56"/>
      <c r="CN2511" s="56"/>
      <c r="CO2511" s="56"/>
      <c r="CP2511" s="56"/>
      <c r="CQ2511" s="56"/>
      <c r="CR2511" s="56"/>
      <c r="CS2511" s="56"/>
      <c r="CT2511" s="56"/>
      <c r="CU2511" s="56"/>
      <c r="CV2511" s="56"/>
      <c r="CW2511" s="56"/>
      <c r="CX2511" s="56"/>
      <c r="CY2511" s="56"/>
      <c r="CZ2511" s="56"/>
    </row>
    <row r="2512" spans="1:104" s="5" customFormat="1" hidden="1" x14ac:dyDescent="0.25">
      <c r="A2512" s="56"/>
      <c r="B2512" s="56"/>
      <c r="C2512" s="56"/>
      <c r="D2512" s="56"/>
      <c r="E2512" s="56"/>
      <c r="F2512" s="56"/>
      <c r="AA2512" s="56"/>
      <c r="AB2512" s="56"/>
      <c r="AC2512" s="56"/>
      <c r="AD2512" s="56"/>
      <c r="AE2512" s="56"/>
      <c r="AF2512" s="56"/>
      <c r="AG2512" s="56"/>
      <c r="AH2512" s="56"/>
      <c r="AI2512" s="56"/>
      <c r="AJ2512" s="56"/>
      <c r="AK2512" s="56"/>
      <c r="AL2512" s="56"/>
      <c r="AM2512" s="56"/>
      <c r="AN2512" s="56"/>
      <c r="AO2512" s="56"/>
      <c r="AP2512" s="56"/>
      <c r="AQ2512" s="56"/>
      <c r="AR2512" s="56"/>
      <c r="AS2512" s="56"/>
      <c r="AT2512" s="56"/>
      <c r="AU2512" s="56"/>
      <c r="AV2512" s="56"/>
      <c r="AW2512" s="56"/>
      <c r="AX2512" s="56"/>
      <c r="AY2512" s="56"/>
      <c r="AZ2512" s="56"/>
      <c r="BA2512" s="56"/>
      <c r="BB2512" s="16"/>
      <c r="BC2512" s="56"/>
      <c r="BD2512" s="56"/>
      <c r="BE2512" s="56"/>
      <c r="BF2512" s="56"/>
      <c r="BG2512" s="56"/>
      <c r="BH2512" s="56"/>
      <c r="BI2512" s="56"/>
      <c r="BJ2512" s="56"/>
      <c r="BK2512" s="56"/>
      <c r="BL2512" s="56"/>
      <c r="BM2512" s="56"/>
      <c r="BN2512" s="56"/>
      <c r="BO2512" s="56"/>
      <c r="BP2512" s="56"/>
      <c r="BQ2512" s="56"/>
      <c r="BR2512" s="56"/>
      <c r="BS2512" s="56"/>
      <c r="BT2512" s="56"/>
      <c r="BU2512" s="56"/>
      <c r="BV2512" s="56"/>
      <c r="BW2512" s="56"/>
      <c r="BX2512" s="56"/>
      <c r="BY2512" s="56"/>
      <c r="BZ2512" s="56"/>
      <c r="CA2512" s="56"/>
      <c r="CB2512" s="56"/>
      <c r="CC2512" s="56"/>
      <c r="CD2512" s="56"/>
      <c r="CE2512" s="56"/>
      <c r="CF2512" s="56"/>
      <c r="CG2512" s="56"/>
      <c r="CH2512" s="56"/>
      <c r="CI2512" s="56"/>
      <c r="CJ2512" s="56"/>
      <c r="CK2512" s="56"/>
      <c r="CL2512" s="56"/>
      <c r="CM2512" s="56"/>
      <c r="CN2512" s="56"/>
      <c r="CO2512" s="56"/>
      <c r="CP2512" s="56"/>
      <c r="CQ2512" s="56"/>
      <c r="CR2512" s="56"/>
      <c r="CS2512" s="56"/>
      <c r="CT2512" s="56"/>
      <c r="CU2512" s="56"/>
      <c r="CV2512" s="56"/>
      <c r="CW2512" s="56"/>
      <c r="CX2512" s="56"/>
      <c r="CY2512" s="56"/>
      <c r="CZ2512" s="56"/>
    </row>
    <row r="2513" spans="1:104" s="5" customFormat="1" hidden="1" x14ac:dyDescent="0.25">
      <c r="A2513" s="56"/>
      <c r="B2513" s="56"/>
      <c r="C2513" s="56"/>
      <c r="D2513" s="56"/>
      <c r="E2513" s="56"/>
      <c r="F2513" s="56"/>
      <c r="AA2513" s="56"/>
      <c r="AB2513" s="56"/>
      <c r="AC2513" s="56"/>
      <c r="AD2513" s="56"/>
      <c r="AE2513" s="56"/>
      <c r="AF2513" s="56"/>
      <c r="AG2513" s="56"/>
      <c r="AH2513" s="56"/>
      <c r="AI2513" s="56"/>
      <c r="AJ2513" s="56"/>
      <c r="AK2513" s="56"/>
      <c r="AL2513" s="56"/>
      <c r="AM2513" s="56"/>
      <c r="AN2513" s="56"/>
      <c r="AO2513" s="56"/>
      <c r="AP2513" s="56"/>
      <c r="AQ2513" s="56"/>
      <c r="AR2513" s="56"/>
      <c r="AS2513" s="56"/>
      <c r="AT2513" s="56"/>
      <c r="AU2513" s="56"/>
      <c r="AV2513" s="56"/>
      <c r="AW2513" s="56"/>
      <c r="AX2513" s="56"/>
      <c r="AY2513" s="56"/>
      <c r="AZ2513" s="56"/>
      <c r="BA2513" s="56"/>
      <c r="BB2513" s="16"/>
      <c r="BC2513" s="56"/>
      <c r="BD2513" s="56"/>
      <c r="BE2513" s="56"/>
      <c r="BF2513" s="56"/>
      <c r="BG2513" s="56"/>
      <c r="BH2513" s="56"/>
      <c r="BI2513" s="56"/>
      <c r="BJ2513" s="56"/>
      <c r="BK2513" s="56"/>
      <c r="BL2513" s="56"/>
      <c r="BM2513" s="56"/>
      <c r="BN2513" s="56"/>
      <c r="BO2513" s="56"/>
      <c r="BP2513" s="56"/>
      <c r="BQ2513" s="56"/>
      <c r="BR2513" s="56"/>
      <c r="BS2513" s="56"/>
      <c r="BT2513" s="56"/>
      <c r="BU2513" s="56"/>
      <c r="BV2513" s="56"/>
      <c r="BW2513" s="56"/>
      <c r="BX2513" s="56"/>
      <c r="BY2513" s="56"/>
      <c r="BZ2513" s="56"/>
      <c r="CA2513" s="56"/>
      <c r="CB2513" s="56"/>
      <c r="CC2513" s="56"/>
      <c r="CD2513" s="56"/>
      <c r="CE2513" s="56"/>
      <c r="CF2513" s="56"/>
      <c r="CG2513" s="56"/>
      <c r="CH2513" s="56"/>
      <c r="CI2513" s="56"/>
      <c r="CJ2513" s="56"/>
      <c r="CK2513" s="56"/>
      <c r="CL2513" s="56"/>
      <c r="CM2513" s="56"/>
      <c r="CN2513" s="56"/>
      <c r="CO2513" s="56"/>
      <c r="CP2513" s="56"/>
      <c r="CQ2513" s="56"/>
      <c r="CR2513" s="56"/>
      <c r="CS2513" s="56"/>
      <c r="CT2513" s="56"/>
      <c r="CU2513" s="56"/>
      <c r="CV2513" s="56"/>
      <c r="CW2513" s="56"/>
      <c r="CX2513" s="56"/>
      <c r="CY2513" s="56"/>
      <c r="CZ2513" s="56"/>
    </row>
    <row r="2514" spans="1:104" s="5" customFormat="1" hidden="1" x14ac:dyDescent="0.25">
      <c r="A2514" s="56"/>
      <c r="B2514" s="56"/>
      <c r="C2514" s="56"/>
      <c r="D2514" s="56"/>
      <c r="E2514" s="56"/>
      <c r="F2514" s="56"/>
      <c r="AA2514" s="56"/>
      <c r="AB2514" s="56"/>
      <c r="AC2514" s="56"/>
      <c r="AD2514" s="56"/>
      <c r="AE2514" s="56"/>
      <c r="AF2514" s="56"/>
      <c r="AG2514" s="56"/>
      <c r="AH2514" s="56"/>
      <c r="AI2514" s="56"/>
      <c r="AJ2514" s="56"/>
      <c r="AK2514" s="56"/>
      <c r="AL2514" s="56"/>
      <c r="AM2514" s="56"/>
      <c r="AN2514" s="56"/>
      <c r="AO2514" s="56"/>
      <c r="AP2514" s="56"/>
      <c r="AQ2514" s="56"/>
      <c r="AR2514" s="56"/>
      <c r="AS2514" s="56"/>
      <c r="AT2514" s="56"/>
      <c r="AU2514" s="56"/>
      <c r="AV2514" s="56"/>
      <c r="AW2514" s="56"/>
      <c r="AX2514" s="56"/>
      <c r="AY2514" s="56"/>
      <c r="AZ2514" s="56"/>
      <c r="BA2514" s="56"/>
      <c r="BB2514" s="16"/>
      <c r="BC2514" s="56"/>
      <c r="BD2514" s="56"/>
      <c r="BE2514" s="56"/>
      <c r="BF2514" s="56"/>
      <c r="BG2514" s="56"/>
      <c r="BH2514" s="56"/>
      <c r="BI2514" s="56"/>
      <c r="BJ2514" s="56"/>
      <c r="BK2514" s="56"/>
      <c r="BL2514" s="56"/>
      <c r="BM2514" s="56"/>
      <c r="BN2514" s="56"/>
      <c r="BO2514" s="56"/>
      <c r="BP2514" s="56"/>
      <c r="BQ2514" s="56"/>
      <c r="BR2514" s="56"/>
      <c r="BS2514" s="56"/>
      <c r="BT2514" s="56"/>
      <c r="BU2514" s="56"/>
      <c r="BV2514" s="56"/>
      <c r="BW2514" s="56"/>
      <c r="BX2514" s="56"/>
      <c r="BY2514" s="56"/>
      <c r="BZ2514" s="56"/>
      <c r="CA2514" s="56"/>
      <c r="CB2514" s="56"/>
      <c r="CC2514" s="56"/>
      <c r="CD2514" s="56"/>
      <c r="CE2514" s="56"/>
      <c r="CF2514" s="56"/>
      <c r="CG2514" s="56"/>
      <c r="CH2514" s="56"/>
      <c r="CI2514" s="56"/>
      <c r="CJ2514" s="56"/>
      <c r="CK2514" s="56"/>
      <c r="CL2514" s="56"/>
      <c r="CM2514" s="56"/>
      <c r="CN2514" s="56"/>
      <c r="CO2514" s="56"/>
      <c r="CP2514" s="56"/>
      <c r="CQ2514" s="56"/>
      <c r="CR2514" s="56"/>
      <c r="CS2514" s="56"/>
      <c r="CT2514" s="56"/>
      <c r="CU2514" s="56"/>
      <c r="CV2514" s="56"/>
      <c r="CW2514" s="56"/>
      <c r="CX2514" s="56"/>
      <c r="CY2514" s="56"/>
      <c r="CZ2514" s="56"/>
    </row>
    <row r="2515" spans="1:104" s="5" customFormat="1" hidden="1" x14ac:dyDescent="0.25">
      <c r="A2515" s="56"/>
      <c r="B2515" s="56"/>
      <c r="C2515" s="56"/>
      <c r="D2515" s="56"/>
      <c r="E2515" s="56"/>
      <c r="F2515" s="56"/>
      <c r="AA2515" s="56"/>
      <c r="AB2515" s="56"/>
      <c r="AC2515" s="56"/>
      <c r="AD2515" s="56"/>
      <c r="AE2515" s="56"/>
      <c r="AF2515" s="56"/>
      <c r="AG2515" s="56"/>
      <c r="AH2515" s="56"/>
      <c r="AI2515" s="56"/>
      <c r="AJ2515" s="56"/>
      <c r="AK2515" s="56"/>
      <c r="AL2515" s="56"/>
      <c r="AM2515" s="56"/>
      <c r="AN2515" s="56"/>
      <c r="AO2515" s="56"/>
      <c r="AP2515" s="56"/>
      <c r="AQ2515" s="56"/>
      <c r="AR2515" s="56"/>
      <c r="AS2515" s="56"/>
      <c r="AT2515" s="56"/>
      <c r="AU2515" s="56"/>
      <c r="AV2515" s="56"/>
      <c r="AW2515" s="56"/>
      <c r="AX2515" s="56"/>
      <c r="AY2515" s="56"/>
      <c r="AZ2515" s="56"/>
      <c r="BA2515" s="56"/>
      <c r="BB2515" s="16"/>
      <c r="BC2515" s="56"/>
      <c r="BD2515" s="56"/>
      <c r="BE2515" s="56"/>
      <c r="BF2515" s="56"/>
      <c r="BG2515" s="56"/>
      <c r="BH2515" s="56"/>
      <c r="BI2515" s="56"/>
      <c r="BJ2515" s="56"/>
      <c r="BK2515" s="56"/>
      <c r="BL2515" s="56"/>
      <c r="BM2515" s="56"/>
      <c r="BN2515" s="56"/>
      <c r="BO2515" s="56"/>
      <c r="BP2515" s="56"/>
      <c r="BQ2515" s="56"/>
      <c r="BR2515" s="56"/>
      <c r="BS2515" s="56"/>
      <c r="BT2515" s="56"/>
      <c r="BU2515" s="56"/>
      <c r="BV2515" s="56"/>
      <c r="BW2515" s="56"/>
      <c r="BX2515" s="56"/>
      <c r="BY2515" s="56"/>
      <c r="BZ2515" s="56"/>
      <c r="CA2515" s="56"/>
      <c r="CB2515" s="56"/>
      <c r="CC2515" s="56"/>
      <c r="CD2515" s="56"/>
      <c r="CE2515" s="56"/>
      <c r="CF2515" s="56"/>
      <c r="CG2515" s="56"/>
      <c r="CH2515" s="56"/>
      <c r="CI2515" s="56"/>
      <c r="CJ2515" s="56"/>
      <c r="CK2515" s="56"/>
      <c r="CL2515" s="56"/>
      <c r="CM2515" s="56"/>
      <c r="CN2515" s="56"/>
      <c r="CO2515" s="56"/>
      <c r="CP2515" s="56"/>
      <c r="CQ2515" s="56"/>
      <c r="CR2515" s="56"/>
      <c r="CS2515" s="56"/>
      <c r="CT2515" s="56"/>
      <c r="CU2515" s="56"/>
      <c r="CV2515" s="56"/>
      <c r="CW2515" s="56"/>
      <c r="CX2515" s="56"/>
      <c r="CY2515" s="56"/>
      <c r="CZ2515" s="56"/>
    </row>
    <row r="2516" spans="1:104" s="5" customFormat="1" ht="14.4" thickBot="1" x14ac:dyDescent="0.3">
      <c r="A2516" s="474"/>
      <c r="B2516" s="474"/>
      <c r="C2516" s="474"/>
      <c r="D2516" s="474"/>
      <c r="E2516" s="474"/>
      <c r="F2516" s="474"/>
      <c r="AA2516" s="56"/>
      <c r="AB2516" s="56"/>
      <c r="AC2516" s="56"/>
      <c r="AD2516" s="56"/>
      <c r="AE2516" s="56"/>
      <c r="AF2516" s="56"/>
      <c r="AG2516" s="56"/>
      <c r="AH2516" s="56"/>
      <c r="AI2516" s="56"/>
      <c r="AJ2516" s="56"/>
      <c r="AK2516" s="56"/>
      <c r="AL2516" s="56"/>
      <c r="AM2516" s="56"/>
      <c r="AN2516" s="56"/>
      <c r="AO2516" s="56"/>
      <c r="AP2516" s="56"/>
      <c r="AQ2516" s="56"/>
      <c r="AR2516" s="56"/>
      <c r="AS2516" s="56"/>
      <c r="AT2516" s="56"/>
      <c r="AU2516" s="56"/>
      <c r="AV2516" s="56"/>
      <c r="AW2516" s="56"/>
      <c r="AX2516" s="56"/>
      <c r="AY2516" s="56"/>
      <c r="AZ2516" s="56"/>
      <c r="BA2516" s="56"/>
      <c r="BB2516" s="16"/>
      <c r="BC2516" s="56"/>
      <c r="BD2516" s="56"/>
      <c r="BE2516" s="56"/>
      <c r="BF2516" s="56"/>
      <c r="BG2516" s="56"/>
      <c r="BH2516" s="56"/>
      <c r="BI2516" s="56"/>
      <c r="BJ2516" s="56"/>
      <c r="BK2516" s="56"/>
      <c r="BL2516" s="56"/>
      <c r="BM2516" s="56"/>
      <c r="BN2516" s="56"/>
      <c r="BO2516" s="56"/>
      <c r="BP2516" s="56"/>
      <c r="BQ2516" s="56"/>
      <c r="BR2516" s="56"/>
      <c r="BS2516" s="56"/>
      <c r="BT2516" s="56"/>
      <c r="BU2516" s="56"/>
      <c r="BV2516" s="56"/>
      <c r="BW2516" s="56"/>
      <c r="BX2516" s="56"/>
      <c r="BY2516" s="56"/>
      <c r="BZ2516" s="56"/>
      <c r="CA2516" s="56"/>
      <c r="CB2516" s="56"/>
      <c r="CC2516" s="56"/>
      <c r="CD2516" s="56"/>
      <c r="CE2516" s="56"/>
      <c r="CF2516" s="56"/>
      <c r="CG2516" s="56"/>
      <c r="CH2516" s="56"/>
      <c r="CI2516" s="56"/>
      <c r="CJ2516" s="56"/>
      <c r="CK2516" s="56"/>
      <c r="CL2516" s="56"/>
      <c r="CM2516" s="56"/>
      <c r="CN2516" s="56"/>
      <c r="CO2516" s="56"/>
      <c r="CP2516" s="56"/>
      <c r="CQ2516" s="56"/>
      <c r="CR2516" s="56"/>
      <c r="CS2516" s="56"/>
      <c r="CT2516" s="56"/>
      <c r="CU2516" s="56"/>
      <c r="CV2516" s="56"/>
      <c r="CW2516" s="56"/>
      <c r="CX2516" s="56"/>
      <c r="CY2516" s="56"/>
      <c r="CZ2516" s="56"/>
    </row>
    <row r="2517" spans="1:104" s="5" customFormat="1" ht="15" thickTop="1" thickBot="1" x14ac:dyDescent="0.3">
      <c r="A2517" s="424"/>
      <c r="B2517" s="424"/>
      <c r="C2517" s="424"/>
      <c r="D2517" s="424"/>
      <c r="E2517" s="424"/>
      <c r="F2517" s="424"/>
      <c r="AA2517" s="56"/>
      <c r="AB2517" s="56"/>
      <c r="AC2517" s="56"/>
      <c r="AD2517" s="56"/>
      <c r="AE2517" s="56"/>
      <c r="AF2517" s="56"/>
      <c r="AG2517" s="56"/>
      <c r="AH2517" s="56"/>
      <c r="AI2517" s="56"/>
      <c r="AJ2517" s="56"/>
      <c r="AK2517" s="56"/>
      <c r="AL2517" s="56"/>
      <c r="AM2517" s="56"/>
      <c r="AN2517" s="56"/>
      <c r="AO2517" s="56"/>
      <c r="AP2517" s="56"/>
      <c r="AQ2517" s="56"/>
      <c r="AR2517" s="56"/>
      <c r="AS2517" s="56"/>
      <c r="AT2517" s="56"/>
      <c r="AU2517" s="56"/>
      <c r="AV2517" s="56"/>
      <c r="AW2517" s="56"/>
      <c r="AX2517" s="56"/>
      <c r="AY2517" s="56"/>
      <c r="AZ2517" s="56"/>
      <c r="BA2517" s="56"/>
      <c r="BB2517" s="16"/>
      <c r="BC2517" s="56"/>
      <c r="BD2517" s="56"/>
      <c r="BE2517" s="56"/>
      <c r="BF2517" s="56"/>
      <c r="BG2517" s="56"/>
      <c r="BH2517" s="56"/>
      <c r="BI2517" s="56"/>
      <c r="BJ2517" s="56"/>
      <c r="BK2517" s="56"/>
      <c r="BL2517" s="56"/>
      <c r="BM2517" s="56"/>
      <c r="BN2517" s="56"/>
      <c r="BO2517" s="56"/>
      <c r="BP2517" s="56"/>
      <c r="BQ2517" s="56"/>
      <c r="BR2517" s="56"/>
      <c r="BS2517" s="56"/>
      <c r="BT2517" s="56"/>
      <c r="BU2517" s="56"/>
      <c r="BV2517" s="56"/>
      <c r="BW2517" s="56"/>
      <c r="BX2517" s="56"/>
      <c r="BY2517" s="56"/>
      <c r="BZ2517" s="56"/>
      <c r="CA2517" s="56"/>
      <c r="CB2517" s="56"/>
      <c r="CC2517" s="56"/>
      <c r="CD2517" s="56"/>
      <c r="CE2517" s="56"/>
      <c r="CF2517" s="56"/>
      <c r="CG2517" s="56"/>
      <c r="CH2517" s="56"/>
      <c r="CI2517" s="56"/>
      <c r="CJ2517" s="56"/>
      <c r="CK2517" s="56"/>
      <c r="CL2517" s="56"/>
      <c r="CM2517" s="56"/>
      <c r="CN2517" s="56"/>
      <c r="CO2517" s="56"/>
      <c r="CP2517" s="56"/>
      <c r="CQ2517" s="56"/>
      <c r="CR2517" s="56"/>
      <c r="CS2517" s="56"/>
      <c r="CT2517" s="56"/>
      <c r="CU2517" s="56"/>
      <c r="CV2517" s="56"/>
      <c r="CW2517" s="56"/>
      <c r="CX2517" s="56"/>
      <c r="CY2517" s="56"/>
      <c r="CZ2517" s="56"/>
    </row>
    <row r="2518" spans="1:104" s="5" customFormat="1" ht="14.4" thickTop="1" x14ac:dyDescent="0.25">
      <c r="AA2518" s="56"/>
      <c r="AB2518" s="56"/>
      <c r="AC2518" s="56"/>
      <c r="AD2518" s="56"/>
      <c r="AE2518" s="56"/>
      <c r="AF2518" s="56"/>
      <c r="AG2518" s="56"/>
      <c r="AH2518" s="56"/>
      <c r="AI2518" s="56"/>
      <c r="AJ2518" s="56"/>
      <c r="AK2518" s="56"/>
      <c r="AL2518" s="56"/>
      <c r="AM2518" s="56"/>
      <c r="AN2518" s="56"/>
      <c r="AO2518" s="56"/>
      <c r="AP2518" s="56"/>
      <c r="AQ2518" s="56"/>
      <c r="AR2518" s="56"/>
      <c r="AS2518" s="56"/>
      <c r="AT2518" s="56"/>
      <c r="AU2518" s="56"/>
      <c r="AV2518" s="56"/>
      <c r="AW2518" s="56"/>
      <c r="AX2518" s="56"/>
      <c r="AY2518" s="56"/>
      <c r="AZ2518" s="56"/>
      <c r="BA2518" s="56"/>
      <c r="BB2518" s="16"/>
      <c r="BC2518" s="56"/>
      <c r="BD2518" s="56"/>
      <c r="BE2518" s="56"/>
      <c r="BF2518" s="56"/>
      <c r="BG2518" s="56"/>
      <c r="BH2518" s="56"/>
      <c r="BI2518" s="56"/>
      <c r="BJ2518" s="56"/>
      <c r="BK2518" s="56"/>
      <c r="BL2518" s="56"/>
      <c r="BM2518" s="56"/>
      <c r="BN2518" s="56"/>
      <c r="BO2518" s="56"/>
      <c r="BP2518" s="56"/>
      <c r="BQ2518" s="56"/>
      <c r="BR2518" s="56"/>
      <c r="BS2518" s="56"/>
      <c r="BT2518" s="56"/>
      <c r="BU2518" s="56"/>
      <c r="BV2518" s="56"/>
      <c r="BW2518" s="56"/>
      <c r="BX2518" s="56"/>
      <c r="BY2518" s="56"/>
      <c r="BZ2518" s="56"/>
      <c r="CA2518" s="56"/>
      <c r="CB2518" s="56"/>
      <c r="CC2518" s="56"/>
      <c r="CD2518" s="56"/>
      <c r="CE2518" s="56"/>
      <c r="CF2518" s="56"/>
      <c r="CG2518" s="56"/>
      <c r="CH2518" s="56"/>
      <c r="CI2518" s="56"/>
      <c r="CJ2518" s="56"/>
      <c r="CK2518" s="56"/>
      <c r="CL2518" s="56"/>
      <c r="CM2518" s="56"/>
      <c r="CN2518" s="56"/>
      <c r="CO2518" s="56"/>
      <c r="CP2518" s="56"/>
      <c r="CQ2518" s="56"/>
      <c r="CR2518" s="56"/>
      <c r="CS2518" s="56"/>
      <c r="CT2518" s="56"/>
      <c r="CU2518" s="56"/>
      <c r="CV2518" s="56"/>
      <c r="CW2518" s="56"/>
      <c r="CX2518" s="56"/>
      <c r="CY2518" s="56"/>
      <c r="CZ2518" s="56"/>
    </row>
    <row r="2519" spans="1:104" s="5" customFormat="1" x14ac:dyDescent="0.25">
      <c r="AA2519" s="56"/>
      <c r="AB2519" s="56"/>
      <c r="AC2519" s="56"/>
      <c r="AD2519" s="56"/>
      <c r="AE2519" s="56"/>
      <c r="AF2519" s="56"/>
      <c r="AG2519" s="56"/>
      <c r="AH2519" s="56"/>
      <c r="AI2519" s="56"/>
      <c r="AJ2519" s="56"/>
      <c r="AK2519" s="56"/>
      <c r="AL2519" s="56"/>
      <c r="AM2519" s="56"/>
      <c r="AN2519" s="56"/>
      <c r="AO2519" s="56"/>
      <c r="AP2519" s="56"/>
      <c r="AQ2519" s="56"/>
      <c r="AR2519" s="56"/>
      <c r="AS2519" s="56"/>
      <c r="AT2519" s="56"/>
      <c r="AU2519" s="56"/>
      <c r="AV2519" s="56"/>
      <c r="AW2519" s="56"/>
      <c r="AX2519" s="56"/>
      <c r="AY2519" s="56"/>
      <c r="AZ2519" s="56"/>
      <c r="BA2519" s="56"/>
      <c r="BB2519" s="16"/>
      <c r="BC2519" s="56"/>
      <c r="BD2519" s="56"/>
      <c r="BE2519" s="56"/>
      <c r="BF2519" s="56"/>
      <c r="BG2519" s="56"/>
      <c r="BH2519" s="56"/>
      <c r="BI2519" s="56"/>
      <c r="BJ2519" s="56"/>
      <c r="BK2519" s="56"/>
      <c r="BL2519" s="56"/>
      <c r="BM2519" s="56"/>
      <c r="BN2519" s="56"/>
      <c r="BO2519" s="56"/>
      <c r="BP2519" s="56"/>
      <c r="BQ2519" s="56"/>
      <c r="BR2519" s="56"/>
      <c r="BS2519" s="56"/>
      <c r="BT2519" s="56"/>
      <c r="BU2519" s="56"/>
      <c r="BV2519" s="56"/>
      <c r="BW2519" s="56"/>
      <c r="BX2519" s="56"/>
      <c r="BY2519" s="56"/>
      <c r="BZ2519" s="56"/>
      <c r="CA2519" s="56"/>
      <c r="CB2519" s="56"/>
      <c r="CC2519" s="56"/>
      <c r="CD2519" s="56"/>
      <c r="CE2519" s="56"/>
      <c r="CF2519" s="56"/>
      <c r="CG2519" s="56"/>
      <c r="CH2519" s="56"/>
      <c r="CI2519" s="56"/>
      <c r="CJ2519" s="56"/>
      <c r="CK2519" s="56"/>
      <c r="CL2519" s="56"/>
      <c r="CM2519" s="56"/>
      <c r="CN2519" s="56"/>
      <c r="CO2519" s="56"/>
      <c r="CP2519" s="56"/>
      <c r="CQ2519" s="56"/>
      <c r="CR2519" s="56"/>
      <c r="CS2519" s="56"/>
      <c r="CT2519" s="56"/>
      <c r="CU2519" s="56"/>
      <c r="CV2519" s="56"/>
      <c r="CW2519" s="56"/>
      <c r="CX2519" s="56"/>
      <c r="CY2519" s="56"/>
      <c r="CZ2519" s="56"/>
    </row>
    <row r="2520" spans="1:104" s="5" customFormat="1" x14ac:dyDescent="0.25">
      <c r="AA2520" s="56"/>
      <c r="AB2520" s="56"/>
      <c r="AC2520" s="56"/>
      <c r="AD2520" s="56"/>
      <c r="AE2520" s="56"/>
      <c r="AF2520" s="56"/>
      <c r="AG2520" s="56"/>
      <c r="AH2520" s="56"/>
      <c r="AI2520" s="56"/>
      <c r="AJ2520" s="56"/>
      <c r="AK2520" s="56"/>
      <c r="AL2520" s="56"/>
      <c r="AM2520" s="56"/>
      <c r="AN2520" s="56"/>
      <c r="AO2520" s="56"/>
      <c r="AP2520" s="56"/>
      <c r="AQ2520" s="56"/>
      <c r="AR2520" s="56"/>
      <c r="AS2520" s="56"/>
      <c r="AT2520" s="56"/>
      <c r="AU2520" s="56"/>
      <c r="AV2520" s="56"/>
      <c r="AW2520" s="56"/>
      <c r="AX2520" s="56"/>
      <c r="AY2520" s="56"/>
      <c r="AZ2520" s="56"/>
      <c r="BA2520" s="56"/>
      <c r="BB2520" s="16"/>
      <c r="BC2520" s="56"/>
      <c r="BD2520" s="56"/>
      <c r="BE2520" s="56"/>
      <c r="BF2520" s="56"/>
      <c r="BG2520" s="56"/>
      <c r="BH2520" s="56"/>
      <c r="BI2520" s="56"/>
      <c r="BJ2520" s="56"/>
      <c r="BK2520" s="56"/>
      <c r="BL2520" s="56"/>
      <c r="BM2520" s="56"/>
      <c r="BN2520" s="56"/>
      <c r="BO2520" s="56"/>
      <c r="BP2520" s="56"/>
      <c r="BQ2520" s="56"/>
      <c r="BR2520" s="56"/>
      <c r="BS2520" s="56"/>
      <c r="BT2520" s="56"/>
      <c r="BU2520" s="56"/>
      <c r="BV2520" s="56"/>
      <c r="BW2520" s="56"/>
      <c r="BX2520" s="56"/>
      <c r="BY2520" s="56"/>
      <c r="BZ2520" s="56"/>
      <c r="CA2520" s="56"/>
      <c r="CB2520" s="56"/>
      <c r="CC2520" s="56"/>
      <c r="CD2520" s="56"/>
      <c r="CE2520" s="56"/>
      <c r="CF2520" s="56"/>
      <c r="CG2520" s="56"/>
      <c r="CH2520" s="56"/>
      <c r="CI2520" s="56"/>
      <c r="CJ2520" s="56"/>
      <c r="CK2520" s="56"/>
      <c r="CL2520" s="56"/>
      <c r="CM2520" s="56"/>
      <c r="CN2520" s="56"/>
      <c r="CO2520" s="56"/>
      <c r="CP2520" s="56"/>
      <c r="CQ2520" s="56"/>
      <c r="CR2520" s="56"/>
      <c r="CS2520" s="56"/>
      <c r="CT2520" s="56"/>
      <c r="CU2520" s="56"/>
      <c r="CV2520" s="56"/>
      <c r="CW2520" s="56"/>
      <c r="CX2520" s="56"/>
      <c r="CY2520" s="56"/>
      <c r="CZ2520" s="56"/>
    </row>
    <row r="2521" spans="1:104" s="5" customFormat="1" x14ac:dyDescent="0.25">
      <c r="AA2521" s="56"/>
      <c r="AB2521" s="56"/>
      <c r="AC2521" s="56"/>
      <c r="AD2521" s="56"/>
      <c r="AE2521" s="56"/>
      <c r="AF2521" s="56"/>
      <c r="AG2521" s="56"/>
      <c r="AH2521" s="56"/>
      <c r="AI2521" s="56"/>
      <c r="AJ2521" s="56"/>
      <c r="AK2521" s="56"/>
      <c r="AL2521" s="56"/>
      <c r="AM2521" s="56"/>
      <c r="AN2521" s="56"/>
      <c r="AO2521" s="56"/>
      <c r="AP2521" s="56"/>
      <c r="AQ2521" s="56"/>
      <c r="AR2521" s="56"/>
      <c r="AS2521" s="56"/>
      <c r="AT2521" s="56"/>
      <c r="AU2521" s="56"/>
      <c r="AV2521" s="56"/>
      <c r="AW2521" s="56"/>
      <c r="AX2521" s="56"/>
      <c r="AY2521" s="56"/>
      <c r="AZ2521" s="56"/>
      <c r="BA2521" s="56"/>
      <c r="BB2521" s="16"/>
      <c r="BC2521" s="56"/>
      <c r="BD2521" s="56"/>
      <c r="BE2521" s="56"/>
      <c r="BF2521" s="56"/>
      <c r="BG2521" s="56"/>
      <c r="BH2521" s="56"/>
      <c r="BI2521" s="56"/>
      <c r="BJ2521" s="56"/>
      <c r="BK2521" s="56"/>
      <c r="BL2521" s="56"/>
      <c r="BM2521" s="56"/>
      <c r="BN2521" s="56"/>
      <c r="BO2521" s="56"/>
      <c r="BP2521" s="56"/>
      <c r="BQ2521" s="56"/>
      <c r="BR2521" s="56"/>
      <c r="BS2521" s="56"/>
      <c r="BT2521" s="56"/>
      <c r="BU2521" s="56"/>
      <c r="BV2521" s="56"/>
      <c r="BW2521" s="56"/>
      <c r="BX2521" s="56"/>
      <c r="BY2521" s="56"/>
      <c r="BZ2521" s="56"/>
      <c r="CA2521" s="56"/>
      <c r="CB2521" s="56"/>
      <c r="CC2521" s="56"/>
      <c r="CD2521" s="56"/>
      <c r="CE2521" s="56"/>
      <c r="CF2521" s="56"/>
      <c r="CG2521" s="56"/>
      <c r="CH2521" s="56"/>
      <c r="CI2521" s="56"/>
      <c r="CJ2521" s="56"/>
      <c r="CK2521" s="56"/>
      <c r="CL2521" s="56"/>
      <c r="CM2521" s="56"/>
      <c r="CN2521" s="56"/>
      <c r="CO2521" s="56"/>
      <c r="CP2521" s="56"/>
      <c r="CQ2521" s="56"/>
      <c r="CR2521" s="56"/>
      <c r="CS2521" s="56"/>
      <c r="CT2521" s="56"/>
      <c r="CU2521" s="56"/>
      <c r="CV2521" s="56"/>
      <c r="CW2521" s="56"/>
      <c r="CX2521" s="56"/>
      <c r="CY2521" s="56"/>
      <c r="CZ2521" s="56"/>
    </row>
    <row r="2522" spans="1:104" s="5" customFormat="1" x14ac:dyDescent="0.25">
      <c r="AA2522" s="56"/>
      <c r="AB2522" s="56"/>
      <c r="AC2522" s="56"/>
      <c r="AD2522" s="56"/>
      <c r="AE2522" s="56"/>
      <c r="AF2522" s="56"/>
      <c r="AG2522" s="56"/>
      <c r="AH2522" s="56"/>
      <c r="AI2522" s="56"/>
      <c r="AJ2522" s="56"/>
      <c r="AK2522" s="56"/>
      <c r="AL2522" s="56"/>
      <c r="AM2522" s="56"/>
      <c r="AN2522" s="56"/>
      <c r="AO2522" s="56"/>
      <c r="AP2522" s="56"/>
      <c r="AQ2522" s="56"/>
      <c r="AR2522" s="56"/>
      <c r="AS2522" s="56"/>
      <c r="AT2522" s="56"/>
      <c r="AU2522" s="56"/>
      <c r="AV2522" s="56"/>
      <c r="AW2522" s="56"/>
      <c r="AX2522" s="56"/>
      <c r="AY2522" s="56"/>
      <c r="AZ2522" s="56"/>
      <c r="BA2522" s="56"/>
      <c r="BB2522" s="16"/>
      <c r="BC2522" s="56"/>
      <c r="BD2522" s="56"/>
      <c r="BE2522" s="56"/>
      <c r="BF2522" s="56"/>
      <c r="BG2522" s="56"/>
      <c r="BH2522" s="56"/>
      <c r="BI2522" s="56"/>
      <c r="BJ2522" s="56"/>
      <c r="BK2522" s="56"/>
      <c r="BL2522" s="56"/>
      <c r="BM2522" s="56"/>
      <c r="BN2522" s="56"/>
      <c r="BO2522" s="56"/>
      <c r="BP2522" s="56"/>
      <c r="BQ2522" s="56"/>
      <c r="BR2522" s="56"/>
      <c r="BS2522" s="56"/>
      <c r="BT2522" s="56"/>
      <c r="BU2522" s="56"/>
      <c r="BV2522" s="56"/>
      <c r="BW2522" s="56"/>
      <c r="BX2522" s="56"/>
      <c r="BY2522" s="56"/>
      <c r="BZ2522" s="56"/>
      <c r="CA2522" s="56"/>
      <c r="CB2522" s="56"/>
      <c r="CC2522" s="56"/>
      <c r="CD2522" s="56"/>
      <c r="CE2522" s="56"/>
      <c r="CF2522" s="56"/>
      <c r="CG2522" s="56"/>
      <c r="CH2522" s="56"/>
      <c r="CI2522" s="56"/>
      <c r="CJ2522" s="56"/>
      <c r="CK2522" s="56"/>
      <c r="CL2522" s="56"/>
      <c r="CM2522" s="56"/>
      <c r="CN2522" s="56"/>
      <c r="CO2522" s="56"/>
      <c r="CP2522" s="56"/>
      <c r="CQ2522" s="56"/>
      <c r="CR2522" s="56"/>
      <c r="CS2522" s="56"/>
      <c r="CT2522" s="56"/>
      <c r="CU2522" s="56"/>
      <c r="CV2522" s="56"/>
      <c r="CW2522" s="56"/>
      <c r="CX2522" s="56"/>
      <c r="CY2522" s="56"/>
      <c r="CZ2522" s="56"/>
    </row>
    <row r="2523" spans="1:104" s="5" customFormat="1" x14ac:dyDescent="0.25">
      <c r="AA2523" s="56"/>
      <c r="AB2523" s="56"/>
      <c r="AC2523" s="56"/>
      <c r="AD2523" s="56"/>
      <c r="AE2523" s="56"/>
      <c r="AF2523" s="56"/>
      <c r="AG2523" s="56"/>
      <c r="AH2523" s="56"/>
      <c r="AI2523" s="56"/>
      <c r="AJ2523" s="56"/>
      <c r="AK2523" s="56"/>
      <c r="AL2523" s="56"/>
      <c r="AM2523" s="56"/>
      <c r="AN2523" s="56"/>
      <c r="AO2523" s="56"/>
      <c r="AP2523" s="56"/>
      <c r="AQ2523" s="56"/>
      <c r="AR2523" s="56"/>
      <c r="AS2523" s="56"/>
      <c r="AT2523" s="56"/>
      <c r="AU2523" s="56"/>
      <c r="AV2523" s="56"/>
      <c r="AW2523" s="56"/>
      <c r="AX2523" s="56"/>
      <c r="AY2523" s="56"/>
      <c r="AZ2523" s="56"/>
      <c r="BA2523" s="56"/>
      <c r="BB2523" s="16"/>
      <c r="BC2523" s="56"/>
      <c r="BD2523" s="56"/>
      <c r="BE2523" s="56"/>
      <c r="BF2523" s="56"/>
      <c r="BG2523" s="56"/>
      <c r="BH2523" s="56"/>
      <c r="BI2523" s="56"/>
      <c r="BJ2523" s="56"/>
      <c r="BK2523" s="56"/>
      <c r="BL2523" s="56"/>
      <c r="BM2523" s="56"/>
      <c r="BN2523" s="56"/>
      <c r="BO2523" s="56"/>
      <c r="BP2523" s="56"/>
      <c r="BQ2523" s="56"/>
      <c r="BR2523" s="56"/>
      <c r="BS2523" s="56"/>
      <c r="BT2523" s="56"/>
      <c r="BU2523" s="56"/>
      <c r="BV2523" s="56"/>
      <c r="BW2523" s="56"/>
      <c r="BX2523" s="56"/>
      <c r="BY2523" s="56"/>
      <c r="BZ2523" s="56"/>
      <c r="CA2523" s="56"/>
      <c r="CB2523" s="56"/>
      <c r="CC2523" s="56"/>
      <c r="CD2523" s="56"/>
      <c r="CE2523" s="56"/>
      <c r="CF2523" s="56"/>
      <c r="CG2523" s="56"/>
      <c r="CH2523" s="56"/>
      <c r="CI2523" s="56"/>
      <c r="CJ2523" s="56"/>
      <c r="CK2523" s="56"/>
      <c r="CL2523" s="56"/>
      <c r="CM2523" s="56"/>
      <c r="CN2523" s="56"/>
      <c r="CO2523" s="56"/>
      <c r="CP2523" s="56"/>
      <c r="CQ2523" s="56"/>
      <c r="CR2523" s="56"/>
      <c r="CS2523" s="56"/>
      <c r="CT2523" s="56"/>
      <c r="CU2523" s="56"/>
      <c r="CV2523" s="56"/>
      <c r="CW2523" s="56"/>
      <c r="CX2523" s="56"/>
      <c r="CY2523" s="56"/>
      <c r="CZ2523" s="56"/>
    </row>
    <row r="2524" spans="1:104" s="5" customFormat="1" x14ac:dyDescent="0.25">
      <c r="AA2524" s="56"/>
      <c r="AB2524" s="56"/>
      <c r="AC2524" s="56"/>
      <c r="AD2524" s="56"/>
      <c r="AE2524" s="56"/>
      <c r="AF2524" s="56"/>
      <c r="AG2524" s="56"/>
      <c r="AH2524" s="56"/>
      <c r="AI2524" s="56"/>
      <c r="AJ2524" s="56"/>
      <c r="AK2524" s="56"/>
      <c r="AL2524" s="56"/>
      <c r="AM2524" s="56"/>
      <c r="AN2524" s="56"/>
      <c r="AO2524" s="56"/>
      <c r="AP2524" s="56"/>
      <c r="AQ2524" s="56"/>
      <c r="AR2524" s="56"/>
      <c r="AS2524" s="56"/>
      <c r="AT2524" s="56"/>
      <c r="AU2524" s="56"/>
      <c r="AV2524" s="56"/>
      <c r="AW2524" s="56"/>
      <c r="AX2524" s="56"/>
      <c r="AY2524" s="56"/>
      <c r="AZ2524" s="56"/>
      <c r="BA2524" s="56"/>
      <c r="BB2524" s="16"/>
      <c r="BC2524" s="56"/>
      <c r="BD2524" s="56"/>
      <c r="BE2524" s="56"/>
      <c r="BF2524" s="56"/>
      <c r="BG2524" s="56"/>
      <c r="BH2524" s="56"/>
      <c r="BI2524" s="56"/>
      <c r="BJ2524" s="56"/>
      <c r="BK2524" s="56"/>
      <c r="BL2524" s="56"/>
      <c r="BM2524" s="56"/>
      <c r="BN2524" s="56"/>
      <c r="BO2524" s="56"/>
      <c r="BP2524" s="56"/>
      <c r="BQ2524" s="56"/>
      <c r="BR2524" s="56"/>
      <c r="BS2524" s="56"/>
      <c r="BT2524" s="56"/>
      <c r="BU2524" s="56"/>
      <c r="BV2524" s="56"/>
      <c r="BW2524" s="56"/>
      <c r="BX2524" s="56"/>
      <c r="BY2524" s="56"/>
      <c r="BZ2524" s="56"/>
      <c r="CA2524" s="56"/>
      <c r="CB2524" s="56"/>
      <c r="CC2524" s="56"/>
      <c r="CD2524" s="56"/>
      <c r="CE2524" s="56"/>
      <c r="CF2524" s="56"/>
      <c r="CG2524" s="56"/>
      <c r="CH2524" s="56"/>
      <c r="CI2524" s="56"/>
      <c r="CJ2524" s="56"/>
      <c r="CK2524" s="56"/>
      <c r="CL2524" s="56"/>
      <c r="CM2524" s="56"/>
      <c r="CN2524" s="56"/>
      <c r="CO2524" s="56"/>
      <c r="CP2524" s="56"/>
      <c r="CQ2524" s="56"/>
      <c r="CR2524" s="56"/>
      <c r="CS2524" s="56"/>
      <c r="CT2524" s="56"/>
      <c r="CU2524" s="56"/>
      <c r="CV2524" s="56"/>
      <c r="CW2524" s="56"/>
      <c r="CX2524" s="56"/>
      <c r="CY2524" s="56"/>
      <c r="CZ2524" s="56"/>
    </row>
    <row r="2525" spans="1:104" s="5" customFormat="1" x14ac:dyDescent="0.25">
      <c r="AA2525" s="56"/>
      <c r="AB2525" s="56"/>
      <c r="AC2525" s="56"/>
      <c r="AD2525" s="56"/>
      <c r="AE2525" s="56"/>
      <c r="AF2525" s="56"/>
      <c r="AG2525" s="56"/>
      <c r="AH2525" s="56"/>
      <c r="AI2525" s="56"/>
      <c r="AJ2525" s="56"/>
      <c r="AK2525" s="56"/>
      <c r="AL2525" s="56"/>
      <c r="AM2525" s="56"/>
      <c r="AN2525" s="56"/>
      <c r="AO2525" s="56"/>
      <c r="AP2525" s="56"/>
      <c r="AQ2525" s="56"/>
      <c r="AR2525" s="56"/>
      <c r="AS2525" s="56"/>
      <c r="AT2525" s="56"/>
      <c r="AU2525" s="56"/>
      <c r="AV2525" s="56"/>
      <c r="AW2525" s="56"/>
      <c r="AX2525" s="56"/>
      <c r="AY2525" s="56"/>
      <c r="AZ2525" s="56"/>
      <c r="BA2525" s="56"/>
      <c r="BB2525" s="16"/>
      <c r="BC2525" s="56"/>
      <c r="BD2525" s="56"/>
      <c r="BE2525" s="56"/>
      <c r="BF2525" s="56"/>
      <c r="BG2525" s="56"/>
      <c r="BH2525" s="56"/>
      <c r="BI2525" s="56"/>
      <c r="BJ2525" s="56"/>
      <c r="BK2525" s="56"/>
      <c r="BL2525" s="56"/>
      <c r="BM2525" s="56"/>
      <c r="BN2525" s="56"/>
      <c r="BO2525" s="56"/>
      <c r="BP2525" s="56"/>
      <c r="BQ2525" s="56"/>
      <c r="BR2525" s="56"/>
      <c r="BS2525" s="56"/>
      <c r="BT2525" s="56"/>
      <c r="BU2525" s="56"/>
      <c r="BV2525" s="56"/>
      <c r="BW2525" s="56"/>
      <c r="BX2525" s="56"/>
      <c r="BY2525" s="56"/>
      <c r="BZ2525" s="56"/>
      <c r="CA2525" s="56"/>
      <c r="CB2525" s="56"/>
      <c r="CC2525" s="56"/>
      <c r="CD2525" s="56"/>
      <c r="CE2525" s="56"/>
      <c r="CF2525" s="56"/>
      <c r="CG2525" s="56"/>
      <c r="CH2525" s="56"/>
      <c r="CI2525" s="56"/>
      <c r="CJ2525" s="56"/>
      <c r="CK2525" s="56"/>
      <c r="CL2525" s="56"/>
      <c r="CM2525" s="56"/>
      <c r="CN2525" s="56"/>
      <c r="CO2525" s="56"/>
      <c r="CP2525" s="56"/>
      <c r="CQ2525" s="56"/>
      <c r="CR2525" s="56"/>
      <c r="CS2525" s="56"/>
      <c r="CT2525" s="56"/>
      <c r="CU2525" s="56"/>
      <c r="CV2525" s="56"/>
      <c r="CW2525" s="56"/>
      <c r="CX2525" s="56"/>
      <c r="CY2525" s="56"/>
      <c r="CZ2525" s="56"/>
    </row>
    <row r="2526" spans="1:104" s="5" customFormat="1" x14ac:dyDescent="0.25">
      <c r="AA2526" s="56"/>
      <c r="AB2526" s="56"/>
      <c r="AC2526" s="56"/>
      <c r="AD2526" s="56"/>
      <c r="AE2526" s="56"/>
      <c r="AF2526" s="56"/>
      <c r="AG2526" s="56"/>
      <c r="AH2526" s="56"/>
      <c r="AI2526" s="56"/>
      <c r="AJ2526" s="56"/>
      <c r="AK2526" s="56"/>
      <c r="AL2526" s="56"/>
      <c r="AM2526" s="56"/>
      <c r="AN2526" s="56"/>
      <c r="AO2526" s="56"/>
      <c r="AP2526" s="56"/>
      <c r="AQ2526" s="56"/>
      <c r="AR2526" s="56"/>
      <c r="AS2526" s="56"/>
      <c r="AT2526" s="56"/>
      <c r="AU2526" s="56"/>
      <c r="AV2526" s="56"/>
      <c r="AW2526" s="56"/>
      <c r="AX2526" s="56"/>
      <c r="AY2526" s="56"/>
      <c r="AZ2526" s="56"/>
      <c r="BA2526" s="56"/>
      <c r="BB2526" s="16"/>
      <c r="BC2526" s="56"/>
      <c r="BD2526" s="56"/>
      <c r="BE2526" s="56"/>
      <c r="BF2526" s="56"/>
      <c r="BG2526" s="56"/>
      <c r="BH2526" s="56"/>
      <c r="BI2526" s="56"/>
      <c r="BJ2526" s="56"/>
      <c r="BK2526" s="56"/>
      <c r="BL2526" s="56"/>
      <c r="BM2526" s="56"/>
      <c r="BN2526" s="56"/>
      <c r="BO2526" s="56"/>
      <c r="BP2526" s="56"/>
      <c r="BQ2526" s="56"/>
      <c r="BR2526" s="56"/>
      <c r="BS2526" s="56"/>
      <c r="BT2526" s="56"/>
      <c r="BU2526" s="56"/>
      <c r="BV2526" s="56"/>
      <c r="BW2526" s="56"/>
      <c r="BX2526" s="56"/>
      <c r="BY2526" s="56"/>
      <c r="BZ2526" s="56"/>
      <c r="CA2526" s="56"/>
      <c r="CB2526" s="56"/>
      <c r="CC2526" s="56"/>
      <c r="CD2526" s="56"/>
      <c r="CE2526" s="56"/>
      <c r="CF2526" s="56"/>
      <c r="CG2526" s="56"/>
      <c r="CH2526" s="56"/>
      <c r="CI2526" s="56"/>
      <c r="CJ2526" s="56"/>
      <c r="CK2526" s="56"/>
      <c r="CL2526" s="56"/>
      <c r="CM2526" s="56"/>
      <c r="CN2526" s="56"/>
      <c r="CO2526" s="56"/>
      <c r="CP2526" s="56"/>
      <c r="CQ2526" s="56"/>
      <c r="CR2526" s="56"/>
      <c r="CS2526" s="56"/>
      <c r="CT2526" s="56"/>
      <c r="CU2526" s="56"/>
      <c r="CV2526" s="56"/>
      <c r="CW2526" s="56"/>
      <c r="CX2526" s="56"/>
      <c r="CY2526" s="56"/>
      <c r="CZ2526" s="56"/>
    </row>
    <row r="2527" spans="1:104" s="5" customFormat="1" x14ac:dyDescent="0.25">
      <c r="AA2527" s="56"/>
      <c r="AB2527" s="56"/>
      <c r="AC2527" s="56"/>
      <c r="AD2527" s="56"/>
      <c r="AE2527" s="56"/>
      <c r="AF2527" s="56"/>
      <c r="AG2527" s="56"/>
      <c r="AH2527" s="56"/>
      <c r="AI2527" s="56"/>
      <c r="AJ2527" s="56"/>
      <c r="AK2527" s="56"/>
      <c r="AL2527" s="56"/>
      <c r="AM2527" s="56"/>
      <c r="AN2527" s="56"/>
      <c r="AO2527" s="56"/>
      <c r="AP2527" s="56"/>
      <c r="AQ2527" s="56"/>
      <c r="AR2527" s="56"/>
      <c r="AS2527" s="56"/>
      <c r="AT2527" s="56"/>
      <c r="AU2527" s="56"/>
      <c r="AV2527" s="56"/>
      <c r="AW2527" s="56"/>
      <c r="AX2527" s="56"/>
      <c r="AY2527" s="56"/>
      <c r="AZ2527" s="56"/>
      <c r="BA2527" s="56"/>
      <c r="BB2527" s="16"/>
      <c r="BC2527" s="56"/>
      <c r="BD2527" s="56"/>
      <c r="BE2527" s="56"/>
      <c r="BF2527" s="56"/>
      <c r="BG2527" s="56"/>
      <c r="BH2527" s="56"/>
      <c r="BI2527" s="56"/>
      <c r="BJ2527" s="56"/>
      <c r="BK2527" s="56"/>
      <c r="BL2527" s="56"/>
      <c r="BM2527" s="56"/>
      <c r="BN2527" s="56"/>
      <c r="BO2527" s="56"/>
      <c r="BP2527" s="56"/>
      <c r="BQ2527" s="56"/>
      <c r="BR2527" s="56"/>
      <c r="BS2527" s="56"/>
      <c r="BT2527" s="56"/>
      <c r="BU2527" s="56"/>
      <c r="BV2527" s="56"/>
      <c r="BW2527" s="56"/>
      <c r="BX2527" s="56"/>
      <c r="BY2527" s="56"/>
      <c r="BZ2527" s="56"/>
      <c r="CA2527" s="56"/>
      <c r="CB2527" s="56"/>
      <c r="CC2527" s="56"/>
      <c r="CD2527" s="56"/>
      <c r="CE2527" s="56"/>
      <c r="CF2527" s="56"/>
      <c r="CG2527" s="56"/>
      <c r="CH2527" s="56"/>
      <c r="CI2527" s="56"/>
      <c r="CJ2527" s="56"/>
      <c r="CK2527" s="56"/>
      <c r="CL2527" s="56"/>
      <c r="CM2527" s="56"/>
      <c r="CN2527" s="56"/>
      <c r="CO2527" s="56"/>
      <c r="CP2527" s="56"/>
      <c r="CQ2527" s="56"/>
      <c r="CR2527" s="56"/>
      <c r="CS2527" s="56"/>
      <c r="CT2527" s="56"/>
      <c r="CU2527" s="56"/>
      <c r="CV2527" s="56"/>
      <c r="CW2527" s="56"/>
      <c r="CX2527" s="56"/>
      <c r="CY2527" s="56"/>
      <c r="CZ2527" s="56"/>
    </row>
    <row r="2528" spans="1:104" s="5" customFormat="1" x14ac:dyDescent="0.25">
      <c r="AA2528" s="56"/>
      <c r="AB2528" s="56"/>
      <c r="AC2528" s="56"/>
      <c r="AD2528" s="56"/>
      <c r="AE2528" s="56"/>
      <c r="AF2528" s="56"/>
      <c r="AG2528" s="56"/>
      <c r="AH2528" s="56"/>
      <c r="AI2528" s="56"/>
      <c r="AJ2528" s="56"/>
      <c r="AK2528" s="56"/>
      <c r="AL2528" s="56"/>
      <c r="AM2528" s="56"/>
      <c r="AN2528" s="56"/>
      <c r="AO2528" s="56"/>
      <c r="AP2528" s="56"/>
      <c r="AQ2528" s="56"/>
      <c r="AR2528" s="56"/>
      <c r="AS2528" s="56"/>
      <c r="AT2528" s="56"/>
      <c r="AU2528" s="56"/>
      <c r="AV2528" s="56"/>
      <c r="AW2528" s="56"/>
      <c r="AX2528" s="56"/>
      <c r="AY2528" s="56"/>
      <c r="AZ2528" s="56"/>
      <c r="BA2528" s="56"/>
      <c r="BB2528" s="16"/>
      <c r="BC2528" s="56"/>
      <c r="BD2528" s="56"/>
      <c r="BE2528" s="56"/>
      <c r="BF2528" s="56"/>
      <c r="BG2528" s="56"/>
      <c r="BH2528" s="56"/>
      <c r="BI2528" s="56"/>
      <c r="BJ2528" s="56"/>
      <c r="BK2528" s="56"/>
      <c r="BL2528" s="56"/>
      <c r="BM2528" s="56"/>
      <c r="BN2528" s="56"/>
      <c r="BO2528" s="56"/>
      <c r="BP2528" s="56"/>
      <c r="BQ2528" s="56"/>
      <c r="BR2528" s="56"/>
      <c r="BS2528" s="56"/>
      <c r="BT2528" s="56"/>
      <c r="BU2528" s="56"/>
      <c r="BV2528" s="56"/>
      <c r="BW2528" s="56"/>
      <c r="BX2528" s="56"/>
      <c r="BY2528" s="56"/>
      <c r="BZ2528" s="56"/>
      <c r="CA2528" s="56"/>
      <c r="CB2528" s="56"/>
      <c r="CC2528" s="56"/>
      <c r="CD2528" s="56"/>
      <c r="CE2528" s="56"/>
      <c r="CF2528" s="56"/>
      <c r="CG2528" s="56"/>
      <c r="CH2528" s="56"/>
      <c r="CI2528" s="56"/>
      <c r="CJ2528" s="56"/>
      <c r="CK2528" s="56"/>
      <c r="CL2528" s="56"/>
      <c r="CM2528" s="56"/>
      <c r="CN2528" s="56"/>
      <c r="CO2528" s="56"/>
      <c r="CP2528" s="56"/>
      <c r="CQ2528" s="56"/>
      <c r="CR2528" s="56"/>
      <c r="CS2528" s="56"/>
      <c r="CT2528" s="56"/>
      <c r="CU2528" s="56"/>
      <c r="CV2528" s="56"/>
      <c r="CW2528" s="56"/>
      <c r="CX2528" s="56"/>
      <c r="CY2528" s="56"/>
      <c r="CZ2528" s="56"/>
    </row>
    <row r="2529" spans="27:104" s="5" customFormat="1" x14ac:dyDescent="0.25">
      <c r="AA2529" s="56"/>
      <c r="AB2529" s="56"/>
      <c r="AC2529" s="56"/>
      <c r="AD2529" s="56"/>
      <c r="AE2529" s="56"/>
      <c r="AF2529" s="56"/>
      <c r="AG2529" s="56"/>
      <c r="AH2529" s="56"/>
      <c r="AI2529" s="56"/>
      <c r="AJ2529" s="56"/>
      <c r="AK2529" s="56"/>
      <c r="AL2529" s="56"/>
      <c r="AM2529" s="56"/>
      <c r="AN2529" s="56"/>
      <c r="AO2529" s="56"/>
      <c r="AP2529" s="56"/>
      <c r="AQ2529" s="56"/>
      <c r="AR2529" s="56"/>
      <c r="AS2529" s="56"/>
      <c r="AT2529" s="56"/>
      <c r="AU2529" s="56"/>
      <c r="AV2529" s="56"/>
      <c r="AW2529" s="56"/>
      <c r="AX2529" s="56"/>
      <c r="AY2529" s="56"/>
      <c r="AZ2529" s="56"/>
      <c r="BA2529" s="56"/>
      <c r="BB2529" s="16"/>
      <c r="BC2529" s="56"/>
      <c r="BD2529" s="56"/>
      <c r="BE2529" s="56"/>
      <c r="BF2529" s="56"/>
      <c r="BG2529" s="56"/>
      <c r="BH2529" s="56"/>
      <c r="BI2529" s="56"/>
      <c r="BJ2529" s="56"/>
      <c r="BK2529" s="56"/>
      <c r="BL2529" s="56"/>
      <c r="BM2529" s="56"/>
      <c r="BN2529" s="56"/>
      <c r="BO2529" s="56"/>
      <c r="BP2529" s="56"/>
      <c r="BQ2529" s="56"/>
      <c r="BR2529" s="56"/>
      <c r="BS2529" s="56"/>
      <c r="BT2529" s="56"/>
      <c r="BU2529" s="56"/>
      <c r="BV2529" s="56"/>
      <c r="BW2529" s="56"/>
      <c r="BX2529" s="56"/>
      <c r="BY2529" s="56"/>
      <c r="BZ2529" s="56"/>
      <c r="CA2529" s="56"/>
      <c r="CB2529" s="56"/>
      <c r="CC2529" s="56"/>
      <c r="CD2529" s="56"/>
      <c r="CE2529" s="56"/>
      <c r="CF2529" s="56"/>
      <c r="CG2529" s="56"/>
      <c r="CH2529" s="56"/>
      <c r="CI2529" s="56"/>
      <c r="CJ2529" s="56"/>
      <c r="CK2529" s="56"/>
      <c r="CL2529" s="56"/>
      <c r="CM2529" s="56"/>
      <c r="CN2529" s="56"/>
      <c r="CO2529" s="56"/>
      <c r="CP2529" s="56"/>
      <c r="CQ2529" s="56"/>
      <c r="CR2529" s="56"/>
      <c r="CS2529" s="56"/>
      <c r="CT2529" s="56"/>
      <c r="CU2529" s="56"/>
      <c r="CV2529" s="56"/>
      <c r="CW2529" s="56"/>
      <c r="CX2529" s="56"/>
      <c r="CY2529" s="56"/>
      <c r="CZ2529" s="56"/>
    </row>
    <row r="2530" spans="27:104" s="5" customFormat="1" x14ac:dyDescent="0.25">
      <c r="AA2530" s="56"/>
      <c r="AB2530" s="56"/>
      <c r="AC2530" s="56"/>
      <c r="AD2530" s="56"/>
      <c r="AE2530" s="56"/>
      <c r="AF2530" s="56"/>
      <c r="AG2530" s="56"/>
      <c r="AH2530" s="56"/>
      <c r="AI2530" s="56"/>
      <c r="AJ2530" s="56"/>
      <c r="AK2530" s="56"/>
      <c r="AL2530" s="56"/>
      <c r="AM2530" s="56"/>
      <c r="AN2530" s="56"/>
      <c r="AO2530" s="56"/>
      <c r="AP2530" s="56"/>
      <c r="AQ2530" s="56"/>
      <c r="AR2530" s="56"/>
      <c r="AS2530" s="56"/>
      <c r="AT2530" s="56"/>
      <c r="AU2530" s="56"/>
      <c r="AV2530" s="56"/>
      <c r="AW2530" s="56"/>
      <c r="AX2530" s="56"/>
      <c r="AY2530" s="56"/>
      <c r="AZ2530" s="56"/>
      <c r="BA2530" s="56"/>
      <c r="BB2530" s="16"/>
      <c r="BC2530" s="56"/>
      <c r="BD2530" s="56"/>
      <c r="BE2530" s="56"/>
      <c r="BF2530" s="56"/>
      <c r="BG2530" s="56"/>
      <c r="BH2530" s="56"/>
      <c r="BI2530" s="56"/>
      <c r="BJ2530" s="56"/>
      <c r="BK2530" s="56"/>
      <c r="BL2530" s="56"/>
      <c r="BM2530" s="56"/>
      <c r="BN2530" s="56"/>
      <c r="BO2530" s="56"/>
      <c r="BP2530" s="56"/>
      <c r="BQ2530" s="56"/>
      <c r="BR2530" s="56"/>
      <c r="BS2530" s="56"/>
      <c r="BT2530" s="56"/>
      <c r="BU2530" s="56"/>
      <c r="BV2530" s="56"/>
      <c r="BW2530" s="56"/>
      <c r="BX2530" s="56"/>
      <c r="BY2530" s="56"/>
      <c r="BZ2530" s="56"/>
      <c r="CA2530" s="56"/>
      <c r="CB2530" s="56"/>
      <c r="CC2530" s="56"/>
      <c r="CD2530" s="56"/>
      <c r="CE2530" s="56"/>
      <c r="CF2530" s="56"/>
      <c r="CG2530" s="56"/>
      <c r="CH2530" s="56"/>
      <c r="CI2530" s="56"/>
      <c r="CJ2530" s="56"/>
      <c r="CK2530" s="56"/>
      <c r="CL2530" s="56"/>
      <c r="CM2530" s="56"/>
      <c r="CN2530" s="56"/>
      <c r="CO2530" s="56"/>
      <c r="CP2530" s="56"/>
      <c r="CQ2530" s="56"/>
      <c r="CR2530" s="56"/>
      <c r="CS2530" s="56"/>
      <c r="CT2530" s="56"/>
      <c r="CU2530" s="56"/>
      <c r="CV2530" s="56"/>
      <c r="CW2530" s="56"/>
      <c r="CX2530" s="56"/>
      <c r="CY2530" s="56"/>
      <c r="CZ2530" s="56"/>
    </row>
    <row r="2531" spans="27:104" s="5" customFormat="1" x14ac:dyDescent="0.25">
      <c r="AA2531" s="56"/>
      <c r="AB2531" s="56"/>
      <c r="AC2531" s="56"/>
      <c r="AD2531" s="56"/>
      <c r="AE2531" s="56"/>
      <c r="AF2531" s="56"/>
      <c r="AG2531" s="56"/>
      <c r="AH2531" s="56"/>
      <c r="AI2531" s="56"/>
      <c r="AJ2531" s="56"/>
      <c r="AK2531" s="56"/>
      <c r="AL2531" s="56"/>
      <c r="AM2531" s="56"/>
      <c r="AN2531" s="56"/>
      <c r="AO2531" s="56"/>
      <c r="AP2531" s="56"/>
      <c r="AQ2531" s="56"/>
      <c r="AR2531" s="56"/>
      <c r="AS2531" s="56"/>
      <c r="AT2531" s="56"/>
      <c r="AU2531" s="56"/>
      <c r="AV2531" s="56"/>
      <c r="AW2531" s="56"/>
      <c r="AX2531" s="56"/>
      <c r="AY2531" s="56"/>
      <c r="AZ2531" s="56"/>
      <c r="BA2531" s="56"/>
      <c r="BB2531" s="16"/>
      <c r="BC2531" s="56"/>
      <c r="BD2531" s="56"/>
      <c r="BE2531" s="56"/>
      <c r="BF2531" s="56"/>
      <c r="BG2531" s="56"/>
      <c r="BH2531" s="56"/>
      <c r="BI2531" s="56"/>
      <c r="BJ2531" s="56"/>
      <c r="BK2531" s="56"/>
      <c r="BL2531" s="56"/>
      <c r="BM2531" s="56"/>
      <c r="BN2531" s="56"/>
      <c r="BO2531" s="56"/>
      <c r="BP2531" s="56"/>
      <c r="BQ2531" s="56"/>
      <c r="BR2531" s="56"/>
      <c r="BS2531" s="56"/>
      <c r="BT2531" s="56"/>
      <c r="BU2531" s="56"/>
      <c r="BV2531" s="56"/>
      <c r="BW2531" s="56"/>
      <c r="BX2531" s="56"/>
      <c r="BY2531" s="56"/>
      <c r="BZ2531" s="56"/>
      <c r="CA2531" s="56"/>
      <c r="CB2531" s="56"/>
      <c r="CC2531" s="56"/>
      <c r="CD2531" s="56"/>
      <c r="CE2531" s="56"/>
      <c r="CF2531" s="56"/>
      <c r="CG2531" s="56"/>
      <c r="CH2531" s="56"/>
      <c r="CI2531" s="56"/>
      <c r="CJ2531" s="56"/>
      <c r="CK2531" s="56"/>
      <c r="CL2531" s="56"/>
      <c r="CM2531" s="56"/>
      <c r="CN2531" s="56"/>
      <c r="CO2531" s="56"/>
      <c r="CP2531" s="56"/>
      <c r="CQ2531" s="56"/>
      <c r="CR2531" s="56"/>
      <c r="CS2531" s="56"/>
      <c r="CT2531" s="56"/>
      <c r="CU2531" s="56"/>
      <c r="CV2531" s="56"/>
      <c r="CW2531" s="56"/>
      <c r="CX2531" s="56"/>
      <c r="CY2531" s="56"/>
      <c r="CZ2531" s="56"/>
    </row>
    <row r="2532" spans="27:104" s="5" customFormat="1" x14ac:dyDescent="0.25">
      <c r="AA2532" s="56"/>
      <c r="AB2532" s="56"/>
      <c r="AC2532" s="56"/>
      <c r="AD2532" s="56"/>
      <c r="AE2532" s="56"/>
      <c r="AF2532" s="56"/>
      <c r="AG2532" s="56"/>
      <c r="AH2532" s="56"/>
      <c r="AI2532" s="56"/>
      <c r="AJ2532" s="56"/>
      <c r="AK2532" s="56"/>
      <c r="AL2532" s="56"/>
      <c r="AM2532" s="56"/>
      <c r="AN2532" s="56"/>
      <c r="AO2532" s="56"/>
      <c r="AP2532" s="56"/>
      <c r="AQ2532" s="56"/>
      <c r="AR2532" s="56"/>
      <c r="AS2532" s="56"/>
      <c r="AT2532" s="56"/>
      <c r="AU2532" s="56"/>
      <c r="AV2532" s="56"/>
      <c r="AW2532" s="56"/>
      <c r="AX2532" s="56"/>
      <c r="AY2532" s="56"/>
      <c r="AZ2532" s="56"/>
      <c r="BA2532" s="56"/>
      <c r="BB2532" s="16"/>
      <c r="BC2532" s="56"/>
      <c r="BD2532" s="56"/>
      <c r="BE2532" s="56"/>
      <c r="BF2532" s="56"/>
      <c r="BG2532" s="56"/>
      <c r="BH2532" s="56"/>
      <c r="BI2532" s="56"/>
      <c r="BJ2532" s="56"/>
      <c r="BK2532" s="56"/>
      <c r="BL2532" s="56"/>
      <c r="BM2532" s="56"/>
      <c r="BN2532" s="56"/>
      <c r="BO2532" s="56"/>
      <c r="BP2532" s="56"/>
      <c r="BQ2532" s="56"/>
      <c r="BR2532" s="56"/>
      <c r="BS2532" s="56"/>
      <c r="BT2532" s="56"/>
      <c r="BU2532" s="56"/>
      <c r="BV2532" s="56"/>
      <c r="BW2532" s="56"/>
      <c r="BX2532" s="56"/>
      <c r="BY2532" s="56"/>
      <c r="BZ2532" s="56"/>
      <c r="CA2532" s="56"/>
      <c r="CB2532" s="56"/>
      <c r="CC2532" s="56"/>
      <c r="CD2532" s="56"/>
      <c r="CE2532" s="56"/>
      <c r="CF2532" s="56"/>
      <c r="CG2532" s="56"/>
      <c r="CH2532" s="56"/>
      <c r="CI2532" s="56"/>
      <c r="CJ2532" s="56"/>
      <c r="CK2532" s="56"/>
      <c r="CL2532" s="56"/>
      <c r="CM2532" s="56"/>
      <c r="CN2532" s="56"/>
      <c r="CO2532" s="56"/>
      <c r="CP2532" s="56"/>
      <c r="CQ2532" s="56"/>
      <c r="CR2532" s="56"/>
      <c r="CS2532" s="56"/>
      <c r="CT2532" s="56"/>
      <c r="CU2532" s="56"/>
      <c r="CV2532" s="56"/>
      <c r="CW2532" s="56"/>
      <c r="CX2532" s="56"/>
      <c r="CY2532" s="56"/>
      <c r="CZ2532" s="56"/>
    </row>
    <row r="2533" spans="27:104" s="5" customFormat="1" x14ac:dyDescent="0.25">
      <c r="AA2533" s="56"/>
      <c r="AB2533" s="56"/>
      <c r="AC2533" s="56"/>
      <c r="AD2533" s="56"/>
      <c r="AE2533" s="56"/>
      <c r="AF2533" s="56"/>
      <c r="AG2533" s="56"/>
      <c r="AH2533" s="56"/>
      <c r="AI2533" s="56"/>
      <c r="AJ2533" s="56"/>
      <c r="AK2533" s="56"/>
      <c r="AL2533" s="56"/>
      <c r="AM2533" s="56"/>
      <c r="AN2533" s="56"/>
      <c r="AO2533" s="56"/>
      <c r="AP2533" s="56"/>
      <c r="AQ2533" s="56"/>
      <c r="AR2533" s="56"/>
      <c r="AS2533" s="56"/>
      <c r="AT2533" s="56"/>
      <c r="AU2533" s="56"/>
      <c r="AV2533" s="56"/>
      <c r="AW2533" s="56"/>
      <c r="AX2533" s="56"/>
      <c r="AY2533" s="56"/>
      <c r="AZ2533" s="56"/>
      <c r="BA2533" s="56"/>
      <c r="BB2533" s="16"/>
      <c r="BC2533" s="56"/>
      <c r="BD2533" s="56"/>
      <c r="BE2533" s="56"/>
      <c r="BF2533" s="56"/>
      <c r="BG2533" s="56"/>
      <c r="BH2533" s="56"/>
      <c r="BI2533" s="56"/>
      <c r="BJ2533" s="56"/>
      <c r="BK2533" s="56"/>
      <c r="BL2533" s="56"/>
      <c r="BM2533" s="56"/>
      <c r="BN2533" s="56"/>
      <c r="BO2533" s="56"/>
      <c r="BP2533" s="56"/>
      <c r="BQ2533" s="56"/>
      <c r="BR2533" s="56"/>
      <c r="BS2533" s="56"/>
      <c r="BT2533" s="56"/>
      <c r="BU2533" s="56"/>
      <c r="BV2533" s="56"/>
      <c r="BW2533" s="56"/>
      <c r="BX2533" s="56"/>
      <c r="BY2533" s="56"/>
      <c r="BZ2533" s="56"/>
      <c r="CA2533" s="56"/>
      <c r="CB2533" s="56"/>
      <c r="CC2533" s="56"/>
      <c r="CD2533" s="56"/>
      <c r="CE2533" s="56"/>
      <c r="CF2533" s="56"/>
      <c r="CG2533" s="56"/>
      <c r="CH2533" s="56"/>
      <c r="CI2533" s="56"/>
      <c r="CJ2533" s="56"/>
      <c r="CK2533" s="56"/>
      <c r="CL2533" s="56"/>
      <c r="CM2533" s="56"/>
      <c r="CN2533" s="56"/>
      <c r="CO2533" s="56"/>
      <c r="CP2533" s="56"/>
      <c r="CQ2533" s="56"/>
      <c r="CR2533" s="56"/>
      <c r="CS2533" s="56"/>
      <c r="CT2533" s="56"/>
      <c r="CU2533" s="56"/>
      <c r="CV2533" s="56"/>
      <c r="CW2533" s="56"/>
      <c r="CX2533" s="56"/>
      <c r="CY2533" s="56"/>
      <c r="CZ2533" s="56"/>
    </row>
    <row r="2534" spans="27:104" s="5" customFormat="1" x14ac:dyDescent="0.25">
      <c r="AA2534" s="56"/>
      <c r="AB2534" s="56"/>
      <c r="AC2534" s="56"/>
      <c r="AD2534" s="56"/>
      <c r="AE2534" s="56"/>
      <c r="AF2534" s="56"/>
      <c r="AG2534" s="56"/>
      <c r="AH2534" s="56"/>
      <c r="AI2534" s="56"/>
      <c r="AJ2534" s="56"/>
      <c r="AK2534" s="56"/>
      <c r="AL2534" s="56"/>
      <c r="AM2534" s="56"/>
      <c r="AN2534" s="56"/>
      <c r="AO2534" s="56"/>
      <c r="AP2534" s="56"/>
      <c r="AQ2534" s="56"/>
      <c r="AR2534" s="56"/>
      <c r="AS2534" s="56"/>
      <c r="AT2534" s="56"/>
      <c r="AU2534" s="56"/>
      <c r="AV2534" s="56"/>
      <c r="AW2534" s="56"/>
      <c r="AX2534" s="56"/>
      <c r="AY2534" s="56"/>
      <c r="AZ2534" s="56"/>
      <c r="BA2534" s="56"/>
      <c r="BB2534" s="16"/>
      <c r="BC2534" s="56"/>
      <c r="BD2534" s="56"/>
      <c r="BE2534" s="56"/>
      <c r="BF2534" s="56"/>
      <c r="BG2534" s="56"/>
      <c r="BH2534" s="56"/>
      <c r="BI2534" s="56"/>
      <c r="BJ2534" s="56"/>
      <c r="BK2534" s="56"/>
      <c r="BL2534" s="56"/>
      <c r="BM2534" s="56"/>
      <c r="BN2534" s="56"/>
      <c r="BO2534" s="56"/>
      <c r="BP2534" s="56"/>
      <c r="BQ2534" s="56"/>
      <c r="BR2534" s="56"/>
      <c r="BS2534" s="56"/>
      <c r="BT2534" s="56"/>
      <c r="BU2534" s="56"/>
      <c r="BV2534" s="56"/>
      <c r="BW2534" s="56"/>
      <c r="BX2534" s="56"/>
      <c r="BY2534" s="56"/>
      <c r="BZ2534" s="56"/>
      <c r="CA2534" s="56"/>
      <c r="CB2534" s="56"/>
      <c r="CC2534" s="56"/>
      <c r="CD2534" s="56"/>
      <c r="CE2534" s="56"/>
      <c r="CF2534" s="56"/>
      <c r="CG2534" s="56"/>
      <c r="CH2534" s="56"/>
      <c r="CI2534" s="56"/>
      <c r="CJ2534" s="56"/>
      <c r="CK2534" s="56"/>
      <c r="CL2534" s="56"/>
      <c r="CM2534" s="56"/>
      <c r="CN2534" s="56"/>
      <c r="CO2534" s="56"/>
      <c r="CP2534" s="56"/>
      <c r="CQ2534" s="56"/>
      <c r="CR2534" s="56"/>
      <c r="CS2534" s="56"/>
      <c r="CT2534" s="56"/>
      <c r="CU2534" s="56"/>
      <c r="CV2534" s="56"/>
      <c r="CW2534" s="56"/>
      <c r="CX2534" s="56"/>
      <c r="CY2534" s="56"/>
      <c r="CZ2534" s="56"/>
    </row>
    <row r="2535" spans="27:104" s="5" customFormat="1" x14ac:dyDescent="0.25">
      <c r="AA2535" s="56"/>
      <c r="AB2535" s="56"/>
      <c r="AC2535" s="56"/>
      <c r="AD2535" s="56"/>
      <c r="AE2535" s="56"/>
      <c r="AF2535" s="56"/>
      <c r="AG2535" s="56"/>
      <c r="AH2535" s="56"/>
      <c r="AI2535" s="56"/>
      <c r="AJ2535" s="56"/>
      <c r="AK2535" s="56"/>
      <c r="AL2535" s="56"/>
      <c r="AM2535" s="56"/>
      <c r="AN2535" s="56"/>
      <c r="AO2535" s="56"/>
      <c r="AP2535" s="56"/>
      <c r="AQ2535" s="56"/>
      <c r="AR2535" s="56"/>
      <c r="AS2535" s="56"/>
      <c r="AT2535" s="56"/>
      <c r="AU2535" s="56"/>
      <c r="AV2535" s="56"/>
      <c r="AW2535" s="56"/>
      <c r="AX2535" s="56"/>
      <c r="AY2535" s="56"/>
      <c r="AZ2535" s="56"/>
      <c r="BA2535" s="56"/>
      <c r="BB2535" s="16"/>
      <c r="BC2535" s="56"/>
      <c r="BD2535" s="56"/>
      <c r="BE2535" s="56"/>
      <c r="BF2535" s="56"/>
      <c r="BG2535" s="56"/>
      <c r="BH2535" s="56"/>
      <c r="BI2535" s="56"/>
      <c r="BJ2535" s="56"/>
      <c r="BK2535" s="56"/>
      <c r="BL2535" s="56"/>
      <c r="BM2535" s="56"/>
      <c r="BN2535" s="56"/>
      <c r="BO2535" s="56"/>
      <c r="BP2535" s="56"/>
      <c r="BQ2535" s="56"/>
      <c r="BR2535" s="56"/>
      <c r="BS2535" s="56"/>
      <c r="BT2535" s="56"/>
      <c r="BU2535" s="56"/>
      <c r="BV2535" s="56"/>
      <c r="BW2535" s="56"/>
      <c r="BX2535" s="56"/>
      <c r="BY2535" s="56"/>
      <c r="BZ2535" s="56"/>
      <c r="CA2535" s="56"/>
      <c r="CB2535" s="56"/>
      <c r="CC2535" s="56"/>
      <c r="CD2535" s="56"/>
      <c r="CE2535" s="56"/>
      <c r="CF2535" s="56"/>
      <c r="CG2535" s="56"/>
      <c r="CH2535" s="56"/>
      <c r="CI2535" s="56"/>
      <c r="CJ2535" s="56"/>
      <c r="CK2535" s="56"/>
      <c r="CL2535" s="56"/>
      <c r="CM2535" s="56"/>
      <c r="CN2535" s="56"/>
      <c r="CO2535" s="56"/>
      <c r="CP2535" s="56"/>
      <c r="CQ2535" s="56"/>
      <c r="CR2535" s="56"/>
      <c r="CS2535" s="56"/>
      <c r="CT2535" s="56"/>
      <c r="CU2535" s="56"/>
      <c r="CV2535" s="56"/>
      <c r="CW2535" s="56"/>
      <c r="CX2535" s="56"/>
      <c r="CY2535" s="56"/>
      <c r="CZ2535" s="56"/>
    </row>
    <row r="2536" spans="27:104" s="5" customFormat="1" x14ac:dyDescent="0.25">
      <c r="AA2536" s="56"/>
      <c r="AB2536" s="56"/>
      <c r="AC2536" s="56"/>
      <c r="AD2536" s="56"/>
      <c r="AE2536" s="56"/>
      <c r="AF2536" s="56"/>
      <c r="AG2536" s="56"/>
      <c r="AH2536" s="56"/>
      <c r="AI2536" s="56"/>
      <c r="AJ2536" s="56"/>
      <c r="AK2536" s="56"/>
      <c r="AL2536" s="56"/>
      <c r="AM2536" s="56"/>
      <c r="AN2536" s="56"/>
      <c r="AO2536" s="56"/>
      <c r="AP2536" s="56"/>
      <c r="AQ2536" s="56"/>
      <c r="AR2536" s="56"/>
      <c r="AS2536" s="56"/>
      <c r="AT2536" s="56"/>
      <c r="AU2536" s="56"/>
      <c r="AV2536" s="56"/>
      <c r="AW2536" s="56"/>
      <c r="AX2536" s="56"/>
      <c r="AY2536" s="56"/>
      <c r="AZ2536" s="56"/>
      <c r="BA2536" s="56"/>
      <c r="BB2536" s="16"/>
      <c r="BC2536" s="56"/>
      <c r="BD2536" s="56"/>
      <c r="BE2536" s="56"/>
      <c r="BF2536" s="56"/>
      <c r="BG2536" s="56"/>
      <c r="BH2536" s="56"/>
      <c r="BI2536" s="56"/>
      <c r="BJ2536" s="56"/>
      <c r="BK2536" s="56"/>
      <c r="BL2536" s="56"/>
      <c r="BM2536" s="56"/>
      <c r="BN2536" s="56"/>
      <c r="BO2536" s="56"/>
      <c r="BP2536" s="56"/>
      <c r="BQ2536" s="56"/>
      <c r="BR2536" s="56"/>
      <c r="BS2536" s="56"/>
      <c r="BT2536" s="56"/>
      <c r="BU2536" s="56"/>
      <c r="BV2536" s="56"/>
      <c r="BW2536" s="56"/>
      <c r="BX2536" s="56"/>
      <c r="BY2536" s="56"/>
      <c r="BZ2536" s="56"/>
      <c r="CA2536" s="56"/>
      <c r="CB2536" s="56"/>
      <c r="CC2536" s="56"/>
      <c r="CD2536" s="56"/>
      <c r="CE2536" s="56"/>
      <c r="CF2536" s="56"/>
      <c r="CG2536" s="56"/>
      <c r="CH2536" s="56"/>
      <c r="CI2536" s="56"/>
      <c r="CJ2536" s="56"/>
      <c r="CK2536" s="56"/>
      <c r="CL2536" s="56"/>
      <c r="CM2536" s="56"/>
      <c r="CN2536" s="56"/>
      <c r="CO2536" s="56"/>
      <c r="CP2536" s="56"/>
      <c r="CQ2536" s="56"/>
      <c r="CR2536" s="56"/>
      <c r="CS2536" s="56"/>
      <c r="CT2536" s="56"/>
      <c r="CU2536" s="56"/>
      <c r="CV2536" s="56"/>
      <c r="CW2536" s="56"/>
      <c r="CX2536" s="56"/>
      <c r="CY2536" s="56"/>
      <c r="CZ2536" s="56"/>
    </row>
    <row r="2537" spans="27:104" s="5" customFormat="1" x14ac:dyDescent="0.25">
      <c r="AA2537" s="56"/>
      <c r="AB2537" s="56"/>
      <c r="AC2537" s="56"/>
      <c r="AD2537" s="56"/>
      <c r="AE2537" s="56"/>
      <c r="AF2537" s="56"/>
      <c r="AG2537" s="56"/>
      <c r="AH2537" s="56"/>
      <c r="AI2537" s="56"/>
      <c r="AJ2537" s="56"/>
      <c r="AK2537" s="56"/>
      <c r="AL2537" s="56"/>
      <c r="AM2537" s="56"/>
      <c r="AN2537" s="56"/>
      <c r="AO2537" s="56"/>
      <c r="AP2537" s="56"/>
      <c r="AQ2537" s="56"/>
      <c r="AR2537" s="56"/>
      <c r="AS2537" s="56"/>
      <c r="AT2537" s="56"/>
      <c r="AU2537" s="56"/>
      <c r="AV2537" s="56"/>
      <c r="AW2537" s="56"/>
      <c r="AX2537" s="56"/>
      <c r="AY2537" s="56"/>
      <c r="AZ2537" s="56"/>
      <c r="BA2537" s="56"/>
      <c r="BB2537" s="16"/>
      <c r="BC2537" s="56"/>
      <c r="BD2537" s="56"/>
      <c r="BE2537" s="56"/>
      <c r="BF2537" s="56"/>
      <c r="BG2537" s="56"/>
      <c r="BH2537" s="56"/>
      <c r="BI2537" s="56"/>
      <c r="BJ2537" s="56"/>
      <c r="BK2537" s="56"/>
      <c r="BL2537" s="56"/>
      <c r="BM2537" s="56"/>
      <c r="BN2537" s="56"/>
      <c r="BO2537" s="56"/>
      <c r="BP2537" s="56"/>
      <c r="BQ2537" s="56"/>
      <c r="BR2537" s="56"/>
      <c r="BS2537" s="56"/>
      <c r="BT2537" s="56"/>
      <c r="BU2537" s="56"/>
      <c r="BV2537" s="56"/>
      <c r="BW2537" s="56"/>
      <c r="BX2537" s="56"/>
      <c r="BY2537" s="56"/>
      <c r="BZ2537" s="56"/>
      <c r="CA2537" s="56"/>
      <c r="CB2537" s="56"/>
      <c r="CC2537" s="56"/>
      <c r="CD2537" s="56"/>
      <c r="CE2537" s="56"/>
      <c r="CF2537" s="56"/>
      <c r="CG2537" s="56"/>
      <c r="CH2537" s="56"/>
      <c r="CI2537" s="56"/>
      <c r="CJ2537" s="56"/>
      <c r="CK2537" s="56"/>
      <c r="CL2537" s="56"/>
      <c r="CM2537" s="56"/>
      <c r="CN2537" s="56"/>
      <c r="CO2537" s="56"/>
      <c r="CP2537" s="56"/>
      <c r="CQ2537" s="56"/>
      <c r="CR2537" s="56"/>
      <c r="CS2537" s="56"/>
      <c r="CT2537" s="56"/>
      <c r="CU2537" s="56"/>
      <c r="CV2537" s="56"/>
      <c r="CW2537" s="56"/>
      <c r="CX2537" s="56"/>
      <c r="CY2537" s="56"/>
      <c r="CZ2537" s="56"/>
    </row>
    <row r="2538" spans="27:104" s="5" customFormat="1" x14ac:dyDescent="0.25">
      <c r="AA2538" s="56"/>
      <c r="AB2538" s="56"/>
      <c r="AC2538" s="56"/>
      <c r="AD2538" s="56"/>
      <c r="AE2538" s="56"/>
      <c r="AF2538" s="56"/>
      <c r="AG2538" s="56"/>
      <c r="AH2538" s="56"/>
      <c r="AI2538" s="56"/>
      <c r="AJ2538" s="56"/>
      <c r="AK2538" s="56"/>
      <c r="AL2538" s="56"/>
      <c r="AM2538" s="56"/>
      <c r="AN2538" s="56"/>
      <c r="AO2538" s="56"/>
      <c r="AP2538" s="56"/>
      <c r="AQ2538" s="56"/>
      <c r="AR2538" s="56"/>
      <c r="AS2538" s="56"/>
      <c r="AT2538" s="56"/>
      <c r="AU2538" s="56"/>
      <c r="AV2538" s="56"/>
      <c r="AW2538" s="56"/>
      <c r="AX2538" s="56"/>
      <c r="AY2538" s="56"/>
      <c r="AZ2538" s="56"/>
      <c r="BA2538" s="56"/>
      <c r="BB2538" s="16"/>
      <c r="BC2538" s="56"/>
      <c r="BD2538" s="56"/>
      <c r="BE2538" s="56"/>
      <c r="BF2538" s="56"/>
      <c r="BG2538" s="56"/>
      <c r="BH2538" s="56"/>
      <c r="BI2538" s="56"/>
      <c r="BJ2538" s="56"/>
      <c r="BK2538" s="56"/>
      <c r="BL2538" s="56"/>
      <c r="BM2538" s="56"/>
      <c r="BN2538" s="56"/>
      <c r="BO2538" s="56"/>
      <c r="BP2538" s="56"/>
      <c r="BQ2538" s="56"/>
      <c r="BR2538" s="56"/>
      <c r="BS2538" s="56"/>
      <c r="BT2538" s="56"/>
      <c r="BU2538" s="56"/>
      <c r="BV2538" s="56"/>
      <c r="BW2538" s="56"/>
      <c r="BX2538" s="56"/>
      <c r="BY2538" s="56"/>
      <c r="BZ2538" s="56"/>
      <c r="CA2538" s="56"/>
      <c r="CB2538" s="56"/>
      <c r="CC2538" s="56"/>
      <c r="CD2538" s="56"/>
      <c r="CE2538" s="56"/>
      <c r="CF2538" s="56"/>
      <c r="CG2538" s="56"/>
      <c r="CH2538" s="56"/>
      <c r="CI2538" s="56"/>
      <c r="CJ2538" s="56"/>
      <c r="CK2538" s="56"/>
      <c r="CL2538" s="56"/>
      <c r="CM2538" s="56"/>
      <c r="CN2538" s="56"/>
      <c r="CO2538" s="56"/>
      <c r="CP2538" s="56"/>
      <c r="CQ2538" s="56"/>
      <c r="CR2538" s="56"/>
      <c r="CS2538" s="56"/>
      <c r="CT2538" s="56"/>
      <c r="CU2538" s="56"/>
      <c r="CV2538" s="56"/>
      <c r="CW2538" s="56"/>
      <c r="CX2538" s="56"/>
      <c r="CY2538" s="56"/>
      <c r="CZ2538" s="56"/>
    </row>
    <row r="2539" spans="27:104" s="5" customFormat="1" x14ac:dyDescent="0.25">
      <c r="AA2539" s="56"/>
      <c r="AB2539" s="56"/>
      <c r="AC2539" s="56"/>
      <c r="AD2539" s="56"/>
      <c r="AE2539" s="56"/>
      <c r="AF2539" s="56"/>
      <c r="AG2539" s="56"/>
      <c r="AH2539" s="56"/>
      <c r="AI2539" s="56"/>
      <c r="AJ2539" s="56"/>
      <c r="AK2539" s="56"/>
      <c r="AL2539" s="56"/>
      <c r="AM2539" s="56"/>
      <c r="AN2539" s="56"/>
      <c r="AO2539" s="56"/>
      <c r="AP2539" s="56"/>
      <c r="AQ2539" s="56"/>
      <c r="AR2539" s="56"/>
      <c r="AS2539" s="56"/>
      <c r="AT2539" s="56"/>
      <c r="AU2539" s="56"/>
      <c r="AV2539" s="56"/>
      <c r="AW2539" s="56"/>
      <c r="AX2539" s="56"/>
      <c r="AY2539" s="56"/>
      <c r="AZ2539" s="56"/>
      <c r="BA2539" s="56"/>
      <c r="BB2539" s="16"/>
      <c r="BC2539" s="56"/>
      <c r="BD2539" s="56"/>
      <c r="BE2539" s="56"/>
      <c r="BF2539" s="56"/>
      <c r="BG2539" s="56"/>
      <c r="BH2539" s="56"/>
      <c r="BI2539" s="56"/>
      <c r="BJ2539" s="56"/>
      <c r="BK2539" s="56"/>
      <c r="BL2539" s="56"/>
      <c r="BM2539" s="56"/>
      <c r="BN2539" s="56"/>
      <c r="BO2539" s="56"/>
      <c r="BP2539" s="56"/>
      <c r="BQ2539" s="56"/>
      <c r="BR2539" s="56"/>
      <c r="BS2539" s="56"/>
      <c r="BT2539" s="56"/>
      <c r="BU2539" s="56"/>
      <c r="BV2539" s="56"/>
      <c r="BW2539" s="56"/>
      <c r="BX2539" s="56"/>
      <c r="BY2539" s="56"/>
      <c r="BZ2539" s="56"/>
      <c r="CA2539" s="56"/>
      <c r="CB2539" s="56"/>
      <c r="CC2539" s="56"/>
      <c r="CD2539" s="56"/>
      <c r="CE2539" s="56"/>
      <c r="CF2539" s="56"/>
      <c r="CG2539" s="56"/>
      <c r="CH2539" s="56"/>
      <c r="CI2539" s="56"/>
      <c r="CJ2539" s="56"/>
      <c r="CK2539" s="56"/>
      <c r="CL2539" s="56"/>
      <c r="CM2539" s="56"/>
      <c r="CN2539" s="56"/>
      <c r="CO2539" s="56"/>
      <c r="CP2539" s="56"/>
      <c r="CQ2539" s="56"/>
      <c r="CR2539" s="56"/>
      <c r="CS2539" s="56"/>
      <c r="CT2539" s="56"/>
      <c r="CU2539" s="56"/>
      <c r="CV2539" s="56"/>
      <c r="CW2539" s="56"/>
      <c r="CX2539" s="56"/>
      <c r="CY2539" s="56"/>
      <c r="CZ2539" s="56"/>
    </row>
    <row r="2540" spans="27:104" s="5" customFormat="1" x14ac:dyDescent="0.25">
      <c r="AA2540" s="56"/>
      <c r="AB2540" s="56"/>
      <c r="AC2540" s="56"/>
      <c r="AD2540" s="56"/>
      <c r="AE2540" s="56"/>
      <c r="AF2540" s="56"/>
      <c r="AG2540" s="56"/>
      <c r="AH2540" s="56"/>
      <c r="AI2540" s="56"/>
      <c r="AJ2540" s="56"/>
      <c r="AK2540" s="56"/>
      <c r="AL2540" s="56"/>
      <c r="AM2540" s="56"/>
      <c r="AN2540" s="56"/>
      <c r="AO2540" s="56"/>
      <c r="AP2540" s="56"/>
      <c r="AQ2540" s="56"/>
      <c r="AR2540" s="56"/>
      <c r="AS2540" s="56"/>
      <c r="AT2540" s="56"/>
      <c r="AU2540" s="56"/>
      <c r="AV2540" s="56"/>
      <c r="AW2540" s="56"/>
      <c r="AX2540" s="56"/>
      <c r="AY2540" s="56"/>
      <c r="AZ2540" s="56"/>
      <c r="BA2540" s="56"/>
      <c r="BB2540" s="16"/>
      <c r="BC2540" s="56"/>
      <c r="BD2540" s="56"/>
      <c r="BE2540" s="56"/>
      <c r="BF2540" s="56"/>
      <c r="BG2540" s="56"/>
      <c r="BH2540" s="56"/>
      <c r="BI2540" s="56"/>
      <c r="BJ2540" s="56"/>
      <c r="BK2540" s="56"/>
      <c r="BL2540" s="56"/>
      <c r="BM2540" s="56"/>
      <c r="BN2540" s="56"/>
      <c r="BO2540" s="56"/>
      <c r="BP2540" s="56"/>
      <c r="BQ2540" s="56"/>
      <c r="BR2540" s="56"/>
      <c r="BS2540" s="56"/>
      <c r="BT2540" s="56"/>
      <c r="BU2540" s="56"/>
      <c r="BV2540" s="56"/>
      <c r="BW2540" s="56"/>
      <c r="BX2540" s="56"/>
      <c r="BY2540" s="56"/>
      <c r="BZ2540" s="56"/>
      <c r="CA2540" s="56"/>
      <c r="CB2540" s="56"/>
      <c r="CC2540" s="56"/>
      <c r="CD2540" s="56"/>
      <c r="CE2540" s="56"/>
      <c r="CF2540" s="56"/>
      <c r="CG2540" s="56"/>
      <c r="CH2540" s="56"/>
      <c r="CI2540" s="56"/>
      <c r="CJ2540" s="56"/>
      <c r="CK2540" s="56"/>
      <c r="CL2540" s="56"/>
      <c r="CM2540" s="56"/>
      <c r="CN2540" s="56"/>
      <c r="CO2540" s="56"/>
      <c r="CP2540" s="56"/>
      <c r="CQ2540" s="56"/>
      <c r="CR2540" s="56"/>
      <c r="CS2540" s="56"/>
      <c r="CT2540" s="56"/>
      <c r="CU2540" s="56"/>
      <c r="CV2540" s="56"/>
      <c r="CW2540" s="56"/>
      <c r="CX2540" s="56"/>
      <c r="CY2540" s="56"/>
      <c r="CZ2540" s="56"/>
    </row>
    <row r="2541" spans="27:104" s="5" customFormat="1" x14ac:dyDescent="0.25">
      <c r="AA2541" s="56"/>
      <c r="AB2541" s="56"/>
      <c r="AC2541" s="56"/>
      <c r="AD2541" s="56"/>
      <c r="AE2541" s="56"/>
      <c r="AF2541" s="56"/>
      <c r="AG2541" s="56"/>
      <c r="AH2541" s="56"/>
      <c r="AI2541" s="56"/>
      <c r="AJ2541" s="56"/>
      <c r="AK2541" s="56"/>
      <c r="AL2541" s="56"/>
      <c r="AM2541" s="56"/>
      <c r="AN2541" s="56"/>
      <c r="AO2541" s="56"/>
      <c r="AP2541" s="56"/>
      <c r="AQ2541" s="56"/>
      <c r="AR2541" s="56"/>
      <c r="AS2541" s="56"/>
      <c r="AT2541" s="56"/>
      <c r="AU2541" s="56"/>
      <c r="AV2541" s="56"/>
      <c r="AW2541" s="56"/>
      <c r="AX2541" s="56"/>
      <c r="AY2541" s="56"/>
      <c r="AZ2541" s="56"/>
      <c r="BA2541" s="56"/>
      <c r="BB2541" s="16"/>
      <c r="BC2541" s="56"/>
      <c r="BD2541" s="56"/>
      <c r="BE2541" s="56"/>
      <c r="BF2541" s="56"/>
      <c r="BG2541" s="56"/>
      <c r="BH2541" s="56"/>
      <c r="BI2541" s="56"/>
      <c r="BJ2541" s="56"/>
      <c r="BK2541" s="56"/>
      <c r="BL2541" s="56"/>
      <c r="BM2541" s="56"/>
      <c r="BN2541" s="56"/>
      <c r="BO2541" s="56"/>
      <c r="BP2541" s="56"/>
      <c r="BQ2541" s="56"/>
      <c r="BR2541" s="56"/>
      <c r="BS2541" s="56"/>
      <c r="BT2541" s="56"/>
      <c r="BU2541" s="56"/>
      <c r="BV2541" s="56"/>
      <c r="BW2541" s="56"/>
      <c r="BX2541" s="56"/>
      <c r="BY2541" s="56"/>
      <c r="BZ2541" s="56"/>
      <c r="CA2541" s="56"/>
      <c r="CB2541" s="56"/>
      <c r="CC2541" s="56"/>
      <c r="CD2541" s="56"/>
      <c r="CE2541" s="56"/>
      <c r="CF2541" s="56"/>
      <c r="CG2541" s="56"/>
      <c r="CH2541" s="56"/>
      <c r="CI2541" s="56"/>
      <c r="CJ2541" s="56"/>
      <c r="CK2541" s="56"/>
      <c r="CL2541" s="56"/>
      <c r="CM2541" s="56"/>
      <c r="CN2541" s="56"/>
      <c r="CO2541" s="56"/>
      <c r="CP2541" s="56"/>
      <c r="CQ2541" s="56"/>
      <c r="CR2541" s="56"/>
      <c r="CS2541" s="56"/>
      <c r="CT2541" s="56"/>
      <c r="CU2541" s="56"/>
      <c r="CV2541" s="56"/>
      <c r="CW2541" s="56"/>
      <c r="CX2541" s="56"/>
      <c r="CY2541" s="56"/>
      <c r="CZ2541" s="56"/>
    </row>
    <row r="2542" spans="27:104" s="5" customFormat="1" x14ac:dyDescent="0.25">
      <c r="AA2542" s="56"/>
      <c r="AB2542" s="56"/>
      <c r="AC2542" s="56"/>
      <c r="AD2542" s="56"/>
      <c r="AE2542" s="56"/>
      <c r="AF2542" s="56"/>
      <c r="AG2542" s="56"/>
      <c r="AH2542" s="56"/>
      <c r="AI2542" s="56"/>
      <c r="AJ2542" s="56"/>
      <c r="AK2542" s="56"/>
      <c r="AL2542" s="56"/>
      <c r="AM2542" s="56"/>
      <c r="AN2542" s="56"/>
      <c r="AO2542" s="56"/>
      <c r="AP2542" s="56"/>
      <c r="AQ2542" s="56"/>
      <c r="AR2542" s="56"/>
      <c r="AS2542" s="56"/>
      <c r="AT2542" s="56"/>
      <c r="AU2542" s="56"/>
      <c r="AV2542" s="56"/>
      <c r="AW2542" s="56"/>
      <c r="AX2542" s="56"/>
      <c r="AY2542" s="56"/>
      <c r="AZ2542" s="56"/>
      <c r="BA2542" s="56"/>
      <c r="BB2542" s="16"/>
      <c r="BC2542" s="56"/>
      <c r="BD2542" s="56"/>
      <c r="BE2542" s="56"/>
      <c r="BF2542" s="56"/>
      <c r="BG2542" s="56"/>
      <c r="BH2542" s="56"/>
      <c r="BI2542" s="56"/>
      <c r="BJ2542" s="56"/>
      <c r="BK2542" s="56"/>
      <c r="BL2542" s="56"/>
      <c r="BM2542" s="56"/>
      <c r="BN2542" s="56"/>
      <c r="BO2542" s="56"/>
      <c r="BP2542" s="56"/>
      <c r="BQ2542" s="56"/>
      <c r="BR2542" s="56"/>
      <c r="BS2542" s="56"/>
      <c r="BT2542" s="56"/>
      <c r="BU2542" s="56"/>
      <c r="BV2542" s="56"/>
      <c r="BW2542" s="56"/>
      <c r="BX2542" s="56"/>
      <c r="BY2542" s="56"/>
      <c r="BZ2542" s="56"/>
      <c r="CA2542" s="56"/>
      <c r="CB2542" s="56"/>
      <c r="CC2542" s="56"/>
      <c r="CD2542" s="56"/>
      <c r="CE2542" s="56"/>
      <c r="CF2542" s="56"/>
      <c r="CG2542" s="56"/>
      <c r="CH2542" s="56"/>
      <c r="CI2542" s="56"/>
      <c r="CJ2542" s="56"/>
      <c r="CK2542" s="56"/>
      <c r="CL2542" s="56"/>
      <c r="CM2542" s="56"/>
      <c r="CN2542" s="56"/>
      <c r="CO2542" s="56"/>
      <c r="CP2542" s="56"/>
      <c r="CQ2542" s="56"/>
      <c r="CR2542" s="56"/>
      <c r="CS2542" s="56"/>
      <c r="CT2542" s="56"/>
      <c r="CU2542" s="56"/>
      <c r="CV2542" s="56"/>
      <c r="CW2542" s="56"/>
      <c r="CX2542" s="56"/>
      <c r="CY2542" s="56"/>
      <c r="CZ2542" s="56"/>
    </row>
    <row r="2543" spans="27:104" s="5" customFormat="1" x14ac:dyDescent="0.25">
      <c r="AA2543" s="56"/>
      <c r="AB2543" s="56"/>
      <c r="AC2543" s="56"/>
      <c r="AD2543" s="56"/>
      <c r="AE2543" s="56"/>
      <c r="AF2543" s="56"/>
      <c r="AG2543" s="56"/>
      <c r="AH2543" s="56"/>
      <c r="AI2543" s="56"/>
      <c r="AJ2543" s="56"/>
      <c r="AK2543" s="56"/>
      <c r="AL2543" s="56"/>
      <c r="AM2543" s="56"/>
      <c r="AN2543" s="56"/>
      <c r="AO2543" s="56"/>
      <c r="AP2543" s="56"/>
      <c r="AQ2543" s="56"/>
      <c r="AR2543" s="56"/>
      <c r="AS2543" s="56"/>
      <c r="AT2543" s="56"/>
      <c r="AU2543" s="56"/>
      <c r="AV2543" s="56"/>
      <c r="AW2543" s="56"/>
      <c r="AX2543" s="56"/>
      <c r="AY2543" s="56"/>
      <c r="AZ2543" s="56"/>
      <c r="BA2543" s="56"/>
      <c r="BB2543" s="16"/>
      <c r="BC2543" s="56"/>
      <c r="BD2543" s="56"/>
      <c r="BE2543" s="56"/>
      <c r="BF2543" s="56"/>
      <c r="BG2543" s="56"/>
      <c r="BH2543" s="56"/>
      <c r="BI2543" s="56"/>
      <c r="BJ2543" s="56"/>
      <c r="BK2543" s="56"/>
      <c r="BL2543" s="56"/>
      <c r="BM2543" s="56"/>
      <c r="BN2543" s="56"/>
      <c r="BO2543" s="56"/>
      <c r="BP2543" s="56"/>
      <c r="BQ2543" s="56"/>
      <c r="BR2543" s="56"/>
      <c r="BS2543" s="56"/>
      <c r="BT2543" s="56"/>
      <c r="BU2543" s="56"/>
      <c r="BV2543" s="56"/>
      <c r="BW2543" s="56"/>
      <c r="BX2543" s="56"/>
      <c r="BY2543" s="56"/>
      <c r="BZ2543" s="56"/>
      <c r="CA2543" s="56"/>
      <c r="CB2543" s="56"/>
      <c r="CC2543" s="56"/>
      <c r="CD2543" s="56"/>
      <c r="CE2543" s="56"/>
      <c r="CF2543" s="56"/>
      <c r="CG2543" s="56"/>
      <c r="CH2543" s="56"/>
      <c r="CI2543" s="56"/>
      <c r="CJ2543" s="56"/>
      <c r="CK2543" s="56"/>
      <c r="CL2543" s="56"/>
      <c r="CM2543" s="56"/>
      <c r="CN2543" s="56"/>
      <c r="CO2543" s="56"/>
      <c r="CP2543" s="56"/>
      <c r="CQ2543" s="56"/>
      <c r="CR2543" s="56"/>
      <c r="CS2543" s="56"/>
      <c r="CT2543" s="56"/>
      <c r="CU2543" s="56"/>
      <c r="CV2543" s="56"/>
      <c r="CW2543" s="56"/>
      <c r="CX2543" s="56"/>
      <c r="CY2543" s="56"/>
      <c r="CZ2543" s="56"/>
    </row>
    <row r="2544" spans="27:104" s="5" customFormat="1" x14ac:dyDescent="0.25">
      <c r="AA2544" s="56"/>
      <c r="AB2544" s="56"/>
      <c r="AC2544" s="56"/>
      <c r="AD2544" s="56"/>
      <c r="AE2544" s="56"/>
      <c r="AF2544" s="56"/>
      <c r="AG2544" s="56"/>
      <c r="AH2544" s="56"/>
      <c r="AI2544" s="56"/>
      <c r="AJ2544" s="56"/>
      <c r="AK2544" s="56"/>
      <c r="AL2544" s="56"/>
      <c r="AM2544" s="56"/>
      <c r="AN2544" s="56"/>
      <c r="AO2544" s="56"/>
      <c r="AP2544" s="56"/>
      <c r="AQ2544" s="56"/>
      <c r="AR2544" s="56"/>
      <c r="AS2544" s="56"/>
      <c r="AT2544" s="56"/>
      <c r="AU2544" s="56"/>
      <c r="AV2544" s="56"/>
      <c r="AW2544" s="56"/>
      <c r="AX2544" s="56"/>
      <c r="AY2544" s="56"/>
      <c r="AZ2544" s="56"/>
      <c r="BA2544" s="56"/>
      <c r="BB2544" s="16"/>
      <c r="BC2544" s="56"/>
      <c r="BD2544" s="56"/>
      <c r="BE2544" s="56"/>
      <c r="BF2544" s="56"/>
      <c r="BG2544" s="56"/>
      <c r="BH2544" s="56"/>
      <c r="BI2544" s="56"/>
      <c r="BJ2544" s="56"/>
      <c r="BK2544" s="56"/>
      <c r="BL2544" s="56"/>
      <c r="BM2544" s="56"/>
      <c r="BN2544" s="56"/>
      <c r="BO2544" s="56"/>
      <c r="BP2544" s="56"/>
      <c r="BQ2544" s="56"/>
      <c r="BR2544" s="56"/>
      <c r="BS2544" s="56"/>
      <c r="BT2544" s="56"/>
      <c r="BU2544" s="56"/>
      <c r="BV2544" s="56"/>
      <c r="BW2544" s="56"/>
      <c r="BX2544" s="56"/>
      <c r="BY2544" s="56"/>
      <c r="BZ2544" s="56"/>
      <c r="CA2544" s="56"/>
      <c r="CB2544" s="56"/>
      <c r="CC2544" s="56"/>
      <c r="CD2544" s="56"/>
      <c r="CE2544" s="56"/>
      <c r="CF2544" s="56"/>
      <c r="CG2544" s="56"/>
      <c r="CH2544" s="56"/>
      <c r="CI2544" s="56"/>
      <c r="CJ2544" s="56"/>
      <c r="CK2544" s="56"/>
      <c r="CL2544" s="56"/>
      <c r="CM2544" s="56"/>
      <c r="CN2544" s="56"/>
      <c r="CO2544" s="56"/>
      <c r="CP2544" s="56"/>
      <c r="CQ2544" s="56"/>
      <c r="CR2544" s="56"/>
      <c r="CS2544" s="56"/>
      <c r="CT2544" s="56"/>
      <c r="CU2544" s="56"/>
      <c r="CV2544" s="56"/>
      <c r="CW2544" s="56"/>
      <c r="CX2544" s="56"/>
      <c r="CY2544" s="56"/>
      <c r="CZ2544" s="56"/>
    </row>
    <row r="2545" spans="27:104" s="5" customFormat="1" x14ac:dyDescent="0.25">
      <c r="AA2545" s="56"/>
      <c r="AB2545" s="56"/>
      <c r="AC2545" s="56"/>
      <c r="AD2545" s="56"/>
      <c r="AE2545" s="56"/>
      <c r="AF2545" s="56"/>
      <c r="AG2545" s="56"/>
      <c r="AH2545" s="56"/>
      <c r="AI2545" s="56"/>
      <c r="AJ2545" s="56"/>
      <c r="AK2545" s="56"/>
      <c r="AL2545" s="56"/>
      <c r="AM2545" s="56"/>
      <c r="AN2545" s="56"/>
      <c r="AO2545" s="56"/>
      <c r="AP2545" s="56"/>
      <c r="AQ2545" s="56"/>
      <c r="AR2545" s="56"/>
      <c r="AS2545" s="56"/>
      <c r="AT2545" s="56"/>
      <c r="AU2545" s="56"/>
      <c r="AV2545" s="56"/>
      <c r="AW2545" s="56"/>
      <c r="AX2545" s="56"/>
      <c r="AY2545" s="56"/>
      <c r="AZ2545" s="56"/>
      <c r="BA2545" s="56"/>
      <c r="BB2545" s="16"/>
      <c r="BC2545" s="56"/>
      <c r="BD2545" s="56"/>
      <c r="BE2545" s="56"/>
      <c r="BF2545" s="56"/>
      <c r="BG2545" s="56"/>
      <c r="BH2545" s="56"/>
      <c r="BI2545" s="56"/>
      <c r="BJ2545" s="56"/>
      <c r="BK2545" s="56"/>
      <c r="BL2545" s="56"/>
      <c r="BM2545" s="56"/>
      <c r="BN2545" s="56"/>
      <c r="BO2545" s="56"/>
      <c r="BP2545" s="56"/>
      <c r="BQ2545" s="56"/>
      <c r="BR2545" s="56"/>
      <c r="BS2545" s="56"/>
      <c r="BT2545" s="56"/>
      <c r="BU2545" s="56"/>
      <c r="BV2545" s="56"/>
      <c r="BW2545" s="56"/>
      <c r="BX2545" s="56"/>
      <c r="BY2545" s="56"/>
      <c r="BZ2545" s="56"/>
      <c r="CA2545" s="56"/>
      <c r="CB2545" s="56"/>
      <c r="CC2545" s="56"/>
      <c r="CD2545" s="56"/>
      <c r="CE2545" s="56"/>
      <c r="CF2545" s="56"/>
      <c r="CG2545" s="56"/>
      <c r="CH2545" s="56"/>
      <c r="CI2545" s="56"/>
      <c r="CJ2545" s="56"/>
      <c r="CK2545" s="56"/>
      <c r="CL2545" s="56"/>
      <c r="CM2545" s="56"/>
      <c r="CN2545" s="56"/>
      <c r="CO2545" s="56"/>
      <c r="CP2545" s="56"/>
      <c r="CQ2545" s="56"/>
      <c r="CR2545" s="56"/>
      <c r="CS2545" s="56"/>
      <c r="CT2545" s="56"/>
      <c r="CU2545" s="56"/>
      <c r="CV2545" s="56"/>
      <c r="CW2545" s="56"/>
      <c r="CX2545" s="56"/>
      <c r="CY2545" s="56"/>
      <c r="CZ2545" s="56"/>
    </row>
    <row r="2546" spans="27:104" s="5" customFormat="1" x14ac:dyDescent="0.25">
      <c r="AA2546" s="56"/>
      <c r="AB2546" s="56"/>
      <c r="AC2546" s="56"/>
      <c r="AD2546" s="56"/>
      <c r="AE2546" s="56"/>
      <c r="AF2546" s="56"/>
      <c r="AG2546" s="56"/>
      <c r="AH2546" s="56"/>
      <c r="AI2546" s="56"/>
      <c r="AJ2546" s="56"/>
      <c r="AK2546" s="56"/>
      <c r="AL2546" s="56"/>
      <c r="AM2546" s="56"/>
      <c r="AN2546" s="56"/>
      <c r="AO2546" s="56"/>
      <c r="AP2546" s="56"/>
      <c r="AQ2546" s="56"/>
      <c r="AR2546" s="56"/>
      <c r="AS2546" s="56"/>
      <c r="AT2546" s="56"/>
      <c r="AU2546" s="56"/>
      <c r="AV2546" s="56"/>
      <c r="AW2546" s="56"/>
      <c r="AX2546" s="56"/>
      <c r="AY2546" s="56"/>
      <c r="AZ2546" s="56"/>
      <c r="BA2546" s="56"/>
      <c r="BB2546" s="16"/>
      <c r="BC2546" s="56"/>
      <c r="BD2546" s="56"/>
      <c r="BE2546" s="56"/>
      <c r="BF2546" s="56"/>
      <c r="BG2546" s="56"/>
      <c r="BH2546" s="56"/>
      <c r="BI2546" s="56"/>
      <c r="BJ2546" s="56"/>
      <c r="BK2546" s="56"/>
      <c r="BL2546" s="56"/>
      <c r="BM2546" s="56"/>
      <c r="BN2546" s="56"/>
      <c r="BO2546" s="56"/>
      <c r="BP2546" s="56"/>
      <c r="BQ2546" s="56"/>
      <c r="BR2546" s="56"/>
      <c r="BS2546" s="56"/>
      <c r="BT2546" s="56"/>
      <c r="BU2546" s="56"/>
      <c r="BV2546" s="56"/>
      <c r="BW2546" s="56"/>
      <c r="BX2546" s="56"/>
      <c r="BY2546" s="56"/>
      <c r="BZ2546" s="56"/>
      <c r="CA2546" s="56"/>
      <c r="CB2546" s="56"/>
      <c r="CC2546" s="56"/>
      <c r="CD2546" s="56"/>
      <c r="CE2546" s="56"/>
      <c r="CF2546" s="56"/>
      <c r="CG2546" s="56"/>
      <c r="CH2546" s="56"/>
      <c r="CI2546" s="56"/>
      <c r="CJ2546" s="56"/>
      <c r="CK2546" s="56"/>
      <c r="CL2546" s="56"/>
      <c r="CM2546" s="56"/>
      <c r="CN2546" s="56"/>
      <c r="CO2546" s="56"/>
      <c r="CP2546" s="56"/>
      <c r="CQ2546" s="56"/>
      <c r="CR2546" s="56"/>
      <c r="CS2546" s="56"/>
      <c r="CT2546" s="56"/>
      <c r="CU2546" s="56"/>
      <c r="CV2546" s="56"/>
      <c r="CW2546" s="56"/>
      <c r="CX2546" s="56"/>
      <c r="CY2546" s="56"/>
      <c r="CZ2546" s="56"/>
    </row>
    <row r="2547" spans="27:104" s="5" customFormat="1" x14ac:dyDescent="0.25">
      <c r="AA2547" s="56"/>
      <c r="AB2547" s="56"/>
      <c r="AC2547" s="56"/>
      <c r="AD2547" s="56"/>
      <c r="AE2547" s="56"/>
      <c r="AF2547" s="56"/>
      <c r="AG2547" s="56"/>
      <c r="AH2547" s="56"/>
      <c r="AI2547" s="56"/>
      <c r="AJ2547" s="56"/>
      <c r="AK2547" s="56"/>
      <c r="AL2547" s="56"/>
      <c r="AM2547" s="56"/>
      <c r="AN2547" s="56"/>
      <c r="AO2547" s="56"/>
      <c r="AP2547" s="56"/>
      <c r="AQ2547" s="56"/>
      <c r="AR2547" s="56"/>
      <c r="AS2547" s="56"/>
      <c r="AT2547" s="56"/>
      <c r="AU2547" s="56"/>
      <c r="AV2547" s="56"/>
      <c r="AW2547" s="56"/>
      <c r="AX2547" s="56"/>
      <c r="AY2547" s="56"/>
      <c r="AZ2547" s="56"/>
      <c r="BA2547" s="56"/>
      <c r="BB2547" s="16"/>
      <c r="BC2547" s="56"/>
      <c r="BD2547" s="56"/>
      <c r="BE2547" s="56"/>
      <c r="BF2547" s="56"/>
      <c r="BG2547" s="56"/>
      <c r="BH2547" s="56"/>
      <c r="BI2547" s="56"/>
      <c r="BJ2547" s="56"/>
      <c r="BK2547" s="56"/>
      <c r="BL2547" s="56"/>
      <c r="BM2547" s="56"/>
      <c r="BN2547" s="56"/>
      <c r="BO2547" s="56"/>
      <c r="BP2547" s="56"/>
      <c r="BQ2547" s="56"/>
      <c r="BR2547" s="56"/>
      <c r="BS2547" s="56"/>
      <c r="BT2547" s="56"/>
      <c r="BU2547" s="56"/>
      <c r="BV2547" s="56"/>
      <c r="BW2547" s="56"/>
      <c r="BX2547" s="56"/>
      <c r="BY2547" s="56"/>
      <c r="BZ2547" s="56"/>
      <c r="CA2547" s="56"/>
      <c r="CB2547" s="56"/>
      <c r="CC2547" s="56"/>
      <c r="CD2547" s="56"/>
      <c r="CE2547" s="56"/>
      <c r="CF2547" s="56"/>
      <c r="CG2547" s="56"/>
      <c r="CH2547" s="56"/>
      <c r="CI2547" s="56"/>
      <c r="CJ2547" s="56"/>
      <c r="CK2547" s="56"/>
      <c r="CL2547" s="56"/>
      <c r="CM2547" s="56"/>
      <c r="CN2547" s="56"/>
      <c r="CO2547" s="56"/>
      <c r="CP2547" s="56"/>
      <c r="CQ2547" s="56"/>
      <c r="CR2547" s="56"/>
      <c r="CS2547" s="56"/>
      <c r="CT2547" s="56"/>
      <c r="CU2547" s="56"/>
      <c r="CV2547" s="56"/>
      <c r="CW2547" s="56"/>
      <c r="CX2547" s="56"/>
      <c r="CY2547" s="56"/>
      <c r="CZ2547" s="56"/>
    </row>
    <row r="2548" spans="27:104" s="5" customFormat="1" x14ac:dyDescent="0.25">
      <c r="AA2548" s="56"/>
      <c r="AB2548" s="56"/>
      <c r="AC2548" s="56"/>
      <c r="AD2548" s="56"/>
      <c r="AE2548" s="56"/>
      <c r="AF2548" s="56"/>
      <c r="AG2548" s="56"/>
      <c r="AH2548" s="56"/>
      <c r="AI2548" s="56"/>
      <c r="AJ2548" s="56"/>
      <c r="AK2548" s="56"/>
      <c r="AL2548" s="56"/>
      <c r="AM2548" s="56"/>
      <c r="AN2548" s="56"/>
      <c r="AO2548" s="56"/>
      <c r="AP2548" s="56"/>
      <c r="AQ2548" s="56"/>
      <c r="AR2548" s="56"/>
      <c r="AS2548" s="56"/>
      <c r="AT2548" s="56"/>
      <c r="AU2548" s="56"/>
      <c r="AV2548" s="56"/>
      <c r="AW2548" s="56"/>
      <c r="AX2548" s="56"/>
      <c r="AY2548" s="56"/>
      <c r="AZ2548" s="56"/>
      <c r="BA2548" s="56"/>
      <c r="BB2548" s="16"/>
      <c r="BC2548" s="56"/>
      <c r="BD2548" s="56"/>
      <c r="BE2548" s="56"/>
      <c r="BF2548" s="56"/>
      <c r="BG2548" s="56"/>
      <c r="BH2548" s="56"/>
      <c r="BI2548" s="56"/>
      <c r="BJ2548" s="56"/>
      <c r="BK2548" s="56"/>
      <c r="BL2548" s="56"/>
      <c r="BM2548" s="56"/>
      <c r="BN2548" s="56"/>
      <c r="BO2548" s="56"/>
      <c r="BP2548" s="56"/>
      <c r="BQ2548" s="56"/>
      <c r="BR2548" s="56"/>
      <c r="BS2548" s="56"/>
      <c r="BT2548" s="56"/>
      <c r="BU2548" s="56"/>
      <c r="BV2548" s="56"/>
      <c r="BW2548" s="56"/>
      <c r="BX2548" s="56"/>
      <c r="BY2548" s="56"/>
      <c r="BZ2548" s="56"/>
      <c r="CA2548" s="56"/>
      <c r="CB2548" s="56"/>
      <c r="CC2548" s="56"/>
      <c r="CD2548" s="56"/>
      <c r="CE2548" s="56"/>
      <c r="CF2548" s="56"/>
      <c r="CG2548" s="56"/>
      <c r="CH2548" s="56"/>
      <c r="CI2548" s="56"/>
      <c r="CJ2548" s="56"/>
      <c r="CK2548" s="56"/>
      <c r="CL2548" s="56"/>
      <c r="CM2548" s="56"/>
      <c r="CN2548" s="56"/>
      <c r="CO2548" s="56"/>
      <c r="CP2548" s="56"/>
      <c r="CQ2548" s="56"/>
      <c r="CR2548" s="56"/>
      <c r="CS2548" s="56"/>
      <c r="CT2548" s="56"/>
      <c r="CU2548" s="56"/>
      <c r="CV2548" s="56"/>
      <c r="CW2548" s="56"/>
      <c r="CX2548" s="56"/>
      <c r="CY2548" s="56"/>
      <c r="CZ2548" s="56"/>
    </row>
    <row r="2549" spans="27:104" s="5" customFormat="1" x14ac:dyDescent="0.25">
      <c r="AA2549" s="56"/>
      <c r="AB2549" s="56"/>
      <c r="AC2549" s="56"/>
      <c r="AD2549" s="56"/>
      <c r="AE2549" s="56"/>
      <c r="AF2549" s="56"/>
      <c r="AG2549" s="56"/>
      <c r="AH2549" s="56"/>
      <c r="AI2549" s="56"/>
      <c r="AJ2549" s="56"/>
      <c r="AK2549" s="56"/>
      <c r="AL2549" s="56"/>
      <c r="AM2549" s="56"/>
      <c r="AN2549" s="56"/>
      <c r="AO2549" s="56"/>
      <c r="AP2549" s="56"/>
      <c r="AQ2549" s="56"/>
      <c r="AR2549" s="56"/>
      <c r="AS2549" s="56"/>
      <c r="AT2549" s="56"/>
      <c r="AU2549" s="56"/>
      <c r="AV2549" s="56"/>
      <c r="AW2549" s="56"/>
      <c r="AX2549" s="56"/>
      <c r="AY2549" s="56"/>
      <c r="AZ2549" s="56"/>
      <c r="BA2549" s="56"/>
      <c r="BB2549" s="16"/>
      <c r="BC2549" s="56"/>
      <c r="BD2549" s="56"/>
      <c r="BE2549" s="56"/>
      <c r="BF2549" s="56"/>
      <c r="BG2549" s="56"/>
      <c r="BH2549" s="56"/>
      <c r="BI2549" s="56"/>
      <c r="BJ2549" s="56"/>
      <c r="BK2549" s="56"/>
      <c r="BL2549" s="56"/>
      <c r="BM2549" s="56"/>
      <c r="BN2549" s="56"/>
      <c r="BO2549" s="56"/>
      <c r="BP2549" s="56"/>
      <c r="BQ2549" s="56"/>
      <c r="BR2549" s="56"/>
      <c r="BS2549" s="56"/>
      <c r="BT2549" s="56"/>
      <c r="BU2549" s="56"/>
      <c r="BV2549" s="56"/>
      <c r="BW2549" s="56"/>
      <c r="BX2549" s="56"/>
      <c r="BY2549" s="56"/>
      <c r="BZ2549" s="56"/>
      <c r="CA2549" s="56"/>
      <c r="CB2549" s="56"/>
      <c r="CC2549" s="56"/>
      <c r="CD2549" s="56"/>
      <c r="CE2549" s="56"/>
      <c r="CF2549" s="56"/>
      <c r="CG2549" s="56"/>
      <c r="CH2549" s="56"/>
      <c r="CI2549" s="56"/>
      <c r="CJ2549" s="56"/>
      <c r="CK2549" s="56"/>
      <c r="CL2549" s="56"/>
      <c r="CM2549" s="56"/>
      <c r="CN2549" s="56"/>
      <c r="CO2549" s="56"/>
      <c r="CP2549" s="56"/>
      <c r="CQ2549" s="56"/>
      <c r="CR2549" s="56"/>
      <c r="CS2549" s="56"/>
      <c r="CT2549" s="56"/>
      <c r="CU2549" s="56"/>
      <c r="CV2549" s="56"/>
      <c r="CW2549" s="56"/>
      <c r="CX2549" s="56"/>
      <c r="CY2549" s="56"/>
      <c r="CZ2549" s="56"/>
    </row>
    <row r="2550" spans="27:104" s="5" customFormat="1" x14ac:dyDescent="0.25">
      <c r="AA2550" s="56"/>
      <c r="AB2550" s="56"/>
      <c r="AC2550" s="56"/>
      <c r="AD2550" s="56"/>
      <c r="AE2550" s="56"/>
      <c r="AF2550" s="56"/>
      <c r="AG2550" s="56"/>
      <c r="AH2550" s="56"/>
      <c r="AI2550" s="56"/>
      <c r="AJ2550" s="56"/>
      <c r="AK2550" s="56"/>
      <c r="AL2550" s="56"/>
      <c r="AM2550" s="56"/>
      <c r="AN2550" s="56"/>
      <c r="AO2550" s="56"/>
      <c r="AP2550" s="56"/>
      <c r="AQ2550" s="56"/>
      <c r="AR2550" s="56"/>
      <c r="AS2550" s="56"/>
      <c r="AT2550" s="56"/>
      <c r="AU2550" s="56"/>
      <c r="AV2550" s="56"/>
      <c r="AW2550" s="56"/>
      <c r="AX2550" s="56"/>
      <c r="AY2550" s="56"/>
      <c r="AZ2550" s="56"/>
      <c r="BA2550" s="56"/>
      <c r="BB2550" s="16"/>
      <c r="BC2550" s="56"/>
      <c r="BD2550" s="56"/>
      <c r="BE2550" s="56"/>
      <c r="BF2550" s="56"/>
      <c r="BG2550" s="56"/>
      <c r="BH2550" s="56"/>
      <c r="BI2550" s="56"/>
      <c r="BJ2550" s="56"/>
      <c r="BK2550" s="56"/>
      <c r="BL2550" s="56"/>
      <c r="BM2550" s="56"/>
      <c r="BN2550" s="56"/>
      <c r="BO2550" s="56"/>
      <c r="BP2550" s="56"/>
      <c r="BQ2550" s="56"/>
      <c r="BR2550" s="56"/>
      <c r="BS2550" s="56"/>
      <c r="BT2550" s="56"/>
      <c r="BU2550" s="56"/>
      <c r="BV2550" s="56"/>
      <c r="BW2550" s="56"/>
      <c r="BX2550" s="56"/>
      <c r="BY2550" s="56"/>
      <c r="BZ2550" s="56"/>
      <c r="CA2550" s="56"/>
      <c r="CB2550" s="56"/>
      <c r="CC2550" s="56"/>
      <c r="CD2550" s="56"/>
      <c r="CE2550" s="56"/>
      <c r="CF2550" s="56"/>
      <c r="CG2550" s="56"/>
      <c r="CH2550" s="56"/>
      <c r="CI2550" s="56"/>
      <c r="CJ2550" s="56"/>
      <c r="CK2550" s="56"/>
      <c r="CL2550" s="56"/>
      <c r="CM2550" s="56"/>
      <c r="CN2550" s="56"/>
      <c r="CO2550" s="56"/>
      <c r="CP2550" s="56"/>
      <c r="CQ2550" s="56"/>
      <c r="CR2550" s="56"/>
      <c r="CS2550" s="56"/>
      <c r="CT2550" s="56"/>
      <c r="CU2550" s="56"/>
      <c r="CV2550" s="56"/>
      <c r="CW2550" s="56"/>
      <c r="CX2550" s="56"/>
      <c r="CY2550" s="56"/>
      <c r="CZ2550" s="56"/>
    </row>
    <row r="2551" spans="27:104" s="5" customFormat="1" x14ac:dyDescent="0.25">
      <c r="AA2551" s="56"/>
      <c r="AB2551" s="56"/>
      <c r="AC2551" s="56"/>
      <c r="AD2551" s="56"/>
      <c r="AE2551" s="56"/>
      <c r="AF2551" s="56"/>
      <c r="AG2551" s="56"/>
      <c r="AH2551" s="56"/>
      <c r="AI2551" s="56"/>
      <c r="AJ2551" s="56"/>
      <c r="AK2551" s="56"/>
      <c r="AL2551" s="56"/>
      <c r="AM2551" s="56"/>
      <c r="AN2551" s="56"/>
      <c r="AO2551" s="56"/>
      <c r="AP2551" s="56"/>
      <c r="AQ2551" s="56"/>
      <c r="AR2551" s="56"/>
      <c r="AS2551" s="56"/>
      <c r="AT2551" s="56"/>
      <c r="AU2551" s="56"/>
      <c r="AV2551" s="56"/>
      <c r="AW2551" s="56"/>
      <c r="AX2551" s="56"/>
      <c r="AY2551" s="56"/>
      <c r="AZ2551" s="56"/>
      <c r="BA2551" s="56"/>
      <c r="BB2551" s="16"/>
      <c r="BC2551" s="56"/>
      <c r="BD2551" s="56"/>
      <c r="BE2551" s="56"/>
      <c r="BF2551" s="56"/>
      <c r="BG2551" s="56"/>
      <c r="BH2551" s="56"/>
      <c r="BI2551" s="56"/>
      <c r="BJ2551" s="56"/>
      <c r="BK2551" s="56"/>
      <c r="BL2551" s="56"/>
      <c r="BM2551" s="56"/>
      <c r="BN2551" s="56"/>
      <c r="BO2551" s="56"/>
      <c r="BP2551" s="56"/>
      <c r="BQ2551" s="56"/>
      <c r="BR2551" s="56"/>
      <c r="BS2551" s="56"/>
      <c r="BT2551" s="56"/>
      <c r="BU2551" s="56"/>
      <c r="BV2551" s="56"/>
      <c r="BW2551" s="56"/>
      <c r="BX2551" s="56"/>
      <c r="BY2551" s="56"/>
      <c r="BZ2551" s="56"/>
      <c r="CA2551" s="56"/>
      <c r="CB2551" s="56"/>
      <c r="CC2551" s="56"/>
      <c r="CD2551" s="56"/>
      <c r="CE2551" s="56"/>
      <c r="CF2551" s="56"/>
      <c r="CG2551" s="56"/>
      <c r="CH2551" s="56"/>
      <c r="CI2551" s="56"/>
      <c r="CJ2551" s="56"/>
      <c r="CK2551" s="56"/>
      <c r="CL2551" s="56"/>
      <c r="CM2551" s="56"/>
      <c r="CN2551" s="56"/>
      <c r="CO2551" s="56"/>
      <c r="CP2551" s="56"/>
      <c r="CQ2551" s="56"/>
      <c r="CR2551" s="56"/>
      <c r="CS2551" s="56"/>
      <c r="CT2551" s="56"/>
      <c r="CU2551" s="56"/>
      <c r="CV2551" s="56"/>
      <c r="CW2551" s="56"/>
      <c r="CX2551" s="56"/>
      <c r="CY2551" s="56"/>
      <c r="CZ2551" s="56"/>
    </row>
    <row r="2552" spans="27:104" s="5" customFormat="1" x14ac:dyDescent="0.25">
      <c r="AA2552" s="56"/>
      <c r="AB2552" s="56"/>
      <c r="AC2552" s="56"/>
      <c r="AD2552" s="56"/>
      <c r="AE2552" s="56"/>
      <c r="AF2552" s="56"/>
      <c r="AG2552" s="56"/>
      <c r="AH2552" s="56"/>
      <c r="AI2552" s="56"/>
      <c r="AJ2552" s="56"/>
      <c r="AK2552" s="56"/>
      <c r="AL2552" s="56"/>
      <c r="AM2552" s="56"/>
      <c r="AN2552" s="56"/>
      <c r="AO2552" s="56"/>
      <c r="AP2552" s="56"/>
      <c r="AQ2552" s="56"/>
      <c r="AR2552" s="56"/>
      <c r="AS2552" s="56"/>
      <c r="AT2552" s="56"/>
      <c r="AU2552" s="56"/>
      <c r="AV2552" s="56"/>
      <c r="AW2552" s="56"/>
      <c r="AX2552" s="56"/>
      <c r="AY2552" s="56"/>
      <c r="AZ2552" s="56"/>
      <c r="BA2552" s="56"/>
      <c r="BB2552" s="16"/>
      <c r="BC2552" s="56"/>
      <c r="BD2552" s="56"/>
      <c r="BE2552" s="56"/>
      <c r="BF2552" s="56"/>
      <c r="BG2552" s="56"/>
      <c r="BH2552" s="56"/>
      <c r="BI2552" s="56"/>
      <c r="BJ2552" s="56"/>
      <c r="BK2552" s="56"/>
      <c r="BL2552" s="56"/>
      <c r="BM2552" s="56"/>
      <c r="BN2552" s="56"/>
      <c r="BO2552" s="56"/>
      <c r="BP2552" s="56"/>
      <c r="BQ2552" s="56"/>
      <c r="BR2552" s="56"/>
      <c r="BS2552" s="56"/>
      <c r="BT2552" s="56"/>
      <c r="BU2552" s="56"/>
      <c r="BV2552" s="56"/>
      <c r="BW2552" s="56"/>
      <c r="BX2552" s="56"/>
      <c r="BY2552" s="56"/>
      <c r="BZ2552" s="56"/>
      <c r="CA2552" s="56"/>
      <c r="CB2552" s="56"/>
      <c r="CC2552" s="56"/>
      <c r="CD2552" s="56"/>
      <c r="CE2552" s="56"/>
      <c r="CF2552" s="56"/>
      <c r="CG2552" s="56"/>
      <c r="CH2552" s="56"/>
      <c r="CI2552" s="56"/>
      <c r="CJ2552" s="56"/>
      <c r="CK2552" s="56"/>
      <c r="CL2552" s="56"/>
      <c r="CM2552" s="56"/>
      <c r="CN2552" s="56"/>
      <c r="CO2552" s="56"/>
      <c r="CP2552" s="56"/>
      <c r="CQ2552" s="56"/>
      <c r="CR2552" s="56"/>
      <c r="CS2552" s="56"/>
      <c r="CT2552" s="56"/>
      <c r="CU2552" s="56"/>
      <c r="CV2552" s="56"/>
      <c r="CW2552" s="56"/>
      <c r="CX2552" s="56"/>
      <c r="CY2552" s="56"/>
      <c r="CZ2552" s="56"/>
    </row>
    <row r="2553" spans="27:104" s="5" customFormat="1" x14ac:dyDescent="0.25">
      <c r="AA2553" s="56"/>
      <c r="AB2553" s="56"/>
      <c r="AC2553" s="56"/>
      <c r="AD2553" s="56"/>
      <c r="AE2553" s="56"/>
      <c r="AF2553" s="56"/>
      <c r="AG2553" s="56"/>
      <c r="AH2553" s="56"/>
      <c r="AI2553" s="56"/>
      <c r="AJ2553" s="56"/>
      <c r="AK2553" s="56"/>
      <c r="AL2553" s="56"/>
      <c r="AM2553" s="56"/>
      <c r="AN2553" s="56"/>
      <c r="AO2553" s="56"/>
      <c r="AP2553" s="56"/>
      <c r="AQ2553" s="56"/>
      <c r="AR2553" s="56"/>
      <c r="AS2553" s="56"/>
      <c r="AT2553" s="56"/>
      <c r="AU2553" s="56"/>
      <c r="AV2553" s="56"/>
      <c r="AW2553" s="56"/>
      <c r="AX2553" s="56"/>
      <c r="AY2553" s="56"/>
      <c r="AZ2553" s="56"/>
      <c r="BA2553" s="56"/>
      <c r="BB2553" s="16"/>
      <c r="BC2553" s="56"/>
      <c r="BD2553" s="56"/>
      <c r="BE2553" s="56"/>
      <c r="BF2553" s="56"/>
      <c r="BG2553" s="56"/>
      <c r="BH2553" s="56"/>
      <c r="BI2553" s="56"/>
      <c r="BJ2553" s="56"/>
      <c r="BK2553" s="56"/>
      <c r="BL2553" s="56"/>
      <c r="BM2553" s="56"/>
      <c r="BN2553" s="56"/>
      <c r="BO2553" s="56"/>
      <c r="BP2553" s="56"/>
      <c r="BQ2553" s="56"/>
      <c r="BR2553" s="56"/>
      <c r="BS2553" s="56"/>
      <c r="BT2553" s="56"/>
      <c r="BU2553" s="56"/>
      <c r="BV2553" s="56"/>
      <c r="BW2553" s="56"/>
      <c r="BX2553" s="56"/>
      <c r="BY2553" s="56"/>
      <c r="BZ2553" s="56"/>
      <c r="CA2553" s="56"/>
      <c r="CB2553" s="56"/>
      <c r="CC2553" s="56"/>
      <c r="CD2553" s="56"/>
      <c r="CE2553" s="56"/>
      <c r="CF2553" s="56"/>
      <c r="CG2553" s="56"/>
      <c r="CH2553" s="56"/>
      <c r="CI2553" s="56"/>
      <c r="CJ2553" s="56"/>
      <c r="CK2553" s="56"/>
      <c r="CL2553" s="56"/>
      <c r="CM2553" s="56"/>
      <c r="CN2553" s="56"/>
      <c r="CO2553" s="56"/>
      <c r="CP2553" s="56"/>
      <c r="CQ2553" s="56"/>
      <c r="CR2553" s="56"/>
      <c r="CS2553" s="56"/>
      <c r="CT2553" s="56"/>
      <c r="CU2553" s="56"/>
      <c r="CV2553" s="56"/>
      <c r="CW2553" s="56"/>
      <c r="CX2553" s="56"/>
      <c r="CY2553" s="56"/>
      <c r="CZ2553" s="56"/>
    </row>
    <row r="2554" spans="27:104" s="5" customFormat="1" x14ac:dyDescent="0.25">
      <c r="AA2554" s="56"/>
      <c r="AB2554" s="56"/>
      <c r="AC2554" s="56"/>
      <c r="AD2554" s="56"/>
      <c r="AE2554" s="56"/>
      <c r="AF2554" s="56"/>
      <c r="AG2554" s="56"/>
      <c r="AH2554" s="56"/>
      <c r="AI2554" s="56"/>
      <c r="AJ2554" s="56"/>
      <c r="AK2554" s="56"/>
      <c r="AL2554" s="56"/>
      <c r="AM2554" s="56"/>
      <c r="AN2554" s="56"/>
      <c r="AO2554" s="56"/>
      <c r="AP2554" s="56"/>
      <c r="AQ2554" s="56"/>
      <c r="AR2554" s="56"/>
      <c r="AS2554" s="56"/>
      <c r="AT2554" s="56"/>
      <c r="AU2554" s="56"/>
      <c r="AV2554" s="56"/>
      <c r="AW2554" s="56"/>
      <c r="AX2554" s="56"/>
      <c r="AY2554" s="56"/>
      <c r="AZ2554" s="56"/>
      <c r="BA2554" s="56"/>
      <c r="BB2554" s="16"/>
      <c r="BC2554" s="56"/>
      <c r="BD2554" s="56"/>
      <c r="BE2554" s="56"/>
      <c r="BF2554" s="56"/>
      <c r="BG2554" s="56"/>
      <c r="BH2554" s="56"/>
      <c r="BI2554" s="56"/>
      <c r="BJ2554" s="56"/>
      <c r="BK2554" s="56"/>
      <c r="BL2554" s="56"/>
      <c r="BM2554" s="56"/>
      <c r="BN2554" s="56"/>
      <c r="BO2554" s="56"/>
      <c r="BP2554" s="56"/>
      <c r="BQ2554" s="56"/>
      <c r="BR2554" s="56"/>
      <c r="BS2554" s="56"/>
      <c r="BT2554" s="56"/>
      <c r="BU2554" s="56"/>
      <c r="BV2554" s="56"/>
      <c r="BW2554" s="56"/>
      <c r="BX2554" s="56"/>
      <c r="BY2554" s="56"/>
      <c r="BZ2554" s="56"/>
      <c r="CA2554" s="56"/>
      <c r="CB2554" s="56"/>
      <c r="CC2554" s="56"/>
      <c r="CD2554" s="56"/>
      <c r="CE2554" s="56"/>
      <c r="CF2554" s="56"/>
      <c r="CG2554" s="56"/>
      <c r="CH2554" s="56"/>
      <c r="CI2554" s="56"/>
      <c r="CJ2554" s="56"/>
      <c r="CK2554" s="56"/>
      <c r="CL2554" s="56"/>
      <c r="CM2554" s="56"/>
      <c r="CN2554" s="56"/>
      <c r="CO2554" s="56"/>
      <c r="CP2554" s="56"/>
      <c r="CQ2554" s="56"/>
      <c r="CR2554" s="56"/>
      <c r="CS2554" s="56"/>
      <c r="CT2554" s="56"/>
      <c r="CU2554" s="56"/>
      <c r="CV2554" s="56"/>
      <c r="CW2554" s="56"/>
      <c r="CX2554" s="56"/>
      <c r="CY2554" s="56"/>
      <c r="CZ2554" s="56"/>
    </row>
    <row r="2555" spans="27:104" s="5" customFormat="1" x14ac:dyDescent="0.25">
      <c r="AA2555" s="56"/>
      <c r="AB2555" s="56"/>
      <c r="AC2555" s="56"/>
      <c r="AD2555" s="56"/>
      <c r="AE2555" s="56"/>
      <c r="AF2555" s="56"/>
      <c r="AG2555" s="56"/>
      <c r="AH2555" s="56"/>
      <c r="AI2555" s="56"/>
      <c r="AJ2555" s="56"/>
      <c r="AK2555" s="56"/>
      <c r="AL2555" s="56"/>
      <c r="AM2555" s="56"/>
      <c r="AN2555" s="56"/>
      <c r="AO2555" s="56"/>
      <c r="AP2555" s="56"/>
      <c r="AQ2555" s="56"/>
      <c r="AR2555" s="56"/>
      <c r="AS2555" s="56"/>
      <c r="AT2555" s="56"/>
      <c r="AU2555" s="56"/>
      <c r="AV2555" s="56"/>
      <c r="AW2555" s="56"/>
      <c r="AX2555" s="56"/>
      <c r="AY2555" s="56"/>
      <c r="AZ2555" s="56"/>
      <c r="BA2555" s="56"/>
      <c r="BB2555" s="16"/>
      <c r="BC2555" s="56"/>
      <c r="BD2555" s="56"/>
      <c r="BE2555" s="56"/>
      <c r="BF2555" s="56"/>
      <c r="BG2555" s="56"/>
      <c r="BH2555" s="56"/>
      <c r="BI2555" s="56"/>
      <c r="BJ2555" s="56"/>
      <c r="BK2555" s="56"/>
      <c r="BL2555" s="56"/>
      <c r="BM2555" s="56"/>
      <c r="BN2555" s="56"/>
      <c r="BO2555" s="56"/>
      <c r="BP2555" s="56"/>
      <c r="BQ2555" s="56"/>
      <c r="BR2555" s="56"/>
      <c r="BS2555" s="56"/>
      <c r="BT2555" s="56"/>
      <c r="BU2555" s="56"/>
      <c r="BV2555" s="56"/>
      <c r="BW2555" s="56"/>
      <c r="BX2555" s="56"/>
      <c r="BY2555" s="56"/>
      <c r="BZ2555" s="56"/>
      <c r="CA2555" s="56"/>
      <c r="CB2555" s="56"/>
      <c r="CC2555" s="56"/>
      <c r="CD2555" s="56"/>
      <c r="CE2555" s="56"/>
      <c r="CF2555" s="56"/>
      <c r="CG2555" s="56"/>
      <c r="CH2555" s="56"/>
      <c r="CI2555" s="56"/>
      <c r="CJ2555" s="56"/>
      <c r="CK2555" s="56"/>
      <c r="CL2555" s="56"/>
      <c r="CM2555" s="56"/>
      <c r="CN2555" s="56"/>
      <c r="CO2555" s="56"/>
      <c r="CP2555" s="56"/>
      <c r="CQ2555" s="56"/>
      <c r="CR2555" s="56"/>
      <c r="CS2555" s="56"/>
      <c r="CT2555" s="56"/>
      <c r="CU2555" s="56"/>
      <c r="CV2555" s="56"/>
      <c r="CW2555" s="56"/>
      <c r="CX2555" s="56"/>
      <c r="CY2555" s="56"/>
      <c r="CZ2555" s="56"/>
    </row>
    <row r="2556" spans="27:104" s="5" customFormat="1" x14ac:dyDescent="0.25">
      <c r="AA2556" s="56"/>
      <c r="AB2556" s="56"/>
      <c r="AC2556" s="56"/>
      <c r="AD2556" s="56"/>
      <c r="AE2556" s="56"/>
      <c r="AF2556" s="56"/>
      <c r="AG2556" s="56"/>
      <c r="AH2556" s="56"/>
      <c r="AI2556" s="56"/>
      <c r="AJ2556" s="56"/>
      <c r="AK2556" s="56"/>
      <c r="AL2556" s="56"/>
      <c r="AM2556" s="56"/>
      <c r="AN2556" s="56"/>
      <c r="AO2556" s="56"/>
      <c r="AP2556" s="56"/>
      <c r="AQ2556" s="56"/>
      <c r="AR2556" s="56"/>
      <c r="AS2556" s="56"/>
      <c r="AT2556" s="56"/>
      <c r="AU2556" s="56"/>
      <c r="AV2556" s="56"/>
      <c r="AW2556" s="56"/>
      <c r="AX2556" s="56"/>
      <c r="AY2556" s="56"/>
      <c r="AZ2556" s="56"/>
      <c r="BA2556" s="56"/>
      <c r="BB2556" s="16"/>
      <c r="BC2556" s="56"/>
      <c r="BD2556" s="56"/>
      <c r="BE2556" s="56"/>
      <c r="BF2556" s="56"/>
      <c r="BG2556" s="56"/>
      <c r="BH2556" s="56"/>
      <c r="BI2556" s="56"/>
      <c r="BJ2556" s="56"/>
      <c r="BK2556" s="56"/>
      <c r="BL2556" s="56"/>
      <c r="BM2556" s="56"/>
      <c r="BN2556" s="56"/>
      <c r="BO2556" s="56"/>
      <c r="BP2556" s="56"/>
      <c r="BQ2556" s="56"/>
      <c r="BR2556" s="56"/>
      <c r="BS2556" s="56"/>
      <c r="BT2556" s="56"/>
      <c r="BU2556" s="56"/>
      <c r="BV2556" s="56"/>
      <c r="BW2556" s="56"/>
      <c r="BX2556" s="56"/>
      <c r="BY2556" s="56"/>
      <c r="BZ2556" s="56"/>
      <c r="CA2556" s="56"/>
      <c r="CB2556" s="56"/>
      <c r="CC2556" s="56"/>
      <c r="CD2556" s="56"/>
      <c r="CE2556" s="56"/>
      <c r="CF2556" s="56"/>
      <c r="CG2556" s="56"/>
      <c r="CH2556" s="56"/>
      <c r="CI2556" s="56"/>
      <c r="CJ2556" s="56"/>
      <c r="CK2556" s="56"/>
      <c r="CL2556" s="56"/>
      <c r="CM2556" s="56"/>
      <c r="CN2556" s="56"/>
      <c r="CO2556" s="56"/>
      <c r="CP2556" s="56"/>
      <c r="CQ2556" s="56"/>
      <c r="CR2556" s="56"/>
      <c r="CS2556" s="56"/>
      <c r="CT2556" s="56"/>
      <c r="CU2556" s="56"/>
      <c r="CV2556" s="56"/>
      <c r="CW2556" s="56"/>
      <c r="CX2556" s="56"/>
      <c r="CY2556" s="56"/>
      <c r="CZ2556" s="56"/>
    </row>
    <row r="2557" spans="27:104" s="5" customFormat="1" x14ac:dyDescent="0.25">
      <c r="AA2557" s="56"/>
      <c r="AB2557" s="56"/>
      <c r="AC2557" s="56"/>
      <c r="AD2557" s="56"/>
      <c r="AE2557" s="56"/>
      <c r="AF2557" s="56"/>
      <c r="AG2557" s="56"/>
      <c r="AH2557" s="56"/>
      <c r="AI2557" s="56"/>
      <c r="AJ2557" s="56"/>
      <c r="AK2557" s="56"/>
      <c r="AL2557" s="56"/>
      <c r="AM2557" s="56"/>
      <c r="AN2557" s="56"/>
      <c r="AO2557" s="56"/>
      <c r="AP2557" s="56"/>
      <c r="AQ2557" s="56"/>
      <c r="AR2557" s="56"/>
      <c r="AS2557" s="56"/>
      <c r="AT2557" s="56"/>
      <c r="AU2557" s="56"/>
      <c r="AV2557" s="56"/>
      <c r="AW2557" s="56"/>
      <c r="AX2557" s="56"/>
      <c r="AY2557" s="56"/>
      <c r="AZ2557" s="56"/>
      <c r="BA2557" s="56"/>
      <c r="BB2557" s="16"/>
      <c r="BC2557" s="56"/>
      <c r="BD2557" s="56"/>
      <c r="BE2557" s="56"/>
      <c r="BF2557" s="56"/>
      <c r="BG2557" s="56"/>
      <c r="BH2557" s="56"/>
      <c r="BI2557" s="56"/>
      <c r="BJ2557" s="56"/>
      <c r="BK2557" s="56"/>
      <c r="BL2557" s="56"/>
      <c r="BM2557" s="56"/>
      <c r="BN2557" s="56"/>
      <c r="BO2557" s="56"/>
      <c r="BP2557" s="56"/>
      <c r="BQ2557" s="56"/>
      <c r="BR2557" s="56"/>
      <c r="BS2557" s="56"/>
      <c r="BT2557" s="56"/>
      <c r="BU2557" s="56"/>
      <c r="BV2557" s="56"/>
      <c r="BW2557" s="56"/>
      <c r="BX2557" s="56"/>
      <c r="BY2557" s="56"/>
      <c r="BZ2557" s="56"/>
      <c r="CA2557" s="56"/>
      <c r="CB2557" s="56"/>
      <c r="CC2557" s="56"/>
      <c r="CD2557" s="56"/>
      <c r="CE2557" s="56"/>
      <c r="CF2557" s="56"/>
      <c r="CG2557" s="56"/>
      <c r="CH2557" s="56"/>
      <c r="CI2557" s="56"/>
      <c r="CJ2557" s="56"/>
      <c r="CK2557" s="56"/>
      <c r="CL2557" s="56"/>
      <c r="CM2557" s="56"/>
      <c r="CN2557" s="56"/>
      <c r="CO2557" s="56"/>
      <c r="CP2557" s="56"/>
      <c r="CQ2557" s="56"/>
      <c r="CR2557" s="56"/>
      <c r="CS2557" s="56"/>
      <c r="CT2557" s="56"/>
      <c r="CU2557" s="56"/>
      <c r="CV2557" s="56"/>
      <c r="CW2557" s="56"/>
      <c r="CX2557" s="56"/>
      <c r="CY2557" s="56"/>
      <c r="CZ2557" s="56"/>
    </row>
    <row r="2558" spans="27:104" s="5" customFormat="1" x14ac:dyDescent="0.25">
      <c r="AA2558" s="56"/>
      <c r="AB2558" s="56"/>
      <c r="AC2558" s="56"/>
      <c r="AD2558" s="56"/>
      <c r="AE2558" s="56"/>
      <c r="AF2558" s="56"/>
      <c r="AG2558" s="56"/>
      <c r="AH2558" s="56"/>
      <c r="AI2558" s="56"/>
      <c r="AJ2558" s="56"/>
      <c r="AK2558" s="56"/>
      <c r="AL2558" s="56"/>
      <c r="AM2558" s="56"/>
      <c r="AN2558" s="56"/>
      <c r="AO2558" s="56"/>
      <c r="AP2558" s="56"/>
      <c r="AQ2558" s="56"/>
      <c r="AR2558" s="56"/>
      <c r="AS2558" s="56"/>
      <c r="AT2558" s="56"/>
      <c r="AU2558" s="56"/>
      <c r="AV2558" s="56"/>
      <c r="AW2558" s="56"/>
      <c r="AX2558" s="56"/>
      <c r="AY2558" s="56"/>
      <c r="AZ2558" s="56"/>
      <c r="BA2558" s="56"/>
      <c r="BB2558" s="16"/>
      <c r="BC2558" s="56"/>
      <c r="BD2558" s="56"/>
      <c r="BE2558" s="56"/>
      <c r="BF2558" s="56"/>
      <c r="BG2558" s="56"/>
      <c r="BH2558" s="56"/>
      <c r="BI2558" s="56"/>
      <c r="BJ2558" s="56"/>
      <c r="BK2558" s="56"/>
      <c r="BL2558" s="56"/>
      <c r="BM2558" s="56"/>
      <c r="BN2558" s="56"/>
      <c r="BO2558" s="56"/>
      <c r="BP2558" s="56"/>
      <c r="BQ2558" s="56"/>
      <c r="BR2558" s="56"/>
      <c r="BS2558" s="56"/>
      <c r="BT2558" s="56"/>
      <c r="BU2558" s="56"/>
      <c r="BV2558" s="56"/>
      <c r="BW2558" s="56"/>
      <c r="BX2558" s="56"/>
      <c r="BY2558" s="56"/>
      <c r="BZ2558" s="56"/>
      <c r="CA2558" s="56"/>
      <c r="CB2558" s="56"/>
      <c r="CC2558" s="56"/>
      <c r="CD2558" s="56"/>
      <c r="CE2558" s="56"/>
      <c r="CF2558" s="56"/>
      <c r="CG2558" s="56"/>
      <c r="CH2558" s="56"/>
      <c r="CI2558" s="56"/>
      <c r="CJ2558" s="56"/>
      <c r="CK2558" s="56"/>
      <c r="CL2558" s="56"/>
      <c r="CM2558" s="56"/>
      <c r="CN2558" s="56"/>
      <c r="CO2558" s="56"/>
      <c r="CP2558" s="56"/>
      <c r="CQ2558" s="56"/>
      <c r="CR2558" s="56"/>
      <c r="CS2558" s="56"/>
      <c r="CT2558" s="56"/>
      <c r="CU2558" s="56"/>
      <c r="CV2558" s="56"/>
      <c r="CW2558" s="56"/>
      <c r="CX2558" s="56"/>
      <c r="CY2558" s="56"/>
      <c r="CZ2558" s="56"/>
    </row>
    <row r="2559" spans="27:104" s="5" customFormat="1" x14ac:dyDescent="0.25">
      <c r="AA2559" s="56"/>
      <c r="AB2559" s="56"/>
      <c r="AC2559" s="56"/>
      <c r="AD2559" s="56"/>
      <c r="AE2559" s="56"/>
      <c r="AF2559" s="56"/>
      <c r="AG2559" s="56"/>
      <c r="AH2559" s="56"/>
      <c r="AI2559" s="56"/>
      <c r="AJ2559" s="56"/>
      <c r="AK2559" s="56"/>
      <c r="AL2559" s="56"/>
      <c r="AM2559" s="56"/>
      <c r="AN2559" s="56"/>
      <c r="AO2559" s="56"/>
      <c r="AP2559" s="56"/>
      <c r="AQ2559" s="56"/>
      <c r="AR2559" s="56"/>
      <c r="AS2559" s="56"/>
      <c r="AT2559" s="56"/>
      <c r="AU2559" s="56"/>
      <c r="AV2559" s="56"/>
      <c r="AW2559" s="56"/>
      <c r="AX2559" s="56"/>
      <c r="AY2559" s="56"/>
      <c r="AZ2559" s="56"/>
      <c r="BA2559" s="56"/>
      <c r="BB2559" s="16"/>
      <c r="BC2559" s="56"/>
      <c r="BD2559" s="56"/>
      <c r="BE2559" s="56"/>
      <c r="BF2559" s="56"/>
      <c r="BG2559" s="56"/>
      <c r="BH2559" s="56"/>
      <c r="BI2559" s="56"/>
      <c r="BJ2559" s="56"/>
      <c r="BK2559" s="56"/>
      <c r="BL2559" s="56"/>
      <c r="BM2559" s="56"/>
      <c r="BN2559" s="56"/>
      <c r="BO2559" s="56"/>
      <c r="BP2559" s="56"/>
      <c r="BQ2559" s="56"/>
      <c r="BR2559" s="56"/>
      <c r="BS2559" s="56"/>
      <c r="BT2559" s="56"/>
      <c r="BU2559" s="56"/>
      <c r="BV2559" s="56"/>
      <c r="BW2559" s="56"/>
      <c r="BX2559" s="56"/>
      <c r="BY2559" s="56"/>
      <c r="BZ2559" s="56"/>
      <c r="CA2559" s="56"/>
      <c r="CB2559" s="56"/>
      <c r="CC2559" s="56"/>
      <c r="CD2559" s="56"/>
      <c r="CE2559" s="56"/>
      <c r="CF2559" s="56"/>
      <c r="CG2559" s="56"/>
      <c r="CH2559" s="56"/>
      <c r="CI2559" s="56"/>
      <c r="CJ2559" s="56"/>
      <c r="CK2559" s="56"/>
      <c r="CL2559" s="56"/>
      <c r="CM2559" s="56"/>
      <c r="CN2559" s="56"/>
      <c r="CO2559" s="56"/>
      <c r="CP2559" s="56"/>
      <c r="CQ2559" s="56"/>
      <c r="CR2559" s="56"/>
      <c r="CS2559" s="56"/>
      <c r="CT2559" s="56"/>
      <c r="CU2559" s="56"/>
      <c r="CV2559" s="56"/>
      <c r="CW2559" s="56"/>
      <c r="CX2559" s="56"/>
      <c r="CY2559" s="56"/>
      <c r="CZ2559" s="56"/>
    </row>
    <row r="2560" spans="27:104" s="5" customFormat="1" x14ac:dyDescent="0.25">
      <c r="AA2560" s="56"/>
      <c r="AB2560" s="56"/>
      <c r="AC2560" s="56"/>
      <c r="AD2560" s="56"/>
      <c r="AE2560" s="56"/>
      <c r="AF2560" s="56"/>
      <c r="AG2560" s="56"/>
      <c r="AH2560" s="56"/>
      <c r="AI2560" s="56"/>
      <c r="AJ2560" s="56"/>
      <c r="AK2560" s="56"/>
      <c r="AL2560" s="56"/>
      <c r="AM2560" s="56"/>
      <c r="AN2560" s="56"/>
      <c r="AO2560" s="56"/>
      <c r="AP2560" s="56"/>
      <c r="AQ2560" s="56"/>
      <c r="AR2560" s="56"/>
      <c r="AS2560" s="56"/>
      <c r="AT2560" s="56"/>
      <c r="AU2560" s="56"/>
      <c r="AV2560" s="56"/>
      <c r="AW2560" s="56"/>
      <c r="AX2560" s="56"/>
      <c r="AY2560" s="56"/>
      <c r="AZ2560" s="56"/>
      <c r="BA2560" s="56"/>
      <c r="BB2560" s="16"/>
      <c r="BC2560" s="56"/>
      <c r="BD2560" s="56"/>
      <c r="BE2560" s="56"/>
      <c r="BF2560" s="56"/>
      <c r="BG2560" s="56"/>
      <c r="BH2560" s="56"/>
      <c r="BI2560" s="56"/>
      <c r="BJ2560" s="56"/>
      <c r="BK2560" s="56"/>
      <c r="BL2560" s="56"/>
      <c r="BM2560" s="56"/>
      <c r="BN2560" s="56"/>
      <c r="BO2560" s="56"/>
      <c r="BP2560" s="56"/>
      <c r="BQ2560" s="56"/>
      <c r="BR2560" s="56"/>
      <c r="BS2560" s="56"/>
      <c r="BT2560" s="56"/>
      <c r="BU2560" s="56"/>
      <c r="BV2560" s="56"/>
      <c r="BW2560" s="56"/>
      <c r="BX2560" s="56"/>
      <c r="BY2560" s="56"/>
      <c r="BZ2560" s="56"/>
      <c r="CA2560" s="56"/>
      <c r="CB2560" s="56"/>
      <c r="CC2560" s="56"/>
      <c r="CD2560" s="56"/>
      <c r="CE2560" s="56"/>
      <c r="CF2560" s="56"/>
      <c r="CG2560" s="56"/>
      <c r="CH2560" s="56"/>
      <c r="CI2560" s="56"/>
      <c r="CJ2560" s="56"/>
      <c r="CK2560" s="56"/>
      <c r="CL2560" s="56"/>
      <c r="CM2560" s="56"/>
      <c r="CN2560" s="56"/>
      <c r="CO2560" s="56"/>
      <c r="CP2560" s="56"/>
      <c r="CQ2560" s="56"/>
      <c r="CR2560" s="56"/>
      <c r="CS2560" s="56"/>
      <c r="CT2560" s="56"/>
      <c r="CU2560" s="56"/>
      <c r="CV2560" s="56"/>
      <c r="CW2560" s="56"/>
      <c r="CX2560" s="56"/>
      <c r="CY2560" s="56"/>
      <c r="CZ2560" s="56"/>
    </row>
    <row r="2561" spans="27:104" s="5" customFormat="1" x14ac:dyDescent="0.25">
      <c r="AA2561" s="56"/>
      <c r="AB2561" s="56"/>
      <c r="AC2561" s="56"/>
      <c r="AD2561" s="56"/>
      <c r="AE2561" s="56"/>
      <c r="AF2561" s="56"/>
      <c r="AG2561" s="56"/>
      <c r="AH2561" s="56"/>
      <c r="AI2561" s="56"/>
      <c r="AJ2561" s="56"/>
      <c r="AK2561" s="56"/>
      <c r="AL2561" s="56"/>
      <c r="AM2561" s="56"/>
      <c r="AN2561" s="56"/>
      <c r="AO2561" s="56"/>
      <c r="AP2561" s="56"/>
      <c r="AQ2561" s="56"/>
      <c r="AR2561" s="56"/>
      <c r="AS2561" s="56"/>
      <c r="AT2561" s="56"/>
      <c r="AU2561" s="56"/>
      <c r="AV2561" s="56"/>
      <c r="AW2561" s="56"/>
      <c r="AX2561" s="56"/>
      <c r="AY2561" s="56"/>
      <c r="AZ2561" s="56"/>
      <c r="BA2561" s="56"/>
      <c r="BB2561" s="16"/>
      <c r="BC2561" s="56"/>
      <c r="BD2561" s="56"/>
      <c r="BE2561" s="56"/>
      <c r="BF2561" s="56"/>
      <c r="BG2561" s="56"/>
      <c r="BH2561" s="56"/>
      <c r="BI2561" s="56"/>
      <c r="BJ2561" s="56"/>
      <c r="BK2561" s="56"/>
      <c r="BL2561" s="56"/>
      <c r="BM2561" s="56"/>
      <c r="BN2561" s="56"/>
      <c r="BO2561" s="56"/>
      <c r="BP2561" s="56"/>
      <c r="BQ2561" s="56"/>
      <c r="BR2561" s="56"/>
      <c r="BS2561" s="56"/>
      <c r="BT2561" s="56"/>
      <c r="BU2561" s="56"/>
      <c r="BV2561" s="56"/>
      <c r="BW2561" s="56"/>
      <c r="BX2561" s="56"/>
      <c r="BY2561" s="56"/>
      <c r="BZ2561" s="56"/>
      <c r="CA2561" s="56"/>
      <c r="CB2561" s="56"/>
      <c r="CC2561" s="56"/>
      <c r="CD2561" s="56"/>
      <c r="CE2561" s="56"/>
      <c r="CF2561" s="56"/>
      <c r="CG2561" s="56"/>
      <c r="CH2561" s="56"/>
      <c r="CI2561" s="56"/>
      <c r="CJ2561" s="56"/>
      <c r="CK2561" s="56"/>
      <c r="CL2561" s="56"/>
      <c r="CM2561" s="56"/>
      <c r="CN2561" s="56"/>
      <c r="CO2561" s="56"/>
      <c r="CP2561" s="56"/>
      <c r="CQ2561" s="56"/>
      <c r="CR2561" s="56"/>
      <c r="CS2561" s="56"/>
      <c r="CT2561" s="56"/>
      <c r="CU2561" s="56"/>
      <c r="CV2561" s="56"/>
      <c r="CW2561" s="56"/>
      <c r="CX2561" s="56"/>
      <c r="CY2561" s="56"/>
      <c r="CZ2561" s="56"/>
    </row>
    <row r="2562" spans="27:104" s="5" customFormat="1" x14ac:dyDescent="0.25">
      <c r="AA2562" s="56"/>
      <c r="AB2562" s="56"/>
      <c r="AC2562" s="56"/>
      <c r="AD2562" s="56"/>
      <c r="AE2562" s="56"/>
      <c r="AF2562" s="56"/>
      <c r="AG2562" s="56"/>
      <c r="AH2562" s="56"/>
      <c r="AI2562" s="56"/>
      <c r="AJ2562" s="56"/>
      <c r="AK2562" s="56"/>
      <c r="AL2562" s="56"/>
      <c r="AM2562" s="56"/>
      <c r="AN2562" s="56"/>
      <c r="AO2562" s="56"/>
      <c r="AP2562" s="56"/>
      <c r="AQ2562" s="56"/>
      <c r="AR2562" s="56"/>
      <c r="AS2562" s="56"/>
      <c r="AT2562" s="56"/>
      <c r="AU2562" s="56"/>
      <c r="AV2562" s="56"/>
      <c r="AW2562" s="56"/>
      <c r="AX2562" s="56"/>
      <c r="AY2562" s="56"/>
      <c r="AZ2562" s="56"/>
      <c r="BA2562" s="56"/>
      <c r="BB2562" s="16"/>
      <c r="BC2562" s="56"/>
      <c r="BD2562" s="56"/>
      <c r="BE2562" s="56"/>
      <c r="BF2562" s="56"/>
      <c r="BG2562" s="56"/>
      <c r="BH2562" s="56"/>
      <c r="BI2562" s="56"/>
      <c r="BJ2562" s="56"/>
      <c r="BK2562" s="56"/>
      <c r="BL2562" s="56"/>
      <c r="BM2562" s="56"/>
      <c r="BN2562" s="56"/>
      <c r="BO2562" s="56"/>
      <c r="BP2562" s="56"/>
      <c r="BQ2562" s="56"/>
      <c r="BR2562" s="56"/>
      <c r="BS2562" s="56"/>
      <c r="BT2562" s="56"/>
      <c r="BU2562" s="56"/>
      <c r="BV2562" s="56"/>
      <c r="BW2562" s="56"/>
      <c r="BX2562" s="56"/>
      <c r="BY2562" s="56"/>
      <c r="BZ2562" s="56"/>
      <c r="CA2562" s="56"/>
      <c r="CB2562" s="56"/>
      <c r="CC2562" s="56"/>
      <c r="CD2562" s="56"/>
      <c r="CE2562" s="56"/>
      <c r="CF2562" s="56"/>
      <c r="CG2562" s="56"/>
      <c r="CH2562" s="56"/>
      <c r="CI2562" s="56"/>
      <c r="CJ2562" s="56"/>
      <c r="CK2562" s="56"/>
      <c r="CL2562" s="56"/>
      <c r="CM2562" s="56"/>
      <c r="CN2562" s="56"/>
      <c r="CO2562" s="56"/>
      <c r="CP2562" s="56"/>
      <c r="CQ2562" s="56"/>
      <c r="CR2562" s="56"/>
      <c r="CS2562" s="56"/>
      <c r="CT2562" s="56"/>
      <c r="CU2562" s="56"/>
      <c r="CV2562" s="56"/>
      <c r="CW2562" s="56"/>
      <c r="CX2562" s="56"/>
      <c r="CY2562" s="56"/>
      <c r="CZ2562" s="56"/>
    </row>
    <row r="2563" spans="27:104" s="5" customFormat="1" x14ac:dyDescent="0.25">
      <c r="AA2563" s="56"/>
      <c r="AB2563" s="56"/>
      <c r="AC2563" s="56"/>
      <c r="AD2563" s="56"/>
      <c r="AE2563" s="56"/>
      <c r="AF2563" s="56"/>
      <c r="AG2563" s="56"/>
      <c r="AH2563" s="56"/>
      <c r="AI2563" s="56"/>
      <c r="AJ2563" s="56"/>
      <c r="AK2563" s="56"/>
      <c r="AL2563" s="56"/>
      <c r="AM2563" s="56"/>
      <c r="AN2563" s="56"/>
      <c r="AO2563" s="56"/>
      <c r="AP2563" s="56"/>
      <c r="AQ2563" s="56"/>
      <c r="AR2563" s="56"/>
      <c r="AS2563" s="56"/>
      <c r="AT2563" s="56"/>
      <c r="AU2563" s="56"/>
      <c r="AV2563" s="56"/>
      <c r="AW2563" s="56"/>
      <c r="AX2563" s="56"/>
      <c r="AY2563" s="56"/>
      <c r="AZ2563" s="56"/>
      <c r="BA2563" s="56"/>
      <c r="BB2563" s="16"/>
      <c r="BC2563" s="56"/>
      <c r="BD2563" s="56"/>
      <c r="BE2563" s="56"/>
      <c r="BF2563" s="56"/>
      <c r="BG2563" s="56"/>
      <c r="BH2563" s="56"/>
      <c r="BI2563" s="56"/>
      <c r="BJ2563" s="56"/>
      <c r="BK2563" s="56"/>
      <c r="BL2563" s="56"/>
      <c r="BM2563" s="56"/>
      <c r="BN2563" s="56"/>
      <c r="BO2563" s="56"/>
      <c r="BP2563" s="56"/>
      <c r="BQ2563" s="56"/>
      <c r="BR2563" s="56"/>
      <c r="BS2563" s="56"/>
      <c r="BT2563" s="56"/>
      <c r="BU2563" s="56"/>
      <c r="BV2563" s="56"/>
      <c r="BW2563" s="56"/>
      <c r="BX2563" s="56"/>
      <c r="BY2563" s="56"/>
      <c r="BZ2563" s="56"/>
      <c r="CA2563" s="56"/>
      <c r="CB2563" s="56"/>
      <c r="CC2563" s="56"/>
      <c r="CD2563" s="56"/>
      <c r="CE2563" s="56"/>
      <c r="CF2563" s="56"/>
      <c r="CG2563" s="56"/>
      <c r="CH2563" s="56"/>
      <c r="CI2563" s="56"/>
      <c r="CJ2563" s="56"/>
      <c r="CK2563" s="56"/>
      <c r="CL2563" s="56"/>
      <c r="CM2563" s="56"/>
      <c r="CN2563" s="56"/>
      <c r="CO2563" s="56"/>
      <c r="CP2563" s="56"/>
      <c r="CQ2563" s="56"/>
      <c r="CR2563" s="56"/>
      <c r="CS2563" s="56"/>
      <c r="CT2563" s="56"/>
      <c r="CU2563" s="56"/>
      <c r="CV2563" s="56"/>
      <c r="CW2563" s="56"/>
      <c r="CX2563" s="56"/>
      <c r="CY2563" s="56"/>
      <c r="CZ2563" s="56"/>
    </row>
    <row r="2564" spans="27:104" s="5" customFormat="1" x14ac:dyDescent="0.25">
      <c r="AA2564" s="56"/>
      <c r="AB2564" s="56"/>
      <c r="AC2564" s="56"/>
      <c r="AD2564" s="56"/>
      <c r="AE2564" s="56"/>
      <c r="AF2564" s="56"/>
      <c r="AG2564" s="56"/>
      <c r="AH2564" s="56"/>
      <c r="AI2564" s="56"/>
      <c r="AJ2564" s="56"/>
      <c r="AK2564" s="56"/>
      <c r="AL2564" s="56"/>
      <c r="AM2564" s="56"/>
      <c r="AN2564" s="56"/>
      <c r="AO2564" s="56"/>
      <c r="AP2564" s="56"/>
      <c r="AQ2564" s="56"/>
      <c r="AR2564" s="56"/>
      <c r="AS2564" s="56"/>
      <c r="AT2564" s="56"/>
      <c r="AU2564" s="56"/>
      <c r="AV2564" s="56"/>
      <c r="AW2564" s="56"/>
      <c r="AX2564" s="56"/>
      <c r="AY2564" s="56"/>
      <c r="AZ2564" s="56"/>
      <c r="BA2564" s="56"/>
      <c r="BB2564" s="16"/>
      <c r="BC2564" s="56"/>
      <c r="BD2564" s="56"/>
      <c r="BE2564" s="56"/>
      <c r="BF2564" s="56"/>
      <c r="BG2564" s="56"/>
      <c r="BH2564" s="56"/>
      <c r="BI2564" s="56"/>
      <c r="BJ2564" s="56"/>
      <c r="BK2564" s="56"/>
      <c r="BL2564" s="56"/>
      <c r="BM2564" s="56"/>
      <c r="BN2564" s="56"/>
      <c r="BO2564" s="56"/>
      <c r="BP2564" s="56"/>
      <c r="BQ2564" s="56"/>
      <c r="BR2564" s="56"/>
      <c r="BS2564" s="56"/>
      <c r="BT2564" s="56"/>
      <c r="BU2564" s="56"/>
      <c r="BV2564" s="56"/>
      <c r="BW2564" s="56"/>
      <c r="BX2564" s="56"/>
      <c r="BY2564" s="56"/>
      <c r="BZ2564" s="56"/>
      <c r="CA2564" s="56"/>
      <c r="CB2564" s="56"/>
      <c r="CC2564" s="56"/>
      <c r="CD2564" s="56"/>
      <c r="CE2564" s="56"/>
      <c r="CF2564" s="56"/>
      <c r="CG2564" s="56"/>
      <c r="CH2564" s="56"/>
      <c r="CI2564" s="56"/>
      <c r="CJ2564" s="56"/>
      <c r="CK2564" s="56"/>
      <c r="CL2564" s="56"/>
      <c r="CM2564" s="56"/>
      <c r="CN2564" s="56"/>
      <c r="CO2564" s="56"/>
      <c r="CP2564" s="56"/>
      <c r="CQ2564" s="56"/>
      <c r="CR2564" s="56"/>
      <c r="CS2564" s="56"/>
      <c r="CT2564" s="56"/>
      <c r="CU2564" s="56"/>
      <c r="CV2564" s="56"/>
      <c r="CW2564" s="56"/>
      <c r="CX2564" s="56"/>
      <c r="CY2564" s="56"/>
      <c r="CZ2564" s="56"/>
    </row>
    <row r="2565" spans="27:104" s="5" customFormat="1" x14ac:dyDescent="0.25">
      <c r="AA2565" s="56"/>
      <c r="AB2565" s="56"/>
      <c r="AC2565" s="56"/>
      <c r="AD2565" s="56"/>
      <c r="AE2565" s="56"/>
      <c r="AF2565" s="56"/>
      <c r="AG2565" s="56"/>
      <c r="AH2565" s="56"/>
      <c r="AI2565" s="56"/>
      <c r="AJ2565" s="56"/>
      <c r="AK2565" s="56"/>
      <c r="AL2565" s="56"/>
      <c r="AM2565" s="56"/>
      <c r="AN2565" s="56"/>
      <c r="AO2565" s="56"/>
      <c r="AP2565" s="56"/>
      <c r="AQ2565" s="56"/>
      <c r="AR2565" s="56"/>
      <c r="AS2565" s="56"/>
      <c r="AT2565" s="56"/>
      <c r="AU2565" s="56"/>
      <c r="AV2565" s="56"/>
      <c r="AW2565" s="56"/>
      <c r="AX2565" s="56"/>
      <c r="AY2565" s="56"/>
      <c r="AZ2565" s="56"/>
      <c r="BA2565" s="56"/>
      <c r="BB2565" s="16"/>
      <c r="BC2565" s="56"/>
      <c r="BD2565" s="56"/>
      <c r="BE2565" s="56"/>
      <c r="BF2565" s="56"/>
      <c r="BG2565" s="56"/>
      <c r="BH2565" s="56"/>
      <c r="BI2565" s="56"/>
      <c r="BJ2565" s="56"/>
      <c r="BK2565" s="56"/>
      <c r="BL2565" s="56"/>
      <c r="BM2565" s="56"/>
      <c r="BN2565" s="56"/>
      <c r="BO2565" s="56"/>
      <c r="BP2565" s="56"/>
      <c r="BQ2565" s="56"/>
      <c r="BR2565" s="56"/>
      <c r="BS2565" s="56"/>
      <c r="BT2565" s="56"/>
      <c r="BU2565" s="56"/>
      <c r="BV2565" s="56"/>
      <c r="BW2565" s="56"/>
      <c r="BX2565" s="56"/>
      <c r="BY2565" s="56"/>
      <c r="BZ2565" s="56"/>
      <c r="CA2565" s="56"/>
      <c r="CB2565" s="56"/>
      <c r="CC2565" s="56"/>
      <c r="CD2565" s="56"/>
      <c r="CE2565" s="56"/>
      <c r="CF2565" s="56"/>
      <c r="CG2565" s="56"/>
      <c r="CH2565" s="56"/>
      <c r="CI2565" s="56"/>
      <c r="CJ2565" s="56"/>
      <c r="CK2565" s="56"/>
      <c r="CL2565" s="56"/>
      <c r="CM2565" s="56"/>
      <c r="CN2565" s="56"/>
      <c r="CO2565" s="56"/>
      <c r="CP2565" s="56"/>
      <c r="CQ2565" s="56"/>
      <c r="CR2565" s="56"/>
      <c r="CS2565" s="56"/>
      <c r="CT2565" s="56"/>
      <c r="CU2565" s="56"/>
      <c r="CV2565" s="56"/>
      <c r="CW2565" s="56"/>
      <c r="CX2565" s="56"/>
      <c r="CY2565" s="56"/>
      <c r="CZ2565" s="56"/>
    </row>
    <row r="2566" spans="27:104" s="5" customFormat="1" x14ac:dyDescent="0.25">
      <c r="AA2566" s="56"/>
      <c r="AB2566" s="56"/>
      <c r="AC2566" s="56"/>
      <c r="AD2566" s="56"/>
      <c r="AE2566" s="56"/>
      <c r="AF2566" s="56"/>
      <c r="AG2566" s="56"/>
      <c r="AH2566" s="56"/>
      <c r="AI2566" s="56"/>
      <c r="AJ2566" s="56"/>
      <c r="AK2566" s="56"/>
      <c r="AL2566" s="56"/>
      <c r="AM2566" s="56"/>
      <c r="AN2566" s="56"/>
      <c r="AO2566" s="56"/>
      <c r="AP2566" s="56"/>
      <c r="AQ2566" s="56"/>
      <c r="AR2566" s="56"/>
      <c r="AS2566" s="56"/>
      <c r="AT2566" s="56"/>
      <c r="AU2566" s="56"/>
      <c r="AV2566" s="56"/>
      <c r="AW2566" s="56"/>
      <c r="AX2566" s="56"/>
      <c r="AY2566" s="56"/>
      <c r="AZ2566" s="56"/>
      <c r="BA2566" s="56"/>
      <c r="BB2566" s="16"/>
      <c r="BC2566" s="56"/>
      <c r="BD2566" s="56"/>
      <c r="BE2566" s="56"/>
      <c r="BF2566" s="56"/>
      <c r="BG2566" s="56"/>
      <c r="BH2566" s="56"/>
      <c r="BI2566" s="56"/>
      <c r="BJ2566" s="56"/>
      <c r="BK2566" s="56"/>
      <c r="BL2566" s="56"/>
      <c r="BM2566" s="56"/>
      <c r="BN2566" s="56"/>
      <c r="BO2566" s="56"/>
      <c r="BP2566" s="56"/>
      <c r="BQ2566" s="56"/>
      <c r="BR2566" s="56"/>
      <c r="BS2566" s="56"/>
      <c r="BT2566" s="56"/>
      <c r="BU2566" s="56"/>
      <c r="BV2566" s="56"/>
      <c r="BW2566" s="56"/>
      <c r="BX2566" s="56"/>
      <c r="BY2566" s="56"/>
      <c r="BZ2566" s="56"/>
      <c r="CA2566" s="56"/>
      <c r="CB2566" s="56"/>
      <c r="CC2566" s="56"/>
      <c r="CD2566" s="56"/>
      <c r="CE2566" s="56"/>
      <c r="CF2566" s="56"/>
      <c r="CG2566" s="56"/>
      <c r="CH2566" s="56"/>
      <c r="CI2566" s="56"/>
      <c r="CJ2566" s="56"/>
      <c r="CK2566" s="56"/>
      <c r="CL2566" s="56"/>
      <c r="CM2566" s="56"/>
      <c r="CN2566" s="56"/>
      <c r="CO2566" s="56"/>
      <c r="CP2566" s="56"/>
      <c r="CQ2566" s="56"/>
      <c r="CR2566" s="56"/>
      <c r="CS2566" s="56"/>
      <c r="CT2566" s="56"/>
      <c r="CU2566" s="56"/>
      <c r="CV2566" s="56"/>
      <c r="CW2566" s="56"/>
      <c r="CX2566" s="56"/>
      <c r="CY2566" s="56"/>
      <c r="CZ2566" s="56"/>
    </row>
    <row r="2567" spans="27:104" s="5" customFormat="1" x14ac:dyDescent="0.25">
      <c r="AA2567" s="56"/>
      <c r="AB2567" s="56"/>
      <c r="AC2567" s="56"/>
      <c r="AD2567" s="56"/>
      <c r="AE2567" s="56"/>
      <c r="AF2567" s="56"/>
      <c r="AG2567" s="56"/>
      <c r="AH2567" s="56"/>
      <c r="AI2567" s="56"/>
      <c r="AJ2567" s="56"/>
      <c r="AK2567" s="56"/>
      <c r="AL2567" s="56"/>
      <c r="AM2567" s="56"/>
      <c r="AN2567" s="56"/>
      <c r="AO2567" s="56"/>
      <c r="AP2567" s="56"/>
      <c r="AQ2567" s="56"/>
      <c r="AR2567" s="56"/>
      <c r="AS2567" s="56"/>
      <c r="AT2567" s="56"/>
      <c r="AU2567" s="56"/>
      <c r="AV2567" s="56"/>
      <c r="AW2567" s="56"/>
      <c r="AX2567" s="56"/>
      <c r="AY2567" s="56"/>
      <c r="AZ2567" s="56"/>
      <c r="BA2567" s="56"/>
      <c r="BB2567" s="16"/>
      <c r="BC2567" s="56"/>
      <c r="BD2567" s="56"/>
      <c r="BE2567" s="56"/>
      <c r="BF2567" s="56"/>
      <c r="BG2567" s="56"/>
      <c r="BH2567" s="56"/>
      <c r="BI2567" s="56"/>
      <c r="BJ2567" s="56"/>
      <c r="BK2567" s="56"/>
      <c r="BL2567" s="56"/>
      <c r="BM2567" s="56"/>
      <c r="BN2567" s="56"/>
      <c r="BO2567" s="56"/>
      <c r="BP2567" s="56"/>
      <c r="BQ2567" s="56"/>
      <c r="BR2567" s="56"/>
      <c r="BS2567" s="56"/>
      <c r="BT2567" s="56"/>
      <c r="BU2567" s="56"/>
      <c r="BV2567" s="56"/>
      <c r="BW2567" s="56"/>
      <c r="BX2567" s="56"/>
      <c r="BY2567" s="56"/>
      <c r="BZ2567" s="56"/>
      <c r="CA2567" s="56"/>
      <c r="CB2567" s="56"/>
      <c r="CC2567" s="56"/>
      <c r="CD2567" s="56"/>
      <c r="CE2567" s="56"/>
      <c r="CF2567" s="56"/>
      <c r="CG2567" s="56"/>
      <c r="CH2567" s="56"/>
      <c r="CI2567" s="56"/>
      <c r="CJ2567" s="56"/>
      <c r="CK2567" s="56"/>
      <c r="CL2567" s="56"/>
      <c r="CM2567" s="56"/>
      <c r="CN2567" s="56"/>
      <c r="CO2567" s="56"/>
      <c r="CP2567" s="56"/>
      <c r="CQ2567" s="56"/>
      <c r="CR2567" s="56"/>
      <c r="CS2567" s="56"/>
      <c r="CT2567" s="56"/>
      <c r="CU2567" s="56"/>
      <c r="CV2567" s="56"/>
      <c r="CW2567" s="56"/>
      <c r="CX2567" s="56"/>
      <c r="CY2567" s="56"/>
      <c r="CZ2567" s="56"/>
    </row>
    <row r="2568" spans="27:104" s="5" customFormat="1" x14ac:dyDescent="0.25">
      <c r="AA2568" s="56"/>
      <c r="AB2568" s="56"/>
      <c r="AC2568" s="56"/>
      <c r="AD2568" s="56"/>
      <c r="AE2568" s="56"/>
      <c r="AF2568" s="56"/>
      <c r="AG2568" s="56"/>
      <c r="AH2568" s="56"/>
      <c r="AI2568" s="56"/>
      <c r="AJ2568" s="56"/>
      <c r="AK2568" s="56"/>
      <c r="AL2568" s="56"/>
      <c r="AM2568" s="56"/>
      <c r="AN2568" s="56"/>
      <c r="AO2568" s="56"/>
      <c r="AP2568" s="56"/>
      <c r="AQ2568" s="56"/>
      <c r="AR2568" s="56"/>
      <c r="AS2568" s="56"/>
      <c r="AT2568" s="56"/>
      <c r="AU2568" s="56"/>
      <c r="AV2568" s="56"/>
      <c r="AW2568" s="56"/>
      <c r="AX2568" s="56"/>
      <c r="AY2568" s="56"/>
      <c r="AZ2568" s="56"/>
      <c r="BA2568" s="56"/>
      <c r="BB2568" s="16"/>
      <c r="BC2568" s="56"/>
      <c r="BD2568" s="56"/>
      <c r="BE2568" s="56"/>
      <c r="BF2568" s="56"/>
      <c r="BG2568" s="56"/>
      <c r="BH2568" s="56"/>
      <c r="BI2568" s="56"/>
      <c r="BJ2568" s="56"/>
      <c r="BK2568" s="56"/>
      <c r="BL2568" s="56"/>
      <c r="BM2568" s="56"/>
      <c r="BN2568" s="56"/>
      <c r="BO2568" s="56"/>
      <c r="BP2568" s="56"/>
      <c r="BQ2568" s="56"/>
      <c r="BR2568" s="56"/>
      <c r="BS2568" s="56"/>
      <c r="BT2568" s="56"/>
      <c r="BU2568" s="56"/>
      <c r="BV2568" s="56"/>
      <c r="BW2568" s="56"/>
      <c r="BX2568" s="56"/>
      <c r="BY2568" s="56"/>
      <c r="BZ2568" s="56"/>
      <c r="CA2568" s="56"/>
      <c r="CB2568" s="56"/>
      <c r="CC2568" s="56"/>
      <c r="CD2568" s="56"/>
      <c r="CE2568" s="56"/>
      <c r="CF2568" s="56"/>
      <c r="CG2568" s="56"/>
      <c r="CH2568" s="56"/>
      <c r="CI2568" s="56"/>
      <c r="CJ2568" s="56"/>
      <c r="CK2568" s="56"/>
      <c r="CL2568" s="56"/>
      <c r="CM2568" s="56"/>
      <c r="CN2568" s="56"/>
      <c r="CO2568" s="56"/>
      <c r="CP2568" s="56"/>
      <c r="CQ2568" s="56"/>
      <c r="CR2568" s="56"/>
      <c r="CS2568" s="56"/>
      <c r="CT2568" s="56"/>
      <c r="CU2568" s="56"/>
      <c r="CV2568" s="56"/>
      <c r="CW2568" s="56"/>
      <c r="CX2568" s="56"/>
      <c r="CY2568" s="56"/>
      <c r="CZ2568" s="56"/>
    </row>
    <row r="2569" spans="27:104" s="5" customFormat="1" x14ac:dyDescent="0.25">
      <c r="AA2569" s="56"/>
      <c r="AB2569" s="56"/>
      <c r="AC2569" s="56"/>
      <c r="AD2569" s="56"/>
      <c r="AE2569" s="56"/>
      <c r="AF2569" s="56"/>
      <c r="AG2569" s="56"/>
      <c r="AH2569" s="56"/>
      <c r="AI2569" s="56"/>
      <c r="AJ2569" s="56"/>
      <c r="AK2569" s="56"/>
      <c r="AL2569" s="56"/>
      <c r="AM2569" s="56"/>
      <c r="AN2569" s="56"/>
      <c r="AO2569" s="56"/>
      <c r="AP2569" s="56"/>
      <c r="AQ2569" s="56"/>
      <c r="AR2569" s="56"/>
      <c r="AS2569" s="56"/>
      <c r="AT2569" s="56"/>
      <c r="AU2569" s="56"/>
      <c r="AV2569" s="56"/>
      <c r="AW2569" s="56"/>
      <c r="AX2569" s="56"/>
      <c r="AY2569" s="56"/>
      <c r="AZ2569" s="56"/>
      <c r="BA2569" s="56"/>
      <c r="BB2569" s="16"/>
      <c r="BC2569" s="56"/>
      <c r="BD2569" s="56"/>
      <c r="BE2569" s="56"/>
      <c r="BF2569" s="56"/>
      <c r="BG2569" s="56"/>
      <c r="BH2569" s="56"/>
      <c r="BI2569" s="56"/>
      <c r="BJ2569" s="56"/>
      <c r="BK2569" s="56"/>
      <c r="BL2569" s="56"/>
      <c r="BM2569" s="56"/>
      <c r="BN2569" s="56"/>
      <c r="BO2569" s="56"/>
      <c r="BP2569" s="56"/>
      <c r="BQ2569" s="56"/>
      <c r="BR2569" s="56"/>
      <c r="BS2569" s="56"/>
      <c r="BT2569" s="56"/>
      <c r="BU2569" s="56"/>
      <c r="BV2569" s="56"/>
      <c r="BW2569" s="56"/>
      <c r="BX2569" s="56"/>
      <c r="BY2569" s="56"/>
      <c r="BZ2569" s="56"/>
      <c r="CA2569" s="56"/>
      <c r="CB2569" s="56"/>
      <c r="CC2569" s="56"/>
      <c r="CD2569" s="56"/>
      <c r="CE2569" s="56"/>
      <c r="CF2569" s="56"/>
      <c r="CG2569" s="56"/>
      <c r="CH2569" s="56"/>
      <c r="CI2569" s="56"/>
      <c r="CJ2569" s="56"/>
      <c r="CK2569" s="56"/>
      <c r="CL2569" s="56"/>
      <c r="CM2569" s="56"/>
      <c r="CN2569" s="56"/>
      <c r="CO2569" s="56"/>
      <c r="CP2569" s="56"/>
      <c r="CQ2569" s="56"/>
      <c r="CR2569" s="56"/>
      <c r="CS2569" s="56"/>
      <c r="CT2569" s="56"/>
      <c r="CU2569" s="56"/>
      <c r="CV2569" s="56"/>
      <c r="CW2569" s="56"/>
      <c r="CX2569" s="56"/>
      <c r="CY2569" s="56"/>
      <c r="CZ2569" s="56"/>
    </row>
    <row r="2570" spans="27:104" s="5" customFormat="1" x14ac:dyDescent="0.25">
      <c r="AA2570" s="56"/>
      <c r="AB2570" s="56"/>
      <c r="AC2570" s="56"/>
      <c r="AD2570" s="56"/>
      <c r="AE2570" s="56"/>
      <c r="AF2570" s="56"/>
      <c r="AG2570" s="56"/>
      <c r="AH2570" s="56"/>
      <c r="AI2570" s="56"/>
      <c r="AJ2570" s="56"/>
      <c r="AK2570" s="56"/>
      <c r="AL2570" s="56"/>
      <c r="AM2570" s="56"/>
      <c r="AN2570" s="56"/>
      <c r="AO2570" s="56"/>
      <c r="AP2570" s="56"/>
      <c r="AQ2570" s="56"/>
      <c r="AR2570" s="56"/>
      <c r="AS2570" s="56"/>
      <c r="AT2570" s="56"/>
      <c r="AU2570" s="56"/>
      <c r="AV2570" s="56"/>
      <c r="AW2570" s="56"/>
      <c r="AX2570" s="56"/>
      <c r="AY2570" s="56"/>
      <c r="AZ2570" s="56"/>
      <c r="BA2570" s="56"/>
      <c r="BB2570" s="16"/>
      <c r="BC2570" s="56"/>
      <c r="BD2570" s="56"/>
      <c r="BE2570" s="56"/>
      <c r="BF2570" s="56"/>
      <c r="BG2570" s="56"/>
      <c r="BH2570" s="56"/>
      <c r="BI2570" s="56"/>
      <c r="BJ2570" s="56"/>
      <c r="BK2570" s="56"/>
      <c r="BL2570" s="56"/>
      <c r="BM2570" s="56"/>
      <c r="BN2570" s="56"/>
      <c r="BO2570" s="56"/>
      <c r="BP2570" s="56"/>
      <c r="BQ2570" s="56"/>
      <c r="BR2570" s="56"/>
      <c r="BS2570" s="56"/>
      <c r="BT2570" s="56"/>
      <c r="BU2570" s="56"/>
      <c r="BV2570" s="56"/>
      <c r="BW2570" s="56"/>
      <c r="BX2570" s="56"/>
      <c r="BY2570" s="56"/>
      <c r="BZ2570" s="56"/>
      <c r="CA2570" s="56"/>
      <c r="CB2570" s="56"/>
      <c r="CC2570" s="56"/>
      <c r="CD2570" s="56"/>
      <c r="CE2570" s="56"/>
      <c r="CF2570" s="56"/>
      <c r="CG2570" s="56"/>
      <c r="CH2570" s="56"/>
      <c r="CI2570" s="56"/>
      <c r="CJ2570" s="56"/>
      <c r="CK2570" s="56"/>
      <c r="CL2570" s="56"/>
      <c r="CM2570" s="56"/>
      <c r="CN2570" s="56"/>
      <c r="CO2570" s="56"/>
      <c r="CP2570" s="56"/>
      <c r="CQ2570" s="56"/>
      <c r="CR2570" s="56"/>
      <c r="CS2570" s="56"/>
      <c r="CT2570" s="56"/>
      <c r="CU2570" s="56"/>
      <c r="CV2570" s="56"/>
      <c r="CW2570" s="56"/>
      <c r="CX2570" s="56"/>
      <c r="CY2570" s="56"/>
      <c r="CZ2570" s="56"/>
    </row>
    <row r="2571" spans="27:104" s="5" customFormat="1" x14ac:dyDescent="0.25">
      <c r="AA2571" s="56"/>
      <c r="AB2571" s="56"/>
      <c r="AC2571" s="56"/>
      <c r="AD2571" s="56"/>
      <c r="AE2571" s="56"/>
      <c r="AF2571" s="56"/>
      <c r="AG2571" s="56"/>
      <c r="AH2571" s="56"/>
      <c r="AI2571" s="56"/>
      <c r="AJ2571" s="56"/>
      <c r="AK2571" s="56"/>
      <c r="AL2571" s="56"/>
      <c r="AM2571" s="56"/>
      <c r="AN2571" s="56"/>
      <c r="AO2571" s="56"/>
      <c r="AP2571" s="56"/>
      <c r="AQ2571" s="56"/>
      <c r="AR2571" s="56"/>
      <c r="AS2571" s="56"/>
      <c r="AT2571" s="56"/>
      <c r="AU2571" s="56"/>
      <c r="AV2571" s="56"/>
      <c r="AW2571" s="56"/>
      <c r="AX2571" s="56"/>
      <c r="AY2571" s="56"/>
      <c r="AZ2571" s="56"/>
      <c r="BA2571" s="56"/>
      <c r="BB2571" s="16"/>
      <c r="BC2571" s="56"/>
      <c r="BD2571" s="56"/>
      <c r="BE2571" s="56"/>
      <c r="BF2571" s="56"/>
      <c r="BG2571" s="56"/>
      <c r="BH2571" s="56"/>
      <c r="BI2571" s="56"/>
      <c r="BJ2571" s="56"/>
      <c r="BK2571" s="56"/>
      <c r="BL2571" s="56"/>
      <c r="BM2571" s="56"/>
      <c r="BN2571" s="56"/>
      <c r="BO2571" s="56"/>
      <c r="BP2571" s="56"/>
      <c r="BQ2571" s="56"/>
      <c r="BR2571" s="56"/>
      <c r="BS2571" s="56"/>
      <c r="BT2571" s="56"/>
      <c r="BU2571" s="56"/>
      <c r="BV2571" s="56"/>
      <c r="BW2571" s="56"/>
      <c r="BX2571" s="56"/>
      <c r="BY2571" s="56"/>
      <c r="BZ2571" s="56"/>
      <c r="CA2571" s="56"/>
      <c r="CB2571" s="56"/>
      <c r="CC2571" s="56"/>
      <c r="CD2571" s="56"/>
      <c r="CE2571" s="56"/>
      <c r="CF2571" s="56"/>
      <c r="CG2571" s="56"/>
      <c r="CH2571" s="56"/>
      <c r="CI2571" s="56"/>
      <c r="CJ2571" s="56"/>
      <c r="CK2571" s="56"/>
      <c r="CL2571" s="56"/>
      <c r="CM2571" s="56"/>
      <c r="CN2571" s="56"/>
      <c r="CO2571" s="56"/>
      <c r="CP2571" s="56"/>
      <c r="CQ2571" s="56"/>
      <c r="CR2571" s="56"/>
      <c r="CS2571" s="56"/>
      <c r="CT2571" s="56"/>
      <c r="CU2571" s="56"/>
      <c r="CV2571" s="56"/>
      <c r="CW2571" s="56"/>
      <c r="CX2571" s="56"/>
      <c r="CY2571" s="56"/>
      <c r="CZ2571" s="56"/>
    </row>
    <row r="2572" spans="27:104" s="5" customFormat="1" x14ac:dyDescent="0.25">
      <c r="AA2572" s="56"/>
      <c r="AB2572" s="56"/>
      <c r="AC2572" s="56"/>
      <c r="AD2572" s="56"/>
      <c r="AE2572" s="56"/>
      <c r="AF2572" s="56"/>
      <c r="AG2572" s="56"/>
      <c r="AH2572" s="56"/>
      <c r="AI2572" s="56"/>
      <c r="AJ2572" s="56"/>
      <c r="AK2572" s="56"/>
      <c r="AL2572" s="56"/>
      <c r="AM2572" s="56"/>
      <c r="AN2572" s="56"/>
      <c r="AO2572" s="56"/>
      <c r="AP2572" s="56"/>
      <c r="AQ2572" s="56"/>
      <c r="AR2572" s="56"/>
      <c r="AS2572" s="56"/>
      <c r="AT2572" s="56"/>
      <c r="AU2572" s="56"/>
      <c r="AV2572" s="56"/>
      <c r="AW2572" s="56"/>
      <c r="AX2572" s="56"/>
      <c r="AY2572" s="56"/>
      <c r="AZ2572" s="56"/>
      <c r="BA2572" s="56"/>
      <c r="BB2572" s="16"/>
      <c r="BC2572" s="56"/>
      <c r="BD2572" s="56"/>
      <c r="BE2572" s="56"/>
      <c r="BF2572" s="56"/>
      <c r="BG2572" s="56"/>
      <c r="BH2572" s="56"/>
      <c r="BI2572" s="56"/>
      <c r="BJ2572" s="56"/>
      <c r="BK2572" s="56"/>
      <c r="BL2572" s="56"/>
      <c r="BM2572" s="56"/>
      <c r="BN2572" s="56"/>
      <c r="BO2572" s="56"/>
      <c r="BP2572" s="56"/>
      <c r="BQ2572" s="56"/>
      <c r="BR2572" s="56"/>
      <c r="BS2572" s="56"/>
      <c r="BT2572" s="56"/>
      <c r="BU2572" s="56"/>
      <c r="BV2572" s="56"/>
      <c r="BW2572" s="56"/>
      <c r="BX2572" s="56"/>
      <c r="BY2572" s="56"/>
      <c r="BZ2572" s="56"/>
      <c r="CA2572" s="56"/>
      <c r="CB2572" s="56"/>
      <c r="CC2572" s="56"/>
      <c r="CD2572" s="56"/>
      <c r="CE2572" s="56"/>
      <c r="CF2572" s="56"/>
      <c r="CG2572" s="56"/>
      <c r="CH2572" s="56"/>
      <c r="CI2572" s="56"/>
      <c r="CJ2572" s="56"/>
      <c r="CK2572" s="56"/>
      <c r="CL2572" s="56"/>
      <c r="CM2572" s="56"/>
      <c r="CN2572" s="56"/>
      <c r="CO2572" s="56"/>
      <c r="CP2572" s="56"/>
      <c r="CQ2572" s="56"/>
      <c r="CR2572" s="56"/>
      <c r="CS2572" s="56"/>
      <c r="CT2572" s="56"/>
      <c r="CU2572" s="56"/>
      <c r="CV2572" s="56"/>
      <c r="CW2572" s="56"/>
      <c r="CX2572" s="56"/>
      <c r="CY2572" s="56"/>
      <c r="CZ2572" s="56"/>
    </row>
    <row r="2573" spans="27:104" s="5" customFormat="1" x14ac:dyDescent="0.25">
      <c r="AA2573" s="56"/>
      <c r="AB2573" s="56"/>
      <c r="AC2573" s="56"/>
      <c r="AD2573" s="56"/>
      <c r="AE2573" s="56"/>
      <c r="AF2573" s="56"/>
      <c r="AG2573" s="56"/>
      <c r="AH2573" s="56"/>
      <c r="AI2573" s="56"/>
      <c r="AJ2573" s="56"/>
      <c r="AK2573" s="56"/>
      <c r="AL2573" s="56"/>
      <c r="AM2573" s="56"/>
      <c r="AN2573" s="56"/>
      <c r="AO2573" s="56"/>
      <c r="AP2573" s="56"/>
      <c r="AQ2573" s="56"/>
      <c r="AR2573" s="56"/>
      <c r="AS2573" s="56"/>
      <c r="AT2573" s="56"/>
      <c r="AU2573" s="56"/>
      <c r="AV2573" s="56"/>
      <c r="AW2573" s="56"/>
      <c r="AX2573" s="56"/>
      <c r="AY2573" s="56"/>
      <c r="AZ2573" s="56"/>
      <c r="BA2573" s="56"/>
      <c r="BB2573" s="16"/>
      <c r="BC2573" s="56"/>
      <c r="BD2573" s="56"/>
      <c r="BE2573" s="56"/>
      <c r="BF2573" s="56"/>
      <c r="BG2573" s="56"/>
      <c r="BH2573" s="56"/>
      <c r="BI2573" s="56"/>
      <c r="BJ2573" s="56"/>
      <c r="BK2573" s="56"/>
      <c r="BL2573" s="56"/>
      <c r="BM2573" s="56"/>
      <c r="BN2573" s="56"/>
      <c r="BO2573" s="56"/>
      <c r="BP2573" s="56"/>
      <c r="BQ2573" s="56"/>
      <c r="BR2573" s="56"/>
      <c r="BS2573" s="56"/>
      <c r="BT2573" s="56"/>
      <c r="BU2573" s="56"/>
      <c r="BV2573" s="56"/>
      <c r="BW2573" s="56"/>
      <c r="BX2573" s="56"/>
      <c r="BY2573" s="56"/>
      <c r="BZ2573" s="56"/>
      <c r="CA2573" s="56"/>
      <c r="CB2573" s="56"/>
      <c r="CC2573" s="56"/>
      <c r="CD2573" s="56"/>
      <c r="CE2573" s="56"/>
      <c r="CF2573" s="56"/>
      <c r="CG2573" s="56"/>
      <c r="CH2573" s="56"/>
      <c r="CI2573" s="56"/>
      <c r="CJ2573" s="56"/>
      <c r="CK2573" s="56"/>
      <c r="CL2573" s="56"/>
      <c r="CM2573" s="56"/>
      <c r="CN2573" s="56"/>
      <c r="CO2573" s="56"/>
      <c r="CP2573" s="56"/>
      <c r="CQ2573" s="56"/>
      <c r="CR2573" s="56"/>
      <c r="CS2573" s="56"/>
      <c r="CT2573" s="56"/>
      <c r="CU2573" s="56"/>
      <c r="CV2573" s="56"/>
      <c r="CW2573" s="56"/>
      <c r="CX2573" s="56"/>
      <c r="CY2573" s="56"/>
      <c r="CZ2573" s="56"/>
    </row>
    <row r="2574" spans="27:104" s="5" customFormat="1" x14ac:dyDescent="0.25">
      <c r="AA2574" s="56"/>
      <c r="AB2574" s="56"/>
      <c r="AC2574" s="56"/>
      <c r="AD2574" s="56"/>
      <c r="AE2574" s="56"/>
      <c r="AF2574" s="56"/>
      <c r="AG2574" s="56"/>
      <c r="AH2574" s="56"/>
      <c r="AI2574" s="56"/>
      <c r="AJ2574" s="56"/>
      <c r="AK2574" s="56"/>
      <c r="AL2574" s="56"/>
      <c r="AM2574" s="56"/>
      <c r="AN2574" s="56"/>
      <c r="AO2574" s="56"/>
      <c r="AP2574" s="56"/>
      <c r="AQ2574" s="56"/>
      <c r="AR2574" s="56"/>
      <c r="AS2574" s="56"/>
      <c r="AT2574" s="56"/>
      <c r="AU2574" s="56"/>
      <c r="AV2574" s="56"/>
      <c r="AW2574" s="56"/>
      <c r="AX2574" s="56"/>
      <c r="AY2574" s="56"/>
      <c r="AZ2574" s="56"/>
      <c r="BA2574" s="56"/>
      <c r="BB2574" s="16"/>
      <c r="BC2574" s="56"/>
      <c r="BD2574" s="56"/>
      <c r="BE2574" s="56"/>
      <c r="BF2574" s="56"/>
      <c r="BG2574" s="56"/>
      <c r="BH2574" s="56"/>
      <c r="BI2574" s="56"/>
      <c r="BJ2574" s="56"/>
      <c r="BK2574" s="56"/>
      <c r="BL2574" s="56"/>
      <c r="BM2574" s="56"/>
      <c r="BN2574" s="56"/>
      <c r="BO2574" s="56"/>
      <c r="BP2574" s="56"/>
      <c r="BQ2574" s="56"/>
      <c r="BR2574" s="56"/>
      <c r="BS2574" s="56"/>
      <c r="BT2574" s="56"/>
      <c r="BU2574" s="56"/>
      <c r="BV2574" s="56"/>
      <c r="BW2574" s="56"/>
      <c r="BX2574" s="56"/>
      <c r="BY2574" s="56"/>
      <c r="BZ2574" s="56"/>
      <c r="CA2574" s="56"/>
      <c r="CB2574" s="56"/>
      <c r="CC2574" s="56"/>
      <c r="CD2574" s="56"/>
      <c r="CE2574" s="56"/>
      <c r="CF2574" s="56"/>
      <c r="CG2574" s="56"/>
      <c r="CH2574" s="56"/>
      <c r="CI2574" s="56"/>
      <c r="CJ2574" s="56"/>
      <c r="CK2574" s="56"/>
      <c r="CL2574" s="56"/>
      <c r="CM2574" s="56"/>
      <c r="CN2574" s="56"/>
      <c r="CO2574" s="56"/>
      <c r="CP2574" s="56"/>
      <c r="CQ2574" s="56"/>
      <c r="CR2574" s="56"/>
      <c r="CS2574" s="56"/>
      <c r="CT2574" s="56"/>
      <c r="CU2574" s="56"/>
      <c r="CV2574" s="56"/>
      <c r="CW2574" s="56"/>
      <c r="CX2574" s="56"/>
      <c r="CY2574" s="56"/>
      <c r="CZ2574" s="56"/>
    </row>
    <row r="2575" spans="27:104" s="5" customFormat="1" x14ac:dyDescent="0.25">
      <c r="AA2575" s="56"/>
      <c r="AB2575" s="56"/>
      <c r="AC2575" s="56"/>
      <c r="AD2575" s="56"/>
      <c r="AE2575" s="56"/>
      <c r="AF2575" s="56"/>
      <c r="AG2575" s="56"/>
      <c r="AH2575" s="56"/>
      <c r="AI2575" s="56"/>
      <c r="AJ2575" s="56"/>
      <c r="AK2575" s="56"/>
      <c r="AL2575" s="56"/>
      <c r="AM2575" s="56"/>
      <c r="AN2575" s="56"/>
      <c r="AO2575" s="56"/>
      <c r="AP2575" s="56"/>
      <c r="AQ2575" s="56"/>
      <c r="AR2575" s="56"/>
      <c r="AS2575" s="56"/>
      <c r="AT2575" s="56"/>
      <c r="AU2575" s="56"/>
      <c r="AV2575" s="56"/>
      <c r="AW2575" s="56"/>
      <c r="AX2575" s="56"/>
      <c r="AY2575" s="56"/>
      <c r="AZ2575" s="56"/>
      <c r="BA2575" s="56"/>
      <c r="BB2575" s="16"/>
      <c r="BC2575" s="56"/>
      <c r="BD2575" s="56"/>
      <c r="BE2575" s="56"/>
      <c r="BF2575" s="56"/>
      <c r="BG2575" s="56"/>
      <c r="BH2575" s="56"/>
      <c r="BI2575" s="56"/>
      <c r="BJ2575" s="56"/>
      <c r="BK2575" s="56"/>
      <c r="BL2575" s="56"/>
      <c r="BM2575" s="56"/>
      <c r="BN2575" s="56"/>
      <c r="BO2575" s="56"/>
      <c r="BP2575" s="56"/>
      <c r="BQ2575" s="56"/>
      <c r="BR2575" s="56"/>
      <c r="BS2575" s="56"/>
      <c r="BT2575" s="56"/>
      <c r="BU2575" s="56"/>
      <c r="BV2575" s="56"/>
      <c r="BW2575" s="56"/>
      <c r="BX2575" s="56"/>
      <c r="BY2575" s="56"/>
      <c r="BZ2575" s="56"/>
      <c r="CA2575" s="56"/>
      <c r="CB2575" s="56"/>
      <c r="CC2575" s="56"/>
      <c r="CD2575" s="56"/>
      <c r="CE2575" s="56"/>
      <c r="CF2575" s="56"/>
      <c r="CG2575" s="56"/>
      <c r="CH2575" s="56"/>
      <c r="CI2575" s="56"/>
      <c r="CJ2575" s="56"/>
      <c r="CK2575" s="56"/>
      <c r="CL2575" s="56"/>
      <c r="CM2575" s="56"/>
      <c r="CN2575" s="56"/>
      <c r="CO2575" s="56"/>
      <c r="CP2575" s="56"/>
      <c r="CQ2575" s="56"/>
      <c r="CR2575" s="56"/>
      <c r="CS2575" s="56"/>
      <c r="CT2575" s="56"/>
      <c r="CU2575" s="56"/>
      <c r="CV2575" s="56"/>
      <c r="CW2575" s="56"/>
      <c r="CX2575" s="56"/>
      <c r="CY2575" s="56"/>
      <c r="CZ2575" s="56"/>
    </row>
    <row r="2576" spans="27:104" s="5" customFormat="1" x14ac:dyDescent="0.25">
      <c r="AA2576" s="56"/>
      <c r="AB2576" s="56"/>
      <c r="AC2576" s="56"/>
      <c r="AD2576" s="56"/>
      <c r="AE2576" s="56"/>
      <c r="AF2576" s="56"/>
      <c r="AG2576" s="56"/>
      <c r="AH2576" s="56"/>
      <c r="AI2576" s="56"/>
      <c r="AJ2576" s="56"/>
      <c r="AK2576" s="56"/>
      <c r="AL2576" s="56"/>
      <c r="AM2576" s="56"/>
      <c r="AN2576" s="56"/>
      <c r="AO2576" s="56"/>
      <c r="AP2576" s="56"/>
      <c r="AQ2576" s="56"/>
      <c r="AR2576" s="56"/>
      <c r="AS2576" s="56"/>
      <c r="AT2576" s="56"/>
      <c r="AU2576" s="56"/>
      <c r="AV2576" s="56"/>
      <c r="AW2576" s="56"/>
      <c r="AX2576" s="56"/>
      <c r="AY2576" s="56"/>
      <c r="AZ2576" s="56"/>
      <c r="BA2576" s="56"/>
      <c r="BB2576" s="16"/>
      <c r="BC2576" s="56"/>
      <c r="BD2576" s="56"/>
      <c r="BE2576" s="56"/>
      <c r="BF2576" s="56"/>
      <c r="BG2576" s="56"/>
      <c r="BH2576" s="56"/>
      <c r="BI2576" s="56"/>
      <c r="BJ2576" s="56"/>
      <c r="BK2576" s="56"/>
      <c r="BL2576" s="56"/>
      <c r="BM2576" s="56"/>
      <c r="BN2576" s="56"/>
      <c r="BO2576" s="56"/>
      <c r="BP2576" s="56"/>
      <c r="BQ2576" s="56"/>
      <c r="BR2576" s="56"/>
      <c r="BS2576" s="56"/>
      <c r="BT2576" s="56"/>
      <c r="BU2576" s="56"/>
      <c r="BV2576" s="56"/>
      <c r="BW2576" s="56"/>
      <c r="BX2576" s="56"/>
      <c r="BY2576" s="56"/>
      <c r="BZ2576" s="56"/>
      <c r="CA2576" s="56"/>
      <c r="CB2576" s="56"/>
      <c r="CC2576" s="56"/>
      <c r="CD2576" s="56"/>
      <c r="CE2576" s="56"/>
      <c r="CF2576" s="56"/>
      <c r="CG2576" s="56"/>
      <c r="CH2576" s="56"/>
      <c r="CI2576" s="56"/>
      <c r="CJ2576" s="56"/>
      <c r="CK2576" s="56"/>
      <c r="CL2576" s="56"/>
      <c r="CM2576" s="56"/>
      <c r="CN2576" s="56"/>
      <c r="CO2576" s="56"/>
      <c r="CP2576" s="56"/>
      <c r="CQ2576" s="56"/>
      <c r="CR2576" s="56"/>
      <c r="CS2576" s="56"/>
      <c r="CT2576" s="56"/>
      <c r="CU2576" s="56"/>
      <c r="CV2576" s="56"/>
      <c r="CW2576" s="56"/>
      <c r="CX2576" s="56"/>
      <c r="CY2576" s="56"/>
      <c r="CZ2576" s="56"/>
    </row>
    <row r="2577" spans="27:104" s="5" customFormat="1" x14ac:dyDescent="0.25">
      <c r="AA2577" s="56"/>
      <c r="AB2577" s="56"/>
      <c r="AC2577" s="56"/>
      <c r="AD2577" s="56"/>
      <c r="AE2577" s="56"/>
      <c r="AF2577" s="56"/>
      <c r="AG2577" s="56"/>
      <c r="AH2577" s="56"/>
      <c r="AI2577" s="56"/>
      <c r="AJ2577" s="56"/>
      <c r="AK2577" s="56"/>
      <c r="AL2577" s="56"/>
      <c r="AM2577" s="56"/>
      <c r="AN2577" s="56"/>
      <c r="AO2577" s="56"/>
      <c r="AP2577" s="56"/>
      <c r="AQ2577" s="56"/>
      <c r="AR2577" s="56"/>
      <c r="AS2577" s="56"/>
      <c r="AT2577" s="56"/>
      <c r="AU2577" s="56"/>
      <c r="AV2577" s="56"/>
      <c r="AW2577" s="56"/>
      <c r="AX2577" s="56"/>
      <c r="AY2577" s="56"/>
      <c r="AZ2577" s="56"/>
      <c r="BA2577" s="56"/>
      <c r="BB2577" s="16"/>
      <c r="BC2577" s="56"/>
      <c r="BD2577" s="56"/>
      <c r="BE2577" s="56"/>
      <c r="BF2577" s="56"/>
      <c r="BG2577" s="56"/>
      <c r="BH2577" s="56"/>
      <c r="BI2577" s="56"/>
      <c r="BJ2577" s="56"/>
      <c r="BK2577" s="56"/>
      <c r="BL2577" s="56"/>
      <c r="BM2577" s="56"/>
      <c r="BN2577" s="56"/>
      <c r="BO2577" s="56"/>
      <c r="BP2577" s="56"/>
      <c r="BQ2577" s="56"/>
      <c r="BR2577" s="56"/>
      <c r="BS2577" s="56"/>
      <c r="BT2577" s="56"/>
      <c r="BU2577" s="56"/>
      <c r="BV2577" s="56"/>
      <c r="BW2577" s="56"/>
      <c r="BX2577" s="56"/>
      <c r="BY2577" s="56"/>
      <c r="BZ2577" s="56"/>
      <c r="CA2577" s="56"/>
      <c r="CB2577" s="56"/>
      <c r="CC2577" s="56"/>
      <c r="CD2577" s="56"/>
      <c r="CE2577" s="56"/>
      <c r="CF2577" s="56"/>
      <c r="CG2577" s="56"/>
      <c r="CH2577" s="56"/>
      <c r="CI2577" s="56"/>
      <c r="CJ2577" s="56"/>
      <c r="CK2577" s="56"/>
      <c r="CL2577" s="56"/>
      <c r="CM2577" s="56"/>
      <c r="CN2577" s="56"/>
      <c r="CO2577" s="56"/>
      <c r="CP2577" s="56"/>
      <c r="CQ2577" s="56"/>
      <c r="CR2577" s="56"/>
      <c r="CS2577" s="56"/>
      <c r="CT2577" s="56"/>
      <c r="CU2577" s="56"/>
      <c r="CV2577" s="56"/>
      <c r="CW2577" s="56"/>
      <c r="CX2577" s="56"/>
      <c r="CY2577" s="56"/>
      <c r="CZ2577" s="56"/>
    </row>
    <row r="2578" spans="27:104" s="5" customFormat="1" x14ac:dyDescent="0.25">
      <c r="AA2578" s="56"/>
      <c r="AB2578" s="56"/>
      <c r="AC2578" s="56"/>
      <c r="AD2578" s="56"/>
      <c r="AE2578" s="56"/>
      <c r="AF2578" s="56"/>
      <c r="AG2578" s="56"/>
      <c r="AH2578" s="56"/>
      <c r="AI2578" s="56"/>
      <c r="AJ2578" s="56"/>
      <c r="AK2578" s="56"/>
      <c r="AL2578" s="56"/>
      <c r="AM2578" s="56"/>
      <c r="AN2578" s="56"/>
      <c r="AO2578" s="56"/>
      <c r="AP2578" s="56"/>
      <c r="AQ2578" s="56"/>
      <c r="AR2578" s="56"/>
      <c r="AS2578" s="56"/>
      <c r="AT2578" s="56"/>
      <c r="AU2578" s="56"/>
      <c r="AV2578" s="56"/>
      <c r="AW2578" s="56"/>
      <c r="AX2578" s="56"/>
      <c r="AY2578" s="56"/>
      <c r="AZ2578" s="56"/>
      <c r="BA2578" s="56"/>
      <c r="BB2578" s="16"/>
      <c r="BC2578" s="56"/>
      <c r="BD2578" s="56"/>
      <c r="BE2578" s="56"/>
      <c r="BF2578" s="56"/>
      <c r="BG2578" s="56"/>
      <c r="BH2578" s="56"/>
      <c r="BI2578" s="56"/>
      <c r="BJ2578" s="56"/>
      <c r="BK2578" s="56"/>
      <c r="BL2578" s="56"/>
      <c r="BM2578" s="56"/>
      <c r="BN2578" s="56"/>
      <c r="BO2578" s="56"/>
      <c r="BP2578" s="56"/>
      <c r="BQ2578" s="56"/>
      <c r="BR2578" s="56"/>
      <c r="BS2578" s="56"/>
      <c r="BT2578" s="56"/>
      <c r="BU2578" s="56"/>
      <c r="BV2578" s="56"/>
      <c r="BW2578" s="56"/>
      <c r="BX2578" s="56"/>
      <c r="BY2578" s="56"/>
      <c r="BZ2578" s="56"/>
      <c r="CA2578" s="56"/>
      <c r="CB2578" s="56"/>
      <c r="CC2578" s="56"/>
      <c r="CD2578" s="56"/>
      <c r="CE2578" s="56"/>
      <c r="CF2578" s="56"/>
      <c r="CG2578" s="56"/>
      <c r="CH2578" s="56"/>
      <c r="CI2578" s="56"/>
      <c r="CJ2578" s="56"/>
      <c r="CK2578" s="56"/>
      <c r="CL2578" s="56"/>
      <c r="CM2578" s="56"/>
      <c r="CN2578" s="56"/>
      <c r="CO2578" s="56"/>
      <c r="CP2578" s="56"/>
      <c r="CQ2578" s="56"/>
      <c r="CR2578" s="56"/>
      <c r="CS2578" s="56"/>
      <c r="CT2578" s="56"/>
      <c r="CU2578" s="56"/>
      <c r="CV2578" s="56"/>
      <c r="CW2578" s="56"/>
      <c r="CX2578" s="56"/>
      <c r="CY2578" s="56"/>
      <c r="CZ2578" s="56"/>
    </row>
    <row r="2579" spans="27:104" s="5" customFormat="1" x14ac:dyDescent="0.25">
      <c r="AA2579" s="56"/>
      <c r="AB2579" s="56"/>
      <c r="AC2579" s="56"/>
      <c r="AD2579" s="56"/>
      <c r="AE2579" s="56"/>
      <c r="AF2579" s="56"/>
      <c r="AG2579" s="56"/>
      <c r="AH2579" s="56"/>
      <c r="AI2579" s="56"/>
      <c r="AJ2579" s="56"/>
      <c r="AK2579" s="56"/>
      <c r="AL2579" s="56"/>
      <c r="AM2579" s="56"/>
      <c r="AN2579" s="56"/>
      <c r="AO2579" s="56"/>
      <c r="AP2579" s="56"/>
      <c r="AQ2579" s="56"/>
      <c r="AR2579" s="56"/>
      <c r="AS2579" s="56"/>
      <c r="AT2579" s="56"/>
      <c r="AU2579" s="56"/>
      <c r="AV2579" s="56"/>
      <c r="AW2579" s="56"/>
      <c r="AX2579" s="56"/>
      <c r="AY2579" s="56"/>
      <c r="AZ2579" s="56"/>
      <c r="BA2579" s="56"/>
      <c r="BB2579" s="16"/>
      <c r="BC2579" s="56"/>
      <c r="BD2579" s="56"/>
      <c r="BE2579" s="56"/>
      <c r="BF2579" s="56"/>
      <c r="BG2579" s="56"/>
      <c r="BH2579" s="56"/>
      <c r="BI2579" s="56"/>
      <c r="BJ2579" s="56"/>
      <c r="BK2579" s="56"/>
      <c r="BL2579" s="56"/>
      <c r="BM2579" s="56"/>
      <c r="BN2579" s="56"/>
      <c r="BO2579" s="56"/>
      <c r="BP2579" s="56"/>
      <c r="BQ2579" s="56"/>
      <c r="BR2579" s="56"/>
      <c r="BS2579" s="56"/>
      <c r="BT2579" s="56"/>
      <c r="BU2579" s="56"/>
      <c r="BV2579" s="56"/>
      <c r="BW2579" s="56"/>
      <c r="BX2579" s="56"/>
      <c r="BY2579" s="56"/>
      <c r="BZ2579" s="56"/>
      <c r="CA2579" s="56"/>
      <c r="CB2579" s="56"/>
      <c r="CC2579" s="56"/>
      <c r="CD2579" s="56"/>
      <c r="CE2579" s="56"/>
      <c r="CF2579" s="56"/>
      <c r="CG2579" s="56"/>
      <c r="CH2579" s="56"/>
      <c r="CI2579" s="56"/>
      <c r="CJ2579" s="56"/>
      <c r="CK2579" s="56"/>
      <c r="CL2579" s="56"/>
      <c r="CM2579" s="56"/>
      <c r="CN2579" s="56"/>
      <c r="CO2579" s="56"/>
      <c r="CP2579" s="56"/>
      <c r="CQ2579" s="56"/>
      <c r="CR2579" s="56"/>
      <c r="CS2579" s="56"/>
      <c r="CT2579" s="56"/>
      <c r="CU2579" s="56"/>
      <c r="CV2579" s="56"/>
      <c r="CW2579" s="56"/>
      <c r="CX2579" s="56"/>
      <c r="CY2579" s="56"/>
      <c r="CZ2579" s="56"/>
    </row>
    <row r="2580" spans="27:104" s="5" customFormat="1" x14ac:dyDescent="0.25">
      <c r="AA2580" s="56"/>
      <c r="AB2580" s="56"/>
      <c r="AC2580" s="56"/>
      <c r="AD2580" s="56"/>
      <c r="AE2580" s="56"/>
      <c r="AF2580" s="56"/>
      <c r="AG2580" s="56"/>
      <c r="AH2580" s="56"/>
      <c r="AI2580" s="56"/>
      <c r="AJ2580" s="56"/>
      <c r="AK2580" s="56"/>
      <c r="AL2580" s="56"/>
      <c r="AM2580" s="56"/>
      <c r="AN2580" s="56"/>
      <c r="AO2580" s="56"/>
      <c r="AP2580" s="56"/>
      <c r="AQ2580" s="56"/>
      <c r="AR2580" s="56"/>
      <c r="AS2580" s="56"/>
      <c r="AT2580" s="56"/>
      <c r="AU2580" s="56"/>
      <c r="AV2580" s="56"/>
      <c r="AW2580" s="56"/>
      <c r="AX2580" s="56"/>
      <c r="AY2580" s="56"/>
      <c r="AZ2580" s="56"/>
      <c r="BA2580" s="56"/>
      <c r="BB2580" s="16"/>
      <c r="BC2580" s="56"/>
      <c r="BD2580" s="56"/>
      <c r="BE2580" s="56"/>
      <c r="BF2580" s="56"/>
      <c r="BG2580" s="56"/>
      <c r="BH2580" s="56"/>
      <c r="BI2580" s="56"/>
      <c r="BJ2580" s="56"/>
      <c r="BK2580" s="56"/>
      <c r="BL2580" s="56"/>
      <c r="BM2580" s="56"/>
      <c r="BN2580" s="56"/>
      <c r="BO2580" s="56"/>
      <c r="BP2580" s="56"/>
      <c r="BQ2580" s="56"/>
      <c r="BR2580" s="56"/>
      <c r="BS2580" s="56"/>
      <c r="BT2580" s="56"/>
      <c r="BU2580" s="56"/>
      <c r="BV2580" s="56"/>
      <c r="BW2580" s="56"/>
      <c r="BX2580" s="56"/>
      <c r="BY2580" s="56"/>
      <c r="BZ2580" s="56"/>
      <c r="CA2580" s="56"/>
      <c r="CB2580" s="56"/>
      <c r="CC2580" s="56"/>
      <c r="CD2580" s="56"/>
      <c r="CE2580" s="56"/>
      <c r="CF2580" s="56"/>
      <c r="CG2580" s="56"/>
      <c r="CH2580" s="56"/>
      <c r="CI2580" s="56"/>
      <c r="CJ2580" s="56"/>
      <c r="CK2580" s="56"/>
      <c r="CL2580" s="56"/>
      <c r="CM2580" s="56"/>
      <c r="CN2580" s="56"/>
      <c r="CO2580" s="56"/>
      <c r="CP2580" s="56"/>
      <c r="CQ2580" s="56"/>
      <c r="CR2580" s="56"/>
      <c r="CS2580" s="56"/>
      <c r="CT2580" s="56"/>
      <c r="CU2580" s="56"/>
      <c r="CV2580" s="56"/>
      <c r="CW2580" s="56"/>
      <c r="CX2580" s="56"/>
      <c r="CY2580" s="56"/>
      <c r="CZ2580" s="56"/>
    </row>
    <row r="2581" spans="27:104" s="5" customFormat="1" x14ac:dyDescent="0.25">
      <c r="AA2581" s="56"/>
      <c r="AB2581" s="56"/>
      <c r="AC2581" s="56"/>
      <c r="AD2581" s="56"/>
      <c r="AE2581" s="56"/>
      <c r="AF2581" s="56"/>
      <c r="AG2581" s="56"/>
      <c r="AH2581" s="56"/>
      <c r="AI2581" s="56"/>
      <c r="AJ2581" s="56"/>
      <c r="AK2581" s="56"/>
      <c r="AL2581" s="56"/>
      <c r="AM2581" s="56"/>
      <c r="AN2581" s="56"/>
      <c r="AO2581" s="56"/>
      <c r="AP2581" s="56"/>
      <c r="AQ2581" s="56"/>
      <c r="AR2581" s="56"/>
      <c r="AS2581" s="56"/>
      <c r="AT2581" s="56"/>
      <c r="AU2581" s="56"/>
      <c r="AV2581" s="56"/>
      <c r="AW2581" s="56"/>
      <c r="AX2581" s="56"/>
      <c r="AY2581" s="56"/>
      <c r="AZ2581" s="56"/>
      <c r="BA2581" s="56"/>
      <c r="BB2581" s="16"/>
      <c r="BC2581" s="56"/>
      <c r="BD2581" s="56"/>
      <c r="BE2581" s="56"/>
      <c r="BF2581" s="56"/>
      <c r="BG2581" s="56"/>
      <c r="BH2581" s="56"/>
      <c r="BI2581" s="56"/>
      <c r="BJ2581" s="56"/>
      <c r="BK2581" s="56"/>
      <c r="BL2581" s="56"/>
      <c r="BM2581" s="56"/>
      <c r="BN2581" s="56"/>
      <c r="BO2581" s="56"/>
      <c r="BP2581" s="56"/>
      <c r="BQ2581" s="56"/>
      <c r="BR2581" s="56"/>
      <c r="BS2581" s="56"/>
      <c r="BT2581" s="56"/>
      <c r="BU2581" s="56"/>
      <c r="BV2581" s="56"/>
      <c r="BW2581" s="56"/>
      <c r="BX2581" s="56"/>
      <c r="BY2581" s="56"/>
      <c r="BZ2581" s="56"/>
      <c r="CA2581" s="56"/>
      <c r="CB2581" s="56"/>
      <c r="CC2581" s="56"/>
      <c r="CD2581" s="56"/>
      <c r="CE2581" s="56"/>
      <c r="CF2581" s="56"/>
      <c r="CG2581" s="56"/>
      <c r="CH2581" s="56"/>
      <c r="CI2581" s="56"/>
      <c r="CJ2581" s="56"/>
      <c r="CK2581" s="56"/>
      <c r="CL2581" s="56"/>
      <c r="CM2581" s="56"/>
      <c r="CN2581" s="56"/>
      <c r="CO2581" s="56"/>
      <c r="CP2581" s="56"/>
      <c r="CQ2581" s="56"/>
      <c r="CR2581" s="56"/>
      <c r="CS2581" s="56"/>
      <c r="CT2581" s="56"/>
      <c r="CU2581" s="56"/>
      <c r="CV2581" s="56"/>
      <c r="CW2581" s="56"/>
      <c r="CX2581" s="56"/>
      <c r="CY2581" s="56"/>
      <c r="CZ2581" s="56"/>
    </row>
    <row r="2582" spans="27:104" s="5" customFormat="1" x14ac:dyDescent="0.25">
      <c r="AA2582" s="56"/>
      <c r="AB2582" s="56"/>
      <c r="AC2582" s="56"/>
      <c r="AD2582" s="56"/>
      <c r="AE2582" s="56"/>
      <c r="AF2582" s="56"/>
      <c r="AG2582" s="56"/>
      <c r="AH2582" s="56"/>
      <c r="AI2582" s="56"/>
      <c r="AJ2582" s="56"/>
      <c r="AK2582" s="56"/>
      <c r="AL2582" s="56"/>
      <c r="AM2582" s="56"/>
      <c r="AN2582" s="56"/>
      <c r="AO2582" s="56"/>
      <c r="AP2582" s="56"/>
      <c r="AQ2582" s="56"/>
      <c r="AR2582" s="56"/>
      <c r="AS2582" s="56"/>
      <c r="AT2582" s="56"/>
      <c r="AU2582" s="56"/>
      <c r="AV2582" s="56"/>
      <c r="AW2582" s="56"/>
      <c r="AX2582" s="56"/>
      <c r="AY2582" s="56"/>
      <c r="AZ2582" s="56"/>
      <c r="BA2582" s="56"/>
      <c r="BB2582" s="16"/>
      <c r="BC2582" s="56"/>
      <c r="BD2582" s="56"/>
      <c r="BE2582" s="56"/>
      <c r="BF2582" s="56"/>
      <c r="BG2582" s="56"/>
      <c r="BH2582" s="56"/>
      <c r="BI2582" s="56"/>
      <c r="BJ2582" s="56"/>
      <c r="BK2582" s="56"/>
      <c r="BL2582" s="56"/>
      <c r="BM2582" s="56"/>
      <c r="BN2582" s="56"/>
      <c r="BO2582" s="56"/>
      <c r="BP2582" s="56"/>
      <c r="BQ2582" s="56"/>
      <c r="BR2582" s="56"/>
      <c r="BS2582" s="56"/>
      <c r="BT2582" s="56"/>
      <c r="BU2582" s="56"/>
      <c r="BV2582" s="56"/>
      <c r="BW2582" s="56"/>
      <c r="BX2582" s="56"/>
      <c r="BY2582" s="56"/>
      <c r="BZ2582" s="56"/>
      <c r="CA2582" s="56"/>
      <c r="CB2582" s="56"/>
      <c r="CC2582" s="56"/>
      <c r="CD2582" s="56"/>
      <c r="CE2582" s="56"/>
      <c r="CF2582" s="56"/>
      <c r="CG2582" s="56"/>
      <c r="CH2582" s="56"/>
      <c r="CI2582" s="56"/>
      <c r="CJ2582" s="56"/>
      <c r="CK2582" s="56"/>
      <c r="CL2582" s="56"/>
      <c r="CM2582" s="56"/>
      <c r="CN2582" s="56"/>
      <c r="CO2582" s="56"/>
      <c r="CP2582" s="56"/>
      <c r="CQ2582" s="56"/>
      <c r="CR2582" s="56"/>
      <c r="CS2582" s="56"/>
      <c r="CT2582" s="56"/>
      <c r="CU2582" s="56"/>
      <c r="CV2582" s="56"/>
      <c r="CW2582" s="56"/>
      <c r="CX2582" s="56"/>
      <c r="CY2582" s="56"/>
      <c r="CZ2582" s="56"/>
    </row>
    <row r="2583" spans="27:104" s="5" customFormat="1" x14ac:dyDescent="0.25">
      <c r="AA2583" s="56"/>
      <c r="AB2583" s="56"/>
      <c r="AC2583" s="56"/>
      <c r="AD2583" s="56"/>
      <c r="AE2583" s="56"/>
      <c r="AF2583" s="56"/>
      <c r="AG2583" s="56"/>
      <c r="AH2583" s="56"/>
      <c r="AI2583" s="56"/>
      <c r="AJ2583" s="56"/>
      <c r="AK2583" s="56"/>
      <c r="AL2583" s="56"/>
      <c r="AM2583" s="56"/>
      <c r="AN2583" s="56"/>
      <c r="AO2583" s="56"/>
      <c r="AP2583" s="56"/>
      <c r="AQ2583" s="56"/>
      <c r="AR2583" s="56"/>
      <c r="AS2583" s="56"/>
      <c r="AT2583" s="56"/>
      <c r="AU2583" s="56"/>
      <c r="AV2583" s="56"/>
      <c r="AW2583" s="56"/>
      <c r="AX2583" s="56"/>
      <c r="AY2583" s="56"/>
      <c r="AZ2583" s="56"/>
      <c r="BA2583" s="56"/>
      <c r="BB2583" s="16"/>
      <c r="BC2583" s="56"/>
      <c r="BD2583" s="56"/>
      <c r="BE2583" s="56"/>
      <c r="BF2583" s="56"/>
      <c r="BG2583" s="56"/>
      <c r="BH2583" s="56"/>
      <c r="BI2583" s="56"/>
      <c r="BJ2583" s="56"/>
      <c r="BK2583" s="56"/>
      <c r="BL2583" s="56"/>
      <c r="BM2583" s="56"/>
      <c r="BN2583" s="56"/>
      <c r="BO2583" s="56"/>
      <c r="BP2583" s="56"/>
      <c r="BQ2583" s="56"/>
      <c r="BR2583" s="56"/>
      <c r="BS2583" s="56"/>
      <c r="BT2583" s="56"/>
      <c r="BU2583" s="56"/>
      <c r="BV2583" s="56"/>
      <c r="BW2583" s="56"/>
      <c r="BX2583" s="56"/>
      <c r="BY2583" s="56"/>
      <c r="BZ2583" s="56"/>
      <c r="CA2583" s="56"/>
      <c r="CB2583" s="56"/>
      <c r="CC2583" s="56"/>
      <c r="CD2583" s="56"/>
      <c r="CE2583" s="56"/>
      <c r="CF2583" s="56"/>
      <c r="CG2583" s="56"/>
      <c r="CH2583" s="56"/>
      <c r="CI2583" s="56"/>
      <c r="CJ2583" s="56"/>
      <c r="CK2583" s="56"/>
      <c r="CL2583" s="56"/>
      <c r="CM2583" s="56"/>
      <c r="CN2583" s="56"/>
      <c r="CO2583" s="56"/>
      <c r="CP2583" s="56"/>
      <c r="CQ2583" s="56"/>
      <c r="CR2583" s="56"/>
      <c r="CS2583" s="56"/>
      <c r="CT2583" s="56"/>
      <c r="CU2583" s="56"/>
      <c r="CV2583" s="56"/>
      <c r="CW2583" s="56"/>
      <c r="CX2583" s="56"/>
      <c r="CY2583" s="56"/>
      <c r="CZ2583" s="56"/>
    </row>
    <row r="2584" spans="27:104" s="5" customFormat="1" x14ac:dyDescent="0.25">
      <c r="AA2584" s="56"/>
      <c r="AB2584" s="56"/>
      <c r="AC2584" s="56"/>
      <c r="AD2584" s="56"/>
      <c r="AE2584" s="56"/>
      <c r="AF2584" s="56"/>
      <c r="AG2584" s="56"/>
      <c r="AH2584" s="56"/>
      <c r="AI2584" s="56"/>
      <c r="AJ2584" s="56"/>
      <c r="AK2584" s="56"/>
      <c r="AL2584" s="56"/>
      <c r="AM2584" s="56"/>
      <c r="AN2584" s="56"/>
      <c r="AO2584" s="56"/>
      <c r="AP2584" s="56"/>
      <c r="AQ2584" s="56"/>
      <c r="AR2584" s="56"/>
      <c r="AS2584" s="56"/>
      <c r="AT2584" s="56"/>
      <c r="AU2584" s="56"/>
      <c r="AV2584" s="56"/>
      <c r="AW2584" s="56"/>
      <c r="AX2584" s="56"/>
      <c r="AY2584" s="56"/>
      <c r="AZ2584" s="56"/>
      <c r="BA2584" s="56"/>
      <c r="BB2584" s="16"/>
      <c r="BC2584" s="56"/>
      <c r="BD2584" s="56"/>
      <c r="BE2584" s="56"/>
      <c r="BF2584" s="56"/>
      <c r="BG2584" s="56"/>
      <c r="BH2584" s="56"/>
      <c r="BI2584" s="56"/>
      <c r="BJ2584" s="56"/>
      <c r="BK2584" s="56"/>
      <c r="BL2584" s="56"/>
      <c r="BM2584" s="56"/>
      <c r="BN2584" s="56"/>
      <c r="BO2584" s="56"/>
      <c r="BP2584" s="56"/>
      <c r="BQ2584" s="56"/>
      <c r="BR2584" s="56"/>
      <c r="BS2584" s="56"/>
      <c r="BT2584" s="56"/>
      <c r="BU2584" s="56"/>
      <c r="BV2584" s="56"/>
      <c r="BW2584" s="56"/>
      <c r="BX2584" s="56"/>
      <c r="BY2584" s="56"/>
      <c r="BZ2584" s="56"/>
      <c r="CA2584" s="56"/>
      <c r="CB2584" s="56"/>
      <c r="CC2584" s="56"/>
      <c r="CD2584" s="56"/>
      <c r="CE2584" s="56"/>
      <c r="CF2584" s="56"/>
      <c r="CG2584" s="56"/>
      <c r="CH2584" s="56"/>
      <c r="CI2584" s="56"/>
      <c r="CJ2584" s="56"/>
      <c r="CK2584" s="56"/>
      <c r="CL2584" s="56"/>
      <c r="CM2584" s="56"/>
      <c r="CN2584" s="56"/>
      <c r="CO2584" s="56"/>
      <c r="CP2584" s="56"/>
      <c r="CQ2584" s="56"/>
      <c r="CR2584" s="56"/>
      <c r="CS2584" s="56"/>
      <c r="CT2584" s="56"/>
      <c r="CU2584" s="56"/>
      <c r="CV2584" s="56"/>
      <c r="CW2584" s="56"/>
      <c r="CX2584" s="56"/>
      <c r="CY2584" s="56"/>
      <c r="CZ2584" s="56"/>
    </row>
    <row r="2585" spans="27:104" s="5" customFormat="1" x14ac:dyDescent="0.25">
      <c r="AA2585" s="56"/>
      <c r="AB2585" s="56"/>
      <c r="AC2585" s="56"/>
      <c r="AD2585" s="56"/>
      <c r="AE2585" s="56"/>
      <c r="AF2585" s="56"/>
      <c r="AG2585" s="56"/>
      <c r="AH2585" s="56"/>
      <c r="AI2585" s="56"/>
      <c r="AJ2585" s="56"/>
      <c r="AK2585" s="56"/>
      <c r="AL2585" s="56"/>
      <c r="AM2585" s="56"/>
      <c r="AN2585" s="56"/>
      <c r="AO2585" s="56"/>
      <c r="AP2585" s="56"/>
      <c r="AQ2585" s="56"/>
      <c r="AR2585" s="56"/>
      <c r="AS2585" s="56"/>
      <c r="AT2585" s="56"/>
      <c r="AU2585" s="56"/>
      <c r="AV2585" s="56"/>
      <c r="AW2585" s="56"/>
      <c r="AX2585" s="56"/>
      <c r="AY2585" s="56"/>
      <c r="AZ2585" s="56"/>
      <c r="BA2585" s="56"/>
      <c r="BB2585" s="16"/>
      <c r="BC2585" s="56"/>
      <c r="BD2585" s="56"/>
      <c r="BE2585" s="56"/>
      <c r="BF2585" s="56"/>
      <c r="BG2585" s="56"/>
      <c r="BH2585" s="56"/>
      <c r="BI2585" s="56"/>
      <c r="BJ2585" s="56"/>
      <c r="BK2585" s="56"/>
      <c r="BL2585" s="56"/>
      <c r="BM2585" s="56"/>
      <c r="BN2585" s="56"/>
      <c r="BO2585" s="56"/>
      <c r="BP2585" s="56"/>
      <c r="BQ2585" s="56"/>
      <c r="BR2585" s="56"/>
      <c r="BS2585" s="56"/>
      <c r="BT2585" s="56"/>
      <c r="BU2585" s="56"/>
      <c r="BV2585" s="56"/>
      <c r="BW2585" s="56"/>
      <c r="BX2585" s="56"/>
      <c r="BY2585" s="56"/>
      <c r="BZ2585" s="56"/>
      <c r="CA2585" s="56"/>
      <c r="CB2585" s="56"/>
      <c r="CC2585" s="56"/>
      <c r="CD2585" s="56"/>
      <c r="CE2585" s="56"/>
      <c r="CF2585" s="56"/>
      <c r="CG2585" s="56"/>
      <c r="CH2585" s="56"/>
      <c r="CI2585" s="56"/>
      <c r="CJ2585" s="56"/>
      <c r="CK2585" s="56"/>
      <c r="CL2585" s="56"/>
      <c r="CM2585" s="56"/>
      <c r="CN2585" s="56"/>
      <c r="CO2585" s="56"/>
      <c r="CP2585" s="56"/>
      <c r="CQ2585" s="56"/>
      <c r="CR2585" s="56"/>
      <c r="CS2585" s="56"/>
      <c r="CT2585" s="56"/>
      <c r="CU2585" s="56"/>
      <c r="CV2585" s="56"/>
      <c r="CW2585" s="56"/>
      <c r="CX2585" s="56"/>
      <c r="CY2585" s="56"/>
      <c r="CZ2585" s="56"/>
    </row>
    <row r="2586" spans="27:104" s="5" customFormat="1" x14ac:dyDescent="0.25">
      <c r="AA2586" s="56"/>
      <c r="AB2586" s="56"/>
      <c r="AC2586" s="56"/>
      <c r="AD2586" s="56"/>
      <c r="AE2586" s="56"/>
      <c r="AF2586" s="56"/>
      <c r="AG2586" s="56"/>
      <c r="AH2586" s="56"/>
      <c r="AI2586" s="56"/>
      <c r="AJ2586" s="56"/>
      <c r="AK2586" s="56"/>
      <c r="AL2586" s="56"/>
      <c r="AM2586" s="56"/>
      <c r="AN2586" s="56"/>
      <c r="AO2586" s="56"/>
      <c r="AP2586" s="56"/>
      <c r="AQ2586" s="56"/>
      <c r="AR2586" s="56"/>
      <c r="AS2586" s="56"/>
      <c r="AT2586" s="56"/>
      <c r="AU2586" s="56"/>
      <c r="AV2586" s="56"/>
      <c r="AW2586" s="56"/>
      <c r="AX2586" s="56"/>
      <c r="AY2586" s="56"/>
      <c r="AZ2586" s="56"/>
      <c r="BA2586" s="56"/>
      <c r="BB2586" s="16"/>
      <c r="BC2586" s="56"/>
      <c r="BD2586" s="56"/>
      <c r="BE2586" s="56"/>
      <c r="BF2586" s="56"/>
      <c r="BG2586" s="56"/>
      <c r="BH2586" s="56"/>
      <c r="BI2586" s="56"/>
      <c r="BJ2586" s="56"/>
      <c r="BK2586" s="56"/>
      <c r="BL2586" s="56"/>
      <c r="BM2586" s="56"/>
      <c r="BN2586" s="56"/>
      <c r="BO2586" s="56"/>
      <c r="BP2586" s="56"/>
      <c r="BQ2586" s="56"/>
      <c r="BR2586" s="56"/>
      <c r="BS2586" s="56"/>
      <c r="BT2586" s="56"/>
      <c r="BU2586" s="56"/>
      <c r="BV2586" s="56"/>
      <c r="BW2586" s="56"/>
      <c r="BX2586" s="56"/>
      <c r="BY2586" s="56"/>
      <c r="BZ2586" s="56"/>
      <c r="CA2586" s="56"/>
      <c r="CB2586" s="56"/>
      <c r="CC2586" s="56"/>
      <c r="CD2586" s="56"/>
      <c r="CE2586" s="56"/>
      <c r="CF2586" s="56"/>
      <c r="CG2586" s="56"/>
      <c r="CH2586" s="56"/>
      <c r="CI2586" s="56"/>
      <c r="CJ2586" s="56"/>
      <c r="CK2586" s="56"/>
      <c r="CL2586" s="56"/>
      <c r="CM2586" s="56"/>
      <c r="CN2586" s="56"/>
      <c r="CO2586" s="56"/>
      <c r="CP2586" s="56"/>
      <c r="CQ2586" s="56"/>
      <c r="CR2586" s="56"/>
      <c r="CS2586" s="56"/>
      <c r="CT2586" s="56"/>
      <c r="CU2586" s="56"/>
      <c r="CV2586" s="56"/>
      <c r="CW2586" s="56"/>
      <c r="CX2586" s="56"/>
      <c r="CY2586" s="56"/>
      <c r="CZ2586" s="56"/>
    </row>
    <row r="2587" spans="27:104" s="5" customFormat="1" x14ac:dyDescent="0.25">
      <c r="AA2587" s="56"/>
      <c r="AB2587" s="56"/>
      <c r="AC2587" s="56"/>
      <c r="AD2587" s="56"/>
      <c r="AE2587" s="56"/>
      <c r="AF2587" s="56"/>
      <c r="AG2587" s="56"/>
      <c r="AH2587" s="56"/>
      <c r="AI2587" s="56"/>
      <c r="AJ2587" s="56"/>
      <c r="AK2587" s="56"/>
      <c r="AL2587" s="56"/>
      <c r="AM2587" s="56"/>
      <c r="AN2587" s="56"/>
      <c r="AO2587" s="56"/>
      <c r="AP2587" s="56"/>
      <c r="AQ2587" s="56"/>
      <c r="AR2587" s="56"/>
      <c r="AS2587" s="56"/>
      <c r="AT2587" s="56"/>
      <c r="AU2587" s="56"/>
      <c r="AV2587" s="56"/>
      <c r="AW2587" s="56"/>
      <c r="AX2587" s="56"/>
      <c r="AY2587" s="56"/>
      <c r="AZ2587" s="56"/>
      <c r="BA2587" s="56"/>
      <c r="BB2587" s="16"/>
      <c r="BC2587" s="56"/>
      <c r="BD2587" s="56"/>
      <c r="BE2587" s="56"/>
      <c r="BF2587" s="56"/>
      <c r="BG2587" s="56"/>
      <c r="BH2587" s="56"/>
      <c r="BI2587" s="56"/>
      <c r="BJ2587" s="56"/>
      <c r="BK2587" s="56"/>
      <c r="BL2587" s="56"/>
      <c r="BM2587" s="56"/>
      <c r="BN2587" s="56"/>
      <c r="BO2587" s="56"/>
      <c r="BP2587" s="56"/>
      <c r="BQ2587" s="56"/>
      <c r="BR2587" s="56"/>
      <c r="BS2587" s="56"/>
      <c r="BT2587" s="56"/>
      <c r="BU2587" s="56"/>
      <c r="BV2587" s="56"/>
      <c r="BW2587" s="56"/>
      <c r="BX2587" s="56"/>
      <c r="BY2587" s="56"/>
      <c r="BZ2587" s="56"/>
      <c r="CA2587" s="56"/>
      <c r="CB2587" s="56"/>
      <c r="CC2587" s="56"/>
      <c r="CD2587" s="56"/>
      <c r="CE2587" s="56"/>
      <c r="CF2587" s="56"/>
      <c r="CG2587" s="56"/>
      <c r="CH2587" s="56"/>
      <c r="CI2587" s="56"/>
      <c r="CJ2587" s="56"/>
      <c r="CK2587" s="56"/>
      <c r="CL2587" s="56"/>
      <c r="CM2587" s="56"/>
      <c r="CN2587" s="56"/>
      <c r="CO2587" s="56"/>
      <c r="CP2587" s="56"/>
      <c r="CQ2587" s="56"/>
      <c r="CR2587" s="56"/>
      <c r="CS2587" s="56"/>
      <c r="CT2587" s="56"/>
      <c r="CU2587" s="56"/>
      <c r="CV2587" s="56"/>
      <c r="CW2587" s="56"/>
      <c r="CX2587" s="56"/>
      <c r="CY2587" s="56"/>
      <c r="CZ2587" s="56"/>
    </row>
    <row r="2588" spans="27:104" s="5" customFormat="1" x14ac:dyDescent="0.25">
      <c r="AA2588" s="56"/>
      <c r="AB2588" s="56"/>
      <c r="AC2588" s="56"/>
      <c r="AD2588" s="56"/>
      <c r="AE2588" s="56"/>
      <c r="AF2588" s="56"/>
      <c r="AG2588" s="56"/>
      <c r="AH2588" s="56"/>
      <c r="AI2588" s="56"/>
      <c r="AJ2588" s="56"/>
      <c r="AK2588" s="56"/>
      <c r="AL2588" s="56"/>
      <c r="AM2588" s="56"/>
      <c r="AN2588" s="56"/>
      <c r="AO2588" s="56"/>
      <c r="AP2588" s="56"/>
      <c r="AQ2588" s="56"/>
      <c r="AR2588" s="56"/>
      <c r="AS2588" s="56"/>
      <c r="AT2588" s="56"/>
      <c r="AU2588" s="56"/>
      <c r="AV2588" s="56"/>
      <c r="AW2588" s="56"/>
      <c r="AX2588" s="56"/>
      <c r="AY2588" s="56"/>
      <c r="AZ2588" s="56"/>
      <c r="BA2588" s="56"/>
      <c r="BB2588" s="16"/>
      <c r="BC2588" s="56"/>
      <c r="BD2588" s="56"/>
      <c r="BE2588" s="56"/>
      <c r="BF2588" s="56"/>
      <c r="BG2588" s="56"/>
      <c r="BH2588" s="56"/>
      <c r="BI2588" s="56"/>
      <c r="BJ2588" s="56"/>
      <c r="BK2588" s="56"/>
      <c r="BL2588" s="56"/>
      <c r="BM2588" s="56"/>
      <c r="BN2588" s="56"/>
      <c r="BO2588" s="56"/>
      <c r="BP2588" s="56"/>
      <c r="BQ2588" s="56"/>
      <c r="BR2588" s="56"/>
      <c r="BS2588" s="56"/>
      <c r="BT2588" s="56"/>
      <c r="BU2588" s="56"/>
      <c r="BV2588" s="56"/>
      <c r="BW2588" s="56"/>
      <c r="BX2588" s="56"/>
      <c r="BY2588" s="56"/>
      <c r="BZ2588" s="56"/>
      <c r="CA2588" s="56"/>
      <c r="CB2588" s="56"/>
      <c r="CC2588" s="56"/>
      <c r="CD2588" s="56"/>
      <c r="CE2588" s="56"/>
      <c r="CF2588" s="56"/>
      <c r="CG2588" s="56"/>
      <c r="CH2588" s="56"/>
      <c r="CI2588" s="56"/>
      <c r="CJ2588" s="56"/>
      <c r="CK2588" s="56"/>
      <c r="CL2588" s="56"/>
      <c r="CM2588" s="56"/>
      <c r="CN2588" s="56"/>
      <c r="CO2588" s="56"/>
      <c r="CP2588" s="56"/>
      <c r="CQ2588" s="56"/>
      <c r="CR2588" s="56"/>
      <c r="CS2588" s="56"/>
      <c r="CT2588" s="56"/>
      <c r="CU2588" s="56"/>
      <c r="CV2588" s="56"/>
      <c r="CW2588" s="56"/>
      <c r="CX2588" s="56"/>
      <c r="CY2588" s="56"/>
      <c r="CZ2588" s="56"/>
    </row>
    <row r="2589" spans="27:104" s="5" customFormat="1" x14ac:dyDescent="0.25">
      <c r="AA2589" s="56"/>
      <c r="AB2589" s="56"/>
      <c r="AC2589" s="56"/>
      <c r="AD2589" s="56"/>
      <c r="AE2589" s="56"/>
      <c r="AF2589" s="56"/>
      <c r="AG2589" s="56"/>
      <c r="AH2589" s="56"/>
      <c r="AI2589" s="56"/>
      <c r="AJ2589" s="56"/>
      <c r="AK2589" s="56"/>
      <c r="AL2589" s="56"/>
      <c r="AM2589" s="56"/>
      <c r="AN2589" s="56"/>
      <c r="AO2589" s="56"/>
      <c r="AP2589" s="56"/>
      <c r="AQ2589" s="56"/>
      <c r="AR2589" s="56"/>
      <c r="AS2589" s="56"/>
      <c r="AT2589" s="56"/>
      <c r="AU2589" s="56"/>
      <c r="AV2589" s="56"/>
      <c r="AW2589" s="56"/>
      <c r="AX2589" s="56"/>
      <c r="AY2589" s="56"/>
      <c r="AZ2589" s="56"/>
      <c r="BA2589" s="56"/>
      <c r="BB2589" s="16"/>
      <c r="BC2589" s="56"/>
      <c r="BD2589" s="56"/>
      <c r="BE2589" s="56"/>
      <c r="BF2589" s="56"/>
      <c r="BG2589" s="56"/>
      <c r="BH2589" s="56"/>
      <c r="BI2589" s="56"/>
      <c r="BJ2589" s="56"/>
      <c r="BK2589" s="56"/>
      <c r="BL2589" s="56"/>
      <c r="BM2589" s="56"/>
      <c r="BN2589" s="56"/>
      <c r="BO2589" s="56"/>
      <c r="BP2589" s="56"/>
      <c r="BQ2589" s="56"/>
      <c r="BR2589" s="56"/>
      <c r="BS2589" s="56"/>
      <c r="BT2589" s="56"/>
      <c r="BU2589" s="56"/>
      <c r="BV2589" s="56"/>
      <c r="BW2589" s="56"/>
      <c r="BX2589" s="56"/>
      <c r="BY2589" s="56"/>
      <c r="BZ2589" s="56"/>
      <c r="CA2589" s="56"/>
      <c r="CB2589" s="56"/>
      <c r="CC2589" s="56"/>
      <c r="CD2589" s="56"/>
      <c r="CE2589" s="56"/>
      <c r="CF2589" s="56"/>
      <c r="CG2589" s="56"/>
      <c r="CH2589" s="56"/>
      <c r="CI2589" s="56"/>
      <c r="CJ2589" s="56"/>
      <c r="CK2589" s="56"/>
      <c r="CL2589" s="56"/>
      <c r="CM2589" s="56"/>
      <c r="CN2589" s="56"/>
      <c r="CO2589" s="56"/>
      <c r="CP2589" s="56"/>
      <c r="CQ2589" s="56"/>
      <c r="CR2589" s="56"/>
      <c r="CS2589" s="56"/>
      <c r="CT2589" s="56"/>
      <c r="CU2589" s="56"/>
      <c r="CV2589" s="56"/>
      <c r="CW2589" s="56"/>
      <c r="CX2589" s="56"/>
      <c r="CY2589" s="56"/>
      <c r="CZ2589" s="56"/>
    </row>
    <row r="2590" spans="27:104" s="5" customFormat="1" x14ac:dyDescent="0.25">
      <c r="AA2590" s="56"/>
      <c r="AB2590" s="56"/>
      <c r="AC2590" s="56"/>
      <c r="AD2590" s="56"/>
      <c r="AE2590" s="56"/>
      <c r="AF2590" s="56"/>
      <c r="AG2590" s="56"/>
      <c r="AH2590" s="56"/>
      <c r="AI2590" s="56"/>
      <c r="AJ2590" s="56"/>
      <c r="AK2590" s="56"/>
      <c r="AL2590" s="56"/>
      <c r="AM2590" s="56"/>
      <c r="AN2590" s="56"/>
      <c r="AO2590" s="56"/>
      <c r="AP2590" s="56"/>
      <c r="AQ2590" s="56"/>
      <c r="AR2590" s="56"/>
      <c r="AS2590" s="56"/>
      <c r="AT2590" s="56"/>
      <c r="AU2590" s="56"/>
      <c r="AV2590" s="56"/>
      <c r="AW2590" s="56"/>
      <c r="AX2590" s="56"/>
      <c r="AY2590" s="56"/>
      <c r="AZ2590" s="56"/>
      <c r="BA2590" s="56"/>
      <c r="BB2590" s="16"/>
      <c r="BC2590" s="56"/>
      <c r="BD2590" s="56"/>
      <c r="BE2590" s="56"/>
      <c r="BF2590" s="56"/>
      <c r="BG2590" s="56"/>
      <c r="BH2590" s="56"/>
      <c r="BI2590" s="56"/>
      <c r="BJ2590" s="56"/>
      <c r="BK2590" s="56"/>
      <c r="BL2590" s="56"/>
      <c r="BM2590" s="56"/>
      <c r="BN2590" s="56"/>
      <c r="BO2590" s="56"/>
      <c r="BP2590" s="56"/>
      <c r="BQ2590" s="56"/>
      <c r="BR2590" s="56"/>
      <c r="BS2590" s="56"/>
      <c r="BT2590" s="56"/>
      <c r="BU2590" s="56"/>
      <c r="BV2590" s="56"/>
      <c r="BW2590" s="56"/>
      <c r="BX2590" s="56"/>
      <c r="BY2590" s="56"/>
      <c r="BZ2590" s="56"/>
      <c r="CA2590" s="56"/>
      <c r="CB2590" s="56"/>
      <c r="CC2590" s="56"/>
      <c r="CD2590" s="56"/>
      <c r="CE2590" s="56"/>
      <c r="CF2590" s="56"/>
      <c r="CG2590" s="56"/>
      <c r="CH2590" s="56"/>
      <c r="CI2590" s="56"/>
      <c r="CJ2590" s="56"/>
      <c r="CK2590" s="56"/>
      <c r="CL2590" s="56"/>
      <c r="CM2590" s="56"/>
      <c r="CN2590" s="56"/>
      <c r="CO2590" s="56"/>
      <c r="CP2590" s="56"/>
      <c r="CQ2590" s="56"/>
      <c r="CR2590" s="56"/>
      <c r="CS2590" s="56"/>
      <c r="CT2590" s="56"/>
      <c r="CU2590" s="56"/>
      <c r="CV2590" s="56"/>
      <c r="CW2590" s="56"/>
      <c r="CX2590" s="56"/>
      <c r="CY2590" s="56"/>
      <c r="CZ2590" s="56"/>
    </row>
    <row r="2591" spans="27:104" s="5" customFormat="1" x14ac:dyDescent="0.25">
      <c r="AA2591" s="56"/>
      <c r="AB2591" s="56"/>
      <c r="AC2591" s="56"/>
      <c r="AD2591" s="56"/>
      <c r="AE2591" s="56"/>
      <c r="AF2591" s="56"/>
      <c r="AG2591" s="56"/>
      <c r="AH2591" s="56"/>
      <c r="AI2591" s="56"/>
      <c r="AJ2591" s="56"/>
      <c r="AK2591" s="56"/>
      <c r="AL2591" s="56"/>
      <c r="AM2591" s="56"/>
      <c r="AN2591" s="56"/>
      <c r="AO2591" s="56"/>
      <c r="AP2591" s="56"/>
      <c r="AQ2591" s="56"/>
      <c r="AR2591" s="56"/>
      <c r="AS2591" s="56"/>
      <c r="AT2591" s="56"/>
      <c r="AU2591" s="56"/>
      <c r="AV2591" s="56"/>
      <c r="AW2591" s="56"/>
      <c r="AX2591" s="56"/>
      <c r="AY2591" s="56"/>
      <c r="AZ2591" s="56"/>
      <c r="BA2591" s="56"/>
      <c r="BB2591" s="16"/>
      <c r="BC2591" s="56"/>
      <c r="BD2591" s="56"/>
      <c r="BE2591" s="56"/>
      <c r="BF2591" s="56"/>
      <c r="BG2591" s="56"/>
      <c r="BH2591" s="56"/>
      <c r="BI2591" s="56"/>
      <c r="BJ2591" s="56"/>
      <c r="BK2591" s="56"/>
      <c r="BL2591" s="56"/>
      <c r="BM2591" s="56"/>
      <c r="BN2591" s="56"/>
      <c r="BO2591" s="56"/>
      <c r="BP2591" s="56"/>
      <c r="BQ2591" s="56"/>
      <c r="BR2591" s="56"/>
      <c r="BS2591" s="56"/>
      <c r="BT2591" s="56"/>
      <c r="BU2591" s="56"/>
      <c r="BV2591" s="56"/>
      <c r="BW2591" s="56"/>
      <c r="BX2591" s="56"/>
      <c r="BY2591" s="56"/>
      <c r="BZ2591" s="56"/>
      <c r="CA2591" s="56"/>
      <c r="CB2591" s="56"/>
      <c r="CC2591" s="56"/>
      <c r="CD2591" s="56"/>
      <c r="CE2591" s="56"/>
      <c r="CF2591" s="56"/>
      <c r="CG2591" s="56"/>
      <c r="CH2591" s="56"/>
      <c r="CI2591" s="56"/>
      <c r="CJ2591" s="56"/>
      <c r="CK2591" s="56"/>
      <c r="CL2591" s="56"/>
      <c r="CM2591" s="56"/>
      <c r="CN2591" s="56"/>
      <c r="CO2591" s="56"/>
      <c r="CP2591" s="56"/>
      <c r="CQ2591" s="56"/>
      <c r="CR2591" s="56"/>
      <c r="CS2591" s="56"/>
      <c r="CT2591" s="56"/>
      <c r="CU2591" s="56"/>
      <c r="CV2591" s="56"/>
      <c r="CW2591" s="56"/>
      <c r="CX2591" s="56"/>
      <c r="CY2591" s="56"/>
      <c r="CZ2591" s="56"/>
    </row>
    <row r="2592" spans="27:104" s="5" customFormat="1" x14ac:dyDescent="0.25">
      <c r="AA2592" s="56"/>
      <c r="AB2592" s="56"/>
      <c r="AC2592" s="56"/>
      <c r="AD2592" s="56"/>
      <c r="AE2592" s="56"/>
      <c r="AF2592" s="56"/>
      <c r="AG2592" s="56"/>
      <c r="AH2592" s="56"/>
      <c r="AI2592" s="56"/>
      <c r="AJ2592" s="56"/>
      <c r="AK2592" s="56"/>
      <c r="AL2592" s="56"/>
      <c r="AM2592" s="56"/>
      <c r="AN2592" s="56"/>
      <c r="AO2592" s="56"/>
      <c r="AP2592" s="56"/>
      <c r="AQ2592" s="56"/>
      <c r="AR2592" s="56"/>
      <c r="AS2592" s="56"/>
      <c r="AT2592" s="56"/>
      <c r="AU2592" s="56"/>
      <c r="AV2592" s="56"/>
      <c r="AW2592" s="56"/>
      <c r="AX2592" s="56"/>
      <c r="AY2592" s="56"/>
      <c r="AZ2592" s="56"/>
      <c r="BA2592" s="56"/>
      <c r="BB2592" s="16"/>
      <c r="BC2592" s="56"/>
      <c r="BD2592" s="56"/>
      <c r="BE2592" s="56"/>
      <c r="BF2592" s="56"/>
      <c r="BG2592" s="56"/>
      <c r="BH2592" s="56"/>
      <c r="BI2592" s="56"/>
      <c r="BJ2592" s="56"/>
      <c r="BK2592" s="56"/>
      <c r="BL2592" s="56"/>
      <c r="BM2592" s="56"/>
      <c r="BN2592" s="56"/>
      <c r="BO2592" s="56"/>
      <c r="BP2592" s="56"/>
      <c r="BQ2592" s="56"/>
      <c r="BR2592" s="56"/>
      <c r="BS2592" s="56"/>
      <c r="BT2592" s="56"/>
      <c r="BU2592" s="56"/>
      <c r="BV2592" s="56"/>
      <c r="BW2592" s="56"/>
      <c r="BX2592" s="56"/>
      <c r="BY2592" s="56"/>
      <c r="BZ2592" s="56"/>
      <c r="CA2592" s="56"/>
      <c r="CB2592" s="56"/>
      <c r="CC2592" s="56"/>
      <c r="CD2592" s="56"/>
      <c r="CE2592" s="56"/>
      <c r="CF2592" s="56"/>
      <c r="CG2592" s="56"/>
      <c r="CH2592" s="56"/>
      <c r="CI2592" s="56"/>
      <c r="CJ2592" s="56"/>
      <c r="CK2592" s="56"/>
      <c r="CL2592" s="56"/>
      <c r="CM2592" s="56"/>
      <c r="CN2592" s="56"/>
      <c r="CO2592" s="56"/>
      <c r="CP2592" s="56"/>
      <c r="CQ2592" s="56"/>
      <c r="CR2592" s="56"/>
      <c r="CS2592" s="56"/>
      <c r="CT2592" s="56"/>
      <c r="CU2592" s="56"/>
      <c r="CV2592" s="56"/>
      <c r="CW2592" s="56"/>
      <c r="CX2592" s="56"/>
      <c r="CY2592" s="56"/>
      <c r="CZ2592" s="56"/>
    </row>
    <row r="2593" spans="27:104" s="5" customFormat="1" x14ac:dyDescent="0.25">
      <c r="AA2593" s="56"/>
      <c r="AB2593" s="56"/>
      <c r="AC2593" s="56"/>
      <c r="AD2593" s="56"/>
      <c r="AE2593" s="56"/>
      <c r="AF2593" s="56"/>
      <c r="AG2593" s="56"/>
      <c r="AH2593" s="56"/>
      <c r="AI2593" s="56"/>
      <c r="AJ2593" s="56"/>
      <c r="AK2593" s="56"/>
      <c r="AL2593" s="56"/>
      <c r="AM2593" s="56"/>
      <c r="AN2593" s="56"/>
      <c r="AO2593" s="56"/>
      <c r="AP2593" s="56"/>
      <c r="AQ2593" s="56"/>
      <c r="AR2593" s="56"/>
      <c r="AS2593" s="56"/>
      <c r="AT2593" s="56"/>
      <c r="AU2593" s="56"/>
      <c r="AV2593" s="56"/>
      <c r="AW2593" s="56"/>
      <c r="AX2593" s="56"/>
      <c r="AY2593" s="56"/>
      <c r="AZ2593" s="56"/>
      <c r="BA2593" s="56"/>
      <c r="BB2593" s="16"/>
      <c r="BC2593" s="56"/>
      <c r="BD2593" s="56"/>
      <c r="BE2593" s="56"/>
      <c r="BF2593" s="56"/>
      <c r="BG2593" s="56"/>
      <c r="BH2593" s="56"/>
      <c r="BI2593" s="56"/>
      <c r="BJ2593" s="56"/>
      <c r="BK2593" s="56"/>
      <c r="BL2593" s="56"/>
      <c r="BM2593" s="56"/>
      <c r="BN2593" s="56"/>
      <c r="BO2593" s="56"/>
      <c r="BP2593" s="56"/>
      <c r="BQ2593" s="56"/>
      <c r="BR2593" s="56"/>
      <c r="BS2593" s="56"/>
      <c r="BT2593" s="56"/>
      <c r="BU2593" s="56"/>
      <c r="BV2593" s="56"/>
      <c r="BW2593" s="56"/>
      <c r="BX2593" s="56"/>
      <c r="BY2593" s="56"/>
      <c r="BZ2593" s="56"/>
      <c r="CA2593" s="56"/>
      <c r="CB2593" s="56"/>
      <c r="CC2593" s="56"/>
      <c r="CD2593" s="56"/>
      <c r="CE2593" s="56"/>
      <c r="CF2593" s="56"/>
      <c r="CG2593" s="56"/>
      <c r="CH2593" s="56"/>
      <c r="CI2593" s="56"/>
      <c r="CJ2593" s="56"/>
      <c r="CK2593" s="56"/>
      <c r="CL2593" s="56"/>
      <c r="CM2593" s="56"/>
      <c r="CN2593" s="56"/>
      <c r="CO2593" s="56"/>
      <c r="CP2593" s="56"/>
      <c r="CQ2593" s="56"/>
      <c r="CR2593" s="56"/>
      <c r="CS2593" s="56"/>
      <c r="CT2593" s="56"/>
      <c r="CU2593" s="56"/>
      <c r="CV2593" s="56"/>
      <c r="CW2593" s="56"/>
      <c r="CX2593" s="56"/>
      <c r="CY2593" s="56"/>
      <c r="CZ2593" s="56"/>
    </row>
    <row r="2594" spans="27:104" s="5" customFormat="1" x14ac:dyDescent="0.25">
      <c r="AA2594" s="56"/>
      <c r="AB2594" s="56"/>
      <c r="AC2594" s="56"/>
      <c r="AD2594" s="56"/>
      <c r="AE2594" s="56"/>
      <c r="AF2594" s="56"/>
      <c r="AG2594" s="56"/>
      <c r="AH2594" s="56"/>
      <c r="AI2594" s="56"/>
      <c r="AJ2594" s="56"/>
      <c r="AK2594" s="56"/>
      <c r="AL2594" s="56"/>
      <c r="AM2594" s="56"/>
      <c r="AN2594" s="56"/>
      <c r="AO2594" s="56"/>
      <c r="AP2594" s="56"/>
      <c r="AQ2594" s="56"/>
      <c r="AR2594" s="56"/>
      <c r="AS2594" s="56"/>
      <c r="AT2594" s="56"/>
      <c r="AU2594" s="56"/>
      <c r="AV2594" s="56"/>
      <c r="AW2594" s="56"/>
      <c r="AX2594" s="56"/>
      <c r="AY2594" s="56"/>
      <c r="AZ2594" s="56"/>
      <c r="BA2594" s="56"/>
      <c r="BB2594" s="16"/>
      <c r="BC2594" s="56"/>
      <c r="BD2594" s="56"/>
      <c r="BE2594" s="56"/>
      <c r="BF2594" s="56"/>
      <c r="BG2594" s="56"/>
      <c r="BH2594" s="56"/>
      <c r="BI2594" s="56"/>
      <c r="BJ2594" s="56"/>
      <c r="BK2594" s="56"/>
      <c r="BL2594" s="56"/>
      <c r="BM2594" s="56"/>
      <c r="BN2594" s="56"/>
      <c r="BO2594" s="56"/>
      <c r="BP2594" s="56"/>
      <c r="BQ2594" s="56"/>
      <c r="BR2594" s="56"/>
      <c r="BS2594" s="56"/>
      <c r="BT2594" s="56"/>
      <c r="BU2594" s="56"/>
      <c r="BV2594" s="56"/>
      <c r="BW2594" s="56"/>
      <c r="BX2594" s="56"/>
      <c r="BY2594" s="56"/>
      <c r="BZ2594" s="56"/>
      <c r="CA2594" s="56"/>
      <c r="CB2594" s="56"/>
      <c r="CC2594" s="56"/>
      <c r="CD2594" s="56"/>
      <c r="CE2594" s="56"/>
      <c r="CF2594" s="56"/>
      <c r="CG2594" s="56"/>
      <c r="CH2594" s="56"/>
      <c r="CI2594" s="56"/>
      <c r="CJ2594" s="56"/>
      <c r="CK2594" s="56"/>
      <c r="CL2594" s="56"/>
      <c r="CM2594" s="56"/>
      <c r="CN2594" s="56"/>
      <c r="CO2594" s="56"/>
      <c r="CP2594" s="56"/>
      <c r="CQ2594" s="56"/>
      <c r="CR2594" s="56"/>
      <c r="CS2594" s="56"/>
      <c r="CT2594" s="56"/>
      <c r="CU2594" s="56"/>
      <c r="CV2594" s="56"/>
      <c r="CW2594" s="56"/>
      <c r="CX2594" s="56"/>
      <c r="CY2594" s="56"/>
      <c r="CZ2594" s="56"/>
    </row>
    <row r="2595" spans="27:104" s="5" customFormat="1" x14ac:dyDescent="0.25">
      <c r="AA2595" s="56"/>
      <c r="AB2595" s="56"/>
      <c r="AC2595" s="56"/>
      <c r="AD2595" s="56"/>
      <c r="AE2595" s="56"/>
      <c r="AF2595" s="56"/>
      <c r="AG2595" s="56"/>
      <c r="AH2595" s="56"/>
      <c r="AI2595" s="56"/>
      <c r="AJ2595" s="56"/>
      <c r="AK2595" s="56"/>
      <c r="AL2595" s="56"/>
      <c r="AM2595" s="56"/>
      <c r="AN2595" s="56"/>
      <c r="AO2595" s="56"/>
      <c r="AP2595" s="56"/>
      <c r="AQ2595" s="56"/>
      <c r="AR2595" s="56"/>
      <c r="AS2595" s="56"/>
      <c r="AT2595" s="56"/>
      <c r="AU2595" s="56"/>
      <c r="AV2595" s="56"/>
      <c r="AW2595" s="56"/>
      <c r="AX2595" s="56"/>
      <c r="AY2595" s="56"/>
      <c r="AZ2595" s="56"/>
      <c r="BA2595" s="56"/>
      <c r="BB2595" s="16"/>
      <c r="BC2595" s="56"/>
      <c r="BD2595" s="56"/>
      <c r="BE2595" s="56"/>
      <c r="BF2595" s="56"/>
      <c r="BG2595" s="56"/>
      <c r="BH2595" s="56"/>
      <c r="BI2595" s="56"/>
      <c r="BJ2595" s="56"/>
      <c r="BK2595" s="56"/>
      <c r="BL2595" s="56"/>
      <c r="BM2595" s="56"/>
      <c r="BN2595" s="56"/>
      <c r="BO2595" s="56"/>
      <c r="BP2595" s="56"/>
      <c r="BQ2595" s="56"/>
      <c r="BR2595" s="56"/>
      <c r="BS2595" s="56"/>
      <c r="BT2595" s="56"/>
      <c r="BU2595" s="56"/>
      <c r="BV2595" s="56"/>
      <c r="BW2595" s="56"/>
      <c r="BX2595" s="56"/>
      <c r="BY2595" s="56"/>
      <c r="BZ2595" s="56"/>
      <c r="CA2595" s="56"/>
      <c r="CB2595" s="56"/>
      <c r="CC2595" s="56"/>
      <c r="CD2595" s="56"/>
      <c r="CE2595" s="56"/>
      <c r="CF2595" s="56"/>
      <c r="CG2595" s="56"/>
      <c r="CH2595" s="56"/>
      <c r="CI2595" s="56"/>
      <c r="CJ2595" s="56"/>
      <c r="CK2595" s="56"/>
      <c r="CL2595" s="56"/>
      <c r="CM2595" s="56"/>
      <c r="CN2595" s="56"/>
      <c r="CO2595" s="56"/>
      <c r="CP2595" s="56"/>
      <c r="CQ2595" s="56"/>
      <c r="CR2595" s="56"/>
      <c r="CS2595" s="56"/>
      <c r="CT2595" s="56"/>
      <c r="CU2595" s="56"/>
      <c r="CV2595" s="56"/>
      <c r="CW2595" s="56"/>
      <c r="CX2595" s="56"/>
      <c r="CY2595" s="56"/>
      <c r="CZ2595" s="56"/>
    </row>
    <row r="2596" spans="27:104" s="5" customFormat="1" x14ac:dyDescent="0.25">
      <c r="AA2596" s="56"/>
      <c r="AB2596" s="56"/>
      <c r="AC2596" s="56"/>
      <c r="AD2596" s="56"/>
      <c r="AE2596" s="56"/>
      <c r="AF2596" s="56"/>
      <c r="AG2596" s="56"/>
      <c r="AH2596" s="56"/>
      <c r="AI2596" s="56"/>
      <c r="AJ2596" s="56"/>
      <c r="AK2596" s="56"/>
      <c r="AL2596" s="56"/>
      <c r="AM2596" s="56"/>
      <c r="AN2596" s="56"/>
      <c r="AO2596" s="56"/>
      <c r="AP2596" s="56"/>
      <c r="AQ2596" s="56"/>
      <c r="AR2596" s="56"/>
      <c r="AS2596" s="56"/>
      <c r="AT2596" s="56"/>
      <c r="AU2596" s="56"/>
      <c r="AV2596" s="56"/>
      <c r="AW2596" s="56"/>
      <c r="AX2596" s="56"/>
      <c r="AY2596" s="56"/>
      <c r="AZ2596" s="56"/>
      <c r="BA2596" s="56"/>
      <c r="BB2596" s="16"/>
      <c r="BC2596" s="56"/>
      <c r="BD2596" s="56"/>
      <c r="BE2596" s="56"/>
      <c r="BF2596" s="56"/>
      <c r="BG2596" s="56"/>
      <c r="BH2596" s="56"/>
      <c r="BI2596" s="56"/>
      <c r="BJ2596" s="56"/>
      <c r="BK2596" s="56"/>
      <c r="BL2596" s="56"/>
      <c r="BM2596" s="56"/>
      <c r="BN2596" s="56"/>
      <c r="BO2596" s="56"/>
      <c r="BP2596" s="56"/>
      <c r="BQ2596" s="56"/>
      <c r="BR2596" s="56"/>
      <c r="BS2596" s="56"/>
      <c r="BT2596" s="56"/>
      <c r="BU2596" s="56"/>
      <c r="BV2596" s="56"/>
      <c r="BW2596" s="56"/>
      <c r="BX2596" s="56"/>
      <c r="BY2596" s="56"/>
      <c r="BZ2596" s="56"/>
      <c r="CA2596" s="56"/>
      <c r="CB2596" s="56"/>
      <c r="CC2596" s="56"/>
      <c r="CD2596" s="56"/>
      <c r="CE2596" s="56"/>
      <c r="CF2596" s="56"/>
      <c r="CG2596" s="56"/>
      <c r="CH2596" s="56"/>
      <c r="CI2596" s="56"/>
      <c r="CJ2596" s="56"/>
      <c r="CK2596" s="56"/>
      <c r="CL2596" s="56"/>
      <c r="CM2596" s="56"/>
      <c r="CN2596" s="56"/>
      <c r="CO2596" s="56"/>
      <c r="CP2596" s="56"/>
      <c r="CQ2596" s="56"/>
      <c r="CR2596" s="56"/>
      <c r="CS2596" s="56"/>
      <c r="CT2596" s="56"/>
      <c r="CU2596" s="56"/>
      <c r="CV2596" s="56"/>
      <c r="CW2596" s="56"/>
      <c r="CX2596" s="56"/>
      <c r="CY2596" s="56"/>
      <c r="CZ2596" s="56"/>
    </row>
    <row r="2597" spans="27:104" s="5" customFormat="1" x14ac:dyDescent="0.25">
      <c r="AA2597" s="56"/>
      <c r="AB2597" s="56"/>
      <c r="AC2597" s="56"/>
      <c r="AD2597" s="56"/>
      <c r="AE2597" s="56"/>
      <c r="AF2597" s="56"/>
      <c r="AG2597" s="56"/>
      <c r="AH2597" s="56"/>
      <c r="AI2597" s="56"/>
      <c r="AJ2597" s="56"/>
      <c r="AK2597" s="56"/>
      <c r="AL2597" s="56"/>
      <c r="AM2597" s="56"/>
      <c r="AN2597" s="56"/>
      <c r="AO2597" s="56"/>
      <c r="AP2597" s="56"/>
      <c r="AQ2597" s="56"/>
      <c r="AR2597" s="56"/>
      <c r="AS2597" s="56"/>
      <c r="AT2597" s="56"/>
      <c r="AU2597" s="56"/>
      <c r="AV2597" s="56"/>
      <c r="AW2597" s="56"/>
      <c r="AX2597" s="56"/>
      <c r="AY2597" s="56"/>
      <c r="AZ2597" s="56"/>
      <c r="BA2597" s="56"/>
      <c r="BB2597" s="16"/>
      <c r="BC2597" s="56"/>
      <c r="BD2597" s="56"/>
      <c r="BE2597" s="56"/>
      <c r="BF2597" s="56"/>
      <c r="BG2597" s="56"/>
      <c r="BH2597" s="56"/>
      <c r="BI2597" s="56"/>
      <c r="BJ2597" s="56"/>
      <c r="BK2597" s="56"/>
      <c r="BL2597" s="56"/>
      <c r="BM2597" s="56"/>
      <c r="BN2597" s="56"/>
      <c r="BO2597" s="56"/>
      <c r="BP2597" s="56"/>
      <c r="BQ2597" s="56"/>
      <c r="BR2597" s="56"/>
      <c r="BS2597" s="56"/>
      <c r="BT2597" s="56"/>
      <c r="BU2597" s="56"/>
      <c r="BV2597" s="56"/>
      <c r="BW2597" s="56"/>
      <c r="BX2597" s="56"/>
      <c r="BY2597" s="56"/>
      <c r="BZ2597" s="56"/>
      <c r="CA2597" s="56"/>
      <c r="CB2597" s="56"/>
      <c r="CC2597" s="56"/>
      <c r="CD2597" s="56"/>
      <c r="CE2597" s="56"/>
      <c r="CF2597" s="56"/>
      <c r="CG2597" s="56"/>
      <c r="CH2597" s="56"/>
      <c r="CI2597" s="56"/>
      <c r="CJ2597" s="56"/>
      <c r="CK2597" s="56"/>
      <c r="CL2597" s="56"/>
      <c r="CM2597" s="56"/>
      <c r="CN2597" s="56"/>
      <c r="CO2597" s="56"/>
      <c r="CP2597" s="56"/>
      <c r="CQ2597" s="56"/>
      <c r="CR2597" s="56"/>
      <c r="CS2597" s="56"/>
      <c r="CT2597" s="56"/>
      <c r="CU2597" s="56"/>
      <c r="CV2597" s="56"/>
      <c r="CW2597" s="56"/>
      <c r="CX2597" s="56"/>
      <c r="CY2597" s="56"/>
      <c r="CZ2597" s="56"/>
    </row>
    <row r="2598" spans="27:104" s="5" customFormat="1" x14ac:dyDescent="0.25">
      <c r="AA2598" s="56"/>
      <c r="AB2598" s="56"/>
      <c r="AC2598" s="56"/>
      <c r="AD2598" s="56"/>
      <c r="AE2598" s="56"/>
      <c r="AF2598" s="56"/>
      <c r="AG2598" s="56"/>
      <c r="AH2598" s="56"/>
      <c r="AI2598" s="56"/>
      <c r="AJ2598" s="56"/>
      <c r="AK2598" s="56"/>
      <c r="AL2598" s="56"/>
      <c r="AM2598" s="56"/>
      <c r="AN2598" s="56"/>
      <c r="AO2598" s="56"/>
      <c r="AP2598" s="56"/>
      <c r="AQ2598" s="56"/>
      <c r="AR2598" s="56"/>
      <c r="AS2598" s="56"/>
      <c r="AT2598" s="56"/>
      <c r="AU2598" s="56"/>
      <c r="AV2598" s="56"/>
      <c r="AW2598" s="56"/>
      <c r="AX2598" s="56"/>
      <c r="AY2598" s="56"/>
      <c r="AZ2598" s="56"/>
      <c r="BA2598" s="56"/>
      <c r="BB2598" s="16"/>
      <c r="BC2598" s="56"/>
      <c r="BD2598" s="56"/>
      <c r="BE2598" s="56"/>
      <c r="BF2598" s="56"/>
      <c r="BG2598" s="56"/>
      <c r="BH2598" s="56"/>
      <c r="BI2598" s="56"/>
      <c r="BJ2598" s="56"/>
      <c r="BK2598" s="56"/>
      <c r="BL2598" s="56"/>
      <c r="BM2598" s="56"/>
      <c r="BN2598" s="56"/>
      <c r="BO2598" s="56"/>
      <c r="BP2598" s="56"/>
      <c r="BQ2598" s="56"/>
      <c r="BR2598" s="56"/>
      <c r="BS2598" s="56"/>
      <c r="BT2598" s="56"/>
      <c r="BU2598" s="56"/>
      <c r="BV2598" s="56"/>
      <c r="BW2598" s="56"/>
      <c r="BX2598" s="56"/>
      <c r="BY2598" s="56"/>
      <c r="BZ2598" s="56"/>
      <c r="CA2598" s="56"/>
      <c r="CB2598" s="56"/>
      <c r="CC2598" s="56"/>
      <c r="CD2598" s="56"/>
      <c r="CE2598" s="56"/>
      <c r="CF2598" s="56"/>
      <c r="CG2598" s="56"/>
      <c r="CH2598" s="56"/>
      <c r="CI2598" s="56"/>
      <c r="CJ2598" s="56"/>
      <c r="CK2598" s="56"/>
      <c r="CL2598" s="56"/>
      <c r="CM2598" s="56"/>
      <c r="CN2598" s="56"/>
      <c r="CO2598" s="56"/>
      <c r="CP2598" s="56"/>
      <c r="CQ2598" s="56"/>
      <c r="CR2598" s="56"/>
      <c r="CS2598" s="56"/>
      <c r="CT2598" s="56"/>
      <c r="CU2598" s="56"/>
      <c r="CV2598" s="56"/>
      <c r="CW2598" s="56"/>
      <c r="CX2598" s="56"/>
      <c r="CY2598" s="56"/>
      <c r="CZ2598" s="56"/>
    </row>
    <row r="2599" spans="27:104" s="5" customFormat="1" x14ac:dyDescent="0.25">
      <c r="AA2599" s="56"/>
      <c r="AB2599" s="56"/>
      <c r="AC2599" s="56"/>
      <c r="AD2599" s="56"/>
      <c r="AE2599" s="56"/>
      <c r="AF2599" s="56"/>
      <c r="AG2599" s="56"/>
      <c r="AH2599" s="56"/>
      <c r="AI2599" s="56"/>
      <c r="AJ2599" s="56"/>
      <c r="AK2599" s="56"/>
      <c r="AL2599" s="56"/>
      <c r="AM2599" s="56"/>
      <c r="AN2599" s="56"/>
      <c r="AO2599" s="56"/>
      <c r="AP2599" s="56"/>
      <c r="AQ2599" s="56"/>
      <c r="AR2599" s="56"/>
      <c r="AS2599" s="56"/>
      <c r="AT2599" s="56"/>
      <c r="AU2599" s="56"/>
      <c r="AV2599" s="56"/>
      <c r="AW2599" s="56"/>
      <c r="AX2599" s="56"/>
      <c r="AY2599" s="56"/>
      <c r="AZ2599" s="56"/>
      <c r="BA2599" s="56"/>
      <c r="BB2599" s="16"/>
      <c r="BC2599" s="56"/>
      <c r="BD2599" s="56"/>
      <c r="BE2599" s="56"/>
      <c r="BF2599" s="56"/>
      <c r="BG2599" s="56"/>
      <c r="BH2599" s="56"/>
      <c r="BI2599" s="56"/>
      <c r="BJ2599" s="56"/>
      <c r="BK2599" s="56"/>
      <c r="BL2599" s="56"/>
      <c r="BM2599" s="56"/>
      <c r="BN2599" s="56"/>
      <c r="BO2599" s="56"/>
      <c r="BP2599" s="56"/>
      <c r="BQ2599" s="56"/>
      <c r="BR2599" s="56"/>
      <c r="BS2599" s="56"/>
      <c r="BT2599" s="56"/>
      <c r="BU2599" s="56"/>
      <c r="BV2599" s="56"/>
      <c r="BW2599" s="56"/>
      <c r="BX2599" s="56"/>
      <c r="BY2599" s="56"/>
      <c r="BZ2599" s="56"/>
      <c r="CA2599" s="56"/>
      <c r="CB2599" s="56"/>
      <c r="CC2599" s="56"/>
      <c r="CD2599" s="56"/>
      <c r="CE2599" s="56"/>
      <c r="CF2599" s="56"/>
      <c r="CG2599" s="56"/>
      <c r="CH2599" s="56"/>
      <c r="CI2599" s="56"/>
      <c r="CJ2599" s="56"/>
      <c r="CK2599" s="56"/>
      <c r="CL2599" s="56"/>
      <c r="CM2599" s="56"/>
      <c r="CN2599" s="56"/>
      <c r="CO2599" s="56"/>
      <c r="CP2599" s="56"/>
      <c r="CQ2599" s="56"/>
      <c r="CR2599" s="56"/>
      <c r="CS2599" s="56"/>
      <c r="CT2599" s="56"/>
      <c r="CU2599" s="56"/>
      <c r="CV2599" s="56"/>
      <c r="CW2599" s="56"/>
      <c r="CX2599" s="56"/>
      <c r="CY2599" s="56"/>
      <c r="CZ2599" s="56"/>
    </row>
    <row r="2600" spans="27:104" s="5" customFormat="1" x14ac:dyDescent="0.25">
      <c r="AA2600" s="56"/>
      <c r="AB2600" s="56"/>
      <c r="AC2600" s="56"/>
      <c r="AD2600" s="56"/>
      <c r="AE2600" s="56"/>
      <c r="AF2600" s="56"/>
      <c r="AG2600" s="56"/>
      <c r="AH2600" s="56"/>
      <c r="AI2600" s="56"/>
      <c r="AJ2600" s="56"/>
      <c r="AK2600" s="56"/>
      <c r="AL2600" s="56"/>
      <c r="AM2600" s="56"/>
      <c r="AN2600" s="56"/>
      <c r="AO2600" s="56"/>
      <c r="AP2600" s="56"/>
      <c r="AQ2600" s="56"/>
      <c r="AR2600" s="56"/>
      <c r="AS2600" s="56"/>
      <c r="AT2600" s="56"/>
      <c r="AU2600" s="56"/>
      <c r="AV2600" s="56"/>
      <c r="AW2600" s="56"/>
      <c r="AX2600" s="56"/>
      <c r="AY2600" s="56"/>
      <c r="AZ2600" s="56"/>
      <c r="BA2600" s="56"/>
      <c r="BB2600" s="16"/>
      <c r="BC2600" s="56"/>
      <c r="BD2600" s="56"/>
      <c r="BE2600" s="56"/>
      <c r="BF2600" s="56"/>
      <c r="BG2600" s="56"/>
      <c r="BH2600" s="56"/>
      <c r="BI2600" s="56"/>
      <c r="BJ2600" s="56"/>
      <c r="BK2600" s="56"/>
      <c r="BL2600" s="56"/>
      <c r="BM2600" s="56"/>
      <c r="BN2600" s="56"/>
      <c r="BO2600" s="56"/>
      <c r="BP2600" s="56"/>
      <c r="BQ2600" s="56"/>
      <c r="BR2600" s="56"/>
      <c r="BS2600" s="56"/>
      <c r="BT2600" s="56"/>
      <c r="BU2600" s="56"/>
      <c r="BV2600" s="56"/>
      <c r="BW2600" s="56"/>
      <c r="BX2600" s="56"/>
      <c r="BY2600" s="56"/>
      <c r="BZ2600" s="56"/>
      <c r="CA2600" s="56"/>
      <c r="CB2600" s="56"/>
      <c r="CC2600" s="56"/>
      <c r="CD2600" s="56"/>
      <c r="CE2600" s="56"/>
      <c r="CF2600" s="56"/>
      <c r="CG2600" s="56"/>
      <c r="CH2600" s="56"/>
      <c r="CI2600" s="56"/>
      <c r="CJ2600" s="56"/>
      <c r="CK2600" s="56"/>
      <c r="CL2600" s="56"/>
      <c r="CM2600" s="56"/>
      <c r="CN2600" s="56"/>
      <c r="CO2600" s="56"/>
      <c r="CP2600" s="56"/>
      <c r="CQ2600" s="56"/>
      <c r="CR2600" s="56"/>
      <c r="CS2600" s="56"/>
      <c r="CT2600" s="56"/>
      <c r="CU2600" s="56"/>
      <c r="CV2600" s="56"/>
      <c r="CW2600" s="56"/>
      <c r="CX2600" s="56"/>
      <c r="CY2600" s="56"/>
      <c r="CZ2600" s="56"/>
    </row>
    <row r="2601" spans="27:104" s="5" customFormat="1" x14ac:dyDescent="0.25">
      <c r="AA2601" s="56"/>
      <c r="AB2601" s="56"/>
      <c r="AC2601" s="56"/>
      <c r="AD2601" s="56"/>
      <c r="AE2601" s="56"/>
      <c r="AF2601" s="56"/>
      <c r="AG2601" s="56"/>
      <c r="AH2601" s="56"/>
      <c r="AI2601" s="56"/>
      <c r="AJ2601" s="56"/>
      <c r="AK2601" s="56"/>
      <c r="AL2601" s="56"/>
      <c r="AM2601" s="56"/>
      <c r="AN2601" s="56"/>
      <c r="AO2601" s="56"/>
      <c r="AP2601" s="56"/>
      <c r="AQ2601" s="56"/>
      <c r="AR2601" s="56"/>
      <c r="AS2601" s="56"/>
      <c r="AT2601" s="56"/>
      <c r="AU2601" s="56"/>
      <c r="AV2601" s="56"/>
      <c r="AW2601" s="56"/>
      <c r="AX2601" s="56"/>
      <c r="AY2601" s="56"/>
      <c r="AZ2601" s="56"/>
      <c r="BA2601" s="56"/>
      <c r="BB2601" s="16"/>
      <c r="BC2601" s="56"/>
      <c r="BD2601" s="56"/>
      <c r="BE2601" s="56"/>
      <c r="BF2601" s="56"/>
      <c r="BG2601" s="56"/>
      <c r="BH2601" s="56"/>
      <c r="BI2601" s="56"/>
      <c r="BJ2601" s="56"/>
      <c r="BK2601" s="56"/>
      <c r="BL2601" s="56"/>
      <c r="BM2601" s="56"/>
      <c r="BN2601" s="56"/>
      <c r="BO2601" s="56"/>
      <c r="BP2601" s="56"/>
      <c r="BQ2601" s="56"/>
      <c r="BR2601" s="56"/>
      <c r="BS2601" s="56"/>
      <c r="BT2601" s="56"/>
      <c r="BU2601" s="56"/>
      <c r="BV2601" s="56"/>
      <c r="BW2601" s="56"/>
      <c r="BX2601" s="56"/>
      <c r="BY2601" s="56"/>
      <c r="BZ2601" s="56"/>
      <c r="CA2601" s="56"/>
      <c r="CB2601" s="56"/>
      <c r="CC2601" s="56"/>
      <c r="CD2601" s="56"/>
      <c r="CE2601" s="56"/>
      <c r="CF2601" s="56"/>
      <c r="CG2601" s="56"/>
      <c r="CH2601" s="56"/>
      <c r="CI2601" s="56"/>
      <c r="CJ2601" s="56"/>
      <c r="CK2601" s="56"/>
      <c r="CL2601" s="56"/>
      <c r="CM2601" s="56"/>
      <c r="CN2601" s="56"/>
      <c r="CO2601" s="56"/>
      <c r="CP2601" s="56"/>
      <c r="CQ2601" s="56"/>
      <c r="CR2601" s="56"/>
      <c r="CS2601" s="56"/>
      <c r="CT2601" s="56"/>
      <c r="CU2601" s="56"/>
      <c r="CV2601" s="56"/>
      <c r="CW2601" s="56"/>
      <c r="CX2601" s="56"/>
      <c r="CY2601" s="56"/>
      <c r="CZ2601" s="56"/>
    </row>
    <row r="2602" spans="27:104" s="5" customFormat="1" x14ac:dyDescent="0.25">
      <c r="AA2602" s="56"/>
      <c r="AB2602" s="56"/>
      <c r="AC2602" s="56"/>
      <c r="AD2602" s="56"/>
      <c r="AE2602" s="56"/>
      <c r="AF2602" s="56"/>
      <c r="AG2602" s="56"/>
      <c r="AH2602" s="56"/>
      <c r="AI2602" s="56"/>
      <c r="AJ2602" s="56"/>
      <c r="AK2602" s="56"/>
      <c r="AL2602" s="56"/>
      <c r="AM2602" s="56"/>
      <c r="AN2602" s="56"/>
      <c r="AO2602" s="56"/>
      <c r="AP2602" s="56"/>
      <c r="AQ2602" s="56"/>
      <c r="AR2602" s="56"/>
      <c r="AS2602" s="56"/>
      <c r="AT2602" s="56"/>
      <c r="AU2602" s="56"/>
      <c r="AV2602" s="56"/>
      <c r="AW2602" s="56"/>
      <c r="AX2602" s="56"/>
      <c r="AY2602" s="56"/>
      <c r="AZ2602" s="56"/>
      <c r="BA2602" s="56"/>
      <c r="BB2602" s="16"/>
      <c r="BC2602" s="56"/>
      <c r="BD2602" s="56"/>
      <c r="BE2602" s="56"/>
      <c r="BF2602" s="56"/>
      <c r="BG2602" s="56"/>
      <c r="BH2602" s="56"/>
      <c r="BI2602" s="56"/>
      <c r="BJ2602" s="56"/>
      <c r="BK2602" s="56"/>
      <c r="BL2602" s="56"/>
      <c r="BM2602" s="56"/>
      <c r="BN2602" s="56"/>
      <c r="BO2602" s="56"/>
      <c r="BP2602" s="56"/>
      <c r="BQ2602" s="56"/>
      <c r="BR2602" s="56"/>
      <c r="BS2602" s="56"/>
      <c r="BT2602" s="56"/>
      <c r="BU2602" s="56"/>
      <c r="BV2602" s="56"/>
      <c r="BW2602" s="56"/>
      <c r="BX2602" s="56"/>
      <c r="BY2602" s="56"/>
      <c r="BZ2602" s="56"/>
      <c r="CA2602" s="56"/>
      <c r="CB2602" s="56"/>
      <c r="CC2602" s="56"/>
      <c r="CD2602" s="56"/>
      <c r="CE2602" s="56"/>
      <c r="CF2602" s="56"/>
      <c r="CG2602" s="56"/>
      <c r="CH2602" s="56"/>
      <c r="CI2602" s="56"/>
      <c r="CJ2602" s="56"/>
      <c r="CK2602" s="56"/>
      <c r="CL2602" s="56"/>
      <c r="CM2602" s="56"/>
      <c r="CN2602" s="56"/>
      <c r="CO2602" s="56"/>
      <c r="CP2602" s="56"/>
      <c r="CQ2602" s="56"/>
      <c r="CR2602" s="56"/>
      <c r="CS2602" s="56"/>
      <c r="CT2602" s="56"/>
      <c r="CU2602" s="56"/>
      <c r="CV2602" s="56"/>
      <c r="CW2602" s="56"/>
      <c r="CX2602" s="56"/>
      <c r="CY2602" s="56"/>
      <c r="CZ2602" s="56"/>
    </row>
    <row r="2603" spans="27:104" s="5" customFormat="1" x14ac:dyDescent="0.25">
      <c r="AA2603" s="56"/>
      <c r="AB2603" s="56"/>
      <c r="AC2603" s="56"/>
      <c r="AD2603" s="56"/>
      <c r="AE2603" s="56"/>
      <c r="AF2603" s="56"/>
      <c r="AG2603" s="56"/>
      <c r="AH2603" s="56"/>
      <c r="AI2603" s="56"/>
      <c r="AJ2603" s="56"/>
      <c r="AK2603" s="56"/>
      <c r="AL2603" s="56"/>
      <c r="AM2603" s="56"/>
      <c r="AN2603" s="56"/>
      <c r="AO2603" s="56"/>
      <c r="AP2603" s="56"/>
      <c r="AQ2603" s="56"/>
      <c r="AR2603" s="56"/>
      <c r="AS2603" s="56"/>
      <c r="AT2603" s="56"/>
      <c r="AU2603" s="56"/>
      <c r="AV2603" s="56"/>
      <c r="AW2603" s="56"/>
      <c r="AX2603" s="56"/>
      <c r="AY2603" s="56"/>
      <c r="AZ2603" s="56"/>
      <c r="BA2603" s="56"/>
      <c r="BB2603" s="16"/>
      <c r="BC2603" s="56"/>
      <c r="BD2603" s="56"/>
      <c r="BE2603" s="56"/>
      <c r="BF2603" s="56"/>
      <c r="BG2603" s="56"/>
      <c r="BH2603" s="56"/>
      <c r="BI2603" s="56"/>
      <c r="BJ2603" s="56"/>
      <c r="BK2603" s="56"/>
      <c r="BL2603" s="56"/>
      <c r="BM2603" s="56"/>
      <c r="BN2603" s="56"/>
      <c r="BO2603" s="56"/>
      <c r="BP2603" s="56"/>
      <c r="BQ2603" s="56"/>
      <c r="BR2603" s="56"/>
      <c r="BS2603" s="56"/>
      <c r="BT2603" s="56"/>
      <c r="BU2603" s="56"/>
      <c r="BV2603" s="56"/>
      <c r="BW2603" s="56"/>
      <c r="BX2603" s="56"/>
      <c r="BY2603" s="56"/>
      <c r="BZ2603" s="56"/>
      <c r="CA2603" s="56"/>
      <c r="CB2603" s="56"/>
      <c r="CC2603" s="56"/>
      <c r="CD2603" s="56"/>
      <c r="CE2603" s="56"/>
      <c r="CF2603" s="56"/>
      <c r="CG2603" s="56"/>
      <c r="CH2603" s="56"/>
      <c r="CI2603" s="56"/>
      <c r="CJ2603" s="56"/>
      <c r="CK2603" s="56"/>
      <c r="CL2603" s="56"/>
      <c r="CM2603" s="56"/>
      <c r="CN2603" s="56"/>
      <c r="CO2603" s="56"/>
      <c r="CP2603" s="56"/>
      <c r="CQ2603" s="56"/>
      <c r="CR2603" s="56"/>
      <c r="CS2603" s="56"/>
      <c r="CT2603" s="56"/>
      <c r="CU2603" s="56"/>
      <c r="CV2603" s="56"/>
      <c r="CW2603" s="56"/>
      <c r="CX2603" s="56"/>
      <c r="CY2603" s="56"/>
      <c r="CZ2603" s="56"/>
    </row>
    <row r="2604" spans="27:104" s="5" customFormat="1" x14ac:dyDescent="0.25">
      <c r="AA2604" s="56"/>
      <c r="AB2604" s="56"/>
      <c r="AC2604" s="56"/>
      <c r="AD2604" s="56"/>
      <c r="AE2604" s="56"/>
      <c r="AF2604" s="56"/>
      <c r="AG2604" s="56"/>
      <c r="AH2604" s="56"/>
      <c r="AI2604" s="56"/>
      <c r="AJ2604" s="56"/>
      <c r="AK2604" s="56"/>
      <c r="AL2604" s="56"/>
      <c r="AM2604" s="56"/>
      <c r="AN2604" s="56"/>
      <c r="AO2604" s="56"/>
      <c r="AP2604" s="56"/>
      <c r="AQ2604" s="56"/>
      <c r="AR2604" s="56"/>
      <c r="AS2604" s="56"/>
      <c r="AT2604" s="56"/>
      <c r="AU2604" s="56"/>
      <c r="AV2604" s="56"/>
      <c r="AW2604" s="56"/>
      <c r="AX2604" s="56"/>
      <c r="AY2604" s="56"/>
      <c r="AZ2604" s="56"/>
      <c r="BA2604" s="56"/>
      <c r="BB2604" s="16"/>
      <c r="BC2604" s="56"/>
      <c r="BD2604" s="56"/>
      <c r="BE2604" s="56"/>
      <c r="BF2604" s="56"/>
      <c r="BG2604" s="56"/>
      <c r="BH2604" s="56"/>
      <c r="BI2604" s="56"/>
      <c r="BJ2604" s="56"/>
      <c r="BK2604" s="56"/>
      <c r="BL2604" s="56"/>
      <c r="BM2604" s="56"/>
      <c r="BN2604" s="56"/>
      <c r="BO2604" s="56"/>
      <c r="BP2604" s="56"/>
      <c r="BQ2604" s="56"/>
      <c r="BR2604" s="56"/>
      <c r="BS2604" s="56"/>
      <c r="BT2604" s="56"/>
      <c r="BU2604" s="56"/>
      <c r="BV2604" s="56"/>
      <c r="BW2604" s="56"/>
      <c r="BX2604" s="56"/>
      <c r="BY2604" s="56"/>
      <c r="BZ2604" s="56"/>
      <c r="CA2604" s="56"/>
      <c r="CB2604" s="56"/>
      <c r="CC2604" s="56"/>
      <c r="CD2604" s="56"/>
      <c r="CE2604" s="56"/>
      <c r="CF2604" s="56"/>
      <c r="CG2604" s="56"/>
      <c r="CH2604" s="56"/>
      <c r="CI2604" s="56"/>
      <c r="CJ2604" s="56"/>
      <c r="CK2604" s="56"/>
      <c r="CL2604" s="56"/>
      <c r="CM2604" s="56"/>
      <c r="CN2604" s="56"/>
      <c r="CO2604" s="56"/>
      <c r="CP2604" s="56"/>
      <c r="CQ2604" s="56"/>
      <c r="CR2604" s="56"/>
      <c r="CS2604" s="56"/>
      <c r="CT2604" s="56"/>
      <c r="CU2604" s="56"/>
      <c r="CV2604" s="56"/>
      <c r="CW2604" s="56"/>
      <c r="CX2604" s="56"/>
      <c r="CY2604" s="56"/>
      <c r="CZ2604" s="56"/>
    </row>
    <row r="2605" spans="27:104" s="5" customFormat="1" x14ac:dyDescent="0.25">
      <c r="AA2605" s="56"/>
      <c r="AB2605" s="56"/>
      <c r="AC2605" s="56"/>
      <c r="AD2605" s="56"/>
      <c r="AE2605" s="56"/>
      <c r="AF2605" s="56"/>
      <c r="AG2605" s="56"/>
      <c r="AH2605" s="56"/>
      <c r="AI2605" s="56"/>
      <c r="AJ2605" s="56"/>
      <c r="AK2605" s="56"/>
      <c r="AL2605" s="56"/>
      <c r="AM2605" s="56"/>
      <c r="AN2605" s="56"/>
      <c r="AO2605" s="56"/>
      <c r="AP2605" s="56"/>
      <c r="AQ2605" s="56"/>
      <c r="AR2605" s="56"/>
      <c r="AS2605" s="56"/>
      <c r="AT2605" s="56"/>
      <c r="AU2605" s="56"/>
      <c r="AV2605" s="56"/>
      <c r="AW2605" s="56"/>
      <c r="AX2605" s="56"/>
      <c r="AY2605" s="56"/>
      <c r="AZ2605" s="56"/>
      <c r="BA2605" s="56"/>
      <c r="BB2605" s="16"/>
      <c r="BC2605" s="56"/>
      <c r="BD2605" s="56"/>
      <c r="BE2605" s="56"/>
      <c r="BF2605" s="56"/>
      <c r="BG2605" s="56"/>
      <c r="BH2605" s="56"/>
      <c r="BI2605" s="56"/>
      <c r="BJ2605" s="56"/>
      <c r="BK2605" s="56"/>
      <c r="BL2605" s="56"/>
      <c r="BM2605" s="56"/>
      <c r="BN2605" s="56"/>
      <c r="BO2605" s="56"/>
      <c r="BP2605" s="56"/>
      <c r="BQ2605" s="56"/>
      <c r="BR2605" s="56"/>
      <c r="BS2605" s="56"/>
      <c r="BT2605" s="56"/>
      <c r="BU2605" s="56"/>
      <c r="BV2605" s="56"/>
      <c r="BW2605" s="56"/>
      <c r="BX2605" s="56"/>
      <c r="BY2605" s="56"/>
      <c r="BZ2605" s="56"/>
      <c r="CA2605" s="56"/>
      <c r="CB2605" s="56"/>
      <c r="CC2605" s="56"/>
      <c r="CD2605" s="56"/>
      <c r="CE2605" s="56"/>
      <c r="CF2605" s="56"/>
      <c r="CG2605" s="56"/>
      <c r="CH2605" s="56"/>
      <c r="CI2605" s="56"/>
      <c r="CJ2605" s="56"/>
      <c r="CK2605" s="56"/>
      <c r="CL2605" s="56"/>
      <c r="CM2605" s="56"/>
      <c r="CN2605" s="56"/>
      <c r="CO2605" s="56"/>
      <c r="CP2605" s="56"/>
      <c r="CQ2605" s="56"/>
      <c r="CR2605" s="56"/>
      <c r="CS2605" s="56"/>
      <c r="CT2605" s="56"/>
      <c r="CU2605" s="56"/>
      <c r="CV2605" s="56"/>
      <c r="CW2605" s="56"/>
      <c r="CX2605" s="56"/>
      <c r="CY2605" s="56"/>
      <c r="CZ2605" s="56"/>
    </row>
    <row r="2606" spans="27:104" s="5" customFormat="1" x14ac:dyDescent="0.25">
      <c r="AA2606" s="56"/>
      <c r="AB2606" s="56"/>
      <c r="AC2606" s="56"/>
      <c r="AD2606" s="56"/>
      <c r="AE2606" s="56"/>
      <c r="AF2606" s="56"/>
      <c r="AG2606" s="56"/>
      <c r="AH2606" s="56"/>
      <c r="AI2606" s="56"/>
      <c r="AJ2606" s="56"/>
      <c r="AK2606" s="56"/>
      <c r="AL2606" s="56"/>
      <c r="AM2606" s="56"/>
      <c r="AN2606" s="56"/>
      <c r="AO2606" s="56"/>
      <c r="AP2606" s="56"/>
      <c r="AQ2606" s="56"/>
      <c r="AR2606" s="56"/>
      <c r="AS2606" s="56"/>
      <c r="AT2606" s="56"/>
      <c r="AU2606" s="56"/>
      <c r="AV2606" s="56"/>
      <c r="AW2606" s="56"/>
      <c r="AX2606" s="56"/>
      <c r="AY2606" s="56"/>
      <c r="AZ2606" s="56"/>
      <c r="BA2606" s="56"/>
      <c r="BB2606" s="16"/>
      <c r="BC2606" s="56"/>
      <c r="BD2606" s="56"/>
      <c r="BE2606" s="56"/>
      <c r="BF2606" s="56"/>
      <c r="BG2606" s="56"/>
      <c r="BH2606" s="56"/>
      <c r="BI2606" s="56"/>
      <c r="BJ2606" s="56"/>
      <c r="BK2606" s="56"/>
      <c r="BL2606" s="56"/>
      <c r="BM2606" s="56"/>
      <c r="BN2606" s="56"/>
      <c r="BO2606" s="56"/>
      <c r="BP2606" s="56"/>
      <c r="BQ2606" s="56"/>
      <c r="BR2606" s="56"/>
      <c r="BS2606" s="56"/>
      <c r="BT2606" s="56"/>
      <c r="BU2606" s="56"/>
      <c r="BV2606" s="56"/>
      <c r="BW2606" s="56"/>
      <c r="BX2606" s="56"/>
      <c r="BY2606" s="56"/>
      <c r="BZ2606" s="56"/>
      <c r="CA2606" s="56"/>
      <c r="CB2606" s="56"/>
      <c r="CC2606" s="56"/>
      <c r="CD2606" s="56"/>
      <c r="CE2606" s="56"/>
      <c r="CF2606" s="56"/>
      <c r="CG2606" s="56"/>
      <c r="CH2606" s="56"/>
      <c r="CI2606" s="56"/>
      <c r="CJ2606" s="56"/>
      <c r="CK2606" s="56"/>
      <c r="CL2606" s="56"/>
      <c r="CM2606" s="56"/>
      <c r="CN2606" s="56"/>
      <c r="CO2606" s="56"/>
      <c r="CP2606" s="56"/>
      <c r="CQ2606" s="56"/>
      <c r="CR2606" s="56"/>
      <c r="CS2606" s="56"/>
      <c r="CT2606" s="56"/>
      <c r="CU2606" s="56"/>
      <c r="CV2606" s="56"/>
      <c r="CW2606" s="56"/>
      <c r="CX2606" s="56"/>
      <c r="CY2606" s="56"/>
      <c r="CZ2606" s="56"/>
    </row>
    <row r="2607" spans="27:104" s="5" customFormat="1" x14ac:dyDescent="0.25">
      <c r="AA2607" s="56"/>
      <c r="AB2607" s="56"/>
      <c r="AC2607" s="56"/>
      <c r="AD2607" s="56"/>
      <c r="AE2607" s="56"/>
      <c r="AF2607" s="56"/>
      <c r="AG2607" s="56"/>
      <c r="AH2607" s="56"/>
      <c r="AI2607" s="56"/>
      <c r="AJ2607" s="56"/>
      <c r="AK2607" s="56"/>
      <c r="AL2607" s="56"/>
      <c r="AM2607" s="56"/>
      <c r="AN2607" s="56"/>
      <c r="AO2607" s="56"/>
      <c r="AP2607" s="56"/>
      <c r="AQ2607" s="56"/>
      <c r="AR2607" s="56"/>
      <c r="AS2607" s="56"/>
      <c r="AT2607" s="56"/>
      <c r="AU2607" s="56"/>
      <c r="AV2607" s="56"/>
      <c r="AW2607" s="56"/>
      <c r="AX2607" s="56"/>
      <c r="AY2607" s="56"/>
      <c r="AZ2607" s="56"/>
      <c r="BA2607" s="56"/>
      <c r="BB2607" s="16"/>
      <c r="BC2607" s="56"/>
      <c r="BD2607" s="56"/>
      <c r="BE2607" s="56"/>
      <c r="BF2607" s="56"/>
      <c r="BG2607" s="56"/>
      <c r="BH2607" s="56"/>
      <c r="BI2607" s="56"/>
      <c r="BJ2607" s="56"/>
      <c r="BK2607" s="56"/>
      <c r="BL2607" s="56"/>
      <c r="BM2607" s="56"/>
      <c r="BN2607" s="56"/>
      <c r="BO2607" s="56"/>
      <c r="BP2607" s="56"/>
      <c r="BQ2607" s="56"/>
      <c r="BR2607" s="56"/>
      <c r="BS2607" s="56"/>
      <c r="BT2607" s="56"/>
      <c r="BU2607" s="56"/>
      <c r="BV2607" s="56"/>
      <c r="BW2607" s="56"/>
      <c r="BX2607" s="56"/>
      <c r="BY2607" s="56"/>
      <c r="BZ2607" s="56"/>
      <c r="CA2607" s="56"/>
      <c r="CB2607" s="56"/>
      <c r="CC2607" s="56"/>
      <c r="CD2607" s="56"/>
      <c r="CE2607" s="56"/>
      <c r="CF2607" s="56"/>
      <c r="CG2607" s="56"/>
      <c r="CH2607" s="56"/>
      <c r="CI2607" s="56"/>
      <c r="CJ2607" s="56"/>
      <c r="CK2607" s="56"/>
      <c r="CL2607" s="56"/>
      <c r="CM2607" s="56"/>
      <c r="CN2607" s="56"/>
      <c r="CO2607" s="56"/>
      <c r="CP2607" s="56"/>
      <c r="CQ2607" s="56"/>
      <c r="CR2607" s="56"/>
      <c r="CS2607" s="56"/>
      <c r="CT2607" s="56"/>
      <c r="CU2607" s="56"/>
      <c r="CV2607" s="56"/>
      <c r="CW2607" s="56"/>
      <c r="CX2607" s="56"/>
      <c r="CY2607" s="56"/>
      <c r="CZ2607" s="56"/>
    </row>
    <row r="2608" spans="27:104" s="5" customFormat="1" x14ac:dyDescent="0.25">
      <c r="AA2608" s="56"/>
      <c r="AB2608" s="56"/>
      <c r="AC2608" s="56"/>
      <c r="AD2608" s="56"/>
      <c r="AE2608" s="56"/>
      <c r="AF2608" s="56"/>
      <c r="AG2608" s="56"/>
      <c r="AH2608" s="56"/>
      <c r="AI2608" s="56"/>
      <c r="AJ2608" s="56"/>
      <c r="AK2608" s="56"/>
      <c r="AL2608" s="56"/>
      <c r="AM2608" s="56"/>
      <c r="AN2608" s="56"/>
      <c r="AO2608" s="56"/>
      <c r="AP2608" s="56"/>
      <c r="AQ2608" s="56"/>
      <c r="AR2608" s="56"/>
      <c r="AS2608" s="56"/>
      <c r="AT2608" s="56"/>
      <c r="AU2608" s="56"/>
      <c r="AV2608" s="56"/>
      <c r="AW2608" s="56"/>
      <c r="AX2608" s="56"/>
      <c r="AY2608" s="56"/>
      <c r="AZ2608" s="56"/>
      <c r="BA2608" s="56"/>
      <c r="BB2608" s="16"/>
      <c r="BC2608" s="56"/>
      <c r="BD2608" s="56"/>
      <c r="BE2608" s="56"/>
      <c r="BF2608" s="56"/>
      <c r="BG2608" s="56"/>
      <c r="BH2608" s="56"/>
      <c r="BI2608" s="56"/>
      <c r="BJ2608" s="56"/>
      <c r="BK2608" s="56"/>
      <c r="BL2608" s="56"/>
      <c r="BM2608" s="56"/>
      <c r="BN2608" s="56"/>
      <c r="BO2608" s="56"/>
      <c r="BP2608" s="56"/>
      <c r="BQ2608" s="56"/>
      <c r="BR2608" s="56"/>
      <c r="BS2608" s="56"/>
      <c r="BT2608" s="56"/>
      <c r="BU2608" s="56"/>
      <c r="BV2608" s="56"/>
      <c r="BW2608" s="56"/>
      <c r="BX2608" s="56"/>
      <c r="BY2608" s="56"/>
      <c r="BZ2608" s="56"/>
      <c r="CA2608" s="56"/>
      <c r="CB2608" s="56"/>
      <c r="CC2608" s="56"/>
      <c r="CD2608" s="56"/>
      <c r="CE2608" s="56"/>
      <c r="CF2608" s="56"/>
      <c r="CG2608" s="56"/>
      <c r="CH2608" s="56"/>
      <c r="CI2608" s="56"/>
      <c r="CJ2608" s="56"/>
      <c r="CK2608" s="56"/>
      <c r="CL2608" s="56"/>
      <c r="CM2608" s="56"/>
      <c r="CN2608" s="56"/>
      <c r="CO2608" s="56"/>
      <c r="CP2608" s="56"/>
      <c r="CQ2608" s="56"/>
      <c r="CR2608" s="56"/>
      <c r="CS2608" s="56"/>
      <c r="CT2608" s="56"/>
      <c r="CU2608" s="56"/>
      <c r="CV2608" s="56"/>
      <c r="CW2608" s="56"/>
      <c r="CX2608" s="56"/>
      <c r="CY2608" s="56"/>
      <c r="CZ2608" s="56"/>
    </row>
    <row r="2609" spans="27:104" s="5" customFormat="1" x14ac:dyDescent="0.25">
      <c r="AA2609" s="56"/>
      <c r="AB2609" s="56"/>
      <c r="AC2609" s="56"/>
      <c r="AD2609" s="56"/>
      <c r="AE2609" s="56"/>
      <c r="AF2609" s="56"/>
      <c r="AG2609" s="56"/>
      <c r="AH2609" s="56"/>
      <c r="AI2609" s="56"/>
      <c r="AJ2609" s="56"/>
      <c r="AK2609" s="56"/>
      <c r="AL2609" s="56"/>
      <c r="AM2609" s="56"/>
      <c r="AN2609" s="56"/>
      <c r="AO2609" s="56"/>
      <c r="AP2609" s="56"/>
      <c r="AQ2609" s="56"/>
      <c r="AR2609" s="56"/>
      <c r="AS2609" s="56"/>
      <c r="AT2609" s="56"/>
      <c r="AU2609" s="56"/>
      <c r="AV2609" s="56"/>
      <c r="AW2609" s="56"/>
      <c r="AX2609" s="56"/>
      <c r="AY2609" s="56"/>
      <c r="AZ2609" s="56"/>
      <c r="BA2609" s="56"/>
      <c r="BB2609" s="16"/>
      <c r="BC2609" s="56"/>
      <c r="BD2609" s="56"/>
      <c r="BE2609" s="56"/>
      <c r="BF2609" s="56"/>
      <c r="BG2609" s="56"/>
      <c r="BH2609" s="56"/>
      <c r="BI2609" s="56"/>
      <c r="BJ2609" s="56"/>
      <c r="BK2609" s="56"/>
      <c r="BL2609" s="56"/>
      <c r="BM2609" s="56"/>
      <c r="BN2609" s="56"/>
      <c r="BO2609" s="56"/>
      <c r="BP2609" s="56"/>
      <c r="BQ2609" s="56"/>
      <c r="BR2609" s="56"/>
      <c r="BS2609" s="56"/>
      <c r="BT2609" s="56"/>
      <c r="BU2609" s="56"/>
      <c r="BV2609" s="56"/>
      <c r="BW2609" s="56"/>
      <c r="BX2609" s="56"/>
      <c r="BY2609" s="56"/>
      <c r="BZ2609" s="56"/>
      <c r="CA2609" s="56"/>
      <c r="CB2609" s="56"/>
      <c r="CC2609" s="56"/>
      <c r="CD2609" s="56"/>
      <c r="CE2609" s="56"/>
      <c r="CF2609" s="56"/>
      <c r="CG2609" s="56"/>
      <c r="CH2609" s="56"/>
      <c r="CI2609" s="56"/>
      <c r="CJ2609" s="56"/>
      <c r="CK2609" s="56"/>
      <c r="CL2609" s="56"/>
      <c r="CM2609" s="56"/>
      <c r="CN2609" s="56"/>
      <c r="CO2609" s="56"/>
      <c r="CP2609" s="56"/>
      <c r="CQ2609" s="56"/>
      <c r="CR2609" s="56"/>
      <c r="CS2609" s="56"/>
      <c r="CT2609" s="56"/>
      <c r="CU2609" s="56"/>
      <c r="CV2609" s="56"/>
      <c r="CW2609" s="56"/>
      <c r="CX2609" s="56"/>
      <c r="CY2609" s="56"/>
      <c r="CZ2609" s="56"/>
    </row>
    <row r="2610" spans="27:104" s="5" customFormat="1" x14ac:dyDescent="0.25">
      <c r="AA2610" s="56"/>
      <c r="AB2610" s="56"/>
      <c r="AC2610" s="56"/>
      <c r="AD2610" s="56"/>
      <c r="AE2610" s="56"/>
      <c r="AF2610" s="56"/>
      <c r="AG2610" s="56"/>
      <c r="AH2610" s="56"/>
      <c r="AI2610" s="56"/>
      <c r="AJ2610" s="56"/>
      <c r="AK2610" s="56"/>
      <c r="AL2610" s="56"/>
      <c r="AM2610" s="56"/>
      <c r="AN2610" s="56"/>
      <c r="AO2610" s="56"/>
      <c r="AP2610" s="56"/>
      <c r="AQ2610" s="56"/>
      <c r="AR2610" s="56"/>
      <c r="AS2610" s="56"/>
      <c r="AT2610" s="56"/>
      <c r="AU2610" s="56"/>
      <c r="AV2610" s="56"/>
      <c r="AW2610" s="56"/>
      <c r="AX2610" s="56"/>
      <c r="AY2610" s="56"/>
      <c r="AZ2610" s="56"/>
      <c r="BA2610" s="56"/>
      <c r="BB2610" s="16"/>
      <c r="BC2610" s="56"/>
      <c r="BD2610" s="56"/>
      <c r="BE2610" s="56"/>
      <c r="BF2610" s="56"/>
      <c r="BG2610" s="56"/>
      <c r="BH2610" s="56"/>
      <c r="BI2610" s="56"/>
      <c r="BJ2610" s="56"/>
      <c r="BK2610" s="56"/>
      <c r="BL2610" s="56"/>
      <c r="BM2610" s="56"/>
      <c r="BN2610" s="56"/>
      <c r="BO2610" s="56"/>
      <c r="BP2610" s="56"/>
      <c r="BQ2610" s="56"/>
      <c r="BR2610" s="56"/>
      <c r="BS2610" s="56"/>
      <c r="BT2610" s="56"/>
      <c r="BU2610" s="56"/>
      <c r="BV2610" s="56"/>
      <c r="BW2610" s="56"/>
      <c r="BX2610" s="56"/>
      <c r="BY2610" s="56"/>
      <c r="BZ2610" s="56"/>
      <c r="CA2610" s="56"/>
      <c r="CB2610" s="56"/>
      <c r="CC2610" s="56"/>
      <c r="CD2610" s="56"/>
      <c r="CE2610" s="56"/>
      <c r="CF2610" s="56"/>
      <c r="CG2610" s="56"/>
      <c r="CH2610" s="56"/>
      <c r="CI2610" s="56"/>
      <c r="CJ2610" s="56"/>
      <c r="CK2610" s="56"/>
      <c r="CL2610" s="56"/>
      <c r="CM2610" s="56"/>
      <c r="CN2610" s="56"/>
      <c r="CO2610" s="56"/>
      <c r="CP2610" s="56"/>
      <c r="CQ2610" s="56"/>
      <c r="CR2610" s="56"/>
      <c r="CS2610" s="56"/>
      <c r="CT2610" s="56"/>
      <c r="CU2610" s="56"/>
      <c r="CV2610" s="56"/>
      <c r="CW2610" s="56"/>
      <c r="CX2610" s="56"/>
      <c r="CY2610" s="56"/>
      <c r="CZ2610" s="56"/>
    </row>
    <row r="2611" spans="27:104" s="5" customFormat="1" x14ac:dyDescent="0.25">
      <c r="AA2611" s="56"/>
      <c r="AB2611" s="56"/>
      <c r="AC2611" s="56"/>
      <c r="AD2611" s="56"/>
      <c r="AE2611" s="56"/>
      <c r="AF2611" s="56"/>
      <c r="AG2611" s="56"/>
      <c r="AH2611" s="56"/>
      <c r="AI2611" s="56"/>
      <c r="AJ2611" s="56"/>
      <c r="AK2611" s="56"/>
      <c r="AL2611" s="56"/>
      <c r="AM2611" s="56"/>
      <c r="AN2611" s="56"/>
      <c r="AO2611" s="56"/>
      <c r="AP2611" s="56"/>
      <c r="AQ2611" s="56"/>
      <c r="AR2611" s="56"/>
      <c r="AS2611" s="56"/>
      <c r="AT2611" s="56"/>
      <c r="AU2611" s="56"/>
      <c r="AV2611" s="56"/>
      <c r="AW2611" s="56"/>
      <c r="AX2611" s="56"/>
      <c r="AY2611" s="56"/>
      <c r="AZ2611" s="56"/>
      <c r="BA2611" s="56"/>
      <c r="BB2611" s="16"/>
      <c r="BC2611" s="56"/>
      <c r="BD2611" s="56"/>
      <c r="BE2611" s="56"/>
      <c r="BF2611" s="56"/>
      <c r="BG2611" s="56"/>
      <c r="BH2611" s="56"/>
      <c r="BI2611" s="56"/>
      <c r="BJ2611" s="56"/>
      <c r="BK2611" s="56"/>
      <c r="BL2611" s="56"/>
      <c r="BM2611" s="56"/>
      <c r="BN2611" s="56"/>
      <c r="BO2611" s="56"/>
      <c r="BP2611" s="56"/>
      <c r="BQ2611" s="56"/>
      <c r="BR2611" s="56"/>
      <c r="BS2611" s="56"/>
      <c r="BT2611" s="56"/>
      <c r="BU2611" s="56"/>
      <c r="BV2611" s="56"/>
      <c r="BW2611" s="56"/>
      <c r="BX2611" s="56"/>
      <c r="BY2611" s="56"/>
      <c r="BZ2611" s="56"/>
      <c r="CA2611" s="56"/>
      <c r="CB2611" s="56"/>
      <c r="CC2611" s="56"/>
      <c r="CD2611" s="56"/>
      <c r="CE2611" s="56"/>
      <c r="CF2611" s="56"/>
      <c r="CG2611" s="56"/>
      <c r="CH2611" s="56"/>
      <c r="CI2611" s="56"/>
      <c r="CJ2611" s="56"/>
      <c r="CK2611" s="56"/>
      <c r="CL2611" s="56"/>
      <c r="CM2611" s="56"/>
      <c r="CN2611" s="56"/>
      <c r="CO2611" s="56"/>
      <c r="CP2611" s="56"/>
      <c r="CQ2611" s="56"/>
      <c r="CR2611" s="56"/>
      <c r="CS2611" s="56"/>
      <c r="CT2611" s="56"/>
      <c r="CU2611" s="56"/>
      <c r="CV2611" s="56"/>
      <c r="CW2611" s="56"/>
      <c r="CX2611" s="56"/>
      <c r="CY2611" s="56"/>
      <c r="CZ2611" s="56"/>
    </row>
    <row r="2612" spans="27:104" s="5" customFormat="1" x14ac:dyDescent="0.25">
      <c r="AA2612" s="56"/>
      <c r="AB2612" s="56"/>
      <c r="AC2612" s="56"/>
      <c r="AD2612" s="56"/>
      <c r="AE2612" s="56"/>
      <c r="AF2612" s="56"/>
      <c r="AG2612" s="56"/>
      <c r="AH2612" s="56"/>
      <c r="AI2612" s="56"/>
      <c r="AJ2612" s="56"/>
      <c r="AK2612" s="56"/>
      <c r="AL2612" s="56"/>
      <c r="AM2612" s="56"/>
      <c r="AN2612" s="56"/>
      <c r="AO2612" s="56"/>
      <c r="AP2612" s="56"/>
      <c r="AQ2612" s="56"/>
      <c r="AR2612" s="56"/>
      <c r="AS2612" s="56"/>
      <c r="AT2612" s="56"/>
      <c r="AU2612" s="56"/>
      <c r="AV2612" s="56"/>
      <c r="AW2612" s="56"/>
      <c r="AX2612" s="56"/>
      <c r="AY2612" s="56"/>
      <c r="AZ2612" s="56"/>
      <c r="BA2612" s="56"/>
      <c r="BB2612" s="16"/>
      <c r="BC2612" s="56"/>
      <c r="BD2612" s="56"/>
      <c r="BE2612" s="56"/>
      <c r="BF2612" s="56"/>
      <c r="BG2612" s="56"/>
      <c r="BH2612" s="56"/>
      <c r="BI2612" s="56"/>
      <c r="BJ2612" s="56"/>
      <c r="BK2612" s="56"/>
      <c r="BL2612" s="56"/>
      <c r="BM2612" s="56"/>
      <c r="BN2612" s="56"/>
      <c r="BO2612" s="56"/>
      <c r="BP2612" s="56"/>
      <c r="BQ2612" s="56"/>
      <c r="BR2612" s="56"/>
      <c r="BS2612" s="56"/>
      <c r="BT2612" s="56"/>
      <c r="BU2612" s="56"/>
      <c r="BV2612" s="56"/>
      <c r="BW2612" s="56"/>
      <c r="BX2612" s="56"/>
      <c r="BY2612" s="56"/>
      <c r="BZ2612" s="56"/>
      <c r="CA2612" s="56"/>
      <c r="CB2612" s="56"/>
      <c r="CC2612" s="56"/>
      <c r="CD2612" s="56"/>
      <c r="CE2612" s="56"/>
      <c r="CF2612" s="56"/>
      <c r="CG2612" s="56"/>
      <c r="CH2612" s="56"/>
      <c r="CI2612" s="56"/>
      <c r="CJ2612" s="56"/>
      <c r="CK2612" s="56"/>
      <c r="CL2612" s="56"/>
      <c r="CM2612" s="56"/>
      <c r="CN2612" s="56"/>
      <c r="CO2612" s="56"/>
      <c r="CP2612" s="56"/>
      <c r="CQ2612" s="56"/>
      <c r="CR2612" s="56"/>
      <c r="CS2612" s="56"/>
      <c r="CT2612" s="56"/>
      <c r="CU2612" s="56"/>
      <c r="CV2612" s="56"/>
      <c r="CW2612" s="56"/>
      <c r="CX2612" s="56"/>
      <c r="CY2612" s="56"/>
      <c r="CZ2612" s="56"/>
    </row>
    <row r="2613" spans="27:104" s="5" customFormat="1" x14ac:dyDescent="0.25">
      <c r="AA2613" s="56"/>
      <c r="AB2613" s="56"/>
      <c r="AC2613" s="56"/>
      <c r="AD2613" s="56"/>
      <c r="AE2613" s="56"/>
      <c r="AF2613" s="56"/>
      <c r="AG2613" s="56"/>
      <c r="AH2613" s="56"/>
      <c r="AI2613" s="56"/>
      <c r="AJ2613" s="56"/>
      <c r="AK2613" s="56"/>
      <c r="AL2613" s="56"/>
      <c r="AM2613" s="56"/>
      <c r="AN2613" s="56"/>
      <c r="AO2613" s="56"/>
      <c r="AP2613" s="56"/>
      <c r="AQ2613" s="56"/>
      <c r="AR2613" s="56"/>
      <c r="AS2613" s="56"/>
      <c r="AT2613" s="56"/>
      <c r="AU2613" s="56"/>
      <c r="AV2613" s="56"/>
      <c r="AW2613" s="56"/>
      <c r="AX2613" s="56"/>
      <c r="AY2613" s="56"/>
      <c r="AZ2613" s="56"/>
      <c r="BA2613" s="56"/>
      <c r="BB2613" s="16"/>
      <c r="BC2613" s="56"/>
      <c r="BD2613" s="56"/>
      <c r="BE2613" s="56"/>
      <c r="BF2613" s="56"/>
      <c r="BG2613" s="56"/>
      <c r="BH2613" s="56"/>
      <c r="BI2613" s="56"/>
      <c r="BJ2613" s="56"/>
      <c r="BK2613" s="56"/>
      <c r="BL2613" s="56"/>
      <c r="BM2613" s="56"/>
      <c r="BN2613" s="56"/>
      <c r="BO2613" s="56"/>
      <c r="BP2613" s="56"/>
      <c r="BQ2613" s="56"/>
      <c r="BR2613" s="56"/>
      <c r="BS2613" s="56"/>
      <c r="BT2613" s="56"/>
      <c r="BU2613" s="56"/>
      <c r="BV2613" s="56"/>
      <c r="BW2613" s="56"/>
      <c r="BX2613" s="56"/>
      <c r="BY2613" s="56"/>
      <c r="BZ2613" s="56"/>
      <c r="CA2613" s="56"/>
      <c r="CB2613" s="56"/>
      <c r="CC2613" s="56"/>
      <c r="CD2613" s="56"/>
      <c r="CE2613" s="56"/>
      <c r="CF2613" s="56"/>
      <c r="CG2613" s="56"/>
      <c r="CH2613" s="56"/>
      <c r="CI2613" s="56"/>
      <c r="CJ2613" s="56"/>
      <c r="CK2613" s="56"/>
      <c r="CL2613" s="56"/>
      <c r="CM2613" s="56"/>
      <c r="CN2613" s="56"/>
      <c r="CO2613" s="56"/>
      <c r="CP2613" s="56"/>
      <c r="CQ2613" s="56"/>
      <c r="CR2613" s="56"/>
      <c r="CS2613" s="56"/>
      <c r="CT2613" s="56"/>
      <c r="CU2613" s="56"/>
      <c r="CV2613" s="56"/>
      <c r="CW2613" s="56"/>
      <c r="CX2613" s="56"/>
      <c r="CY2613" s="56"/>
      <c r="CZ2613" s="56"/>
    </row>
    <row r="2614" spans="27:104" s="5" customFormat="1" x14ac:dyDescent="0.25">
      <c r="AA2614" s="56"/>
      <c r="AB2614" s="56"/>
      <c r="AC2614" s="56"/>
      <c r="AD2614" s="56"/>
      <c r="AE2614" s="56"/>
      <c r="AF2614" s="56"/>
      <c r="AG2614" s="56"/>
      <c r="AH2614" s="56"/>
      <c r="AI2614" s="56"/>
      <c r="AJ2614" s="56"/>
      <c r="AK2614" s="56"/>
      <c r="AL2614" s="56"/>
      <c r="AM2614" s="56"/>
      <c r="AN2614" s="56"/>
      <c r="AO2614" s="56"/>
      <c r="AP2614" s="56"/>
      <c r="AQ2614" s="56"/>
      <c r="AR2614" s="56"/>
      <c r="AS2614" s="56"/>
      <c r="AT2614" s="56"/>
      <c r="AU2614" s="56"/>
      <c r="AV2614" s="56"/>
      <c r="AW2614" s="56"/>
      <c r="AX2614" s="56"/>
      <c r="AY2614" s="56"/>
      <c r="AZ2614" s="56"/>
      <c r="BA2614" s="56"/>
      <c r="BB2614" s="16"/>
      <c r="BC2614" s="56"/>
      <c r="BD2614" s="56"/>
      <c r="BE2614" s="56"/>
      <c r="BF2614" s="56"/>
      <c r="BG2614" s="56"/>
      <c r="BH2614" s="56"/>
      <c r="BI2614" s="56"/>
      <c r="BJ2614" s="56"/>
      <c r="BK2614" s="56"/>
      <c r="BL2614" s="56"/>
      <c r="BM2614" s="56"/>
      <c r="BN2614" s="56"/>
      <c r="BO2614" s="56"/>
      <c r="BP2614" s="56"/>
      <c r="BQ2614" s="56"/>
      <c r="BR2614" s="56"/>
      <c r="BS2614" s="56"/>
      <c r="BT2614" s="56"/>
      <c r="BU2614" s="56"/>
      <c r="BV2614" s="56"/>
      <c r="BW2614" s="56"/>
      <c r="BX2614" s="56"/>
      <c r="BY2614" s="56"/>
      <c r="BZ2614" s="56"/>
      <c r="CA2614" s="56"/>
      <c r="CB2614" s="56"/>
      <c r="CC2614" s="56"/>
      <c r="CD2614" s="56"/>
      <c r="CE2614" s="56"/>
      <c r="CF2614" s="56"/>
      <c r="CG2614" s="56"/>
      <c r="CH2614" s="56"/>
      <c r="CI2614" s="56"/>
      <c r="CJ2614" s="56"/>
      <c r="CK2614" s="56"/>
      <c r="CL2614" s="56"/>
      <c r="CM2614" s="56"/>
      <c r="CN2614" s="56"/>
      <c r="CO2614" s="56"/>
      <c r="CP2614" s="56"/>
      <c r="CQ2614" s="56"/>
      <c r="CR2614" s="56"/>
      <c r="CS2614" s="56"/>
      <c r="CT2614" s="56"/>
      <c r="CU2614" s="56"/>
      <c r="CV2614" s="56"/>
      <c r="CW2614" s="56"/>
      <c r="CX2614" s="56"/>
      <c r="CY2614" s="56"/>
      <c r="CZ2614" s="56"/>
    </row>
    <row r="2615" spans="27:104" s="5" customFormat="1" x14ac:dyDescent="0.25">
      <c r="AA2615" s="56"/>
      <c r="AB2615" s="56"/>
      <c r="AC2615" s="56"/>
      <c r="AD2615" s="56"/>
      <c r="AE2615" s="56"/>
      <c r="AF2615" s="56"/>
      <c r="AG2615" s="56"/>
      <c r="AH2615" s="56"/>
      <c r="AI2615" s="56"/>
      <c r="AJ2615" s="56"/>
      <c r="AK2615" s="56"/>
      <c r="AL2615" s="56"/>
      <c r="AM2615" s="56"/>
      <c r="AN2615" s="56"/>
      <c r="AO2615" s="56"/>
      <c r="AP2615" s="56"/>
      <c r="AQ2615" s="56"/>
      <c r="AR2615" s="56"/>
      <c r="AS2615" s="56"/>
      <c r="AT2615" s="56"/>
      <c r="AU2615" s="56"/>
      <c r="AV2615" s="56"/>
      <c r="AW2615" s="56"/>
      <c r="AX2615" s="56"/>
      <c r="AY2615" s="56"/>
      <c r="AZ2615" s="56"/>
      <c r="BA2615" s="56"/>
      <c r="BB2615" s="16"/>
      <c r="BC2615" s="56"/>
      <c r="BD2615" s="56"/>
      <c r="BE2615" s="56"/>
      <c r="BF2615" s="56"/>
      <c r="BG2615" s="56"/>
      <c r="BH2615" s="56"/>
      <c r="BI2615" s="56"/>
      <c r="BJ2615" s="56"/>
      <c r="BK2615" s="56"/>
      <c r="BL2615" s="56"/>
      <c r="BM2615" s="56"/>
      <c r="BN2615" s="56"/>
      <c r="BO2615" s="56"/>
      <c r="BP2615" s="56"/>
      <c r="BQ2615" s="56"/>
      <c r="BR2615" s="56"/>
      <c r="BS2615" s="56"/>
      <c r="BT2615" s="56"/>
      <c r="BU2615" s="56"/>
      <c r="BV2615" s="56"/>
      <c r="BW2615" s="56"/>
      <c r="BX2615" s="56"/>
      <c r="BY2615" s="56"/>
      <c r="BZ2615" s="56"/>
      <c r="CA2615" s="56"/>
      <c r="CB2615" s="56"/>
      <c r="CC2615" s="56"/>
      <c r="CD2615" s="56"/>
      <c r="CE2615" s="56"/>
      <c r="CF2615" s="56"/>
      <c r="CG2615" s="56"/>
      <c r="CH2615" s="56"/>
      <c r="CI2615" s="56"/>
      <c r="CJ2615" s="56"/>
      <c r="CK2615" s="56"/>
      <c r="CL2615" s="56"/>
      <c r="CM2615" s="56"/>
      <c r="CN2615" s="56"/>
      <c r="CO2615" s="56"/>
      <c r="CP2615" s="56"/>
      <c r="CQ2615" s="56"/>
      <c r="CR2615" s="56"/>
      <c r="CS2615" s="56"/>
      <c r="CT2615" s="56"/>
      <c r="CU2615" s="56"/>
      <c r="CV2615" s="56"/>
      <c r="CW2615" s="56"/>
      <c r="CX2615" s="56"/>
      <c r="CY2615" s="56"/>
      <c r="CZ2615" s="56"/>
    </row>
    <row r="2616" spans="27:104" s="5" customFormat="1" x14ac:dyDescent="0.25">
      <c r="AA2616" s="56"/>
      <c r="AB2616" s="56"/>
      <c r="AC2616" s="56"/>
      <c r="AD2616" s="56"/>
      <c r="AE2616" s="56"/>
      <c r="AF2616" s="56"/>
      <c r="AG2616" s="56"/>
      <c r="AH2616" s="56"/>
      <c r="AI2616" s="56"/>
      <c r="AJ2616" s="56"/>
      <c r="AK2616" s="56"/>
      <c r="AL2616" s="56"/>
      <c r="AM2616" s="56"/>
      <c r="AN2616" s="56"/>
      <c r="AO2616" s="56"/>
      <c r="AP2616" s="56"/>
      <c r="AQ2616" s="56"/>
      <c r="AR2616" s="56"/>
      <c r="AS2616" s="56"/>
      <c r="AT2616" s="56"/>
      <c r="AU2616" s="56"/>
      <c r="AV2616" s="56"/>
      <c r="AW2616" s="56"/>
      <c r="AX2616" s="56"/>
      <c r="AY2616" s="56"/>
      <c r="AZ2616" s="56"/>
      <c r="BA2616" s="56"/>
      <c r="BB2616" s="16"/>
      <c r="BC2616" s="56"/>
      <c r="BD2616" s="56"/>
      <c r="BE2616" s="56"/>
      <c r="BF2616" s="56"/>
      <c r="BG2616" s="56"/>
      <c r="BH2616" s="56"/>
      <c r="BI2616" s="56"/>
      <c r="BJ2616" s="56"/>
      <c r="BK2616" s="56"/>
      <c r="BL2616" s="56"/>
      <c r="BM2616" s="56"/>
      <c r="BN2616" s="56"/>
      <c r="BO2616" s="56"/>
      <c r="BP2616" s="56"/>
      <c r="BQ2616" s="56"/>
      <c r="BR2616" s="56"/>
      <c r="BS2616" s="56"/>
      <c r="BT2616" s="56"/>
      <c r="BU2616" s="56"/>
      <c r="BV2616" s="56"/>
      <c r="BW2616" s="56"/>
      <c r="BX2616" s="56"/>
      <c r="BY2616" s="56"/>
      <c r="BZ2616" s="56"/>
      <c r="CA2616" s="56"/>
      <c r="CB2616" s="56"/>
      <c r="CC2616" s="56"/>
      <c r="CD2616" s="56"/>
      <c r="CE2616" s="56"/>
      <c r="CF2616" s="56"/>
      <c r="CG2616" s="56"/>
      <c r="CH2616" s="56"/>
      <c r="CI2616" s="56"/>
      <c r="CJ2616" s="56"/>
      <c r="CK2616" s="56"/>
      <c r="CL2616" s="56"/>
      <c r="CM2616" s="56"/>
      <c r="CN2616" s="56"/>
      <c r="CO2616" s="56"/>
      <c r="CP2616" s="56"/>
      <c r="CQ2616" s="56"/>
      <c r="CR2616" s="56"/>
      <c r="CS2616" s="56"/>
      <c r="CT2616" s="56"/>
      <c r="CU2616" s="56"/>
      <c r="CV2616" s="56"/>
      <c r="CW2616" s="56"/>
      <c r="CX2616" s="56"/>
      <c r="CY2616" s="56"/>
      <c r="CZ2616" s="56"/>
    </row>
    <row r="2617" spans="27:104" s="5" customFormat="1" x14ac:dyDescent="0.25">
      <c r="AA2617" s="56"/>
      <c r="AB2617" s="56"/>
      <c r="AC2617" s="56"/>
      <c r="AD2617" s="56"/>
      <c r="AE2617" s="56"/>
      <c r="AF2617" s="56"/>
      <c r="AG2617" s="56"/>
      <c r="AH2617" s="56"/>
      <c r="AI2617" s="56"/>
      <c r="AJ2617" s="56"/>
      <c r="AK2617" s="56"/>
      <c r="AL2617" s="56"/>
      <c r="AM2617" s="56"/>
      <c r="AN2617" s="56"/>
      <c r="AO2617" s="56"/>
      <c r="AP2617" s="56"/>
      <c r="AQ2617" s="56"/>
      <c r="AR2617" s="56"/>
      <c r="AS2617" s="56"/>
      <c r="AT2617" s="56"/>
      <c r="AU2617" s="56"/>
      <c r="AV2617" s="56"/>
      <c r="AW2617" s="56"/>
      <c r="AX2617" s="56"/>
      <c r="AY2617" s="56"/>
      <c r="AZ2617" s="56"/>
      <c r="BA2617" s="56"/>
      <c r="BB2617" s="16"/>
      <c r="BC2617" s="56"/>
      <c r="BD2617" s="56"/>
      <c r="BE2617" s="56"/>
      <c r="BF2617" s="56"/>
      <c r="BG2617" s="56"/>
      <c r="BH2617" s="56"/>
      <c r="BI2617" s="56"/>
      <c r="BJ2617" s="56"/>
      <c r="BK2617" s="56"/>
      <c r="BL2617" s="56"/>
      <c r="BM2617" s="56"/>
      <c r="BN2617" s="56"/>
      <c r="BO2617" s="56"/>
      <c r="BP2617" s="56"/>
      <c r="BQ2617" s="56"/>
      <c r="BR2617" s="56"/>
      <c r="BS2617" s="56"/>
      <c r="BT2617" s="56"/>
      <c r="BU2617" s="56"/>
      <c r="BV2617" s="56"/>
      <c r="BW2617" s="56"/>
      <c r="BX2617" s="56"/>
      <c r="BY2617" s="56"/>
      <c r="BZ2617" s="56"/>
      <c r="CA2617" s="56"/>
      <c r="CB2617" s="56"/>
      <c r="CC2617" s="56"/>
      <c r="CD2617" s="56"/>
      <c r="CE2617" s="56"/>
      <c r="CF2617" s="56"/>
      <c r="CG2617" s="56"/>
      <c r="CH2617" s="56"/>
      <c r="CI2617" s="56"/>
      <c r="CJ2617" s="56"/>
      <c r="CK2617" s="56"/>
      <c r="CL2617" s="56"/>
      <c r="CM2617" s="56"/>
      <c r="CN2617" s="56"/>
      <c r="CO2617" s="56"/>
      <c r="CP2617" s="56"/>
      <c r="CQ2617" s="56"/>
      <c r="CR2617" s="56"/>
      <c r="CS2617" s="56"/>
      <c r="CT2617" s="56"/>
      <c r="CU2617" s="56"/>
      <c r="CV2617" s="56"/>
      <c r="CW2617" s="56"/>
      <c r="CX2617" s="56"/>
      <c r="CY2617" s="56"/>
      <c r="CZ2617" s="56"/>
    </row>
    <row r="2618" spans="27:104" s="5" customFormat="1" x14ac:dyDescent="0.25">
      <c r="AA2618" s="56"/>
      <c r="AB2618" s="56"/>
      <c r="AC2618" s="56"/>
      <c r="AD2618" s="56"/>
      <c r="AE2618" s="56"/>
      <c r="AF2618" s="56"/>
      <c r="AG2618" s="56"/>
      <c r="AH2618" s="56"/>
      <c r="AI2618" s="56"/>
      <c r="AJ2618" s="56"/>
      <c r="AK2618" s="56"/>
      <c r="AL2618" s="56"/>
      <c r="AM2618" s="56"/>
      <c r="AN2618" s="56"/>
      <c r="AO2618" s="56"/>
      <c r="AP2618" s="56"/>
      <c r="AQ2618" s="56"/>
      <c r="AR2618" s="56"/>
      <c r="AS2618" s="56"/>
      <c r="AT2618" s="56"/>
      <c r="AU2618" s="56"/>
      <c r="AV2618" s="56"/>
      <c r="AW2618" s="56"/>
      <c r="AX2618" s="56"/>
      <c r="AY2618" s="56"/>
      <c r="AZ2618" s="56"/>
      <c r="BA2618" s="56"/>
      <c r="BB2618" s="16"/>
      <c r="BC2618" s="56"/>
      <c r="BD2618" s="56"/>
      <c r="BE2618" s="56"/>
      <c r="BF2618" s="56"/>
      <c r="BG2618" s="56"/>
      <c r="BH2618" s="56"/>
      <c r="BI2618" s="56"/>
      <c r="BJ2618" s="56"/>
      <c r="BK2618" s="56"/>
      <c r="BL2618" s="56"/>
      <c r="BM2618" s="56"/>
      <c r="BN2618" s="56"/>
      <c r="BO2618" s="56"/>
      <c r="BP2618" s="56"/>
      <c r="BQ2618" s="56"/>
      <c r="BR2618" s="56"/>
      <c r="BS2618" s="56"/>
      <c r="BT2618" s="56"/>
      <c r="BU2618" s="56"/>
      <c r="BV2618" s="56"/>
      <c r="BW2618" s="56"/>
      <c r="BX2618" s="56"/>
      <c r="BY2618" s="56"/>
      <c r="BZ2618" s="56"/>
      <c r="CA2618" s="56"/>
      <c r="CB2618" s="56"/>
      <c r="CC2618" s="56"/>
      <c r="CD2618" s="56"/>
      <c r="CE2618" s="56"/>
      <c r="CF2618" s="56"/>
      <c r="CG2618" s="56"/>
      <c r="CH2618" s="56"/>
      <c r="CI2618" s="56"/>
      <c r="CJ2618" s="56"/>
      <c r="CK2618" s="56"/>
      <c r="CL2618" s="56"/>
      <c r="CM2618" s="56"/>
      <c r="CN2618" s="56"/>
      <c r="CO2618" s="56"/>
      <c r="CP2618" s="56"/>
      <c r="CQ2618" s="56"/>
      <c r="CR2618" s="56"/>
      <c r="CS2618" s="56"/>
      <c r="CT2618" s="56"/>
      <c r="CU2618" s="56"/>
      <c r="CV2618" s="56"/>
      <c r="CW2618" s="56"/>
      <c r="CX2618" s="56"/>
      <c r="CY2618" s="56"/>
      <c r="CZ2618" s="56"/>
    </row>
    <row r="2619" spans="27:104" s="5" customFormat="1" x14ac:dyDescent="0.25">
      <c r="AA2619" s="56"/>
      <c r="AB2619" s="56"/>
      <c r="AC2619" s="56"/>
      <c r="AD2619" s="56"/>
      <c r="AE2619" s="56"/>
      <c r="AF2619" s="56"/>
      <c r="AG2619" s="56"/>
      <c r="AH2619" s="56"/>
      <c r="AI2619" s="56"/>
      <c r="AJ2619" s="56"/>
      <c r="AK2619" s="56"/>
      <c r="AL2619" s="56"/>
      <c r="AM2619" s="56"/>
      <c r="AN2619" s="56"/>
      <c r="AO2619" s="56"/>
      <c r="AP2619" s="56"/>
      <c r="AQ2619" s="56"/>
      <c r="AR2619" s="56"/>
      <c r="AS2619" s="56"/>
      <c r="AT2619" s="56"/>
      <c r="AU2619" s="56"/>
      <c r="AV2619" s="56"/>
      <c r="AW2619" s="56"/>
      <c r="AX2619" s="56"/>
      <c r="AY2619" s="56"/>
      <c r="AZ2619" s="56"/>
      <c r="BA2619" s="56"/>
      <c r="BB2619" s="16"/>
      <c r="BC2619" s="56"/>
      <c r="BD2619" s="56"/>
      <c r="BE2619" s="56"/>
      <c r="BF2619" s="56"/>
      <c r="BG2619" s="56"/>
      <c r="BH2619" s="56"/>
      <c r="BI2619" s="56"/>
      <c r="BJ2619" s="56"/>
      <c r="BK2619" s="56"/>
      <c r="BL2619" s="56"/>
      <c r="BM2619" s="56"/>
      <c r="BN2619" s="56"/>
      <c r="BO2619" s="56"/>
      <c r="BP2619" s="56"/>
      <c r="BQ2619" s="56"/>
      <c r="BR2619" s="56"/>
      <c r="BS2619" s="56"/>
      <c r="BT2619" s="56"/>
      <c r="BU2619" s="56"/>
      <c r="BV2619" s="56"/>
      <c r="BW2619" s="56"/>
      <c r="BX2619" s="56"/>
      <c r="BY2619" s="56"/>
      <c r="BZ2619" s="56"/>
      <c r="CA2619" s="56"/>
      <c r="CB2619" s="56"/>
      <c r="CC2619" s="56"/>
      <c r="CD2619" s="56"/>
      <c r="CE2619" s="56"/>
      <c r="CF2619" s="56"/>
      <c r="CG2619" s="56"/>
      <c r="CH2619" s="56"/>
      <c r="CI2619" s="56"/>
      <c r="CJ2619" s="56"/>
      <c r="CK2619" s="56"/>
      <c r="CL2619" s="56"/>
      <c r="CM2619" s="56"/>
      <c r="CN2619" s="56"/>
      <c r="CO2619" s="56"/>
      <c r="CP2619" s="56"/>
      <c r="CQ2619" s="56"/>
      <c r="CR2619" s="56"/>
      <c r="CS2619" s="56"/>
      <c r="CT2619" s="56"/>
      <c r="CU2619" s="56"/>
      <c r="CV2619" s="56"/>
      <c r="CW2619" s="56"/>
      <c r="CX2619" s="56"/>
      <c r="CY2619" s="56"/>
      <c r="CZ2619" s="56"/>
    </row>
    <row r="2620" spans="27:104" s="5" customFormat="1" x14ac:dyDescent="0.25">
      <c r="AA2620" s="56"/>
      <c r="AB2620" s="56"/>
      <c r="AC2620" s="56"/>
      <c r="AD2620" s="56"/>
      <c r="AE2620" s="56"/>
      <c r="AF2620" s="56"/>
      <c r="AG2620" s="56"/>
      <c r="AH2620" s="56"/>
      <c r="AI2620" s="56"/>
      <c r="AJ2620" s="56"/>
      <c r="AK2620" s="56"/>
      <c r="AL2620" s="56"/>
      <c r="AM2620" s="56"/>
      <c r="AN2620" s="56"/>
      <c r="AO2620" s="56"/>
      <c r="AP2620" s="56"/>
      <c r="AQ2620" s="56"/>
      <c r="AR2620" s="56"/>
      <c r="AS2620" s="56"/>
      <c r="AT2620" s="56"/>
      <c r="AU2620" s="56"/>
      <c r="AV2620" s="56"/>
      <c r="AW2620" s="56"/>
      <c r="AX2620" s="56"/>
      <c r="AY2620" s="56"/>
      <c r="AZ2620" s="56"/>
      <c r="BA2620" s="56"/>
      <c r="BB2620" s="16"/>
      <c r="BC2620" s="56"/>
      <c r="BD2620" s="56"/>
      <c r="BE2620" s="56"/>
      <c r="BF2620" s="56"/>
      <c r="BG2620" s="56"/>
      <c r="BH2620" s="56"/>
      <c r="BI2620" s="56"/>
      <c r="BJ2620" s="56"/>
      <c r="BK2620" s="56"/>
      <c r="BL2620" s="56"/>
      <c r="BM2620" s="56"/>
      <c r="BN2620" s="56"/>
      <c r="BO2620" s="56"/>
      <c r="BP2620" s="56"/>
      <c r="BQ2620" s="56"/>
      <c r="BR2620" s="56"/>
      <c r="BS2620" s="56"/>
      <c r="BT2620" s="56"/>
      <c r="BU2620" s="56"/>
      <c r="BV2620" s="56"/>
      <c r="BW2620" s="56"/>
      <c r="BX2620" s="56"/>
      <c r="BY2620" s="56"/>
      <c r="BZ2620" s="56"/>
      <c r="CA2620" s="56"/>
      <c r="CB2620" s="56"/>
      <c r="CC2620" s="56"/>
      <c r="CD2620" s="56"/>
      <c r="CE2620" s="56"/>
      <c r="CF2620" s="56"/>
      <c r="CG2620" s="56"/>
      <c r="CH2620" s="56"/>
      <c r="CI2620" s="56"/>
      <c r="CJ2620" s="56"/>
      <c r="CK2620" s="56"/>
      <c r="CL2620" s="56"/>
      <c r="CM2620" s="56"/>
      <c r="CN2620" s="56"/>
      <c r="CO2620" s="56"/>
      <c r="CP2620" s="56"/>
      <c r="CQ2620" s="56"/>
      <c r="CR2620" s="56"/>
      <c r="CS2620" s="56"/>
      <c r="CT2620" s="56"/>
      <c r="CU2620" s="56"/>
      <c r="CV2620" s="56"/>
      <c r="CW2620" s="56"/>
      <c r="CX2620" s="56"/>
      <c r="CY2620" s="56"/>
      <c r="CZ2620" s="56"/>
    </row>
    <row r="2621" spans="27:104" s="5" customFormat="1" x14ac:dyDescent="0.25">
      <c r="AA2621" s="56"/>
      <c r="AB2621" s="56"/>
      <c r="AC2621" s="56"/>
      <c r="AD2621" s="56"/>
      <c r="AE2621" s="56"/>
      <c r="AF2621" s="56"/>
      <c r="AG2621" s="56"/>
      <c r="AH2621" s="56"/>
      <c r="AI2621" s="56"/>
      <c r="AJ2621" s="56"/>
      <c r="AK2621" s="56"/>
      <c r="AL2621" s="56"/>
      <c r="AM2621" s="56"/>
      <c r="AN2621" s="56"/>
      <c r="AO2621" s="56"/>
      <c r="AP2621" s="56"/>
      <c r="AQ2621" s="56"/>
      <c r="AR2621" s="56"/>
      <c r="AS2621" s="56"/>
      <c r="AT2621" s="56"/>
      <c r="AU2621" s="56"/>
      <c r="AV2621" s="56"/>
      <c r="AW2621" s="56"/>
      <c r="AX2621" s="56"/>
      <c r="AY2621" s="56"/>
      <c r="AZ2621" s="56"/>
      <c r="BA2621" s="56"/>
      <c r="BB2621" s="16"/>
      <c r="BC2621" s="56"/>
      <c r="BD2621" s="56"/>
      <c r="BE2621" s="56"/>
      <c r="BF2621" s="56"/>
      <c r="BG2621" s="56"/>
      <c r="BH2621" s="56"/>
      <c r="BI2621" s="56"/>
      <c r="BJ2621" s="56"/>
      <c r="BK2621" s="56"/>
      <c r="BL2621" s="56"/>
      <c r="BM2621" s="56"/>
      <c r="BN2621" s="56"/>
      <c r="BO2621" s="56"/>
      <c r="BP2621" s="56"/>
      <c r="BQ2621" s="56"/>
      <c r="BR2621" s="56"/>
      <c r="BS2621" s="56"/>
      <c r="BT2621" s="56"/>
      <c r="BU2621" s="56"/>
      <c r="BV2621" s="56"/>
      <c r="BW2621" s="56"/>
      <c r="BX2621" s="56"/>
      <c r="BY2621" s="56"/>
      <c r="BZ2621" s="56"/>
      <c r="CA2621" s="56"/>
      <c r="CB2621" s="56"/>
      <c r="CC2621" s="56"/>
      <c r="CD2621" s="56"/>
      <c r="CE2621" s="56"/>
      <c r="CF2621" s="56"/>
      <c r="CG2621" s="56"/>
      <c r="CH2621" s="56"/>
      <c r="CI2621" s="56"/>
      <c r="CJ2621" s="56"/>
      <c r="CK2621" s="56"/>
      <c r="CL2621" s="56"/>
      <c r="CM2621" s="56"/>
      <c r="CN2621" s="56"/>
      <c r="CO2621" s="56"/>
      <c r="CP2621" s="56"/>
      <c r="CQ2621" s="56"/>
      <c r="CR2621" s="56"/>
      <c r="CS2621" s="56"/>
      <c r="CT2621" s="56"/>
      <c r="CU2621" s="56"/>
      <c r="CV2621" s="56"/>
      <c r="CW2621" s="56"/>
      <c r="CX2621" s="56"/>
      <c r="CY2621" s="56"/>
      <c r="CZ2621" s="56"/>
    </row>
    <row r="2622" spans="27:104" s="5" customFormat="1" x14ac:dyDescent="0.25">
      <c r="AA2622" s="56"/>
      <c r="AB2622" s="56"/>
      <c r="AC2622" s="56"/>
      <c r="AD2622" s="56"/>
      <c r="AE2622" s="56"/>
      <c r="AF2622" s="56"/>
      <c r="AG2622" s="56"/>
      <c r="AH2622" s="56"/>
      <c r="AI2622" s="56"/>
      <c r="AJ2622" s="56"/>
      <c r="AK2622" s="56"/>
      <c r="AL2622" s="56"/>
      <c r="AM2622" s="56"/>
      <c r="AN2622" s="56"/>
      <c r="AO2622" s="56"/>
      <c r="AP2622" s="56"/>
      <c r="AQ2622" s="56"/>
      <c r="AR2622" s="56"/>
      <c r="AS2622" s="56"/>
      <c r="AT2622" s="56"/>
      <c r="AU2622" s="56"/>
      <c r="AV2622" s="56"/>
      <c r="AW2622" s="56"/>
      <c r="AX2622" s="56"/>
      <c r="AY2622" s="56"/>
      <c r="AZ2622" s="56"/>
      <c r="BA2622" s="56"/>
      <c r="BB2622" s="16"/>
      <c r="BC2622" s="56"/>
      <c r="BD2622" s="56"/>
      <c r="BE2622" s="56"/>
      <c r="BF2622" s="56"/>
      <c r="BG2622" s="56"/>
      <c r="BH2622" s="56"/>
      <c r="BI2622" s="56"/>
      <c r="BJ2622" s="56"/>
      <c r="BK2622" s="56"/>
      <c r="BL2622" s="56"/>
      <c r="BM2622" s="56"/>
      <c r="BN2622" s="56"/>
      <c r="BO2622" s="56"/>
      <c r="BP2622" s="56"/>
      <c r="BQ2622" s="56"/>
      <c r="BR2622" s="56"/>
      <c r="BS2622" s="56"/>
      <c r="BT2622" s="56"/>
      <c r="BU2622" s="56"/>
      <c r="BV2622" s="56"/>
      <c r="BW2622" s="56"/>
      <c r="BX2622" s="56"/>
      <c r="BY2622" s="56"/>
      <c r="BZ2622" s="56"/>
      <c r="CA2622" s="56"/>
      <c r="CB2622" s="56"/>
      <c r="CC2622" s="56"/>
      <c r="CD2622" s="56"/>
      <c r="CE2622" s="56"/>
      <c r="CF2622" s="56"/>
      <c r="CG2622" s="56"/>
      <c r="CH2622" s="56"/>
      <c r="CI2622" s="56"/>
      <c r="CJ2622" s="56"/>
      <c r="CK2622" s="56"/>
      <c r="CL2622" s="56"/>
      <c r="CM2622" s="56"/>
      <c r="CN2622" s="56"/>
      <c r="CO2622" s="56"/>
      <c r="CP2622" s="56"/>
      <c r="CQ2622" s="56"/>
      <c r="CR2622" s="56"/>
      <c r="CS2622" s="56"/>
      <c r="CT2622" s="56"/>
      <c r="CU2622" s="56"/>
      <c r="CV2622" s="56"/>
      <c r="CW2622" s="56"/>
      <c r="CX2622" s="56"/>
      <c r="CY2622" s="56"/>
      <c r="CZ2622" s="56"/>
    </row>
    <row r="2623" spans="27:104" s="5" customFormat="1" x14ac:dyDescent="0.25">
      <c r="AA2623" s="56"/>
      <c r="AB2623" s="56"/>
      <c r="AC2623" s="56"/>
      <c r="AD2623" s="56"/>
      <c r="AE2623" s="56"/>
      <c r="AF2623" s="56"/>
      <c r="AG2623" s="56"/>
      <c r="AH2623" s="56"/>
      <c r="AI2623" s="56"/>
      <c r="AJ2623" s="56"/>
      <c r="AK2623" s="56"/>
      <c r="AL2623" s="56"/>
      <c r="AM2623" s="56"/>
      <c r="AN2623" s="56"/>
      <c r="AO2623" s="56"/>
      <c r="AP2623" s="56"/>
      <c r="AQ2623" s="56"/>
      <c r="AR2623" s="56"/>
      <c r="AS2623" s="56"/>
      <c r="AT2623" s="56"/>
      <c r="AU2623" s="56"/>
      <c r="AV2623" s="56"/>
      <c r="AW2623" s="56"/>
      <c r="AX2623" s="56"/>
      <c r="AY2623" s="56"/>
      <c r="AZ2623" s="56"/>
      <c r="BA2623" s="56"/>
      <c r="BB2623" s="16"/>
      <c r="BC2623" s="56"/>
      <c r="BD2623" s="56"/>
      <c r="BE2623" s="56"/>
      <c r="BF2623" s="56"/>
      <c r="BG2623" s="56"/>
      <c r="BH2623" s="56"/>
      <c r="BI2623" s="56"/>
      <c r="BJ2623" s="56"/>
      <c r="BK2623" s="56"/>
      <c r="BL2623" s="56"/>
      <c r="BM2623" s="56"/>
      <c r="BN2623" s="56"/>
      <c r="BO2623" s="56"/>
      <c r="BP2623" s="56"/>
      <c r="BQ2623" s="56"/>
      <c r="BR2623" s="56"/>
      <c r="BS2623" s="56"/>
      <c r="BT2623" s="56"/>
      <c r="BU2623" s="56"/>
      <c r="BV2623" s="56"/>
      <c r="BW2623" s="56"/>
      <c r="BX2623" s="56"/>
      <c r="BY2623" s="56"/>
      <c r="BZ2623" s="56"/>
      <c r="CA2623" s="56"/>
      <c r="CB2623" s="56"/>
      <c r="CC2623" s="56"/>
      <c r="CD2623" s="56"/>
      <c r="CE2623" s="56"/>
      <c r="CF2623" s="56"/>
      <c r="CG2623" s="56"/>
      <c r="CH2623" s="56"/>
      <c r="CI2623" s="56"/>
      <c r="CJ2623" s="56"/>
      <c r="CK2623" s="56"/>
      <c r="CL2623" s="56"/>
      <c r="CM2623" s="56"/>
      <c r="CN2623" s="56"/>
      <c r="CO2623" s="56"/>
      <c r="CP2623" s="56"/>
      <c r="CQ2623" s="56"/>
      <c r="CR2623" s="56"/>
      <c r="CS2623" s="56"/>
      <c r="CT2623" s="56"/>
      <c r="CU2623" s="56"/>
      <c r="CV2623" s="56"/>
      <c r="CW2623" s="56"/>
      <c r="CX2623" s="56"/>
      <c r="CY2623" s="56"/>
      <c r="CZ2623" s="56"/>
    </row>
    <row r="2624" spans="27:104" s="5" customFormat="1" x14ac:dyDescent="0.25">
      <c r="AA2624" s="56"/>
      <c r="AB2624" s="56"/>
      <c r="AC2624" s="56"/>
      <c r="AD2624" s="56"/>
      <c r="AE2624" s="56"/>
      <c r="AF2624" s="56"/>
      <c r="AG2624" s="56"/>
      <c r="AH2624" s="56"/>
      <c r="AI2624" s="56"/>
      <c r="AJ2624" s="56"/>
      <c r="AK2624" s="56"/>
      <c r="AL2624" s="56"/>
      <c r="AM2624" s="56"/>
      <c r="AN2624" s="56"/>
      <c r="AO2624" s="56"/>
      <c r="AP2624" s="56"/>
      <c r="AQ2624" s="56"/>
      <c r="AR2624" s="56"/>
      <c r="AS2624" s="56"/>
      <c r="AT2624" s="56"/>
      <c r="AU2624" s="56"/>
      <c r="AV2624" s="56"/>
      <c r="AW2624" s="56"/>
      <c r="AX2624" s="56"/>
      <c r="AY2624" s="56"/>
      <c r="AZ2624" s="56"/>
      <c r="BA2624" s="56"/>
      <c r="BB2624" s="16"/>
      <c r="BC2624" s="56"/>
      <c r="BD2624" s="56"/>
      <c r="BE2624" s="56"/>
      <c r="BF2624" s="56"/>
      <c r="BG2624" s="56"/>
      <c r="BH2624" s="56"/>
      <c r="BI2624" s="56"/>
      <c r="BJ2624" s="56"/>
      <c r="BK2624" s="56"/>
      <c r="BL2624" s="56"/>
      <c r="BM2624" s="56"/>
      <c r="BN2624" s="56"/>
      <c r="BO2624" s="56"/>
      <c r="BP2624" s="56"/>
      <c r="BQ2624" s="56"/>
      <c r="BR2624" s="56"/>
      <c r="BS2624" s="56"/>
      <c r="BT2624" s="56"/>
      <c r="BU2624" s="56"/>
      <c r="BV2624" s="56"/>
      <c r="BW2624" s="56"/>
      <c r="BX2624" s="56"/>
      <c r="BY2624" s="56"/>
      <c r="BZ2624" s="56"/>
      <c r="CA2624" s="56"/>
      <c r="CB2624" s="56"/>
      <c r="CC2624" s="56"/>
      <c r="CD2624" s="56"/>
      <c r="CE2624" s="56"/>
      <c r="CF2624" s="56"/>
      <c r="CG2624" s="56"/>
      <c r="CH2624" s="56"/>
      <c r="CI2624" s="56"/>
      <c r="CJ2624" s="56"/>
      <c r="CK2624" s="56"/>
      <c r="CL2624" s="56"/>
      <c r="CM2624" s="56"/>
      <c r="CN2624" s="56"/>
      <c r="CO2624" s="56"/>
      <c r="CP2624" s="56"/>
      <c r="CQ2624" s="56"/>
      <c r="CR2624" s="56"/>
      <c r="CS2624" s="56"/>
      <c r="CT2624" s="56"/>
      <c r="CU2624" s="56"/>
      <c r="CV2624" s="56"/>
      <c r="CW2624" s="56"/>
      <c r="CX2624" s="56"/>
      <c r="CY2624" s="56"/>
      <c r="CZ2624" s="56"/>
    </row>
    <row r="2625" spans="27:104" s="5" customFormat="1" x14ac:dyDescent="0.25">
      <c r="AA2625" s="56"/>
      <c r="AB2625" s="56"/>
      <c r="AC2625" s="56"/>
      <c r="AD2625" s="56"/>
      <c r="AE2625" s="56"/>
      <c r="AF2625" s="56"/>
      <c r="AG2625" s="56"/>
      <c r="AH2625" s="56"/>
      <c r="AI2625" s="56"/>
      <c r="AJ2625" s="56"/>
      <c r="AK2625" s="56"/>
      <c r="AL2625" s="56"/>
      <c r="AM2625" s="56"/>
      <c r="AN2625" s="56"/>
      <c r="AO2625" s="56"/>
      <c r="AP2625" s="56"/>
      <c r="AQ2625" s="56"/>
      <c r="AR2625" s="56"/>
      <c r="AS2625" s="56"/>
      <c r="AT2625" s="56"/>
      <c r="AU2625" s="56"/>
      <c r="AV2625" s="56"/>
      <c r="AW2625" s="56"/>
      <c r="AX2625" s="56"/>
      <c r="AY2625" s="56"/>
      <c r="AZ2625" s="56"/>
      <c r="BA2625" s="56"/>
      <c r="BB2625" s="16"/>
      <c r="BC2625" s="56"/>
      <c r="BD2625" s="56"/>
      <c r="BE2625" s="56"/>
      <c r="BF2625" s="56"/>
      <c r="BG2625" s="56"/>
      <c r="BH2625" s="56"/>
      <c r="BI2625" s="56"/>
      <c r="BJ2625" s="56"/>
      <c r="BK2625" s="56"/>
      <c r="BL2625" s="56"/>
      <c r="BM2625" s="56"/>
      <c r="BN2625" s="56"/>
      <c r="BO2625" s="56"/>
      <c r="BP2625" s="56"/>
      <c r="BQ2625" s="56"/>
      <c r="BR2625" s="56"/>
      <c r="BS2625" s="56"/>
      <c r="BT2625" s="56"/>
      <c r="BU2625" s="56"/>
      <c r="BV2625" s="56"/>
      <c r="BW2625" s="56"/>
      <c r="BX2625" s="56"/>
      <c r="BY2625" s="56"/>
      <c r="BZ2625" s="56"/>
      <c r="CA2625" s="56"/>
      <c r="CB2625" s="56"/>
      <c r="CC2625" s="56"/>
      <c r="CD2625" s="56"/>
      <c r="CE2625" s="56"/>
      <c r="CF2625" s="56"/>
      <c r="CG2625" s="56"/>
      <c r="CH2625" s="56"/>
      <c r="CI2625" s="56"/>
      <c r="CJ2625" s="56"/>
      <c r="CK2625" s="56"/>
      <c r="CL2625" s="56"/>
      <c r="CM2625" s="56"/>
      <c r="CN2625" s="56"/>
      <c r="CO2625" s="56"/>
      <c r="CP2625" s="56"/>
      <c r="CQ2625" s="56"/>
      <c r="CR2625" s="56"/>
      <c r="CS2625" s="56"/>
      <c r="CT2625" s="56"/>
      <c r="CU2625" s="56"/>
      <c r="CV2625" s="56"/>
      <c r="CW2625" s="56"/>
      <c r="CX2625" s="56"/>
      <c r="CY2625" s="56"/>
      <c r="CZ2625" s="56"/>
    </row>
    <row r="2626" spans="27:104" s="5" customFormat="1" x14ac:dyDescent="0.25">
      <c r="AA2626" s="56"/>
      <c r="AB2626" s="56"/>
      <c r="AC2626" s="56"/>
      <c r="AD2626" s="56"/>
      <c r="AE2626" s="56"/>
      <c r="AF2626" s="56"/>
      <c r="AG2626" s="56"/>
      <c r="AH2626" s="56"/>
      <c r="AI2626" s="56"/>
      <c r="AJ2626" s="56"/>
      <c r="AK2626" s="56"/>
      <c r="AL2626" s="56"/>
      <c r="AM2626" s="56"/>
      <c r="AN2626" s="56"/>
      <c r="AO2626" s="56"/>
      <c r="AP2626" s="56"/>
      <c r="AQ2626" s="56"/>
      <c r="AR2626" s="56"/>
      <c r="AS2626" s="56"/>
      <c r="AT2626" s="56"/>
      <c r="AU2626" s="56"/>
      <c r="AV2626" s="56"/>
      <c r="AW2626" s="56"/>
      <c r="AX2626" s="56"/>
      <c r="AY2626" s="56"/>
      <c r="AZ2626" s="56"/>
      <c r="BA2626" s="56"/>
      <c r="BB2626" s="16"/>
      <c r="BC2626" s="56"/>
      <c r="BD2626" s="56"/>
      <c r="BE2626" s="56"/>
      <c r="BF2626" s="56"/>
      <c r="BG2626" s="56"/>
      <c r="BH2626" s="56"/>
      <c r="BI2626" s="56"/>
      <c r="BJ2626" s="56"/>
      <c r="BK2626" s="56"/>
      <c r="BL2626" s="56"/>
      <c r="BM2626" s="56"/>
      <c r="BN2626" s="56"/>
      <c r="BO2626" s="56"/>
      <c r="BP2626" s="56"/>
      <c r="BQ2626" s="56"/>
      <c r="BR2626" s="56"/>
      <c r="BS2626" s="56"/>
      <c r="BT2626" s="56"/>
      <c r="BU2626" s="56"/>
      <c r="BV2626" s="56"/>
      <c r="BW2626" s="56"/>
      <c r="BX2626" s="56"/>
      <c r="BY2626" s="56"/>
      <c r="BZ2626" s="56"/>
      <c r="CA2626" s="56"/>
      <c r="CB2626" s="56"/>
      <c r="CC2626" s="56"/>
      <c r="CD2626" s="56"/>
      <c r="CE2626" s="56"/>
      <c r="CF2626" s="56"/>
      <c r="CG2626" s="56"/>
      <c r="CH2626" s="56"/>
      <c r="CI2626" s="56"/>
      <c r="CJ2626" s="56"/>
      <c r="CK2626" s="56"/>
      <c r="CL2626" s="56"/>
      <c r="CM2626" s="56"/>
      <c r="CN2626" s="56"/>
      <c r="CO2626" s="56"/>
      <c r="CP2626" s="56"/>
      <c r="CQ2626" s="56"/>
      <c r="CR2626" s="56"/>
      <c r="CS2626" s="56"/>
      <c r="CT2626" s="56"/>
      <c r="CU2626" s="56"/>
      <c r="CV2626" s="56"/>
      <c r="CW2626" s="56"/>
      <c r="CX2626" s="56"/>
      <c r="CY2626" s="56"/>
      <c r="CZ2626" s="56"/>
    </row>
    <row r="2627" spans="27:104" s="5" customFormat="1" x14ac:dyDescent="0.25">
      <c r="AA2627" s="56"/>
      <c r="AB2627" s="56"/>
      <c r="AC2627" s="56"/>
      <c r="AD2627" s="56"/>
      <c r="AE2627" s="56"/>
      <c r="AF2627" s="56"/>
      <c r="AG2627" s="56"/>
      <c r="AH2627" s="56"/>
      <c r="AI2627" s="56"/>
      <c r="AJ2627" s="56"/>
      <c r="AK2627" s="56"/>
      <c r="AL2627" s="56"/>
      <c r="AM2627" s="56"/>
      <c r="AN2627" s="56"/>
      <c r="AO2627" s="56"/>
      <c r="AP2627" s="56"/>
      <c r="AQ2627" s="56"/>
      <c r="AR2627" s="56"/>
      <c r="AS2627" s="56"/>
      <c r="AT2627" s="56"/>
      <c r="AU2627" s="56"/>
      <c r="AV2627" s="56"/>
      <c r="AW2627" s="56"/>
      <c r="AX2627" s="56"/>
      <c r="AY2627" s="56"/>
      <c r="AZ2627" s="56"/>
      <c r="BA2627" s="56"/>
      <c r="BB2627" s="16"/>
      <c r="BC2627" s="56"/>
      <c r="BD2627" s="56"/>
      <c r="BE2627" s="56"/>
      <c r="BF2627" s="56"/>
      <c r="BG2627" s="56"/>
      <c r="BH2627" s="56"/>
      <c r="BI2627" s="56"/>
      <c r="BJ2627" s="56"/>
      <c r="BK2627" s="56"/>
      <c r="BL2627" s="56"/>
      <c r="BM2627" s="56"/>
      <c r="BN2627" s="56"/>
      <c r="BO2627" s="56"/>
      <c r="BP2627" s="56"/>
      <c r="BQ2627" s="56"/>
      <c r="BR2627" s="56"/>
      <c r="BS2627" s="56"/>
      <c r="BT2627" s="56"/>
      <c r="BU2627" s="56"/>
      <c r="BV2627" s="56"/>
      <c r="BW2627" s="56"/>
      <c r="BX2627" s="56"/>
      <c r="BY2627" s="56"/>
      <c r="BZ2627" s="56"/>
      <c r="CA2627" s="56"/>
      <c r="CB2627" s="56"/>
      <c r="CC2627" s="56"/>
      <c r="CD2627" s="56"/>
      <c r="CE2627" s="56"/>
      <c r="CF2627" s="56"/>
      <c r="CG2627" s="56"/>
      <c r="CH2627" s="56"/>
      <c r="CI2627" s="56"/>
      <c r="CJ2627" s="56"/>
      <c r="CK2627" s="56"/>
      <c r="CL2627" s="56"/>
      <c r="CM2627" s="56"/>
      <c r="CN2627" s="56"/>
      <c r="CO2627" s="56"/>
      <c r="CP2627" s="56"/>
      <c r="CQ2627" s="56"/>
      <c r="CR2627" s="56"/>
      <c r="CS2627" s="56"/>
      <c r="CT2627" s="56"/>
      <c r="CU2627" s="56"/>
      <c r="CV2627" s="56"/>
      <c r="CW2627" s="56"/>
      <c r="CX2627" s="56"/>
      <c r="CY2627" s="56"/>
      <c r="CZ2627" s="56"/>
    </row>
    <row r="2628" spans="27:104" s="5" customFormat="1" x14ac:dyDescent="0.25">
      <c r="AA2628" s="56"/>
      <c r="AB2628" s="56"/>
      <c r="AC2628" s="56"/>
      <c r="AD2628" s="56"/>
      <c r="AE2628" s="56"/>
      <c r="AF2628" s="56"/>
      <c r="AG2628" s="56"/>
      <c r="AH2628" s="56"/>
      <c r="AI2628" s="56"/>
      <c r="AJ2628" s="56"/>
      <c r="AK2628" s="56"/>
      <c r="AL2628" s="56"/>
      <c r="AM2628" s="56"/>
      <c r="AN2628" s="56"/>
      <c r="AO2628" s="56"/>
      <c r="AP2628" s="56"/>
      <c r="AQ2628" s="56"/>
      <c r="AR2628" s="56"/>
      <c r="AS2628" s="56"/>
      <c r="AT2628" s="56"/>
      <c r="AU2628" s="56"/>
      <c r="AV2628" s="56"/>
      <c r="AW2628" s="56"/>
      <c r="AX2628" s="56"/>
      <c r="AY2628" s="56"/>
      <c r="AZ2628" s="56"/>
      <c r="BA2628" s="56"/>
      <c r="BB2628" s="16"/>
      <c r="BC2628" s="56"/>
      <c r="BD2628" s="56"/>
      <c r="BE2628" s="56"/>
      <c r="BF2628" s="56"/>
      <c r="BG2628" s="56"/>
      <c r="BH2628" s="56"/>
      <c r="BI2628" s="56"/>
      <c r="BJ2628" s="56"/>
      <c r="BK2628" s="56"/>
      <c r="BL2628" s="56"/>
      <c r="BM2628" s="56"/>
      <c r="BN2628" s="56"/>
      <c r="BO2628" s="56"/>
      <c r="BP2628" s="56"/>
      <c r="BQ2628" s="56"/>
      <c r="BR2628" s="56"/>
      <c r="BS2628" s="56"/>
      <c r="BT2628" s="56"/>
      <c r="BU2628" s="56"/>
      <c r="BV2628" s="56"/>
      <c r="BW2628" s="56"/>
      <c r="BX2628" s="56"/>
      <c r="BY2628" s="56"/>
      <c r="BZ2628" s="56"/>
      <c r="CA2628" s="56"/>
      <c r="CB2628" s="56"/>
      <c r="CC2628" s="56"/>
      <c r="CD2628" s="56"/>
      <c r="CE2628" s="56"/>
      <c r="CF2628" s="56"/>
      <c r="CG2628" s="56"/>
      <c r="CH2628" s="56"/>
      <c r="CI2628" s="56"/>
      <c r="CJ2628" s="56"/>
      <c r="CK2628" s="56"/>
      <c r="CL2628" s="56"/>
      <c r="CM2628" s="56"/>
      <c r="CN2628" s="56"/>
      <c r="CO2628" s="56"/>
      <c r="CP2628" s="56"/>
      <c r="CQ2628" s="56"/>
      <c r="CR2628" s="56"/>
      <c r="CS2628" s="56"/>
      <c r="CT2628" s="56"/>
      <c r="CU2628" s="56"/>
      <c r="CV2628" s="56"/>
      <c r="CW2628" s="56"/>
      <c r="CX2628" s="56"/>
      <c r="CY2628" s="56"/>
      <c r="CZ2628" s="56"/>
    </row>
    <row r="2629" spans="27:104" s="5" customFormat="1" x14ac:dyDescent="0.25">
      <c r="AA2629" s="56"/>
      <c r="AB2629" s="56"/>
      <c r="AC2629" s="56"/>
      <c r="AD2629" s="56"/>
      <c r="AE2629" s="56"/>
      <c r="AF2629" s="56"/>
      <c r="AG2629" s="56"/>
      <c r="AH2629" s="56"/>
      <c r="AI2629" s="56"/>
      <c r="AJ2629" s="56"/>
      <c r="AK2629" s="56"/>
      <c r="AL2629" s="56"/>
      <c r="AM2629" s="56"/>
      <c r="AN2629" s="56"/>
      <c r="AO2629" s="56"/>
      <c r="AP2629" s="56"/>
      <c r="AQ2629" s="56"/>
      <c r="AR2629" s="56"/>
      <c r="AS2629" s="56"/>
      <c r="AT2629" s="56"/>
      <c r="AU2629" s="56"/>
      <c r="AV2629" s="56"/>
      <c r="AW2629" s="56"/>
      <c r="AX2629" s="56"/>
      <c r="AY2629" s="56"/>
      <c r="AZ2629" s="56"/>
      <c r="BA2629" s="56"/>
      <c r="BB2629" s="16"/>
      <c r="BC2629" s="56"/>
      <c r="BD2629" s="56"/>
      <c r="BE2629" s="56"/>
      <c r="BF2629" s="56"/>
      <c r="BG2629" s="56"/>
      <c r="BH2629" s="56"/>
      <c r="BI2629" s="56"/>
      <c r="BJ2629" s="56"/>
      <c r="BK2629" s="56"/>
      <c r="BL2629" s="56"/>
      <c r="BM2629" s="56"/>
      <c r="BN2629" s="56"/>
      <c r="BO2629" s="56"/>
      <c r="BP2629" s="56"/>
      <c r="BQ2629" s="56"/>
      <c r="BR2629" s="56"/>
      <c r="BS2629" s="56"/>
      <c r="BT2629" s="56"/>
      <c r="BU2629" s="56"/>
      <c r="BV2629" s="56"/>
      <c r="BW2629" s="56"/>
      <c r="BX2629" s="56"/>
      <c r="BY2629" s="56"/>
      <c r="BZ2629" s="56"/>
      <c r="CA2629" s="56"/>
      <c r="CB2629" s="56"/>
      <c r="CC2629" s="56"/>
      <c r="CD2629" s="56"/>
      <c r="CE2629" s="56"/>
      <c r="CF2629" s="56"/>
      <c r="CG2629" s="56"/>
      <c r="CH2629" s="56"/>
      <c r="CI2629" s="56"/>
      <c r="CJ2629" s="56"/>
      <c r="CK2629" s="56"/>
      <c r="CL2629" s="56"/>
      <c r="CM2629" s="56"/>
      <c r="CN2629" s="56"/>
      <c r="CO2629" s="56"/>
      <c r="CP2629" s="56"/>
      <c r="CQ2629" s="56"/>
      <c r="CR2629" s="56"/>
      <c r="CS2629" s="56"/>
      <c r="CT2629" s="56"/>
      <c r="CU2629" s="56"/>
      <c r="CV2629" s="56"/>
      <c r="CW2629" s="56"/>
      <c r="CX2629" s="56"/>
      <c r="CY2629" s="56"/>
      <c r="CZ2629" s="56"/>
    </row>
    <row r="2630" spans="27:104" s="5" customFormat="1" x14ac:dyDescent="0.25">
      <c r="AA2630" s="56"/>
      <c r="AB2630" s="56"/>
      <c r="AC2630" s="56"/>
      <c r="AD2630" s="56"/>
      <c r="AE2630" s="56"/>
      <c r="AF2630" s="56"/>
      <c r="AG2630" s="56"/>
      <c r="AH2630" s="56"/>
      <c r="AI2630" s="56"/>
      <c r="AJ2630" s="56"/>
      <c r="AK2630" s="56"/>
      <c r="AL2630" s="56"/>
      <c r="AM2630" s="56"/>
      <c r="AN2630" s="56"/>
      <c r="AO2630" s="56"/>
      <c r="AP2630" s="56"/>
      <c r="AQ2630" s="56"/>
      <c r="AR2630" s="56"/>
      <c r="AS2630" s="56"/>
      <c r="AT2630" s="56"/>
      <c r="AU2630" s="56"/>
      <c r="AV2630" s="56"/>
      <c r="AW2630" s="56"/>
      <c r="AX2630" s="56"/>
      <c r="AY2630" s="56"/>
      <c r="AZ2630" s="56"/>
      <c r="BA2630" s="56"/>
      <c r="BB2630" s="16"/>
      <c r="BC2630" s="56"/>
      <c r="BD2630" s="56"/>
      <c r="BE2630" s="56"/>
      <c r="BF2630" s="56"/>
      <c r="BG2630" s="56"/>
      <c r="BH2630" s="56"/>
      <c r="BI2630" s="56"/>
      <c r="BJ2630" s="56"/>
      <c r="BK2630" s="56"/>
      <c r="BL2630" s="56"/>
      <c r="BM2630" s="56"/>
      <c r="BN2630" s="56"/>
      <c r="BO2630" s="56"/>
      <c r="BP2630" s="56"/>
      <c r="BQ2630" s="56"/>
      <c r="BR2630" s="56"/>
      <c r="BS2630" s="56"/>
      <c r="BT2630" s="56"/>
      <c r="BU2630" s="56"/>
      <c r="BV2630" s="56"/>
      <c r="BW2630" s="56"/>
      <c r="BX2630" s="56"/>
      <c r="BY2630" s="56"/>
      <c r="BZ2630" s="56"/>
      <c r="CA2630" s="56"/>
      <c r="CB2630" s="56"/>
      <c r="CC2630" s="56"/>
      <c r="CD2630" s="56"/>
      <c r="CE2630" s="56"/>
      <c r="CF2630" s="56"/>
      <c r="CG2630" s="56"/>
      <c r="CH2630" s="56"/>
      <c r="CI2630" s="56"/>
      <c r="CJ2630" s="56"/>
      <c r="CK2630" s="56"/>
      <c r="CL2630" s="56"/>
      <c r="CM2630" s="56"/>
      <c r="CN2630" s="56"/>
      <c r="CO2630" s="56"/>
      <c r="CP2630" s="56"/>
      <c r="CQ2630" s="56"/>
      <c r="CR2630" s="56"/>
      <c r="CS2630" s="56"/>
      <c r="CT2630" s="56"/>
      <c r="CU2630" s="56"/>
      <c r="CV2630" s="56"/>
      <c r="CW2630" s="56"/>
      <c r="CX2630" s="56"/>
      <c r="CY2630" s="56"/>
      <c r="CZ2630" s="56"/>
    </row>
    <row r="2631" spans="27:104" s="5" customFormat="1" x14ac:dyDescent="0.25">
      <c r="AA2631" s="56"/>
      <c r="AB2631" s="56"/>
      <c r="AC2631" s="56"/>
      <c r="AD2631" s="56"/>
      <c r="AE2631" s="56"/>
      <c r="AF2631" s="56"/>
      <c r="AG2631" s="56"/>
      <c r="AH2631" s="56"/>
      <c r="AI2631" s="56"/>
      <c r="AJ2631" s="56"/>
      <c r="AK2631" s="56"/>
      <c r="AL2631" s="56"/>
      <c r="AM2631" s="56"/>
      <c r="AN2631" s="56"/>
      <c r="AO2631" s="56"/>
      <c r="AP2631" s="56"/>
      <c r="AQ2631" s="56"/>
      <c r="AR2631" s="56"/>
      <c r="AS2631" s="56"/>
      <c r="AT2631" s="56"/>
      <c r="AU2631" s="56"/>
      <c r="AV2631" s="56"/>
      <c r="AW2631" s="56"/>
      <c r="AX2631" s="56"/>
      <c r="AY2631" s="56"/>
      <c r="AZ2631" s="56"/>
      <c r="BA2631" s="56"/>
      <c r="BB2631" s="16"/>
      <c r="BC2631" s="56"/>
      <c r="BD2631" s="56"/>
      <c r="BE2631" s="56"/>
      <c r="BF2631" s="56"/>
      <c r="BG2631" s="56"/>
      <c r="BH2631" s="56"/>
      <c r="BI2631" s="56"/>
      <c r="BJ2631" s="56"/>
      <c r="BK2631" s="56"/>
      <c r="BL2631" s="56"/>
      <c r="BM2631" s="56"/>
      <c r="BN2631" s="56"/>
      <c r="BO2631" s="56"/>
      <c r="BP2631" s="56"/>
      <c r="BQ2631" s="56"/>
      <c r="BR2631" s="56"/>
      <c r="BS2631" s="56"/>
      <c r="BT2631" s="56"/>
      <c r="BU2631" s="56"/>
      <c r="BV2631" s="56"/>
      <c r="BW2631" s="56"/>
      <c r="BX2631" s="56"/>
      <c r="BY2631" s="56"/>
      <c r="BZ2631" s="56"/>
      <c r="CA2631" s="56"/>
      <c r="CB2631" s="56"/>
      <c r="CC2631" s="56"/>
      <c r="CD2631" s="56"/>
      <c r="CE2631" s="56"/>
      <c r="CF2631" s="56"/>
      <c r="CG2631" s="56"/>
      <c r="CH2631" s="56"/>
      <c r="CI2631" s="56"/>
      <c r="CJ2631" s="56"/>
      <c r="CK2631" s="56"/>
      <c r="CL2631" s="56"/>
      <c r="CM2631" s="56"/>
      <c r="CN2631" s="56"/>
      <c r="CO2631" s="56"/>
      <c r="CP2631" s="56"/>
      <c r="CQ2631" s="56"/>
      <c r="CR2631" s="56"/>
      <c r="CS2631" s="56"/>
      <c r="CT2631" s="56"/>
      <c r="CU2631" s="56"/>
      <c r="CV2631" s="56"/>
      <c r="CW2631" s="56"/>
      <c r="CX2631" s="56"/>
      <c r="CY2631" s="56"/>
      <c r="CZ2631" s="56"/>
    </row>
    <row r="2632" spans="27:104" s="5" customFormat="1" x14ac:dyDescent="0.25">
      <c r="AA2632" s="56"/>
      <c r="AB2632" s="56"/>
      <c r="AC2632" s="56"/>
      <c r="AD2632" s="56"/>
      <c r="AE2632" s="56"/>
      <c r="AF2632" s="56"/>
      <c r="AG2632" s="56"/>
      <c r="AH2632" s="56"/>
      <c r="AI2632" s="56"/>
      <c r="AJ2632" s="56"/>
      <c r="AK2632" s="56"/>
      <c r="AL2632" s="56"/>
      <c r="AM2632" s="56"/>
      <c r="AN2632" s="56"/>
      <c r="AO2632" s="56"/>
      <c r="AP2632" s="56"/>
      <c r="AQ2632" s="56"/>
      <c r="AR2632" s="56"/>
      <c r="AS2632" s="56"/>
      <c r="AT2632" s="56"/>
      <c r="AU2632" s="56"/>
      <c r="AV2632" s="56"/>
      <c r="AW2632" s="56"/>
      <c r="AX2632" s="56"/>
      <c r="AY2632" s="56"/>
      <c r="AZ2632" s="56"/>
      <c r="BA2632" s="56"/>
      <c r="BB2632" s="16"/>
      <c r="BC2632" s="56"/>
      <c r="BD2632" s="56"/>
      <c r="BE2632" s="56"/>
      <c r="BF2632" s="56"/>
      <c r="BG2632" s="56"/>
      <c r="BH2632" s="56"/>
      <c r="BI2632" s="56"/>
      <c r="BJ2632" s="56"/>
      <c r="BK2632" s="56"/>
      <c r="BL2632" s="56"/>
      <c r="BM2632" s="56"/>
      <c r="BN2632" s="56"/>
      <c r="BO2632" s="56"/>
      <c r="BP2632" s="56"/>
      <c r="BQ2632" s="56"/>
      <c r="BR2632" s="56"/>
      <c r="BS2632" s="56"/>
      <c r="BT2632" s="56"/>
      <c r="BU2632" s="56"/>
      <c r="BV2632" s="56"/>
      <c r="BW2632" s="56"/>
      <c r="BX2632" s="56"/>
      <c r="BY2632" s="56"/>
      <c r="BZ2632" s="56"/>
      <c r="CA2632" s="56"/>
      <c r="CB2632" s="56"/>
      <c r="CC2632" s="56"/>
      <c r="CD2632" s="56"/>
      <c r="CE2632" s="56"/>
      <c r="CF2632" s="56"/>
      <c r="CG2632" s="56"/>
      <c r="CH2632" s="56"/>
      <c r="CI2632" s="56"/>
      <c r="CJ2632" s="56"/>
      <c r="CK2632" s="56"/>
      <c r="CL2632" s="56"/>
      <c r="CM2632" s="56"/>
      <c r="CN2632" s="56"/>
      <c r="CO2632" s="56"/>
      <c r="CP2632" s="56"/>
      <c r="CQ2632" s="56"/>
      <c r="CR2632" s="56"/>
      <c r="CS2632" s="56"/>
      <c r="CT2632" s="56"/>
      <c r="CU2632" s="56"/>
      <c r="CV2632" s="56"/>
      <c r="CW2632" s="56"/>
      <c r="CX2632" s="56"/>
      <c r="CY2632" s="56"/>
      <c r="CZ2632" s="56"/>
    </row>
    <row r="2633" spans="27:104" s="5" customFormat="1" x14ac:dyDescent="0.25">
      <c r="AA2633" s="56"/>
      <c r="AB2633" s="56"/>
      <c r="AC2633" s="56"/>
      <c r="AD2633" s="56"/>
      <c r="AE2633" s="56"/>
      <c r="AF2633" s="56"/>
      <c r="AG2633" s="56"/>
      <c r="AH2633" s="56"/>
      <c r="AI2633" s="56"/>
      <c r="AJ2633" s="56"/>
      <c r="AK2633" s="56"/>
      <c r="AL2633" s="56"/>
      <c r="AM2633" s="56"/>
      <c r="AN2633" s="56"/>
      <c r="AO2633" s="56"/>
      <c r="AP2633" s="56"/>
      <c r="AQ2633" s="56"/>
      <c r="AR2633" s="56"/>
      <c r="AS2633" s="56"/>
      <c r="AT2633" s="56"/>
      <c r="AU2633" s="56"/>
      <c r="AV2633" s="56"/>
      <c r="AW2633" s="56"/>
      <c r="AX2633" s="56"/>
      <c r="AY2633" s="56"/>
      <c r="AZ2633" s="56"/>
      <c r="BA2633" s="56"/>
      <c r="BB2633" s="16"/>
      <c r="BC2633" s="56"/>
      <c r="BD2633" s="56"/>
      <c r="BE2633" s="56"/>
      <c r="BF2633" s="56"/>
      <c r="BG2633" s="56"/>
      <c r="BH2633" s="56"/>
      <c r="BI2633" s="56"/>
      <c r="BJ2633" s="56"/>
      <c r="BK2633" s="56"/>
      <c r="BL2633" s="56"/>
      <c r="BM2633" s="56"/>
      <c r="BN2633" s="56"/>
      <c r="BO2633" s="56"/>
      <c r="BP2633" s="56"/>
      <c r="BQ2633" s="56"/>
      <c r="BR2633" s="56"/>
      <c r="BS2633" s="56"/>
      <c r="BT2633" s="56"/>
      <c r="BU2633" s="56"/>
      <c r="BV2633" s="56"/>
      <c r="BW2633" s="56"/>
      <c r="BX2633" s="56"/>
      <c r="BY2633" s="56"/>
      <c r="BZ2633" s="56"/>
      <c r="CA2633" s="56"/>
      <c r="CB2633" s="56"/>
      <c r="CC2633" s="56"/>
      <c r="CD2633" s="56"/>
      <c r="CE2633" s="56"/>
      <c r="CF2633" s="56"/>
      <c r="CG2633" s="56"/>
      <c r="CH2633" s="56"/>
      <c r="CI2633" s="56"/>
      <c r="CJ2633" s="56"/>
      <c r="CK2633" s="56"/>
      <c r="CL2633" s="56"/>
      <c r="CM2633" s="56"/>
      <c r="CN2633" s="56"/>
      <c r="CO2633" s="56"/>
      <c r="CP2633" s="56"/>
      <c r="CQ2633" s="56"/>
      <c r="CR2633" s="56"/>
      <c r="CS2633" s="56"/>
      <c r="CT2633" s="56"/>
      <c r="CU2633" s="56"/>
      <c r="CV2633" s="56"/>
      <c r="CW2633" s="56"/>
      <c r="CX2633" s="56"/>
      <c r="CY2633" s="56"/>
      <c r="CZ2633" s="56"/>
    </row>
    <row r="2634" spans="27:104" s="5" customFormat="1" x14ac:dyDescent="0.25">
      <c r="AA2634" s="56"/>
      <c r="AB2634" s="56"/>
      <c r="AC2634" s="56"/>
      <c r="AD2634" s="56"/>
      <c r="AE2634" s="56"/>
      <c r="AF2634" s="56"/>
      <c r="AG2634" s="56"/>
      <c r="AH2634" s="56"/>
      <c r="AI2634" s="56"/>
      <c r="AJ2634" s="56"/>
      <c r="AK2634" s="56"/>
      <c r="AL2634" s="56"/>
      <c r="AM2634" s="56"/>
      <c r="AN2634" s="56"/>
      <c r="AO2634" s="56"/>
      <c r="AP2634" s="56"/>
      <c r="AQ2634" s="56"/>
      <c r="AR2634" s="56"/>
      <c r="AS2634" s="56"/>
      <c r="AT2634" s="56"/>
      <c r="AU2634" s="56"/>
      <c r="AV2634" s="56"/>
      <c r="AW2634" s="56"/>
      <c r="AX2634" s="56"/>
      <c r="AY2634" s="56"/>
      <c r="AZ2634" s="56"/>
      <c r="BA2634" s="56"/>
      <c r="BB2634" s="16"/>
      <c r="BC2634" s="56"/>
      <c r="BD2634" s="56"/>
      <c r="BE2634" s="56"/>
      <c r="BF2634" s="56"/>
      <c r="BG2634" s="56"/>
      <c r="BH2634" s="56"/>
      <c r="BI2634" s="56"/>
      <c r="BJ2634" s="56"/>
      <c r="BK2634" s="56"/>
      <c r="BL2634" s="56"/>
      <c r="BM2634" s="56"/>
      <c r="BN2634" s="56"/>
      <c r="BO2634" s="56"/>
      <c r="BP2634" s="56"/>
      <c r="BQ2634" s="56"/>
      <c r="BR2634" s="56"/>
      <c r="BS2634" s="56"/>
      <c r="BT2634" s="56"/>
      <c r="BU2634" s="56"/>
      <c r="BV2634" s="56"/>
      <c r="BW2634" s="56"/>
      <c r="BX2634" s="56"/>
      <c r="BY2634" s="56"/>
      <c r="BZ2634" s="56"/>
      <c r="CA2634" s="56"/>
      <c r="CB2634" s="56"/>
      <c r="CC2634" s="56"/>
      <c r="CD2634" s="56"/>
      <c r="CE2634" s="56"/>
      <c r="CF2634" s="56"/>
      <c r="CG2634" s="56"/>
      <c r="CH2634" s="56"/>
      <c r="CI2634" s="56"/>
      <c r="CJ2634" s="56"/>
      <c r="CK2634" s="56"/>
      <c r="CL2634" s="56"/>
      <c r="CM2634" s="56"/>
      <c r="CN2634" s="56"/>
      <c r="CO2634" s="56"/>
      <c r="CP2634" s="56"/>
      <c r="CQ2634" s="56"/>
      <c r="CR2634" s="56"/>
      <c r="CS2634" s="56"/>
      <c r="CT2634" s="56"/>
      <c r="CU2634" s="56"/>
      <c r="CV2634" s="56"/>
      <c r="CW2634" s="56"/>
      <c r="CX2634" s="56"/>
      <c r="CY2634" s="56"/>
      <c r="CZ2634" s="56"/>
    </row>
    <row r="2635" spans="27:104" s="5" customFormat="1" x14ac:dyDescent="0.25">
      <c r="AA2635" s="56"/>
      <c r="AB2635" s="56"/>
      <c r="AC2635" s="56"/>
      <c r="AD2635" s="56"/>
      <c r="AE2635" s="56"/>
      <c r="AF2635" s="56"/>
      <c r="AG2635" s="56"/>
      <c r="AH2635" s="56"/>
      <c r="AI2635" s="56"/>
      <c r="AJ2635" s="56"/>
      <c r="AK2635" s="56"/>
      <c r="AL2635" s="56"/>
      <c r="AM2635" s="56"/>
      <c r="AN2635" s="56"/>
      <c r="AO2635" s="56"/>
      <c r="AP2635" s="56"/>
      <c r="AQ2635" s="56"/>
      <c r="AR2635" s="56"/>
      <c r="AS2635" s="56"/>
      <c r="AT2635" s="56"/>
      <c r="AU2635" s="56"/>
      <c r="AV2635" s="56"/>
      <c r="AW2635" s="56"/>
      <c r="AX2635" s="56"/>
      <c r="AY2635" s="56"/>
      <c r="AZ2635" s="56"/>
      <c r="BA2635" s="56"/>
      <c r="BB2635" s="16"/>
      <c r="BC2635" s="56"/>
      <c r="BD2635" s="56"/>
      <c r="BE2635" s="56"/>
      <c r="BF2635" s="56"/>
      <c r="BG2635" s="56"/>
      <c r="BH2635" s="56"/>
      <c r="BI2635" s="56"/>
      <c r="BJ2635" s="56"/>
      <c r="BK2635" s="56"/>
      <c r="BL2635" s="56"/>
      <c r="BM2635" s="56"/>
      <c r="BN2635" s="56"/>
      <c r="BO2635" s="56"/>
      <c r="BP2635" s="56"/>
      <c r="BQ2635" s="56"/>
      <c r="BR2635" s="56"/>
      <c r="BS2635" s="56"/>
      <c r="BT2635" s="56"/>
      <c r="BU2635" s="56"/>
      <c r="BV2635" s="56"/>
      <c r="BW2635" s="56"/>
      <c r="BX2635" s="56"/>
      <c r="BY2635" s="56"/>
      <c r="BZ2635" s="56"/>
      <c r="CA2635" s="56"/>
      <c r="CB2635" s="56"/>
      <c r="CC2635" s="56"/>
      <c r="CD2635" s="56"/>
      <c r="CE2635" s="56"/>
      <c r="CF2635" s="56"/>
      <c r="CG2635" s="56"/>
      <c r="CH2635" s="56"/>
      <c r="CI2635" s="56"/>
      <c r="CJ2635" s="56"/>
      <c r="CK2635" s="56"/>
      <c r="CL2635" s="56"/>
      <c r="CM2635" s="56"/>
      <c r="CN2635" s="56"/>
      <c r="CO2635" s="56"/>
      <c r="CP2635" s="56"/>
      <c r="CQ2635" s="56"/>
      <c r="CR2635" s="56"/>
      <c r="CS2635" s="56"/>
      <c r="CT2635" s="56"/>
      <c r="CU2635" s="56"/>
      <c r="CV2635" s="56"/>
      <c r="CW2635" s="56"/>
      <c r="CX2635" s="56"/>
      <c r="CY2635" s="56"/>
      <c r="CZ2635" s="56"/>
    </row>
    <row r="2636" spans="27:104" s="5" customFormat="1" x14ac:dyDescent="0.25">
      <c r="AA2636" s="56"/>
      <c r="AB2636" s="56"/>
      <c r="AC2636" s="56"/>
      <c r="AD2636" s="56"/>
      <c r="AE2636" s="56"/>
      <c r="AF2636" s="56"/>
      <c r="AG2636" s="56"/>
      <c r="AH2636" s="56"/>
      <c r="AI2636" s="56"/>
      <c r="AJ2636" s="56"/>
      <c r="AK2636" s="56"/>
      <c r="AL2636" s="56"/>
      <c r="AM2636" s="56"/>
      <c r="AN2636" s="56"/>
      <c r="AO2636" s="56"/>
      <c r="AP2636" s="56"/>
      <c r="AQ2636" s="56"/>
      <c r="AR2636" s="56"/>
      <c r="AS2636" s="56"/>
      <c r="AT2636" s="56"/>
      <c r="AU2636" s="56"/>
      <c r="AV2636" s="56"/>
      <c r="AW2636" s="56"/>
      <c r="AX2636" s="56"/>
      <c r="AY2636" s="56"/>
      <c r="AZ2636" s="56"/>
      <c r="BA2636" s="56"/>
      <c r="BB2636" s="16"/>
      <c r="BC2636" s="56"/>
      <c r="BD2636" s="56"/>
      <c r="BE2636" s="56"/>
      <c r="BF2636" s="56"/>
      <c r="BG2636" s="56"/>
      <c r="BH2636" s="56"/>
      <c r="BI2636" s="56"/>
      <c r="BJ2636" s="56"/>
      <c r="BK2636" s="56"/>
      <c r="BL2636" s="56"/>
      <c r="BM2636" s="56"/>
      <c r="BN2636" s="56"/>
      <c r="BO2636" s="56"/>
      <c r="BP2636" s="56"/>
      <c r="BQ2636" s="56"/>
      <c r="BR2636" s="56"/>
      <c r="BS2636" s="56"/>
      <c r="BT2636" s="56"/>
      <c r="BU2636" s="56"/>
      <c r="BV2636" s="56"/>
      <c r="BW2636" s="56"/>
      <c r="BX2636" s="56"/>
      <c r="BY2636" s="56"/>
      <c r="BZ2636" s="56"/>
      <c r="CA2636" s="56"/>
      <c r="CB2636" s="56"/>
      <c r="CC2636" s="56"/>
      <c r="CD2636" s="56"/>
      <c r="CE2636" s="56"/>
      <c r="CF2636" s="56"/>
      <c r="CG2636" s="56"/>
      <c r="CH2636" s="56"/>
      <c r="CI2636" s="56"/>
      <c r="CJ2636" s="56"/>
      <c r="CK2636" s="56"/>
      <c r="CL2636" s="56"/>
      <c r="CM2636" s="56"/>
      <c r="CN2636" s="56"/>
      <c r="CO2636" s="56"/>
      <c r="CP2636" s="56"/>
      <c r="CQ2636" s="56"/>
      <c r="CR2636" s="56"/>
      <c r="CS2636" s="56"/>
      <c r="CT2636" s="56"/>
      <c r="CU2636" s="56"/>
      <c r="CV2636" s="56"/>
      <c r="CW2636" s="56"/>
      <c r="CX2636" s="56"/>
      <c r="CY2636" s="56"/>
      <c r="CZ2636" s="56"/>
    </row>
    <row r="2637" spans="27:104" s="5" customFormat="1" x14ac:dyDescent="0.25">
      <c r="AA2637" s="56"/>
      <c r="AB2637" s="56"/>
      <c r="AC2637" s="56"/>
      <c r="AD2637" s="56"/>
      <c r="AE2637" s="56"/>
      <c r="AF2637" s="56"/>
      <c r="AG2637" s="56"/>
      <c r="AH2637" s="56"/>
      <c r="AI2637" s="56"/>
      <c r="AJ2637" s="56"/>
      <c r="AK2637" s="56"/>
      <c r="AL2637" s="56"/>
      <c r="AM2637" s="56"/>
      <c r="AN2637" s="56"/>
      <c r="AO2637" s="56"/>
      <c r="AP2637" s="56"/>
      <c r="AQ2637" s="56"/>
      <c r="AR2637" s="56"/>
      <c r="AS2637" s="56"/>
      <c r="AT2637" s="56"/>
      <c r="AU2637" s="56"/>
      <c r="AV2637" s="56"/>
      <c r="AW2637" s="56"/>
      <c r="AX2637" s="56"/>
      <c r="AY2637" s="56"/>
      <c r="AZ2637" s="56"/>
      <c r="BA2637" s="56"/>
      <c r="BB2637" s="16"/>
      <c r="BC2637" s="56"/>
      <c r="BD2637" s="56"/>
      <c r="BE2637" s="56"/>
      <c r="BF2637" s="56"/>
      <c r="BG2637" s="56"/>
      <c r="BH2637" s="56"/>
      <c r="BI2637" s="56"/>
      <c r="BJ2637" s="56"/>
      <c r="BK2637" s="56"/>
      <c r="BL2637" s="56"/>
      <c r="BM2637" s="56"/>
      <c r="BN2637" s="56"/>
      <c r="BO2637" s="56"/>
      <c r="BP2637" s="56"/>
      <c r="BQ2637" s="56"/>
      <c r="BR2637" s="56"/>
      <c r="BS2637" s="56"/>
      <c r="BT2637" s="56"/>
      <c r="BU2637" s="56"/>
      <c r="BV2637" s="56"/>
      <c r="BW2637" s="56"/>
      <c r="BX2637" s="56"/>
      <c r="BY2637" s="56"/>
      <c r="BZ2637" s="56"/>
      <c r="CA2637" s="56"/>
      <c r="CB2637" s="56"/>
      <c r="CC2637" s="56"/>
      <c r="CD2637" s="56"/>
      <c r="CE2637" s="56"/>
      <c r="CF2637" s="56"/>
      <c r="CG2637" s="56"/>
      <c r="CH2637" s="56"/>
      <c r="CI2637" s="56"/>
      <c r="CJ2637" s="56"/>
      <c r="CK2637" s="56"/>
      <c r="CL2637" s="56"/>
      <c r="CM2637" s="56"/>
      <c r="CN2637" s="56"/>
      <c r="CO2637" s="56"/>
      <c r="CP2637" s="56"/>
      <c r="CQ2637" s="56"/>
      <c r="CR2637" s="56"/>
      <c r="CS2637" s="56"/>
      <c r="CT2637" s="56"/>
      <c r="CU2637" s="56"/>
      <c r="CV2637" s="56"/>
      <c r="CW2637" s="56"/>
      <c r="CX2637" s="56"/>
      <c r="CY2637" s="56"/>
      <c r="CZ2637" s="56"/>
    </row>
    <row r="2638" spans="27:104" s="5" customFormat="1" x14ac:dyDescent="0.25">
      <c r="AA2638" s="56"/>
      <c r="AB2638" s="56"/>
      <c r="AC2638" s="56"/>
      <c r="AD2638" s="56"/>
      <c r="AE2638" s="56"/>
      <c r="AF2638" s="56"/>
      <c r="AG2638" s="56"/>
      <c r="AH2638" s="56"/>
      <c r="AI2638" s="56"/>
      <c r="AJ2638" s="56"/>
      <c r="AK2638" s="56"/>
      <c r="AL2638" s="56"/>
      <c r="AM2638" s="56"/>
      <c r="AN2638" s="56"/>
      <c r="AO2638" s="56"/>
      <c r="AP2638" s="56"/>
      <c r="AQ2638" s="56"/>
      <c r="AR2638" s="56"/>
      <c r="AS2638" s="56"/>
      <c r="AT2638" s="56"/>
      <c r="AU2638" s="56"/>
      <c r="AV2638" s="56"/>
      <c r="AW2638" s="56"/>
      <c r="AX2638" s="56"/>
      <c r="AY2638" s="56"/>
      <c r="AZ2638" s="56"/>
      <c r="BA2638" s="56"/>
      <c r="BB2638" s="16"/>
      <c r="BC2638" s="56"/>
      <c r="BD2638" s="56"/>
      <c r="BE2638" s="56"/>
      <c r="BF2638" s="56"/>
      <c r="BG2638" s="56"/>
      <c r="BH2638" s="56"/>
      <c r="BI2638" s="56"/>
      <c r="BJ2638" s="56"/>
      <c r="BK2638" s="56"/>
      <c r="BL2638" s="56"/>
      <c r="BM2638" s="56"/>
      <c r="BN2638" s="56"/>
      <c r="BO2638" s="56"/>
      <c r="BP2638" s="56"/>
      <c r="BQ2638" s="56"/>
      <c r="BR2638" s="56"/>
      <c r="BS2638" s="56"/>
      <c r="BT2638" s="56"/>
      <c r="BU2638" s="56"/>
      <c r="BV2638" s="56"/>
      <c r="BW2638" s="56"/>
      <c r="BX2638" s="56"/>
      <c r="BY2638" s="56"/>
      <c r="BZ2638" s="56"/>
      <c r="CA2638" s="56"/>
      <c r="CB2638" s="56"/>
      <c r="CC2638" s="56"/>
      <c r="CD2638" s="56"/>
      <c r="CE2638" s="56"/>
      <c r="CF2638" s="56"/>
      <c r="CG2638" s="56"/>
      <c r="CH2638" s="56"/>
      <c r="CI2638" s="56"/>
      <c r="CJ2638" s="56"/>
      <c r="CK2638" s="56"/>
      <c r="CL2638" s="56"/>
      <c r="CM2638" s="56"/>
      <c r="CN2638" s="56"/>
      <c r="CO2638" s="56"/>
      <c r="CP2638" s="56"/>
      <c r="CQ2638" s="56"/>
      <c r="CR2638" s="56"/>
      <c r="CS2638" s="56"/>
      <c r="CT2638" s="56"/>
      <c r="CU2638" s="56"/>
      <c r="CV2638" s="56"/>
      <c r="CW2638" s="56"/>
      <c r="CX2638" s="56"/>
      <c r="CY2638" s="56"/>
      <c r="CZ2638" s="56"/>
    </row>
    <row r="2639" spans="27:104" s="5" customFormat="1" x14ac:dyDescent="0.25">
      <c r="AA2639" s="56"/>
      <c r="AB2639" s="56"/>
      <c r="AC2639" s="56"/>
      <c r="AD2639" s="56"/>
      <c r="AE2639" s="56"/>
      <c r="AF2639" s="56"/>
      <c r="AG2639" s="56"/>
      <c r="AH2639" s="56"/>
      <c r="AI2639" s="56"/>
      <c r="AJ2639" s="56"/>
      <c r="AK2639" s="56"/>
      <c r="AL2639" s="56"/>
      <c r="AM2639" s="56"/>
      <c r="AN2639" s="56"/>
      <c r="AO2639" s="56"/>
      <c r="AP2639" s="56"/>
      <c r="AQ2639" s="56"/>
      <c r="AR2639" s="56"/>
      <c r="AS2639" s="56"/>
      <c r="AT2639" s="56"/>
      <c r="AU2639" s="56"/>
      <c r="AV2639" s="56"/>
      <c r="AW2639" s="56"/>
      <c r="AX2639" s="56"/>
      <c r="AY2639" s="56"/>
      <c r="AZ2639" s="56"/>
      <c r="BA2639" s="56"/>
      <c r="BB2639" s="16"/>
      <c r="BC2639" s="56"/>
      <c r="BD2639" s="56"/>
      <c r="BE2639" s="56"/>
      <c r="BF2639" s="56"/>
      <c r="BG2639" s="56"/>
      <c r="BH2639" s="56"/>
      <c r="BI2639" s="56"/>
      <c r="BJ2639" s="56"/>
      <c r="BK2639" s="56"/>
      <c r="BL2639" s="56"/>
      <c r="BM2639" s="56"/>
      <c r="BN2639" s="56"/>
      <c r="BO2639" s="56"/>
      <c r="BP2639" s="56"/>
      <c r="BQ2639" s="56"/>
      <c r="BR2639" s="56"/>
      <c r="BS2639" s="56"/>
      <c r="BT2639" s="56"/>
      <c r="BU2639" s="56"/>
      <c r="BV2639" s="56"/>
      <c r="BW2639" s="56"/>
      <c r="BX2639" s="56"/>
      <c r="BY2639" s="56"/>
      <c r="BZ2639" s="56"/>
      <c r="CA2639" s="56"/>
      <c r="CB2639" s="56"/>
      <c r="CC2639" s="56"/>
      <c r="CD2639" s="56"/>
      <c r="CE2639" s="56"/>
      <c r="CF2639" s="56"/>
      <c r="CG2639" s="56"/>
      <c r="CH2639" s="56"/>
      <c r="CI2639" s="56"/>
      <c r="CJ2639" s="56"/>
      <c r="CK2639" s="56"/>
      <c r="CL2639" s="56"/>
      <c r="CM2639" s="56"/>
      <c r="CN2639" s="56"/>
      <c r="CO2639" s="56"/>
      <c r="CP2639" s="56"/>
      <c r="CQ2639" s="56"/>
      <c r="CR2639" s="56"/>
      <c r="CS2639" s="56"/>
      <c r="CT2639" s="56"/>
      <c r="CU2639" s="56"/>
      <c r="CV2639" s="56"/>
      <c r="CW2639" s="56"/>
      <c r="CX2639" s="56"/>
      <c r="CY2639" s="56"/>
      <c r="CZ2639" s="56"/>
    </row>
    <row r="2640" spans="27:104" s="5" customFormat="1" x14ac:dyDescent="0.25">
      <c r="AA2640" s="56"/>
      <c r="AB2640" s="56"/>
      <c r="AC2640" s="56"/>
      <c r="AD2640" s="56"/>
      <c r="AE2640" s="56"/>
      <c r="AF2640" s="56"/>
      <c r="AG2640" s="56"/>
      <c r="AH2640" s="56"/>
      <c r="AI2640" s="56"/>
      <c r="AJ2640" s="56"/>
      <c r="AK2640" s="56"/>
      <c r="AL2640" s="56"/>
      <c r="AM2640" s="56"/>
      <c r="AN2640" s="56"/>
      <c r="AO2640" s="56"/>
      <c r="AP2640" s="56"/>
      <c r="AQ2640" s="56"/>
      <c r="AR2640" s="56"/>
      <c r="AS2640" s="56"/>
      <c r="AT2640" s="56"/>
      <c r="AU2640" s="56"/>
      <c r="AV2640" s="56"/>
      <c r="AW2640" s="56"/>
      <c r="AX2640" s="56"/>
      <c r="AY2640" s="56"/>
      <c r="AZ2640" s="56"/>
      <c r="BA2640" s="56"/>
      <c r="BB2640" s="16"/>
      <c r="BC2640" s="56"/>
      <c r="BD2640" s="56"/>
      <c r="BE2640" s="56"/>
      <c r="BF2640" s="56"/>
      <c r="BG2640" s="56"/>
      <c r="BH2640" s="56"/>
      <c r="BI2640" s="56"/>
      <c r="BJ2640" s="56"/>
      <c r="BK2640" s="56"/>
      <c r="BL2640" s="56"/>
      <c r="BM2640" s="56"/>
      <c r="BN2640" s="56"/>
      <c r="BO2640" s="56"/>
      <c r="BP2640" s="56"/>
      <c r="BQ2640" s="56"/>
      <c r="BR2640" s="56"/>
      <c r="BS2640" s="56"/>
      <c r="BT2640" s="56"/>
      <c r="BU2640" s="56"/>
      <c r="BV2640" s="56"/>
      <c r="BW2640" s="56"/>
      <c r="BX2640" s="56"/>
      <c r="BY2640" s="56"/>
      <c r="BZ2640" s="56"/>
      <c r="CA2640" s="56"/>
      <c r="CB2640" s="56"/>
      <c r="CC2640" s="56"/>
      <c r="CD2640" s="56"/>
      <c r="CE2640" s="56"/>
      <c r="CF2640" s="56"/>
      <c r="CG2640" s="56"/>
      <c r="CH2640" s="56"/>
      <c r="CI2640" s="56"/>
      <c r="CJ2640" s="56"/>
      <c r="CK2640" s="56"/>
      <c r="CL2640" s="56"/>
      <c r="CM2640" s="56"/>
      <c r="CN2640" s="56"/>
      <c r="CO2640" s="56"/>
      <c r="CP2640" s="56"/>
      <c r="CQ2640" s="56"/>
      <c r="CR2640" s="56"/>
      <c r="CS2640" s="56"/>
      <c r="CT2640" s="56"/>
      <c r="CU2640" s="56"/>
      <c r="CV2640" s="56"/>
      <c r="CW2640" s="56"/>
      <c r="CX2640" s="56"/>
      <c r="CY2640" s="56"/>
      <c r="CZ2640" s="56"/>
    </row>
    <row r="2641" spans="27:104" s="5" customFormat="1" x14ac:dyDescent="0.25">
      <c r="AA2641" s="56"/>
      <c r="AB2641" s="56"/>
      <c r="AC2641" s="56"/>
      <c r="AD2641" s="56"/>
      <c r="AE2641" s="56"/>
      <c r="AF2641" s="56"/>
      <c r="AG2641" s="56"/>
      <c r="AH2641" s="56"/>
      <c r="AI2641" s="56"/>
      <c r="AJ2641" s="56"/>
      <c r="AK2641" s="56"/>
      <c r="AL2641" s="56"/>
      <c r="AM2641" s="56"/>
      <c r="AN2641" s="56"/>
      <c r="AO2641" s="56"/>
      <c r="AP2641" s="56"/>
      <c r="AQ2641" s="56"/>
      <c r="AR2641" s="56"/>
      <c r="AS2641" s="56"/>
      <c r="AT2641" s="56"/>
      <c r="AU2641" s="56"/>
      <c r="AV2641" s="56"/>
      <c r="AW2641" s="56"/>
      <c r="AX2641" s="56"/>
      <c r="AY2641" s="56"/>
      <c r="AZ2641" s="56"/>
      <c r="BA2641" s="56"/>
      <c r="BB2641" s="16"/>
      <c r="BC2641" s="56"/>
      <c r="BD2641" s="56"/>
      <c r="BE2641" s="56"/>
      <c r="BF2641" s="56"/>
      <c r="BG2641" s="56"/>
      <c r="BH2641" s="56"/>
      <c r="BI2641" s="56"/>
      <c r="BJ2641" s="56"/>
      <c r="BK2641" s="56"/>
      <c r="BL2641" s="56"/>
      <c r="BM2641" s="56"/>
      <c r="BN2641" s="56"/>
      <c r="BO2641" s="56"/>
      <c r="BP2641" s="56"/>
      <c r="BQ2641" s="56"/>
      <c r="BR2641" s="56"/>
      <c r="BS2641" s="56"/>
      <c r="BT2641" s="56"/>
      <c r="BU2641" s="56"/>
      <c r="BV2641" s="56"/>
      <c r="BW2641" s="56"/>
      <c r="BX2641" s="56"/>
      <c r="BY2641" s="56"/>
      <c r="BZ2641" s="56"/>
      <c r="CA2641" s="56"/>
      <c r="CB2641" s="56"/>
      <c r="CC2641" s="56"/>
      <c r="CD2641" s="56"/>
      <c r="CE2641" s="56"/>
      <c r="CF2641" s="56"/>
      <c r="CG2641" s="56"/>
      <c r="CH2641" s="56"/>
      <c r="CI2641" s="56"/>
      <c r="CJ2641" s="56"/>
      <c r="CK2641" s="56"/>
      <c r="CL2641" s="56"/>
      <c r="CM2641" s="56"/>
      <c r="CN2641" s="56"/>
      <c r="CO2641" s="56"/>
      <c r="CP2641" s="56"/>
      <c r="CQ2641" s="56"/>
      <c r="CR2641" s="56"/>
      <c r="CS2641" s="56"/>
      <c r="CT2641" s="56"/>
      <c r="CU2641" s="56"/>
      <c r="CV2641" s="56"/>
      <c r="CW2641" s="56"/>
      <c r="CX2641" s="56"/>
      <c r="CY2641" s="56"/>
      <c r="CZ2641" s="56"/>
    </row>
    <row r="2642" spans="27:104" s="5" customFormat="1" x14ac:dyDescent="0.25">
      <c r="AA2642" s="56"/>
      <c r="AB2642" s="56"/>
      <c r="AC2642" s="56"/>
      <c r="AD2642" s="56"/>
      <c r="AE2642" s="56"/>
      <c r="AF2642" s="56"/>
      <c r="AG2642" s="56"/>
      <c r="AH2642" s="56"/>
      <c r="AI2642" s="56"/>
      <c r="AJ2642" s="56"/>
      <c r="AK2642" s="56"/>
      <c r="AL2642" s="56"/>
      <c r="AM2642" s="56"/>
      <c r="AN2642" s="56"/>
      <c r="AO2642" s="56"/>
      <c r="AP2642" s="56"/>
      <c r="AQ2642" s="56"/>
      <c r="AR2642" s="56"/>
      <c r="AS2642" s="56"/>
      <c r="AT2642" s="56"/>
      <c r="AU2642" s="56"/>
      <c r="AV2642" s="56"/>
      <c r="AW2642" s="56"/>
      <c r="AX2642" s="56"/>
      <c r="AY2642" s="56"/>
      <c r="AZ2642" s="56"/>
      <c r="BA2642" s="56"/>
      <c r="BB2642" s="16"/>
      <c r="BC2642" s="56"/>
      <c r="BD2642" s="56"/>
      <c r="BE2642" s="56"/>
      <c r="BF2642" s="56"/>
      <c r="BG2642" s="56"/>
      <c r="BH2642" s="56"/>
      <c r="BI2642" s="56"/>
      <c r="BJ2642" s="56"/>
      <c r="BK2642" s="56"/>
      <c r="BL2642" s="56"/>
      <c r="BM2642" s="56"/>
      <c r="BN2642" s="56"/>
      <c r="BO2642" s="56"/>
      <c r="BP2642" s="56"/>
      <c r="BQ2642" s="56"/>
      <c r="BR2642" s="56"/>
      <c r="BS2642" s="56"/>
      <c r="BT2642" s="56"/>
      <c r="BU2642" s="56"/>
      <c r="BV2642" s="56"/>
      <c r="BW2642" s="56"/>
      <c r="BX2642" s="56"/>
      <c r="BY2642" s="56"/>
      <c r="BZ2642" s="56"/>
      <c r="CA2642" s="56"/>
      <c r="CB2642" s="56"/>
      <c r="CC2642" s="56"/>
      <c r="CD2642" s="56"/>
      <c r="CE2642" s="56"/>
      <c r="CF2642" s="56"/>
      <c r="CG2642" s="56"/>
      <c r="CH2642" s="56"/>
      <c r="CI2642" s="56"/>
      <c r="CJ2642" s="56"/>
      <c r="CK2642" s="56"/>
      <c r="CL2642" s="56"/>
      <c r="CM2642" s="56"/>
      <c r="CN2642" s="56"/>
      <c r="CO2642" s="56"/>
      <c r="CP2642" s="56"/>
      <c r="CQ2642" s="56"/>
      <c r="CR2642" s="56"/>
      <c r="CS2642" s="56"/>
      <c r="CT2642" s="56"/>
      <c r="CU2642" s="56"/>
      <c r="CV2642" s="56"/>
      <c r="CW2642" s="56"/>
      <c r="CX2642" s="56"/>
      <c r="CY2642" s="56"/>
      <c r="CZ2642" s="56"/>
    </row>
    <row r="2643" spans="27:104" s="5" customFormat="1" x14ac:dyDescent="0.25">
      <c r="AA2643" s="56"/>
      <c r="AB2643" s="56"/>
      <c r="AC2643" s="56"/>
      <c r="AD2643" s="56"/>
      <c r="AE2643" s="56"/>
      <c r="AF2643" s="56"/>
      <c r="AG2643" s="56"/>
      <c r="AH2643" s="56"/>
      <c r="AI2643" s="56"/>
      <c r="AJ2643" s="56"/>
      <c r="AK2643" s="56"/>
      <c r="AL2643" s="56"/>
      <c r="AM2643" s="56"/>
      <c r="AN2643" s="56"/>
      <c r="AO2643" s="56"/>
      <c r="AP2643" s="56"/>
      <c r="AQ2643" s="56"/>
      <c r="AR2643" s="56"/>
      <c r="AS2643" s="56"/>
      <c r="AT2643" s="56"/>
      <c r="AU2643" s="56"/>
      <c r="AV2643" s="56"/>
      <c r="AW2643" s="56"/>
      <c r="AX2643" s="56"/>
      <c r="AY2643" s="56"/>
      <c r="AZ2643" s="56"/>
      <c r="BA2643" s="56"/>
      <c r="BB2643" s="16"/>
      <c r="BC2643" s="56"/>
      <c r="BD2643" s="56"/>
      <c r="BE2643" s="56"/>
      <c r="BF2643" s="56"/>
      <c r="BG2643" s="56"/>
      <c r="BH2643" s="56"/>
      <c r="BI2643" s="56"/>
      <c r="BJ2643" s="56"/>
      <c r="BK2643" s="56"/>
      <c r="BL2643" s="56"/>
      <c r="BM2643" s="56"/>
      <c r="BN2643" s="56"/>
      <c r="BO2643" s="56"/>
      <c r="BP2643" s="56"/>
      <c r="BQ2643" s="56"/>
      <c r="BR2643" s="56"/>
      <c r="BS2643" s="56"/>
      <c r="BT2643" s="56"/>
      <c r="BU2643" s="56"/>
      <c r="BV2643" s="56"/>
      <c r="BW2643" s="56"/>
      <c r="BX2643" s="56"/>
      <c r="BY2643" s="56"/>
      <c r="BZ2643" s="56"/>
      <c r="CA2643" s="56"/>
      <c r="CB2643" s="56"/>
      <c r="CC2643" s="56"/>
      <c r="CD2643" s="56"/>
      <c r="CE2643" s="56"/>
      <c r="CF2643" s="56"/>
      <c r="CG2643" s="56"/>
      <c r="CH2643" s="56"/>
      <c r="CI2643" s="56"/>
      <c r="CJ2643" s="56"/>
      <c r="CK2643" s="56"/>
      <c r="CL2643" s="56"/>
      <c r="CM2643" s="56"/>
      <c r="CN2643" s="56"/>
      <c r="CO2643" s="56"/>
      <c r="CP2643" s="56"/>
      <c r="CQ2643" s="56"/>
      <c r="CR2643" s="56"/>
      <c r="CS2643" s="56"/>
      <c r="CT2643" s="56"/>
      <c r="CU2643" s="56"/>
      <c r="CV2643" s="56"/>
      <c r="CW2643" s="56"/>
      <c r="CX2643" s="56"/>
      <c r="CY2643" s="56"/>
      <c r="CZ2643" s="56"/>
    </row>
    <row r="2644" spans="27:104" s="5" customFormat="1" x14ac:dyDescent="0.25">
      <c r="AA2644" s="56"/>
      <c r="AB2644" s="56"/>
      <c r="AC2644" s="56"/>
      <c r="AD2644" s="56"/>
      <c r="AE2644" s="56"/>
      <c r="AF2644" s="56"/>
      <c r="AG2644" s="56"/>
      <c r="AH2644" s="56"/>
      <c r="AI2644" s="56"/>
      <c r="AJ2644" s="56"/>
      <c r="AK2644" s="56"/>
      <c r="AL2644" s="56"/>
      <c r="AM2644" s="56"/>
      <c r="AN2644" s="56"/>
      <c r="AO2644" s="56"/>
      <c r="AP2644" s="56"/>
      <c r="AQ2644" s="56"/>
      <c r="AR2644" s="56"/>
      <c r="AS2644" s="56"/>
      <c r="AT2644" s="56"/>
      <c r="AU2644" s="56"/>
      <c r="AV2644" s="56"/>
      <c r="AW2644" s="56"/>
      <c r="AX2644" s="56"/>
      <c r="AY2644" s="56"/>
      <c r="AZ2644" s="56"/>
      <c r="BA2644" s="56"/>
      <c r="BB2644" s="16"/>
      <c r="BC2644" s="56"/>
      <c r="BD2644" s="56"/>
      <c r="BE2644" s="56"/>
      <c r="BF2644" s="56"/>
      <c r="BG2644" s="56"/>
      <c r="BH2644" s="56"/>
      <c r="BI2644" s="56"/>
      <c r="BJ2644" s="56"/>
      <c r="BK2644" s="56"/>
      <c r="BL2644" s="56"/>
      <c r="BM2644" s="56"/>
      <c r="BN2644" s="56"/>
      <c r="BO2644" s="56"/>
      <c r="BP2644" s="56"/>
      <c r="BQ2644" s="56"/>
      <c r="BR2644" s="56"/>
      <c r="BS2644" s="56"/>
      <c r="BT2644" s="56"/>
      <c r="BU2644" s="56"/>
      <c r="BV2644" s="56"/>
      <c r="BW2644" s="56"/>
      <c r="BX2644" s="56"/>
      <c r="BY2644" s="56"/>
      <c r="BZ2644" s="56"/>
      <c r="CA2644" s="56"/>
      <c r="CB2644" s="56"/>
      <c r="CC2644" s="56"/>
      <c r="CD2644" s="56"/>
      <c r="CE2644" s="56"/>
      <c r="CF2644" s="56"/>
      <c r="CG2644" s="56"/>
      <c r="CH2644" s="56"/>
      <c r="CI2644" s="56"/>
      <c r="CJ2644" s="56"/>
      <c r="CK2644" s="56"/>
      <c r="CL2644" s="56"/>
      <c r="CM2644" s="56"/>
      <c r="CN2644" s="56"/>
      <c r="CO2644" s="56"/>
      <c r="CP2644" s="56"/>
      <c r="CQ2644" s="56"/>
      <c r="CR2644" s="56"/>
      <c r="CS2644" s="56"/>
      <c r="CT2644" s="56"/>
      <c r="CU2644" s="56"/>
      <c r="CV2644" s="56"/>
      <c r="CW2644" s="56"/>
      <c r="CX2644" s="56"/>
      <c r="CY2644" s="56"/>
      <c r="CZ2644" s="56"/>
    </row>
    <row r="2645" spans="27:104" s="5" customFormat="1" x14ac:dyDescent="0.25">
      <c r="AA2645" s="56"/>
      <c r="AB2645" s="56"/>
      <c r="AC2645" s="56"/>
      <c r="AD2645" s="56"/>
      <c r="AE2645" s="56"/>
      <c r="AF2645" s="56"/>
      <c r="AG2645" s="56"/>
      <c r="AH2645" s="56"/>
      <c r="AI2645" s="56"/>
      <c r="AJ2645" s="56"/>
      <c r="AK2645" s="56"/>
      <c r="AL2645" s="56"/>
      <c r="AM2645" s="56"/>
      <c r="AN2645" s="56"/>
      <c r="AO2645" s="56"/>
      <c r="AP2645" s="56"/>
      <c r="AQ2645" s="56"/>
      <c r="AR2645" s="56"/>
      <c r="AS2645" s="56"/>
      <c r="AT2645" s="56"/>
      <c r="AU2645" s="56"/>
      <c r="AV2645" s="56"/>
      <c r="AW2645" s="56"/>
      <c r="AX2645" s="56"/>
      <c r="AY2645" s="56"/>
      <c r="AZ2645" s="56"/>
      <c r="BA2645" s="56"/>
      <c r="BB2645" s="16"/>
      <c r="BC2645" s="56"/>
      <c r="BD2645" s="56"/>
      <c r="BE2645" s="56"/>
      <c r="BF2645" s="56"/>
      <c r="BG2645" s="56"/>
      <c r="BH2645" s="56"/>
      <c r="BI2645" s="56"/>
      <c r="BJ2645" s="56"/>
      <c r="BK2645" s="56"/>
      <c r="BL2645" s="56"/>
      <c r="BM2645" s="56"/>
      <c r="BN2645" s="56"/>
      <c r="BO2645" s="56"/>
      <c r="BP2645" s="56"/>
      <c r="BQ2645" s="56"/>
      <c r="BR2645" s="56"/>
      <c r="BS2645" s="56"/>
      <c r="BT2645" s="56"/>
      <c r="BU2645" s="56"/>
      <c r="BV2645" s="56"/>
      <c r="BW2645" s="56"/>
      <c r="BX2645" s="56"/>
      <c r="BY2645" s="56"/>
      <c r="BZ2645" s="56"/>
      <c r="CA2645" s="56"/>
      <c r="CB2645" s="56"/>
      <c r="CC2645" s="56"/>
      <c r="CD2645" s="56"/>
      <c r="CE2645" s="56"/>
      <c r="CF2645" s="56"/>
      <c r="CG2645" s="56"/>
      <c r="CH2645" s="56"/>
      <c r="CI2645" s="56"/>
      <c r="CJ2645" s="56"/>
      <c r="CK2645" s="56"/>
      <c r="CL2645" s="56"/>
      <c r="CM2645" s="56"/>
      <c r="CN2645" s="56"/>
      <c r="CO2645" s="56"/>
      <c r="CP2645" s="56"/>
      <c r="CQ2645" s="56"/>
      <c r="CR2645" s="56"/>
      <c r="CS2645" s="56"/>
      <c r="CT2645" s="56"/>
      <c r="CU2645" s="56"/>
      <c r="CV2645" s="56"/>
      <c r="CW2645" s="56"/>
      <c r="CX2645" s="56"/>
      <c r="CY2645" s="56"/>
      <c r="CZ2645" s="56"/>
    </row>
    <row r="2646" spans="27:104" s="5" customFormat="1" x14ac:dyDescent="0.25">
      <c r="AA2646" s="56"/>
      <c r="AB2646" s="56"/>
      <c r="AC2646" s="56"/>
      <c r="AD2646" s="56"/>
      <c r="AE2646" s="56"/>
      <c r="AF2646" s="56"/>
      <c r="AG2646" s="56"/>
      <c r="AH2646" s="56"/>
      <c r="AI2646" s="56"/>
      <c r="AJ2646" s="56"/>
      <c r="AK2646" s="56"/>
      <c r="AL2646" s="56"/>
      <c r="AM2646" s="56"/>
      <c r="AN2646" s="56"/>
      <c r="AO2646" s="56"/>
      <c r="AP2646" s="56"/>
      <c r="AQ2646" s="56"/>
      <c r="AR2646" s="56"/>
      <c r="AS2646" s="56"/>
      <c r="AT2646" s="56"/>
      <c r="AU2646" s="56"/>
      <c r="AV2646" s="56"/>
      <c r="AW2646" s="56"/>
      <c r="AX2646" s="56"/>
      <c r="AY2646" s="56"/>
      <c r="AZ2646" s="56"/>
      <c r="BA2646" s="56"/>
      <c r="BB2646" s="16"/>
      <c r="BC2646" s="56"/>
      <c r="BD2646" s="56"/>
      <c r="BE2646" s="56"/>
      <c r="BF2646" s="56"/>
      <c r="BG2646" s="56"/>
      <c r="BH2646" s="56"/>
      <c r="BI2646" s="56"/>
      <c r="BJ2646" s="56"/>
      <c r="BK2646" s="56"/>
      <c r="BL2646" s="56"/>
      <c r="BM2646" s="56"/>
      <c r="BN2646" s="56"/>
      <c r="BO2646" s="56"/>
      <c r="BP2646" s="56"/>
      <c r="BQ2646" s="56"/>
      <c r="BR2646" s="56"/>
      <c r="BS2646" s="56"/>
      <c r="BT2646" s="56"/>
      <c r="BU2646" s="56"/>
      <c r="BV2646" s="56"/>
      <c r="BW2646" s="56"/>
      <c r="BX2646" s="56"/>
      <c r="BY2646" s="56"/>
      <c r="BZ2646" s="56"/>
      <c r="CA2646" s="56"/>
      <c r="CB2646" s="56"/>
      <c r="CC2646" s="56"/>
      <c r="CD2646" s="56"/>
      <c r="CE2646" s="56"/>
      <c r="CF2646" s="56"/>
      <c r="CG2646" s="56"/>
      <c r="CH2646" s="56"/>
      <c r="CI2646" s="56"/>
      <c r="CJ2646" s="56"/>
      <c r="CK2646" s="56"/>
      <c r="CL2646" s="56"/>
      <c r="CM2646" s="56"/>
      <c r="CN2646" s="56"/>
      <c r="CO2646" s="56"/>
      <c r="CP2646" s="56"/>
      <c r="CQ2646" s="56"/>
      <c r="CR2646" s="56"/>
      <c r="CS2646" s="56"/>
      <c r="CT2646" s="56"/>
      <c r="CU2646" s="56"/>
      <c r="CV2646" s="56"/>
      <c r="CW2646" s="56"/>
      <c r="CX2646" s="56"/>
      <c r="CY2646" s="56"/>
      <c r="CZ2646" s="56"/>
    </row>
    <row r="2647" spans="27:104" s="5" customFormat="1" x14ac:dyDescent="0.25">
      <c r="AA2647" s="56"/>
      <c r="AB2647" s="56"/>
      <c r="AC2647" s="56"/>
      <c r="AD2647" s="56"/>
      <c r="AE2647" s="56"/>
      <c r="AF2647" s="56"/>
      <c r="AG2647" s="56"/>
      <c r="AH2647" s="56"/>
      <c r="AI2647" s="56"/>
      <c r="AJ2647" s="56"/>
      <c r="AK2647" s="56"/>
      <c r="AL2647" s="56"/>
      <c r="AM2647" s="56"/>
      <c r="AN2647" s="56"/>
      <c r="AO2647" s="56"/>
      <c r="AP2647" s="56"/>
      <c r="AQ2647" s="56"/>
      <c r="AR2647" s="56"/>
      <c r="AS2647" s="56"/>
      <c r="AT2647" s="56"/>
      <c r="AU2647" s="56"/>
      <c r="AV2647" s="56"/>
      <c r="AW2647" s="56"/>
      <c r="AX2647" s="56"/>
      <c r="AY2647" s="56"/>
      <c r="AZ2647" s="56"/>
      <c r="BA2647" s="56"/>
      <c r="BB2647" s="16"/>
      <c r="BC2647" s="56"/>
      <c r="BD2647" s="56"/>
      <c r="BE2647" s="56"/>
      <c r="BF2647" s="56"/>
      <c r="BG2647" s="56"/>
      <c r="BH2647" s="56"/>
      <c r="BI2647" s="56"/>
      <c r="BJ2647" s="56"/>
      <c r="BK2647" s="56"/>
      <c r="BL2647" s="56"/>
      <c r="BM2647" s="56"/>
      <c r="BN2647" s="56"/>
      <c r="BO2647" s="56"/>
      <c r="BP2647" s="56"/>
      <c r="BQ2647" s="56"/>
      <c r="BR2647" s="56"/>
      <c r="BS2647" s="56"/>
      <c r="BT2647" s="56"/>
      <c r="BU2647" s="56"/>
      <c r="BV2647" s="56"/>
      <c r="BW2647" s="56"/>
      <c r="BX2647" s="56"/>
      <c r="BY2647" s="56"/>
      <c r="BZ2647" s="56"/>
      <c r="CA2647" s="56"/>
      <c r="CB2647" s="56"/>
      <c r="CC2647" s="56"/>
      <c r="CD2647" s="56"/>
      <c r="CE2647" s="56"/>
      <c r="CF2647" s="56"/>
      <c r="CG2647" s="56"/>
      <c r="CH2647" s="56"/>
      <c r="CI2647" s="56"/>
      <c r="CJ2647" s="56"/>
      <c r="CK2647" s="56"/>
      <c r="CL2647" s="56"/>
      <c r="CM2647" s="56"/>
      <c r="CN2647" s="56"/>
      <c r="CO2647" s="56"/>
      <c r="CP2647" s="56"/>
      <c r="CQ2647" s="56"/>
      <c r="CR2647" s="56"/>
      <c r="CS2647" s="56"/>
      <c r="CT2647" s="56"/>
      <c r="CU2647" s="56"/>
      <c r="CV2647" s="56"/>
      <c r="CW2647" s="56"/>
      <c r="CX2647" s="56"/>
      <c r="CY2647" s="56"/>
      <c r="CZ2647" s="56"/>
    </row>
    <row r="2648" spans="27:104" s="5" customFormat="1" x14ac:dyDescent="0.25">
      <c r="AA2648" s="56"/>
      <c r="AB2648" s="56"/>
      <c r="AC2648" s="56"/>
      <c r="AD2648" s="56"/>
      <c r="AE2648" s="56"/>
      <c r="AF2648" s="56"/>
      <c r="AG2648" s="56"/>
      <c r="AH2648" s="56"/>
      <c r="AI2648" s="56"/>
      <c r="AJ2648" s="56"/>
      <c r="AK2648" s="56"/>
      <c r="AL2648" s="56"/>
      <c r="AM2648" s="56"/>
      <c r="AN2648" s="56"/>
      <c r="AO2648" s="56"/>
      <c r="AP2648" s="56"/>
      <c r="AQ2648" s="56"/>
      <c r="AR2648" s="56"/>
      <c r="AS2648" s="56"/>
      <c r="AT2648" s="56"/>
      <c r="AU2648" s="56"/>
      <c r="AV2648" s="56"/>
      <c r="AW2648" s="56"/>
      <c r="AX2648" s="56"/>
      <c r="AY2648" s="56"/>
      <c r="AZ2648" s="56"/>
      <c r="BA2648" s="56"/>
      <c r="BB2648" s="16"/>
      <c r="BC2648" s="56"/>
      <c r="BD2648" s="56"/>
      <c r="BE2648" s="56"/>
      <c r="BF2648" s="56"/>
      <c r="BG2648" s="56"/>
      <c r="BH2648" s="56"/>
      <c r="BI2648" s="56"/>
      <c r="BJ2648" s="56"/>
      <c r="BK2648" s="56"/>
      <c r="BL2648" s="56"/>
      <c r="BM2648" s="56"/>
      <c r="BN2648" s="56"/>
      <c r="BO2648" s="56"/>
      <c r="BP2648" s="56"/>
      <c r="BQ2648" s="56"/>
      <c r="BR2648" s="56"/>
      <c r="BS2648" s="56"/>
      <c r="BT2648" s="56"/>
      <c r="BU2648" s="56"/>
      <c r="BV2648" s="56"/>
      <c r="BW2648" s="56"/>
      <c r="BX2648" s="56"/>
      <c r="BY2648" s="56"/>
      <c r="BZ2648" s="56"/>
      <c r="CA2648" s="56"/>
      <c r="CB2648" s="56"/>
      <c r="CC2648" s="56"/>
      <c r="CD2648" s="56"/>
      <c r="CE2648" s="56"/>
      <c r="CF2648" s="56"/>
      <c r="CG2648" s="56"/>
      <c r="CH2648" s="56"/>
      <c r="CI2648" s="56"/>
      <c r="CJ2648" s="56"/>
      <c r="CK2648" s="56"/>
      <c r="CL2648" s="56"/>
      <c r="CM2648" s="56"/>
      <c r="CN2648" s="56"/>
      <c r="CO2648" s="56"/>
      <c r="CP2648" s="56"/>
      <c r="CQ2648" s="56"/>
      <c r="CR2648" s="56"/>
      <c r="CS2648" s="56"/>
      <c r="CT2648" s="56"/>
      <c r="CU2648" s="56"/>
      <c r="CV2648" s="56"/>
      <c r="CW2648" s="56"/>
      <c r="CX2648" s="56"/>
      <c r="CY2648" s="56"/>
      <c r="CZ2648" s="56"/>
    </row>
    <row r="2649" spans="27:104" s="5" customFormat="1" x14ac:dyDescent="0.25">
      <c r="AA2649" s="56"/>
      <c r="AB2649" s="56"/>
      <c r="AC2649" s="56"/>
      <c r="AD2649" s="56"/>
      <c r="AE2649" s="56"/>
      <c r="AF2649" s="56"/>
      <c r="AG2649" s="56"/>
      <c r="AH2649" s="56"/>
      <c r="AI2649" s="56"/>
      <c r="AJ2649" s="56"/>
      <c r="AK2649" s="56"/>
      <c r="AL2649" s="56"/>
      <c r="AM2649" s="56"/>
      <c r="AN2649" s="56"/>
      <c r="AO2649" s="56"/>
      <c r="AP2649" s="56"/>
      <c r="AQ2649" s="56"/>
      <c r="AR2649" s="56"/>
      <c r="AS2649" s="56"/>
      <c r="AT2649" s="56"/>
      <c r="AU2649" s="56"/>
      <c r="AV2649" s="56"/>
      <c r="AW2649" s="56"/>
      <c r="AX2649" s="56"/>
      <c r="AY2649" s="56"/>
      <c r="AZ2649" s="56"/>
      <c r="BA2649" s="56"/>
      <c r="BB2649" s="16"/>
      <c r="BC2649" s="56"/>
      <c r="BD2649" s="56"/>
      <c r="BE2649" s="56"/>
      <c r="BF2649" s="56"/>
      <c r="BG2649" s="56"/>
      <c r="BH2649" s="56"/>
      <c r="BI2649" s="56"/>
      <c r="BJ2649" s="56"/>
      <c r="BK2649" s="56"/>
      <c r="BL2649" s="56"/>
      <c r="BM2649" s="56"/>
      <c r="BN2649" s="56"/>
      <c r="BO2649" s="56"/>
      <c r="BP2649" s="56"/>
      <c r="BQ2649" s="56"/>
      <c r="BR2649" s="56"/>
      <c r="BS2649" s="56"/>
      <c r="BT2649" s="56"/>
      <c r="BU2649" s="56"/>
      <c r="BV2649" s="56"/>
      <c r="BW2649" s="56"/>
      <c r="BX2649" s="56"/>
      <c r="BY2649" s="56"/>
      <c r="BZ2649" s="56"/>
      <c r="CA2649" s="56"/>
      <c r="CB2649" s="56"/>
      <c r="CC2649" s="56"/>
      <c r="CD2649" s="56"/>
      <c r="CE2649" s="56"/>
      <c r="CF2649" s="56"/>
      <c r="CG2649" s="56"/>
      <c r="CH2649" s="56"/>
      <c r="CI2649" s="56"/>
      <c r="CJ2649" s="56"/>
      <c r="CK2649" s="56"/>
      <c r="CL2649" s="56"/>
      <c r="CM2649" s="56"/>
      <c r="CN2649" s="56"/>
      <c r="CO2649" s="56"/>
      <c r="CP2649" s="56"/>
      <c r="CQ2649" s="56"/>
      <c r="CR2649" s="56"/>
      <c r="CS2649" s="56"/>
      <c r="CT2649" s="56"/>
      <c r="CU2649" s="56"/>
      <c r="CV2649" s="56"/>
      <c r="CW2649" s="56"/>
      <c r="CX2649" s="56"/>
      <c r="CY2649" s="56"/>
      <c r="CZ2649" s="56"/>
    </row>
    <row r="2650" spans="27:104" s="5" customFormat="1" x14ac:dyDescent="0.25">
      <c r="AA2650" s="56"/>
      <c r="AB2650" s="56"/>
      <c r="AC2650" s="56"/>
      <c r="AD2650" s="56"/>
      <c r="AE2650" s="56"/>
      <c r="AF2650" s="56"/>
      <c r="AG2650" s="56"/>
      <c r="AH2650" s="56"/>
      <c r="AI2650" s="56"/>
      <c r="AJ2650" s="56"/>
      <c r="AK2650" s="56"/>
      <c r="AL2650" s="56"/>
      <c r="AM2650" s="56"/>
      <c r="AN2650" s="56"/>
      <c r="AO2650" s="56"/>
      <c r="AP2650" s="56"/>
      <c r="AQ2650" s="56"/>
      <c r="AR2650" s="56"/>
      <c r="AS2650" s="56"/>
      <c r="AT2650" s="56"/>
      <c r="AU2650" s="56"/>
      <c r="AV2650" s="56"/>
      <c r="AW2650" s="56"/>
      <c r="AX2650" s="56"/>
      <c r="AY2650" s="56"/>
      <c r="AZ2650" s="56"/>
      <c r="BA2650" s="56"/>
      <c r="BB2650" s="16"/>
      <c r="BC2650" s="56"/>
      <c r="BD2650" s="56"/>
      <c r="BE2650" s="56"/>
      <c r="BF2650" s="56"/>
      <c r="BG2650" s="56"/>
      <c r="BH2650" s="56"/>
      <c r="BI2650" s="56"/>
      <c r="BJ2650" s="56"/>
      <c r="BK2650" s="56"/>
      <c r="BL2650" s="56"/>
      <c r="BM2650" s="56"/>
      <c r="BN2650" s="56"/>
      <c r="BO2650" s="56"/>
      <c r="BP2650" s="56"/>
      <c r="BQ2650" s="56"/>
      <c r="BR2650" s="56"/>
      <c r="BS2650" s="56"/>
      <c r="BT2650" s="56"/>
      <c r="BU2650" s="56"/>
      <c r="BV2650" s="56"/>
      <c r="BW2650" s="56"/>
      <c r="BX2650" s="56"/>
      <c r="BY2650" s="56"/>
      <c r="BZ2650" s="56"/>
      <c r="CA2650" s="56"/>
      <c r="CB2650" s="56"/>
      <c r="CC2650" s="56"/>
      <c r="CD2650" s="56"/>
      <c r="CE2650" s="56"/>
      <c r="CF2650" s="56"/>
      <c r="CG2650" s="56"/>
      <c r="CH2650" s="56"/>
      <c r="CI2650" s="56"/>
      <c r="CJ2650" s="56"/>
      <c r="CK2650" s="56"/>
      <c r="CL2650" s="56"/>
      <c r="CM2650" s="56"/>
      <c r="CN2650" s="56"/>
      <c r="CO2650" s="56"/>
      <c r="CP2650" s="56"/>
      <c r="CQ2650" s="56"/>
      <c r="CR2650" s="56"/>
      <c r="CS2650" s="56"/>
      <c r="CT2650" s="56"/>
      <c r="CU2650" s="56"/>
      <c r="CV2650" s="56"/>
      <c r="CW2650" s="56"/>
      <c r="CX2650" s="56"/>
      <c r="CY2650" s="56"/>
      <c r="CZ2650" s="56"/>
    </row>
    <row r="2651" spans="27:104" s="5" customFormat="1" x14ac:dyDescent="0.25">
      <c r="AA2651" s="56"/>
      <c r="AB2651" s="56"/>
      <c r="AC2651" s="56"/>
      <c r="AD2651" s="56"/>
      <c r="AE2651" s="56"/>
      <c r="AF2651" s="56"/>
      <c r="AG2651" s="56"/>
      <c r="AH2651" s="56"/>
      <c r="AI2651" s="56"/>
      <c r="AJ2651" s="56"/>
      <c r="AK2651" s="56"/>
      <c r="AL2651" s="56"/>
      <c r="AM2651" s="56"/>
      <c r="AN2651" s="56"/>
      <c r="AO2651" s="56"/>
      <c r="AP2651" s="56"/>
      <c r="AQ2651" s="56"/>
      <c r="AR2651" s="56"/>
      <c r="AS2651" s="56"/>
      <c r="AT2651" s="56"/>
      <c r="AU2651" s="56"/>
      <c r="AV2651" s="56"/>
      <c r="AW2651" s="56"/>
      <c r="AX2651" s="56"/>
      <c r="AY2651" s="56"/>
      <c r="AZ2651" s="56"/>
      <c r="BA2651" s="56"/>
      <c r="BB2651" s="16"/>
      <c r="BC2651" s="56"/>
      <c r="BD2651" s="56"/>
      <c r="BE2651" s="56"/>
      <c r="BF2651" s="56"/>
      <c r="BG2651" s="56"/>
      <c r="BH2651" s="56"/>
      <c r="BI2651" s="56"/>
      <c r="BJ2651" s="56"/>
      <c r="BK2651" s="56"/>
      <c r="BL2651" s="56"/>
      <c r="BM2651" s="56"/>
      <c r="BN2651" s="56"/>
      <c r="BO2651" s="56"/>
      <c r="BP2651" s="56"/>
      <c r="BQ2651" s="56"/>
      <c r="BR2651" s="56"/>
      <c r="BS2651" s="56"/>
      <c r="BT2651" s="56"/>
      <c r="BU2651" s="56"/>
      <c r="BV2651" s="56"/>
      <c r="BW2651" s="56"/>
      <c r="BX2651" s="56"/>
      <c r="BY2651" s="56"/>
      <c r="BZ2651" s="56"/>
      <c r="CA2651" s="56"/>
      <c r="CB2651" s="56"/>
      <c r="CC2651" s="56"/>
      <c r="CD2651" s="56"/>
      <c r="CE2651" s="56"/>
      <c r="CF2651" s="56"/>
      <c r="CG2651" s="56"/>
      <c r="CH2651" s="56"/>
      <c r="CI2651" s="56"/>
      <c r="CJ2651" s="56"/>
      <c r="CK2651" s="56"/>
      <c r="CL2651" s="56"/>
      <c r="CM2651" s="56"/>
      <c r="CN2651" s="56"/>
      <c r="CO2651" s="56"/>
      <c r="CP2651" s="56"/>
      <c r="CQ2651" s="56"/>
      <c r="CR2651" s="56"/>
      <c r="CS2651" s="56"/>
      <c r="CT2651" s="56"/>
      <c r="CU2651" s="56"/>
      <c r="CV2651" s="56"/>
      <c r="CW2651" s="56"/>
      <c r="CX2651" s="56"/>
      <c r="CY2651" s="56"/>
      <c r="CZ2651" s="56"/>
    </row>
    <row r="2652" spans="27:104" s="5" customFormat="1" x14ac:dyDescent="0.25">
      <c r="AA2652" s="56"/>
      <c r="AB2652" s="56"/>
      <c r="AC2652" s="56"/>
      <c r="AD2652" s="56"/>
      <c r="AE2652" s="56"/>
      <c r="AF2652" s="56"/>
      <c r="AG2652" s="56"/>
      <c r="AH2652" s="56"/>
      <c r="AI2652" s="56"/>
      <c r="AJ2652" s="56"/>
      <c r="AK2652" s="56"/>
      <c r="AL2652" s="56"/>
      <c r="AM2652" s="56"/>
      <c r="AN2652" s="56"/>
      <c r="AO2652" s="56"/>
      <c r="AP2652" s="56"/>
      <c r="AQ2652" s="56"/>
      <c r="AR2652" s="56"/>
      <c r="AS2652" s="56"/>
      <c r="AT2652" s="56"/>
      <c r="AU2652" s="56"/>
      <c r="AV2652" s="56"/>
      <c r="AW2652" s="56"/>
      <c r="AX2652" s="56"/>
      <c r="AY2652" s="56"/>
      <c r="AZ2652" s="56"/>
      <c r="BA2652" s="56"/>
      <c r="BB2652" s="16"/>
      <c r="BC2652" s="56"/>
      <c r="BD2652" s="56"/>
      <c r="BE2652" s="56"/>
      <c r="BF2652" s="56"/>
      <c r="BG2652" s="56"/>
      <c r="BH2652" s="56"/>
      <c r="BI2652" s="56"/>
      <c r="BJ2652" s="56"/>
      <c r="BK2652" s="56"/>
      <c r="BL2652" s="56"/>
      <c r="BM2652" s="56"/>
      <c r="BN2652" s="56"/>
      <c r="BO2652" s="56"/>
      <c r="BP2652" s="56"/>
      <c r="BQ2652" s="56"/>
      <c r="BR2652" s="56"/>
      <c r="BS2652" s="56"/>
      <c r="BT2652" s="56"/>
      <c r="BU2652" s="56"/>
      <c r="BV2652" s="56"/>
      <c r="BW2652" s="56"/>
      <c r="BX2652" s="56"/>
      <c r="BY2652" s="56"/>
      <c r="BZ2652" s="56"/>
      <c r="CA2652" s="56"/>
      <c r="CB2652" s="56"/>
      <c r="CC2652" s="56"/>
      <c r="CD2652" s="56"/>
      <c r="CE2652" s="56"/>
      <c r="CF2652" s="56"/>
      <c r="CG2652" s="56"/>
      <c r="CH2652" s="56"/>
      <c r="CI2652" s="56"/>
      <c r="CJ2652" s="56"/>
      <c r="CK2652" s="56"/>
      <c r="CL2652" s="56"/>
      <c r="CM2652" s="56"/>
      <c r="CN2652" s="56"/>
      <c r="CO2652" s="56"/>
      <c r="CP2652" s="56"/>
      <c r="CQ2652" s="56"/>
      <c r="CR2652" s="56"/>
      <c r="CS2652" s="56"/>
      <c r="CT2652" s="56"/>
      <c r="CU2652" s="56"/>
      <c r="CV2652" s="56"/>
      <c r="CW2652" s="56"/>
      <c r="CX2652" s="56"/>
      <c r="CY2652" s="56"/>
      <c r="CZ2652" s="56"/>
    </row>
    <row r="2653" spans="27:104" s="5" customFormat="1" x14ac:dyDescent="0.25">
      <c r="AA2653" s="56"/>
      <c r="AB2653" s="56"/>
      <c r="AC2653" s="56"/>
      <c r="AD2653" s="56"/>
      <c r="AE2653" s="56"/>
      <c r="AF2653" s="56"/>
      <c r="AG2653" s="56"/>
      <c r="AH2653" s="56"/>
      <c r="AI2653" s="56"/>
      <c r="AJ2653" s="56"/>
      <c r="AK2653" s="56"/>
      <c r="AL2653" s="56"/>
      <c r="AM2653" s="56"/>
      <c r="AN2653" s="56"/>
      <c r="AO2653" s="56"/>
      <c r="AP2653" s="56"/>
      <c r="AQ2653" s="56"/>
      <c r="AR2653" s="56"/>
      <c r="AS2653" s="56"/>
      <c r="AT2653" s="56"/>
      <c r="AU2653" s="56"/>
      <c r="AV2653" s="56"/>
      <c r="AW2653" s="56"/>
      <c r="AX2653" s="56"/>
      <c r="AY2653" s="56"/>
      <c r="AZ2653" s="56"/>
      <c r="BA2653" s="56"/>
      <c r="BB2653" s="16"/>
      <c r="BC2653" s="56"/>
      <c r="BD2653" s="56"/>
      <c r="BE2653" s="56"/>
      <c r="BF2653" s="56"/>
      <c r="BG2653" s="56"/>
      <c r="BH2653" s="56"/>
      <c r="BI2653" s="56"/>
      <c r="BJ2653" s="56"/>
      <c r="BK2653" s="56"/>
      <c r="BL2653" s="56"/>
      <c r="BM2653" s="56"/>
      <c r="BN2653" s="56"/>
      <c r="BO2653" s="56"/>
      <c r="BP2653" s="56"/>
      <c r="BQ2653" s="56"/>
      <c r="BR2653" s="56"/>
      <c r="BS2653" s="56"/>
      <c r="BT2653" s="56"/>
      <c r="BU2653" s="56"/>
      <c r="BV2653" s="56"/>
      <c r="BW2653" s="56"/>
      <c r="BX2653" s="56"/>
      <c r="BY2653" s="56"/>
      <c r="BZ2653" s="56"/>
      <c r="CA2653" s="56"/>
      <c r="CB2653" s="56"/>
      <c r="CC2653" s="56"/>
      <c r="CD2653" s="56"/>
      <c r="CE2653" s="56"/>
      <c r="CF2653" s="56"/>
      <c r="CG2653" s="56"/>
      <c r="CH2653" s="56"/>
      <c r="CI2653" s="56"/>
      <c r="CJ2653" s="56"/>
      <c r="CK2653" s="56"/>
      <c r="CL2653" s="56"/>
      <c r="CM2653" s="56"/>
      <c r="CN2653" s="56"/>
      <c r="CO2653" s="56"/>
      <c r="CP2653" s="56"/>
      <c r="CQ2653" s="56"/>
      <c r="CR2653" s="56"/>
      <c r="CS2653" s="56"/>
      <c r="CT2653" s="56"/>
      <c r="CU2653" s="56"/>
      <c r="CV2653" s="56"/>
      <c r="CW2653" s="56"/>
      <c r="CX2653" s="56"/>
      <c r="CY2653" s="56"/>
      <c r="CZ2653" s="56"/>
    </row>
    <row r="2654" spans="27:104" s="5" customFormat="1" x14ac:dyDescent="0.25">
      <c r="AA2654" s="56"/>
      <c r="AB2654" s="56"/>
      <c r="AC2654" s="56"/>
      <c r="AD2654" s="56"/>
      <c r="AE2654" s="56"/>
      <c r="AF2654" s="56"/>
      <c r="AG2654" s="56"/>
      <c r="AH2654" s="56"/>
      <c r="AI2654" s="56"/>
      <c r="AJ2654" s="56"/>
      <c r="AK2654" s="56"/>
      <c r="AL2654" s="56"/>
      <c r="AM2654" s="56"/>
      <c r="AN2654" s="56"/>
      <c r="AO2654" s="56"/>
      <c r="AP2654" s="56"/>
      <c r="AQ2654" s="56"/>
      <c r="AR2654" s="56"/>
      <c r="AS2654" s="56"/>
      <c r="AT2654" s="56"/>
      <c r="AU2654" s="56"/>
      <c r="AV2654" s="56"/>
      <c r="AW2654" s="56"/>
      <c r="AX2654" s="56"/>
      <c r="AY2654" s="56"/>
      <c r="AZ2654" s="56"/>
      <c r="BA2654" s="56"/>
      <c r="BB2654" s="16"/>
      <c r="BC2654" s="56"/>
      <c r="BD2654" s="56"/>
      <c r="BE2654" s="56"/>
      <c r="BF2654" s="56"/>
      <c r="BG2654" s="56"/>
      <c r="BH2654" s="56"/>
      <c r="BI2654" s="56"/>
      <c r="BJ2654" s="56"/>
      <c r="BK2654" s="56"/>
      <c r="BL2654" s="56"/>
      <c r="BM2654" s="56"/>
      <c r="BN2654" s="56"/>
      <c r="BO2654" s="56"/>
      <c r="BP2654" s="56"/>
      <c r="BQ2654" s="56"/>
      <c r="BR2654" s="56"/>
      <c r="BS2654" s="56"/>
      <c r="BT2654" s="56"/>
      <c r="BU2654" s="56"/>
      <c r="BV2654" s="56"/>
      <c r="BW2654" s="56"/>
      <c r="BX2654" s="56"/>
      <c r="BY2654" s="56"/>
      <c r="BZ2654" s="56"/>
      <c r="CA2654" s="56"/>
      <c r="CB2654" s="56"/>
      <c r="CC2654" s="56"/>
      <c r="CD2654" s="56"/>
      <c r="CE2654" s="56"/>
      <c r="CF2654" s="56"/>
      <c r="CG2654" s="56"/>
      <c r="CH2654" s="56"/>
      <c r="CI2654" s="56"/>
      <c r="CJ2654" s="56"/>
      <c r="CK2654" s="56"/>
      <c r="CL2654" s="56"/>
      <c r="CM2654" s="56"/>
      <c r="CN2654" s="56"/>
      <c r="CO2654" s="56"/>
      <c r="CP2654" s="56"/>
      <c r="CQ2654" s="56"/>
      <c r="CR2654" s="56"/>
      <c r="CS2654" s="56"/>
      <c r="CT2654" s="56"/>
      <c r="CU2654" s="56"/>
      <c r="CV2654" s="56"/>
      <c r="CW2654" s="56"/>
      <c r="CX2654" s="56"/>
      <c r="CY2654" s="56"/>
      <c r="CZ2654" s="56"/>
    </row>
    <row r="2655" spans="27:104" s="5" customFormat="1" x14ac:dyDescent="0.25">
      <c r="AA2655" s="56"/>
      <c r="AB2655" s="56"/>
      <c r="AC2655" s="56"/>
      <c r="AD2655" s="56"/>
      <c r="AE2655" s="56"/>
      <c r="AF2655" s="56"/>
      <c r="AG2655" s="56"/>
      <c r="AH2655" s="56"/>
      <c r="AI2655" s="56"/>
      <c r="AJ2655" s="56"/>
      <c r="AK2655" s="56"/>
      <c r="AL2655" s="56"/>
      <c r="AM2655" s="56"/>
      <c r="AN2655" s="56"/>
      <c r="AO2655" s="56"/>
      <c r="AP2655" s="56"/>
      <c r="AQ2655" s="56"/>
      <c r="AR2655" s="56"/>
      <c r="AS2655" s="56"/>
      <c r="AT2655" s="56"/>
      <c r="AU2655" s="56"/>
      <c r="AV2655" s="56"/>
      <c r="AW2655" s="56"/>
      <c r="AX2655" s="56"/>
      <c r="AY2655" s="56"/>
      <c r="AZ2655" s="56"/>
      <c r="BA2655" s="56"/>
      <c r="BB2655" s="16"/>
      <c r="BC2655" s="56"/>
      <c r="BD2655" s="56"/>
      <c r="BE2655" s="56"/>
      <c r="BF2655" s="56"/>
      <c r="BG2655" s="56"/>
      <c r="BH2655" s="56"/>
      <c r="BI2655" s="56"/>
      <c r="BJ2655" s="56"/>
      <c r="BK2655" s="56"/>
      <c r="BL2655" s="56"/>
      <c r="BM2655" s="56"/>
      <c r="BN2655" s="56"/>
      <c r="BO2655" s="56"/>
      <c r="BP2655" s="56"/>
      <c r="BQ2655" s="56"/>
      <c r="BR2655" s="56"/>
      <c r="BS2655" s="56"/>
      <c r="BT2655" s="56"/>
      <c r="BU2655" s="56"/>
      <c r="BV2655" s="56"/>
      <c r="BW2655" s="56"/>
      <c r="BX2655" s="56"/>
      <c r="BY2655" s="56"/>
      <c r="BZ2655" s="56"/>
      <c r="CA2655" s="56"/>
      <c r="CB2655" s="56"/>
      <c r="CC2655" s="56"/>
      <c r="CD2655" s="56"/>
      <c r="CE2655" s="56"/>
      <c r="CF2655" s="56"/>
      <c r="CG2655" s="56"/>
      <c r="CH2655" s="56"/>
      <c r="CI2655" s="56"/>
      <c r="CJ2655" s="56"/>
      <c r="CK2655" s="56"/>
      <c r="CL2655" s="56"/>
      <c r="CM2655" s="56"/>
      <c r="CN2655" s="56"/>
      <c r="CO2655" s="56"/>
      <c r="CP2655" s="56"/>
      <c r="CQ2655" s="56"/>
      <c r="CR2655" s="56"/>
      <c r="CS2655" s="56"/>
      <c r="CT2655" s="56"/>
      <c r="CU2655" s="56"/>
      <c r="CV2655" s="56"/>
      <c r="CW2655" s="56"/>
      <c r="CX2655" s="56"/>
      <c r="CY2655" s="56"/>
      <c r="CZ2655" s="56"/>
    </row>
    <row r="2656" spans="27:104" s="5" customFormat="1" x14ac:dyDescent="0.25">
      <c r="AA2656" s="56"/>
      <c r="AB2656" s="56"/>
      <c r="AC2656" s="56"/>
      <c r="AD2656" s="56"/>
      <c r="AE2656" s="56"/>
      <c r="AF2656" s="56"/>
      <c r="AG2656" s="56"/>
      <c r="AH2656" s="56"/>
      <c r="AI2656" s="56"/>
      <c r="AJ2656" s="56"/>
      <c r="AK2656" s="56"/>
      <c r="AL2656" s="56"/>
      <c r="AM2656" s="56"/>
      <c r="AN2656" s="56"/>
      <c r="AO2656" s="56"/>
      <c r="AP2656" s="56"/>
      <c r="AQ2656" s="56"/>
      <c r="AR2656" s="56"/>
      <c r="AS2656" s="56"/>
      <c r="AT2656" s="56"/>
      <c r="AU2656" s="56"/>
      <c r="AV2656" s="56"/>
      <c r="AW2656" s="56"/>
      <c r="AX2656" s="56"/>
      <c r="AY2656" s="56"/>
      <c r="AZ2656" s="56"/>
      <c r="BA2656" s="56"/>
      <c r="BB2656" s="16"/>
      <c r="BC2656" s="56"/>
      <c r="BD2656" s="56"/>
      <c r="BE2656" s="56"/>
      <c r="BF2656" s="56"/>
      <c r="BG2656" s="56"/>
      <c r="BH2656" s="56"/>
      <c r="BI2656" s="56"/>
      <c r="BJ2656" s="56"/>
      <c r="BK2656" s="56"/>
      <c r="BL2656" s="56"/>
      <c r="BM2656" s="56"/>
      <c r="BN2656" s="56"/>
      <c r="BO2656" s="56"/>
      <c r="BP2656" s="56"/>
      <c r="BQ2656" s="56"/>
      <c r="BR2656" s="56"/>
      <c r="BS2656" s="56"/>
      <c r="BT2656" s="56"/>
      <c r="BU2656" s="56"/>
      <c r="BV2656" s="56"/>
      <c r="BW2656" s="56"/>
      <c r="BX2656" s="56"/>
      <c r="BY2656" s="56"/>
      <c r="BZ2656" s="56"/>
      <c r="CA2656" s="56"/>
      <c r="CB2656" s="56"/>
      <c r="CC2656" s="56"/>
      <c r="CD2656" s="56"/>
      <c r="CE2656" s="56"/>
      <c r="CF2656" s="56"/>
      <c r="CG2656" s="56"/>
      <c r="CH2656" s="56"/>
      <c r="CI2656" s="56"/>
      <c r="CJ2656" s="56"/>
      <c r="CK2656" s="56"/>
      <c r="CL2656" s="56"/>
      <c r="CM2656" s="56"/>
      <c r="CN2656" s="56"/>
      <c r="CO2656" s="56"/>
      <c r="CP2656" s="56"/>
      <c r="CQ2656" s="56"/>
      <c r="CR2656" s="56"/>
      <c r="CS2656" s="56"/>
      <c r="CT2656" s="56"/>
      <c r="CU2656" s="56"/>
      <c r="CV2656" s="56"/>
      <c r="CW2656" s="56"/>
      <c r="CX2656" s="56"/>
      <c r="CY2656" s="56"/>
      <c r="CZ2656" s="56"/>
    </row>
    <row r="2657" spans="27:104" s="5" customFormat="1" x14ac:dyDescent="0.25">
      <c r="AA2657" s="56"/>
      <c r="AB2657" s="56"/>
      <c r="AC2657" s="56"/>
      <c r="AD2657" s="56"/>
      <c r="AE2657" s="56"/>
      <c r="AF2657" s="56"/>
      <c r="AG2657" s="56"/>
      <c r="AH2657" s="56"/>
      <c r="AI2657" s="56"/>
      <c r="AJ2657" s="56"/>
      <c r="AK2657" s="56"/>
      <c r="AL2657" s="56"/>
      <c r="AM2657" s="56"/>
      <c r="AN2657" s="56"/>
      <c r="AO2657" s="56"/>
      <c r="AP2657" s="56"/>
      <c r="AQ2657" s="56"/>
      <c r="AR2657" s="56"/>
      <c r="AS2657" s="56"/>
      <c r="AT2657" s="56"/>
      <c r="AU2657" s="56"/>
      <c r="AV2657" s="56"/>
      <c r="AW2657" s="56"/>
      <c r="AX2657" s="56"/>
      <c r="AY2657" s="56"/>
      <c r="AZ2657" s="56"/>
      <c r="BA2657" s="56"/>
      <c r="BB2657" s="16"/>
      <c r="BC2657" s="56"/>
      <c r="BD2657" s="56"/>
      <c r="BE2657" s="56"/>
      <c r="BF2657" s="56"/>
      <c r="BG2657" s="56"/>
      <c r="BH2657" s="56"/>
      <c r="BI2657" s="56"/>
      <c r="BJ2657" s="56"/>
      <c r="BK2657" s="56"/>
      <c r="BL2657" s="56"/>
      <c r="BM2657" s="56"/>
      <c r="BN2657" s="56"/>
      <c r="BO2657" s="56"/>
      <c r="BP2657" s="56"/>
      <c r="BQ2657" s="56"/>
      <c r="BR2657" s="56"/>
      <c r="BS2657" s="56"/>
      <c r="BT2657" s="56"/>
      <c r="BU2657" s="56"/>
      <c r="BV2657" s="56"/>
      <c r="BW2657" s="56"/>
      <c r="BX2657" s="56"/>
      <c r="BY2657" s="56"/>
      <c r="BZ2657" s="56"/>
      <c r="CA2657" s="56"/>
      <c r="CB2657" s="56"/>
      <c r="CC2657" s="56"/>
      <c r="CD2657" s="56"/>
      <c r="CE2657" s="56"/>
      <c r="CF2657" s="56"/>
      <c r="CG2657" s="56"/>
      <c r="CH2657" s="56"/>
      <c r="CI2657" s="56"/>
      <c r="CJ2657" s="56"/>
      <c r="CK2657" s="56"/>
      <c r="CL2657" s="56"/>
      <c r="CM2657" s="56"/>
      <c r="CN2657" s="56"/>
      <c r="CO2657" s="56"/>
      <c r="CP2657" s="56"/>
      <c r="CQ2657" s="56"/>
      <c r="CR2657" s="56"/>
      <c r="CS2657" s="56"/>
      <c r="CT2657" s="56"/>
      <c r="CU2657" s="56"/>
      <c r="CV2657" s="56"/>
      <c r="CW2657" s="56"/>
      <c r="CX2657" s="56"/>
      <c r="CY2657" s="56"/>
      <c r="CZ2657" s="56"/>
    </row>
    <row r="2658" spans="27:104" s="5" customFormat="1" x14ac:dyDescent="0.25">
      <c r="AA2658" s="56"/>
      <c r="AB2658" s="56"/>
      <c r="AC2658" s="56"/>
      <c r="AD2658" s="56"/>
      <c r="AE2658" s="56"/>
      <c r="AF2658" s="56"/>
      <c r="AG2658" s="56"/>
      <c r="AH2658" s="56"/>
      <c r="AI2658" s="56"/>
      <c r="AJ2658" s="56"/>
      <c r="AK2658" s="56"/>
      <c r="AL2658" s="56"/>
      <c r="AM2658" s="56"/>
      <c r="AN2658" s="56"/>
      <c r="AO2658" s="56"/>
      <c r="AP2658" s="56"/>
      <c r="AQ2658" s="56"/>
      <c r="AR2658" s="56"/>
      <c r="AS2658" s="56"/>
      <c r="AT2658" s="56"/>
      <c r="AU2658" s="56"/>
      <c r="AV2658" s="56"/>
      <c r="AW2658" s="56"/>
      <c r="AX2658" s="56"/>
      <c r="AY2658" s="56"/>
      <c r="AZ2658" s="56"/>
      <c r="BA2658" s="56"/>
      <c r="BB2658" s="16"/>
      <c r="BC2658" s="56"/>
      <c r="BD2658" s="56"/>
      <c r="BE2658" s="56"/>
      <c r="BF2658" s="56"/>
      <c r="BG2658" s="56"/>
      <c r="BH2658" s="56"/>
      <c r="BI2658" s="56"/>
      <c r="BJ2658" s="56"/>
      <c r="BK2658" s="56"/>
      <c r="BL2658" s="56"/>
      <c r="BM2658" s="56"/>
      <c r="BN2658" s="56"/>
      <c r="BO2658" s="56"/>
      <c r="BP2658" s="56"/>
      <c r="BQ2658" s="56"/>
      <c r="BR2658" s="56"/>
      <c r="BS2658" s="56"/>
      <c r="BT2658" s="56"/>
      <c r="BU2658" s="56"/>
      <c r="BV2658" s="56"/>
      <c r="BW2658" s="56"/>
      <c r="BX2658" s="56"/>
      <c r="BY2658" s="56"/>
      <c r="BZ2658" s="56"/>
      <c r="CA2658" s="56"/>
      <c r="CB2658" s="56"/>
      <c r="CC2658" s="56"/>
      <c r="CD2658" s="56"/>
      <c r="CE2658" s="56"/>
      <c r="CF2658" s="56"/>
      <c r="CG2658" s="56"/>
      <c r="CH2658" s="56"/>
      <c r="CI2658" s="56"/>
      <c r="CJ2658" s="56"/>
      <c r="CK2658" s="56"/>
      <c r="CL2658" s="56"/>
      <c r="CM2658" s="56"/>
      <c r="CN2658" s="56"/>
      <c r="CO2658" s="56"/>
      <c r="CP2658" s="56"/>
      <c r="CQ2658" s="56"/>
      <c r="CR2658" s="56"/>
      <c r="CS2658" s="56"/>
      <c r="CT2658" s="56"/>
      <c r="CU2658" s="56"/>
      <c r="CV2658" s="56"/>
      <c r="CW2658" s="56"/>
      <c r="CX2658" s="56"/>
      <c r="CY2658" s="56"/>
      <c r="CZ2658" s="56"/>
    </row>
    <row r="2659" spans="27:104" s="5" customFormat="1" x14ac:dyDescent="0.25">
      <c r="AA2659" s="56"/>
      <c r="AB2659" s="56"/>
      <c r="AC2659" s="56"/>
      <c r="AD2659" s="56"/>
      <c r="AE2659" s="56"/>
      <c r="AF2659" s="56"/>
      <c r="AG2659" s="56"/>
      <c r="AH2659" s="56"/>
      <c r="AI2659" s="56"/>
      <c r="AJ2659" s="56"/>
      <c r="AK2659" s="56"/>
      <c r="AL2659" s="56"/>
      <c r="AM2659" s="56"/>
      <c r="AN2659" s="56"/>
      <c r="AO2659" s="56"/>
      <c r="AP2659" s="56"/>
      <c r="AQ2659" s="56"/>
      <c r="AR2659" s="56"/>
      <c r="AS2659" s="56"/>
      <c r="AT2659" s="56"/>
      <c r="AU2659" s="56"/>
      <c r="AV2659" s="56"/>
      <c r="AW2659" s="56"/>
      <c r="AX2659" s="56"/>
      <c r="AY2659" s="56"/>
      <c r="AZ2659" s="56"/>
      <c r="BA2659" s="56"/>
      <c r="BB2659" s="16"/>
      <c r="BC2659" s="56"/>
      <c r="BD2659" s="56"/>
      <c r="BE2659" s="56"/>
      <c r="BF2659" s="56"/>
      <c r="BG2659" s="56"/>
      <c r="BH2659" s="56"/>
      <c r="BI2659" s="56"/>
      <c r="BJ2659" s="56"/>
      <c r="BK2659" s="56"/>
      <c r="BL2659" s="56"/>
      <c r="BM2659" s="56"/>
      <c r="BN2659" s="56"/>
      <c r="BO2659" s="56"/>
      <c r="BP2659" s="56"/>
      <c r="BQ2659" s="56"/>
      <c r="BR2659" s="56"/>
      <c r="BS2659" s="56"/>
      <c r="BT2659" s="56"/>
      <c r="BU2659" s="56"/>
      <c r="BV2659" s="56"/>
      <c r="BW2659" s="56"/>
      <c r="BX2659" s="56"/>
      <c r="BY2659" s="56"/>
      <c r="BZ2659" s="56"/>
      <c r="CA2659" s="56"/>
      <c r="CB2659" s="56"/>
      <c r="CC2659" s="56"/>
      <c r="CD2659" s="56"/>
      <c r="CE2659" s="56"/>
      <c r="CF2659" s="56"/>
      <c r="CG2659" s="56"/>
      <c r="CH2659" s="56"/>
      <c r="CI2659" s="56"/>
      <c r="CJ2659" s="56"/>
      <c r="CK2659" s="56"/>
      <c r="CL2659" s="56"/>
      <c r="CM2659" s="56"/>
      <c r="CN2659" s="56"/>
      <c r="CO2659" s="56"/>
      <c r="CP2659" s="56"/>
      <c r="CQ2659" s="56"/>
      <c r="CR2659" s="56"/>
      <c r="CS2659" s="56"/>
      <c r="CT2659" s="56"/>
      <c r="CU2659" s="56"/>
      <c r="CV2659" s="56"/>
      <c r="CW2659" s="56"/>
      <c r="CX2659" s="56"/>
      <c r="CY2659" s="56"/>
      <c r="CZ2659" s="56"/>
    </row>
    <row r="2660" spans="27:104" s="5" customFormat="1" x14ac:dyDescent="0.25">
      <c r="AA2660" s="56"/>
      <c r="AB2660" s="56"/>
      <c r="AC2660" s="56"/>
      <c r="AD2660" s="56"/>
      <c r="AE2660" s="56"/>
      <c r="AF2660" s="56"/>
      <c r="AG2660" s="56"/>
      <c r="AH2660" s="56"/>
      <c r="AI2660" s="56"/>
      <c r="AJ2660" s="56"/>
      <c r="AK2660" s="56"/>
      <c r="AL2660" s="56"/>
      <c r="AM2660" s="56"/>
      <c r="AN2660" s="56"/>
      <c r="AO2660" s="56"/>
      <c r="AP2660" s="56"/>
      <c r="AQ2660" s="56"/>
      <c r="AR2660" s="56"/>
      <c r="AS2660" s="56"/>
      <c r="AT2660" s="56"/>
      <c r="AU2660" s="56"/>
      <c r="AV2660" s="56"/>
      <c r="AW2660" s="56"/>
      <c r="AX2660" s="56"/>
      <c r="AY2660" s="56"/>
      <c r="AZ2660" s="56"/>
      <c r="BA2660" s="56"/>
      <c r="BB2660" s="16"/>
      <c r="BC2660" s="56"/>
      <c r="BD2660" s="56"/>
      <c r="BE2660" s="56"/>
      <c r="BF2660" s="56"/>
      <c r="BG2660" s="56"/>
      <c r="BH2660" s="56"/>
      <c r="BI2660" s="56"/>
      <c r="BJ2660" s="56"/>
      <c r="BK2660" s="56"/>
      <c r="BL2660" s="56"/>
      <c r="BM2660" s="56"/>
      <c r="BN2660" s="56"/>
      <c r="BO2660" s="56"/>
      <c r="BP2660" s="56"/>
      <c r="BQ2660" s="56"/>
      <c r="BR2660" s="56"/>
      <c r="BS2660" s="56"/>
      <c r="BT2660" s="56"/>
      <c r="BU2660" s="56"/>
      <c r="BV2660" s="56"/>
      <c r="BW2660" s="56"/>
      <c r="BX2660" s="56"/>
      <c r="BY2660" s="56"/>
      <c r="BZ2660" s="56"/>
      <c r="CA2660" s="56"/>
      <c r="CB2660" s="56"/>
      <c r="CC2660" s="56"/>
      <c r="CD2660" s="56"/>
      <c r="CE2660" s="56"/>
      <c r="CF2660" s="56"/>
      <c r="CG2660" s="56"/>
      <c r="CH2660" s="56"/>
      <c r="CI2660" s="56"/>
      <c r="CJ2660" s="56"/>
      <c r="CK2660" s="56"/>
      <c r="CL2660" s="56"/>
      <c r="CM2660" s="56"/>
      <c r="CN2660" s="56"/>
      <c r="CO2660" s="56"/>
      <c r="CP2660" s="56"/>
      <c r="CQ2660" s="56"/>
      <c r="CR2660" s="56"/>
      <c r="CS2660" s="56"/>
      <c r="CT2660" s="56"/>
      <c r="CU2660" s="56"/>
      <c r="CV2660" s="56"/>
      <c r="CW2660" s="56"/>
      <c r="CX2660" s="56"/>
      <c r="CY2660" s="56"/>
      <c r="CZ2660" s="56"/>
    </row>
    <row r="2661" spans="27:104" s="5" customFormat="1" x14ac:dyDescent="0.25">
      <c r="AA2661" s="56"/>
      <c r="AB2661" s="56"/>
      <c r="AC2661" s="56"/>
      <c r="AD2661" s="56"/>
      <c r="AE2661" s="56"/>
      <c r="AF2661" s="56"/>
      <c r="AG2661" s="56"/>
      <c r="AH2661" s="56"/>
      <c r="AI2661" s="56"/>
      <c r="AJ2661" s="56"/>
      <c r="AK2661" s="56"/>
      <c r="AL2661" s="56"/>
      <c r="AM2661" s="56"/>
      <c r="AN2661" s="56"/>
      <c r="AO2661" s="56"/>
      <c r="AP2661" s="56"/>
      <c r="AQ2661" s="56"/>
      <c r="AR2661" s="56"/>
      <c r="AS2661" s="56"/>
      <c r="AT2661" s="56"/>
      <c r="AU2661" s="56"/>
      <c r="AV2661" s="56"/>
      <c r="AW2661" s="56"/>
      <c r="AX2661" s="56"/>
      <c r="AY2661" s="56"/>
      <c r="AZ2661" s="56"/>
      <c r="BA2661" s="56"/>
      <c r="BB2661" s="16"/>
      <c r="BC2661" s="56"/>
      <c r="BD2661" s="56"/>
      <c r="BE2661" s="56"/>
      <c r="BF2661" s="56"/>
      <c r="BG2661" s="56"/>
      <c r="BH2661" s="56"/>
      <c r="BI2661" s="56"/>
      <c r="BJ2661" s="56"/>
      <c r="BK2661" s="56"/>
      <c r="BL2661" s="56"/>
      <c r="BM2661" s="56"/>
      <c r="BN2661" s="56"/>
      <c r="BO2661" s="56"/>
      <c r="BP2661" s="56"/>
      <c r="BQ2661" s="56"/>
      <c r="BR2661" s="56"/>
      <c r="BS2661" s="56"/>
      <c r="BT2661" s="56"/>
      <c r="BU2661" s="56"/>
      <c r="BV2661" s="56"/>
      <c r="BW2661" s="56"/>
      <c r="BX2661" s="56"/>
      <c r="BY2661" s="56"/>
      <c r="BZ2661" s="56"/>
      <c r="CA2661" s="56"/>
      <c r="CB2661" s="56"/>
      <c r="CC2661" s="56"/>
      <c r="CD2661" s="56"/>
      <c r="CE2661" s="56"/>
      <c r="CF2661" s="56"/>
      <c r="CG2661" s="56"/>
      <c r="CH2661" s="56"/>
      <c r="CI2661" s="56"/>
      <c r="CJ2661" s="56"/>
      <c r="CK2661" s="56"/>
      <c r="CL2661" s="56"/>
      <c r="CM2661" s="56"/>
      <c r="CN2661" s="56"/>
      <c r="CO2661" s="56"/>
      <c r="CP2661" s="56"/>
      <c r="CQ2661" s="56"/>
      <c r="CR2661" s="56"/>
      <c r="CS2661" s="56"/>
      <c r="CT2661" s="56"/>
      <c r="CU2661" s="56"/>
      <c r="CV2661" s="56"/>
      <c r="CW2661" s="56"/>
      <c r="CX2661" s="56"/>
      <c r="CY2661" s="56"/>
      <c r="CZ2661" s="56"/>
    </row>
    <row r="2662" spans="27:104" s="5" customFormat="1" x14ac:dyDescent="0.25">
      <c r="AA2662" s="56"/>
      <c r="AB2662" s="56"/>
      <c r="AC2662" s="56"/>
      <c r="AD2662" s="56"/>
      <c r="AE2662" s="56"/>
      <c r="AF2662" s="56"/>
      <c r="AG2662" s="56"/>
      <c r="AH2662" s="56"/>
      <c r="AI2662" s="56"/>
      <c r="AJ2662" s="56"/>
      <c r="AK2662" s="56"/>
      <c r="AL2662" s="56"/>
      <c r="AM2662" s="56"/>
      <c r="AN2662" s="56"/>
      <c r="AO2662" s="56"/>
      <c r="AP2662" s="56"/>
      <c r="AQ2662" s="56"/>
      <c r="AR2662" s="56"/>
      <c r="AS2662" s="56"/>
      <c r="AT2662" s="56"/>
      <c r="AU2662" s="56"/>
      <c r="AV2662" s="56"/>
      <c r="AW2662" s="56"/>
      <c r="AX2662" s="56"/>
      <c r="AY2662" s="56"/>
      <c r="AZ2662" s="56"/>
      <c r="BA2662" s="56"/>
      <c r="BB2662" s="16"/>
      <c r="BC2662" s="56"/>
      <c r="BD2662" s="56"/>
      <c r="BE2662" s="56"/>
      <c r="BF2662" s="56"/>
      <c r="BG2662" s="56"/>
      <c r="BH2662" s="56"/>
      <c r="BI2662" s="56"/>
      <c r="BJ2662" s="56"/>
      <c r="BK2662" s="56"/>
      <c r="BL2662" s="56"/>
      <c r="BM2662" s="56"/>
      <c r="BN2662" s="56"/>
      <c r="BO2662" s="56"/>
      <c r="BP2662" s="56"/>
      <c r="BQ2662" s="56"/>
      <c r="BR2662" s="56"/>
      <c r="BS2662" s="56"/>
      <c r="BT2662" s="56"/>
      <c r="BU2662" s="56"/>
      <c r="BV2662" s="56"/>
      <c r="BW2662" s="56"/>
      <c r="BX2662" s="56"/>
      <c r="BY2662" s="56"/>
      <c r="BZ2662" s="56"/>
      <c r="CA2662" s="56"/>
      <c r="CB2662" s="56"/>
      <c r="CC2662" s="56"/>
      <c r="CD2662" s="56"/>
      <c r="CE2662" s="56"/>
      <c r="CF2662" s="56"/>
      <c r="CG2662" s="56"/>
      <c r="CH2662" s="56"/>
      <c r="CI2662" s="56"/>
      <c r="CJ2662" s="56"/>
      <c r="CK2662" s="56"/>
      <c r="CL2662" s="56"/>
      <c r="CM2662" s="56"/>
      <c r="CN2662" s="56"/>
      <c r="CO2662" s="56"/>
      <c r="CP2662" s="56"/>
      <c r="CQ2662" s="56"/>
      <c r="CR2662" s="56"/>
      <c r="CS2662" s="56"/>
      <c r="CT2662" s="56"/>
      <c r="CU2662" s="56"/>
      <c r="CV2662" s="56"/>
      <c r="CW2662" s="56"/>
      <c r="CX2662" s="56"/>
      <c r="CY2662" s="56"/>
      <c r="CZ2662" s="56"/>
    </row>
    <row r="2663" spans="27:104" s="5" customFormat="1" x14ac:dyDescent="0.25">
      <c r="AA2663" s="56"/>
      <c r="AB2663" s="56"/>
      <c r="AC2663" s="56"/>
      <c r="AD2663" s="56"/>
      <c r="AE2663" s="56"/>
      <c r="AF2663" s="56"/>
      <c r="AG2663" s="56"/>
      <c r="AH2663" s="56"/>
      <c r="AI2663" s="56"/>
      <c r="AJ2663" s="56"/>
      <c r="AK2663" s="56"/>
      <c r="AL2663" s="56"/>
      <c r="AM2663" s="56"/>
      <c r="AN2663" s="56"/>
      <c r="AO2663" s="56"/>
      <c r="AP2663" s="56"/>
      <c r="AQ2663" s="56"/>
      <c r="AR2663" s="56"/>
      <c r="AS2663" s="56"/>
      <c r="AT2663" s="56"/>
      <c r="AU2663" s="56"/>
      <c r="AV2663" s="56"/>
      <c r="AW2663" s="56"/>
      <c r="AX2663" s="56"/>
      <c r="AY2663" s="56"/>
      <c r="AZ2663" s="56"/>
      <c r="BA2663" s="56"/>
      <c r="BB2663" s="16"/>
      <c r="BC2663" s="56"/>
      <c r="BD2663" s="56"/>
      <c r="BE2663" s="56"/>
      <c r="BF2663" s="56"/>
      <c r="BG2663" s="56"/>
      <c r="BH2663" s="56"/>
      <c r="BI2663" s="56"/>
      <c r="BJ2663" s="56"/>
      <c r="BK2663" s="56"/>
      <c r="BL2663" s="56"/>
      <c r="BM2663" s="56"/>
      <c r="BN2663" s="56"/>
      <c r="BO2663" s="56"/>
      <c r="BP2663" s="56"/>
      <c r="BQ2663" s="56"/>
      <c r="BR2663" s="56"/>
      <c r="BS2663" s="56"/>
      <c r="BT2663" s="56"/>
      <c r="BU2663" s="56"/>
      <c r="BV2663" s="56"/>
      <c r="BW2663" s="56"/>
      <c r="BX2663" s="56"/>
      <c r="BY2663" s="56"/>
      <c r="BZ2663" s="56"/>
      <c r="CA2663" s="56"/>
      <c r="CB2663" s="56"/>
      <c r="CC2663" s="56"/>
      <c r="CD2663" s="56"/>
      <c r="CE2663" s="56"/>
      <c r="CF2663" s="56"/>
      <c r="CG2663" s="56"/>
      <c r="CH2663" s="56"/>
      <c r="CI2663" s="56"/>
      <c r="CJ2663" s="56"/>
      <c r="CK2663" s="56"/>
      <c r="CL2663" s="56"/>
      <c r="CM2663" s="56"/>
      <c r="CN2663" s="56"/>
      <c r="CO2663" s="56"/>
      <c r="CP2663" s="56"/>
      <c r="CQ2663" s="56"/>
      <c r="CR2663" s="56"/>
      <c r="CS2663" s="56"/>
      <c r="CT2663" s="56"/>
      <c r="CU2663" s="56"/>
      <c r="CV2663" s="56"/>
      <c r="CW2663" s="56"/>
      <c r="CX2663" s="56"/>
      <c r="CY2663" s="56"/>
      <c r="CZ2663" s="56"/>
    </row>
    <row r="2664" spans="27:104" s="5" customFormat="1" x14ac:dyDescent="0.25">
      <c r="AA2664" s="56"/>
      <c r="AB2664" s="56"/>
      <c r="AC2664" s="56"/>
      <c r="AD2664" s="56"/>
      <c r="AE2664" s="56"/>
      <c r="AF2664" s="56"/>
      <c r="AG2664" s="56"/>
      <c r="AH2664" s="56"/>
      <c r="AI2664" s="56"/>
      <c r="AJ2664" s="56"/>
      <c r="AK2664" s="56"/>
      <c r="AL2664" s="56"/>
      <c r="AM2664" s="56"/>
      <c r="AN2664" s="56"/>
      <c r="AO2664" s="56"/>
      <c r="AP2664" s="56"/>
      <c r="AQ2664" s="56"/>
      <c r="AR2664" s="56"/>
      <c r="AS2664" s="56"/>
      <c r="AT2664" s="56"/>
      <c r="AU2664" s="56"/>
      <c r="AV2664" s="56"/>
      <c r="AW2664" s="56"/>
      <c r="AX2664" s="56"/>
      <c r="AY2664" s="56"/>
      <c r="AZ2664" s="56"/>
      <c r="BA2664" s="56"/>
      <c r="BB2664" s="16"/>
      <c r="BC2664" s="56"/>
      <c r="BD2664" s="56"/>
      <c r="BE2664" s="56"/>
      <c r="BF2664" s="56"/>
      <c r="BG2664" s="56"/>
      <c r="BH2664" s="56"/>
      <c r="BI2664" s="56"/>
      <c r="BJ2664" s="56"/>
      <c r="BK2664" s="56"/>
      <c r="BL2664" s="56"/>
      <c r="BM2664" s="56"/>
      <c r="BN2664" s="56"/>
      <c r="BO2664" s="56"/>
      <c r="BP2664" s="56"/>
      <c r="BQ2664" s="56"/>
      <c r="BR2664" s="56"/>
      <c r="BS2664" s="56"/>
      <c r="BT2664" s="56"/>
      <c r="BU2664" s="56"/>
      <c r="BV2664" s="56"/>
      <c r="BW2664" s="56"/>
      <c r="BX2664" s="56"/>
      <c r="BY2664" s="56"/>
      <c r="BZ2664" s="56"/>
      <c r="CA2664" s="56"/>
      <c r="CB2664" s="56"/>
      <c r="CC2664" s="56"/>
      <c r="CD2664" s="56"/>
      <c r="CE2664" s="56"/>
      <c r="CF2664" s="56"/>
      <c r="CG2664" s="56"/>
      <c r="CH2664" s="56"/>
      <c r="CI2664" s="56"/>
      <c r="CJ2664" s="56"/>
      <c r="CK2664" s="56"/>
      <c r="CL2664" s="56"/>
      <c r="CM2664" s="56"/>
      <c r="CN2664" s="56"/>
      <c r="CO2664" s="56"/>
      <c r="CP2664" s="56"/>
      <c r="CQ2664" s="56"/>
      <c r="CR2664" s="56"/>
      <c r="CS2664" s="56"/>
      <c r="CT2664" s="56"/>
      <c r="CU2664" s="56"/>
      <c r="CV2664" s="56"/>
      <c r="CW2664" s="56"/>
      <c r="CX2664" s="56"/>
      <c r="CY2664" s="56"/>
      <c r="CZ2664" s="56"/>
    </row>
    <row r="2665" spans="27:104" s="5" customFormat="1" x14ac:dyDescent="0.25">
      <c r="AA2665" s="56"/>
      <c r="AB2665" s="56"/>
      <c r="AC2665" s="56"/>
      <c r="AD2665" s="56"/>
      <c r="AE2665" s="56"/>
      <c r="AF2665" s="56"/>
      <c r="AG2665" s="56"/>
      <c r="AH2665" s="56"/>
      <c r="AI2665" s="56"/>
      <c r="AJ2665" s="56"/>
      <c r="AK2665" s="56"/>
      <c r="AL2665" s="56"/>
      <c r="AM2665" s="56"/>
      <c r="AN2665" s="56"/>
      <c r="AO2665" s="56"/>
      <c r="AP2665" s="56"/>
      <c r="AQ2665" s="56"/>
      <c r="AR2665" s="56"/>
      <c r="AS2665" s="56"/>
      <c r="AT2665" s="56"/>
      <c r="AU2665" s="56"/>
      <c r="AV2665" s="56"/>
      <c r="AW2665" s="56"/>
      <c r="AX2665" s="56"/>
      <c r="AY2665" s="56"/>
      <c r="AZ2665" s="56"/>
      <c r="BA2665" s="56"/>
      <c r="BB2665" s="16"/>
      <c r="BC2665" s="56"/>
      <c r="BD2665" s="56"/>
      <c r="BE2665" s="56"/>
      <c r="BF2665" s="56"/>
      <c r="BG2665" s="56"/>
      <c r="BH2665" s="56"/>
      <c r="BI2665" s="56"/>
      <c r="BJ2665" s="56"/>
      <c r="BK2665" s="56"/>
      <c r="BL2665" s="56"/>
      <c r="BM2665" s="56"/>
      <c r="BN2665" s="56"/>
      <c r="BO2665" s="56"/>
      <c r="BP2665" s="56"/>
      <c r="BQ2665" s="56"/>
      <c r="BR2665" s="56"/>
      <c r="BS2665" s="56"/>
      <c r="BT2665" s="56"/>
      <c r="BU2665" s="56"/>
      <c r="BV2665" s="56"/>
      <c r="BW2665" s="56"/>
      <c r="BX2665" s="56"/>
      <c r="BY2665" s="56"/>
      <c r="BZ2665" s="56"/>
      <c r="CA2665" s="56"/>
      <c r="CB2665" s="56"/>
      <c r="CC2665" s="56"/>
      <c r="CD2665" s="56"/>
      <c r="CE2665" s="56"/>
      <c r="CF2665" s="56"/>
      <c r="CG2665" s="56"/>
      <c r="CH2665" s="56"/>
      <c r="CI2665" s="56"/>
      <c r="CJ2665" s="56"/>
      <c r="CK2665" s="56"/>
      <c r="CL2665" s="56"/>
      <c r="CM2665" s="56"/>
      <c r="CN2665" s="56"/>
      <c r="CO2665" s="56"/>
      <c r="CP2665" s="56"/>
      <c r="CQ2665" s="56"/>
      <c r="CR2665" s="56"/>
      <c r="CS2665" s="56"/>
      <c r="CT2665" s="56"/>
      <c r="CU2665" s="56"/>
      <c r="CV2665" s="56"/>
      <c r="CW2665" s="56"/>
      <c r="CX2665" s="56"/>
      <c r="CY2665" s="56"/>
      <c r="CZ2665" s="56"/>
    </row>
    <row r="2666" spans="27:104" s="5" customFormat="1" x14ac:dyDescent="0.25">
      <c r="AA2666" s="56"/>
      <c r="AB2666" s="56"/>
      <c r="AC2666" s="56"/>
      <c r="AD2666" s="56"/>
      <c r="AE2666" s="56"/>
      <c r="AF2666" s="56"/>
      <c r="AG2666" s="56"/>
      <c r="AH2666" s="56"/>
      <c r="AI2666" s="56"/>
      <c r="AJ2666" s="56"/>
      <c r="AK2666" s="56"/>
      <c r="AL2666" s="56"/>
      <c r="AM2666" s="56"/>
      <c r="AN2666" s="56"/>
      <c r="AO2666" s="56"/>
      <c r="AP2666" s="56"/>
      <c r="AQ2666" s="56"/>
      <c r="AR2666" s="56"/>
      <c r="AS2666" s="56"/>
      <c r="AT2666" s="56"/>
      <c r="AU2666" s="56"/>
      <c r="AV2666" s="56"/>
      <c r="AW2666" s="56"/>
      <c r="AX2666" s="56"/>
      <c r="AY2666" s="56"/>
      <c r="AZ2666" s="56"/>
      <c r="BA2666" s="56"/>
      <c r="BB2666" s="16"/>
      <c r="BC2666" s="56"/>
      <c r="BD2666" s="56"/>
      <c r="BE2666" s="56"/>
      <c r="BF2666" s="56"/>
      <c r="BG2666" s="56"/>
      <c r="BH2666" s="56"/>
      <c r="BI2666" s="56"/>
      <c r="BJ2666" s="56"/>
      <c r="BK2666" s="56"/>
      <c r="BL2666" s="56"/>
      <c r="BM2666" s="56"/>
      <c r="BN2666" s="56"/>
      <c r="BO2666" s="56"/>
      <c r="BP2666" s="56"/>
      <c r="BQ2666" s="56"/>
      <c r="BR2666" s="56"/>
      <c r="BS2666" s="56"/>
      <c r="BT2666" s="56"/>
      <c r="BU2666" s="56"/>
      <c r="BV2666" s="56"/>
      <c r="BW2666" s="56"/>
      <c r="BX2666" s="56"/>
      <c r="BY2666" s="56"/>
      <c r="BZ2666" s="56"/>
      <c r="CA2666" s="56"/>
      <c r="CB2666" s="56"/>
      <c r="CC2666" s="56"/>
      <c r="CD2666" s="56"/>
      <c r="CE2666" s="56"/>
      <c r="CF2666" s="56"/>
      <c r="CG2666" s="56"/>
      <c r="CH2666" s="56"/>
      <c r="CI2666" s="56"/>
      <c r="CJ2666" s="56"/>
      <c r="CK2666" s="56"/>
      <c r="CL2666" s="56"/>
      <c r="CM2666" s="56"/>
      <c r="CN2666" s="56"/>
      <c r="CO2666" s="56"/>
      <c r="CP2666" s="56"/>
      <c r="CQ2666" s="56"/>
      <c r="CR2666" s="56"/>
      <c r="CS2666" s="56"/>
      <c r="CT2666" s="56"/>
      <c r="CU2666" s="56"/>
      <c r="CV2666" s="56"/>
      <c r="CW2666" s="56"/>
      <c r="CX2666" s="56"/>
      <c r="CY2666" s="56"/>
      <c r="CZ2666" s="56"/>
    </row>
    <row r="2667" spans="27:104" s="5" customFormat="1" x14ac:dyDescent="0.25">
      <c r="AA2667" s="56"/>
      <c r="AB2667" s="56"/>
      <c r="AC2667" s="56"/>
      <c r="AD2667" s="56"/>
      <c r="AE2667" s="56"/>
      <c r="AF2667" s="56"/>
      <c r="AG2667" s="56"/>
      <c r="AH2667" s="56"/>
      <c r="AI2667" s="56"/>
      <c r="AJ2667" s="56"/>
      <c r="AK2667" s="56"/>
      <c r="AL2667" s="56"/>
      <c r="AM2667" s="56"/>
      <c r="AN2667" s="56"/>
      <c r="AO2667" s="56"/>
      <c r="AP2667" s="56"/>
      <c r="AQ2667" s="56"/>
      <c r="AR2667" s="56"/>
      <c r="AS2667" s="56"/>
      <c r="AT2667" s="56"/>
      <c r="AU2667" s="56"/>
      <c r="AV2667" s="56"/>
      <c r="AW2667" s="56"/>
      <c r="AX2667" s="56"/>
      <c r="AY2667" s="56"/>
      <c r="AZ2667" s="56"/>
      <c r="BA2667" s="56"/>
      <c r="BB2667" s="16"/>
      <c r="BC2667" s="56"/>
      <c r="BD2667" s="56"/>
      <c r="BE2667" s="56"/>
      <c r="BF2667" s="56"/>
      <c r="BG2667" s="56"/>
      <c r="BH2667" s="56"/>
      <c r="BI2667" s="56"/>
      <c r="BJ2667" s="56"/>
      <c r="BK2667" s="56"/>
      <c r="BL2667" s="56"/>
      <c r="BM2667" s="56"/>
      <c r="BN2667" s="56"/>
      <c r="BO2667" s="56"/>
      <c r="BP2667" s="56"/>
      <c r="BQ2667" s="56"/>
      <c r="BR2667" s="56"/>
      <c r="BS2667" s="56"/>
      <c r="BT2667" s="56"/>
      <c r="BU2667" s="56"/>
      <c r="BV2667" s="56"/>
      <c r="BW2667" s="56"/>
      <c r="BX2667" s="56"/>
      <c r="BY2667" s="56"/>
      <c r="BZ2667" s="56"/>
      <c r="CA2667" s="56"/>
      <c r="CB2667" s="56"/>
      <c r="CC2667" s="56"/>
      <c r="CD2667" s="56"/>
      <c r="CE2667" s="56"/>
      <c r="CF2667" s="56"/>
      <c r="CG2667" s="56"/>
      <c r="CH2667" s="56"/>
      <c r="CI2667" s="56"/>
      <c r="CJ2667" s="56"/>
      <c r="CK2667" s="56"/>
      <c r="CL2667" s="56"/>
      <c r="CM2667" s="56"/>
      <c r="CN2667" s="56"/>
      <c r="CO2667" s="56"/>
      <c r="CP2667" s="56"/>
      <c r="CQ2667" s="56"/>
      <c r="CR2667" s="56"/>
      <c r="CS2667" s="56"/>
      <c r="CT2667" s="56"/>
      <c r="CU2667" s="56"/>
      <c r="CV2667" s="56"/>
      <c r="CW2667" s="56"/>
      <c r="CX2667" s="56"/>
      <c r="CY2667" s="56"/>
      <c r="CZ2667" s="56"/>
    </row>
    <row r="2668" spans="27:104" s="5" customFormat="1" x14ac:dyDescent="0.25">
      <c r="AA2668" s="56"/>
      <c r="AB2668" s="56"/>
      <c r="AC2668" s="56"/>
      <c r="AD2668" s="56"/>
      <c r="AE2668" s="56"/>
      <c r="AF2668" s="56"/>
      <c r="AG2668" s="56"/>
      <c r="AH2668" s="56"/>
      <c r="AI2668" s="56"/>
      <c r="AJ2668" s="56"/>
      <c r="AK2668" s="56"/>
      <c r="AL2668" s="56"/>
      <c r="AM2668" s="56"/>
      <c r="AN2668" s="56"/>
      <c r="AO2668" s="56"/>
      <c r="AP2668" s="56"/>
      <c r="AQ2668" s="56"/>
      <c r="AR2668" s="56"/>
      <c r="AS2668" s="56"/>
      <c r="AT2668" s="56"/>
      <c r="AU2668" s="56"/>
      <c r="AV2668" s="56"/>
      <c r="AW2668" s="56"/>
      <c r="AX2668" s="56"/>
      <c r="AY2668" s="56"/>
      <c r="AZ2668" s="56"/>
      <c r="BA2668" s="56"/>
      <c r="BB2668" s="16"/>
      <c r="BC2668" s="56"/>
      <c r="BD2668" s="56"/>
      <c r="BE2668" s="56"/>
      <c r="BF2668" s="56"/>
      <c r="BG2668" s="56"/>
      <c r="BH2668" s="56"/>
      <c r="BI2668" s="56"/>
      <c r="BJ2668" s="56"/>
      <c r="BK2668" s="56"/>
      <c r="BL2668" s="56"/>
      <c r="BM2668" s="56"/>
      <c r="BN2668" s="56"/>
      <c r="BO2668" s="56"/>
      <c r="BP2668" s="56"/>
      <c r="BQ2668" s="56"/>
      <c r="BR2668" s="56"/>
      <c r="BS2668" s="56"/>
      <c r="BT2668" s="56"/>
      <c r="BU2668" s="56"/>
      <c r="BV2668" s="56"/>
      <c r="BW2668" s="56"/>
      <c r="BX2668" s="56"/>
      <c r="BY2668" s="56"/>
      <c r="BZ2668" s="56"/>
      <c r="CA2668" s="56"/>
      <c r="CB2668" s="56"/>
      <c r="CC2668" s="56"/>
      <c r="CD2668" s="56"/>
      <c r="CE2668" s="56"/>
      <c r="CF2668" s="56"/>
      <c r="CG2668" s="56"/>
      <c r="CH2668" s="56"/>
      <c r="CI2668" s="56"/>
      <c r="CJ2668" s="56"/>
      <c r="CK2668" s="56"/>
      <c r="CL2668" s="56"/>
      <c r="CM2668" s="56"/>
      <c r="CN2668" s="56"/>
      <c r="CO2668" s="56"/>
      <c r="CP2668" s="56"/>
      <c r="CQ2668" s="56"/>
      <c r="CR2668" s="56"/>
      <c r="CS2668" s="56"/>
      <c r="CT2668" s="56"/>
      <c r="CU2668" s="56"/>
      <c r="CV2668" s="56"/>
      <c r="CW2668" s="56"/>
      <c r="CX2668" s="56"/>
      <c r="CY2668" s="56"/>
      <c r="CZ2668" s="56"/>
    </row>
    <row r="2669" spans="27:104" s="5" customFormat="1" x14ac:dyDescent="0.25">
      <c r="AA2669" s="56"/>
      <c r="AB2669" s="56"/>
      <c r="AC2669" s="56"/>
      <c r="AD2669" s="56"/>
      <c r="AE2669" s="56"/>
      <c r="AF2669" s="56"/>
      <c r="AG2669" s="56"/>
      <c r="AH2669" s="56"/>
      <c r="AI2669" s="56"/>
      <c r="AJ2669" s="56"/>
      <c r="AK2669" s="56"/>
      <c r="AL2669" s="56"/>
      <c r="AM2669" s="56"/>
      <c r="AN2669" s="56"/>
      <c r="AO2669" s="56"/>
      <c r="AP2669" s="56"/>
      <c r="AQ2669" s="56"/>
      <c r="AR2669" s="56"/>
      <c r="AS2669" s="56"/>
      <c r="AT2669" s="56"/>
      <c r="AU2669" s="56"/>
      <c r="AV2669" s="56"/>
      <c r="AW2669" s="56"/>
      <c r="AX2669" s="56"/>
      <c r="AY2669" s="56"/>
      <c r="AZ2669" s="56"/>
      <c r="BA2669" s="56"/>
      <c r="BB2669" s="16"/>
      <c r="BC2669" s="56"/>
      <c r="BD2669" s="56"/>
      <c r="BE2669" s="56"/>
      <c r="BF2669" s="56"/>
      <c r="BG2669" s="56"/>
      <c r="BH2669" s="56"/>
      <c r="BI2669" s="56"/>
      <c r="BJ2669" s="56"/>
      <c r="BK2669" s="56"/>
      <c r="BL2669" s="56"/>
      <c r="BM2669" s="56"/>
      <c r="BN2669" s="56"/>
      <c r="BO2669" s="56"/>
      <c r="BP2669" s="56"/>
      <c r="BQ2669" s="56"/>
      <c r="BR2669" s="56"/>
      <c r="BS2669" s="56"/>
      <c r="BT2669" s="56"/>
      <c r="BU2669" s="56"/>
      <c r="BV2669" s="56"/>
      <c r="BW2669" s="56"/>
      <c r="BX2669" s="56"/>
      <c r="BY2669" s="56"/>
      <c r="BZ2669" s="56"/>
      <c r="CA2669" s="56"/>
      <c r="CB2669" s="56"/>
      <c r="CC2669" s="56"/>
      <c r="CD2669" s="56"/>
      <c r="CE2669" s="56"/>
      <c r="CF2669" s="56"/>
      <c r="CG2669" s="56"/>
      <c r="CH2669" s="56"/>
      <c r="CI2669" s="56"/>
      <c r="CJ2669" s="56"/>
      <c r="CK2669" s="56"/>
      <c r="CL2669" s="56"/>
      <c r="CM2669" s="56"/>
      <c r="CN2669" s="56"/>
      <c r="CO2669" s="56"/>
      <c r="CP2669" s="56"/>
      <c r="CQ2669" s="56"/>
      <c r="CR2669" s="56"/>
      <c r="CS2669" s="56"/>
      <c r="CT2669" s="56"/>
      <c r="CU2669" s="56"/>
      <c r="CV2669" s="56"/>
      <c r="CW2669" s="56"/>
      <c r="CX2669" s="56"/>
      <c r="CY2669" s="56"/>
      <c r="CZ2669" s="56"/>
    </row>
    <row r="2670" spans="27:104" s="5" customFormat="1" x14ac:dyDescent="0.25">
      <c r="AA2670" s="56"/>
      <c r="AB2670" s="56"/>
      <c r="AC2670" s="56"/>
      <c r="AD2670" s="56"/>
      <c r="AE2670" s="56"/>
      <c r="AF2670" s="56"/>
      <c r="AG2670" s="56"/>
      <c r="AH2670" s="56"/>
      <c r="AI2670" s="56"/>
      <c r="AJ2670" s="56"/>
      <c r="AK2670" s="56"/>
      <c r="AL2670" s="56"/>
      <c r="AM2670" s="56"/>
      <c r="AN2670" s="56"/>
      <c r="AO2670" s="56"/>
      <c r="AP2670" s="56"/>
      <c r="AQ2670" s="56"/>
      <c r="AR2670" s="56"/>
      <c r="AS2670" s="56"/>
      <c r="AT2670" s="56"/>
      <c r="AU2670" s="56"/>
      <c r="AV2670" s="56"/>
      <c r="AW2670" s="56"/>
      <c r="AX2670" s="56"/>
      <c r="AY2670" s="56"/>
      <c r="AZ2670" s="56"/>
      <c r="BA2670" s="56"/>
      <c r="BB2670" s="16"/>
      <c r="BC2670" s="56"/>
      <c r="BD2670" s="56"/>
      <c r="BE2670" s="56"/>
      <c r="BF2670" s="56"/>
      <c r="BG2670" s="56"/>
      <c r="BH2670" s="56"/>
      <c r="BI2670" s="56"/>
      <c r="BJ2670" s="56"/>
      <c r="BK2670" s="56"/>
      <c r="BL2670" s="56"/>
      <c r="BM2670" s="56"/>
      <c r="BN2670" s="56"/>
      <c r="BO2670" s="56"/>
      <c r="BP2670" s="56"/>
      <c r="BQ2670" s="56"/>
      <c r="BR2670" s="56"/>
      <c r="BS2670" s="56"/>
      <c r="BT2670" s="56"/>
      <c r="BU2670" s="56"/>
      <c r="BV2670" s="56"/>
      <c r="BW2670" s="56"/>
      <c r="BX2670" s="56"/>
      <c r="BY2670" s="56"/>
      <c r="BZ2670" s="56"/>
      <c r="CA2670" s="56"/>
      <c r="CB2670" s="56"/>
      <c r="CC2670" s="56"/>
      <c r="CD2670" s="56"/>
      <c r="CE2670" s="56"/>
      <c r="CF2670" s="56"/>
      <c r="CG2670" s="56"/>
      <c r="CH2670" s="56"/>
      <c r="CI2670" s="56"/>
      <c r="CJ2670" s="56"/>
      <c r="CK2670" s="56"/>
      <c r="CL2670" s="56"/>
      <c r="CM2670" s="56"/>
      <c r="CN2670" s="56"/>
      <c r="CO2670" s="56"/>
      <c r="CP2670" s="56"/>
      <c r="CQ2670" s="56"/>
      <c r="CR2670" s="56"/>
      <c r="CS2670" s="56"/>
      <c r="CT2670" s="56"/>
      <c r="CU2670" s="56"/>
      <c r="CV2670" s="56"/>
      <c r="CW2670" s="56"/>
      <c r="CX2670" s="56"/>
      <c r="CY2670" s="56"/>
      <c r="CZ2670" s="56"/>
    </row>
    <row r="2671" spans="27:104" s="5" customFormat="1" x14ac:dyDescent="0.25">
      <c r="AA2671" s="56"/>
      <c r="AB2671" s="56"/>
      <c r="AC2671" s="56"/>
      <c r="AD2671" s="56"/>
      <c r="AE2671" s="56"/>
      <c r="AF2671" s="56"/>
      <c r="AG2671" s="56"/>
      <c r="AH2671" s="56"/>
      <c r="AI2671" s="56"/>
      <c r="AJ2671" s="56"/>
      <c r="AK2671" s="56"/>
      <c r="AL2671" s="56"/>
      <c r="AM2671" s="56"/>
      <c r="AN2671" s="56"/>
      <c r="AO2671" s="56"/>
      <c r="AP2671" s="56"/>
      <c r="AQ2671" s="56"/>
      <c r="AR2671" s="56"/>
      <c r="AS2671" s="56"/>
      <c r="AT2671" s="56"/>
      <c r="AU2671" s="56"/>
      <c r="AV2671" s="56"/>
      <c r="AW2671" s="56"/>
      <c r="AX2671" s="56"/>
      <c r="AY2671" s="56"/>
      <c r="AZ2671" s="56"/>
      <c r="BA2671" s="56"/>
      <c r="BB2671" s="16"/>
      <c r="BC2671" s="56"/>
      <c r="BD2671" s="56"/>
      <c r="BE2671" s="56"/>
      <c r="BF2671" s="56"/>
      <c r="BG2671" s="56"/>
      <c r="BH2671" s="56"/>
      <c r="BI2671" s="56"/>
      <c r="BJ2671" s="56"/>
      <c r="BK2671" s="56"/>
      <c r="BL2671" s="56"/>
      <c r="BM2671" s="56"/>
      <c r="BN2671" s="56"/>
      <c r="BO2671" s="56"/>
      <c r="BP2671" s="56"/>
      <c r="BQ2671" s="56"/>
      <c r="BR2671" s="56"/>
      <c r="BS2671" s="56"/>
      <c r="BT2671" s="56"/>
      <c r="BU2671" s="56"/>
      <c r="BV2671" s="56"/>
      <c r="BW2671" s="56"/>
      <c r="BX2671" s="56"/>
      <c r="BY2671" s="56"/>
      <c r="BZ2671" s="56"/>
      <c r="CA2671" s="56"/>
      <c r="CB2671" s="56"/>
      <c r="CC2671" s="56"/>
      <c r="CD2671" s="56"/>
      <c r="CE2671" s="56"/>
      <c r="CF2671" s="56"/>
      <c r="CG2671" s="56"/>
      <c r="CH2671" s="56"/>
      <c r="CI2671" s="56"/>
      <c r="CJ2671" s="56"/>
      <c r="CK2671" s="56"/>
      <c r="CL2671" s="56"/>
      <c r="CM2671" s="56"/>
      <c r="CN2671" s="56"/>
      <c r="CO2671" s="56"/>
      <c r="CP2671" s="56"/>
      <c r="CQ2671" s="56"/>
      <c r="CR2671" s="56"/>
      <c r="CS2671" s="56"/>
      <c r="CT2671" s="56"/>
      <c r="CU2671" s="56"/>
      <c r="CV2671" s="56"/>
      <c r="CW2671" s="56"/>
      <c r="CX2671" s="56"/>
      <c r="CY2671" s="56"/>
      <c r="CZ2671" s="56"/>
    </row>
    <row r="2672" spans="27:104" s="5" customFormat="1" x14ac:dyDescent="0.25">
      <c r="AA2672" s="56"/>
      <c r="AB2672" s="56"/>
      <c r="AC2672" s="56"/>
      <c r="AD2672" s="56"/>
      <c r="AE2672" s="56"/>
      <c r="AF2672" s="56"/>
      <c r="AG2672" s="56"/>
      <c r="AH2672" s="56"/>
      <c r="AI2672" s="56"/>
      <c r="AJ2672" s="56"/>
      <c r="AK2672" s="56"/>
      <c r="AL2672" s="56"/>
      <c r="AM2672" s="56"/>
      <c r="AN2672" s="56"/>
      <c r="AO2672" s="56"/>
      <c r="AP2672" s="56"/>
      <c r="AQ2672" s="56"/>
      <c r="AR2672" s="56"/>
      <c r="AS2672" s="56"/>
      <c r="AT2672" s="56"/>
      <c r="AU2672" s="56"/>
      <c r="AV2672" s="56"/>
      <c r="AW2672" s="56"/>
      <c r="AX2672" s="56"/>
      <c r="AY2672" s="56"/>
      <c r="AZ2672" s="56"/>
      <c r="BA2672" s="56"/>
      <c r="BB2672" s="16"/>
      <c r="BC2672" s="56"/>
      <c r="BD2672" s="56"/>
      <c r="BE2672" s="56"/>
      <c r="BF2672" s="56"/>
      <c r="BG2672" s="56"/>
      <c r="BH2672" s="56"/>
      <c r="BI2672" s="56"/>
      <c r="BJ2672" s="56"/>
      <c r="BK2672" s="56"/>
      <c r="BL2672" s="56"/>
      <c r="BM2672" s="56"/>
      <c r="BN2672" s="56"/>
      <c r="BO2672" s="56"/>
      <c r="BP2672" s="56"/>
      <c r="BQ2672" s="56"/>
      <c r="BR2672" s="56"/>
      <c r="BS2672" s="56"/>
      <c r="BT2672" s="56"/>
      <c r="BU2672" s="56"/>
      <c r="BV2672" s="56"/>
      <c r="BW2672" s="56"/>
      <c r="BX2672" s="56"/>
      <c r="BY2672" s="56"/>
      <c r="BZ2672" s="56"/>
      <c r="CA2672" s="56"/>
      <c r="CB2672" s="56"/>
      <c r="CC2672" s="56"/>
      <c r="CD2672" s="56"/>
      <c r="CE2672" s="56"/>
      <c r="CF2672" s="56"/>
      <c r="CG2672" s="56"/>
      <c r="CH2672" s="56"/>
      <c r="CI2672" s="56"/>
      <c r="CJ2672" s="56"/>
      <c r="CK2672" s="56"/>
      <c r="CL2672" s="56"/>
      <c r="CM2672" s="56"/>
      <c r="CN2672" s="56"/>
      <c r="CO2672" s="56"/>
      <c r="CP2672" s="56"/>
      <c r="CQ2672" s="56"/>
      <c r="CR2672" s="56"/>
      <c r="CS2672" s="56"/>
      <c r="CT2672" s="56"/>
      <c r="CU2672" s="56"/>
      <c r="CV2672" s="56"/>
      <c r="CW2672" s="56"/>
      <c r="CX2672" s="56"/>
      <c r="CY2672" s="56"/>
      <c r="CZ2672" s="56"/>
    </row>
    <row r="2673" spans="27:104" s="5" customFormat="1" x14ac:dyDescent="0.25">
      <c r="AA2673" s="56"/>
      <c r="AB2673" s="56"/>
      <c r="AC2673" s="56"/>
      <c r="AD2673" s="56"/>
      <c r="AE2673" s="56"/>
      <c r="AF2673" s="56"/>
      <c r="AG2673" s="56"/>
      <c r="AH2673" s="56"/>
      <c r="AI2673" s="56"/>
      <c r="AJ2673" s="56"/>
      <c r="AK2673" s="56"/>
      <c r="AL2673" s="56"/>
      <c r="AM2673" s="56"/>
      <c r="AN2673" s="56"/>
      <c r="AO2673" s="56"/>
      <c r="AP2673" s="56"/>
      <c r="AQ2673" s="56"/>
      <c r="AR2673" s="56"/>
      <c r="AS2673" s="56"/>
      <c r="AT2673" s="56"/>
      <c r="AU2673" s="56"/>
      <c r="AV2673" s="56"/>
      <c r="AW2673" s="56"/>
      <c r="AX2673" s="56"/>
      <c r="AY2673" s="56"/>
      <c r="AZ2673" s="56"/>
      <c r="BA2673" s="56"/>
      <c r="BB2673" s="16"/>
      <c r="BC2673" s="56"/>
      <c r="BD2673" s="56"/>
      <c r="BE2673" s="56"/>
      <c r="BF2673" s="56"/>
      <c r="BG2673" s="56"/>
      <c r="BH2673" s="56"/>
      <c r="BI2673" s="56"/>
      <c r="BJ2673" s="56"/>
      <c r="BK2673" s="56"/>
      <c r="BL2673" s="56"/>
      <c r="BM2673" s="56"/>
      <c r="BN2673" s="56"/>
      <c r="BO2673" s="56"/>
      <c r="BP2673" s="56"/>
      <c r="BQ2673" s="56"/>
      <c r="BR2673" s="56"/>
      <c r="BS2673" s="56"/>
      <c r="BT2673" s="56"/>
      <c r="BU2673" s="56"/>
      <c r="BV2673" s="56"/>
      <c r="BW2673" s="56"/>
      <c r="BX2673" s="56"/>
      <c r="BY2673" s="56"/>
      <c r="BZ2673" s="56"/>
      <c r="CA2673" s="56"/>
      <c r="CB2673" s="56"/>
      <c r="CC2673" s="56"/>
      <c r="CD2673" s="56"/>
      <c r="CE2673" s="56"/>
      <c r="CF2673" s="56"/>
      <c r="CG2673" s="56"/>
      <c r="CH2673" s="56"/>
      <c r="CI2673" s="56"/>
      <c r="CJ2673" s="56"/>
      <c r="CK2673" s="56"/>
      <c r="CL2673" s="56"/>
      <c r="CM2673" s="56"/>
      <c r="CN2673" s="56"/>
      <c r="CO2673" s="56"/>
      <c r="CP2673" s="56"/>
      <c r="CQ2673" s="56"/>
      <c r="CR2673" s="56"/>
      <c r="CS2673" s="56"/>
      <c r="CT2673" s="56"/>
      <c r="CU2673" s="56"/>
      <c r="CV2673" s="56"/>
      <c r="CW2673" s="56"/>
      <c r="CX2673" s="56"/>
      <c r="CY2673" s="56"/>
      <c r="CZ2673" s="56"/>
    </row>
    <row r="2674" spans="27:104" s="5" customFormat="1" x14ac:dyDescent="0.25">
      <c r="AA2674" s="56"/>
      <c r="AB2674" s="56"/>
      <c r="AC2674" s="56"/>
      <c r="AD2674" s="56"/>
      <c r="AE2674" s="56"/>
      <c r="AF2674" s="56"/>
      <c r="AG2674" s="56"/>
      <c r="AH2674" s="56"/>
      <c r="AI2674" s="56"/>
      <c r="AJ2674" s="56"/>
      <c r="AK2674" s="56"/>
      <c r="AL2674" s="56"/>
      <c r="AM2674" s="56"/>
      <c r="AN2674" s="56"/>
      <c r="AO2674" s="56"/>
      <c r="AP2674" s="56"/>
      <c r="AQ2674" s="56"/>
      <c r="AR2674" s="56"/>
      <c r="AS2674" s="56"/>
      <c r="AT2674" s="56"/>
      <c r="AU2674" s="56"/>
      <c r="AV2674" s="56"/>
      <c r="AW2674" s="56"/>
      <c r="AX2674" s="56"/>
      <c r="AY2674" s="56"/>
      <c r="AZ2674" s="56"/>
      <c r="BA2674" s="56"/>
      <c r="BB2674" s="16"/>
      <c r="BC2674" s="56"/>
      <c r="BD2674" s="56"/>
      <c r="BE2674" s="56"/>
      <c r="BF2674" s="56"/>
      <c r="BG2674" s="56"/>
      <c r="BH2674" s="56"/>
      <c r="BI2674" s="56"/>
      <c r="BJ2674" s="56"/>
      <c r="BK2674" s="56"/>
      <c r="BL2674" s="56"/>
      <c r="BM2674" s="56"/>
      <c r="BN2674" s="56"/>
      <c r="BO2674" s="56"/>
      <c r="BP2674" s="56"/>
      <c r="BQ2674" s="56"/>
      <c r="BR2674" s="56"/>
      <c r="BS2674" s="56"/>
      <c r="BT2674" s="56"/>
      <c r="BU2674" s="56"/>
      <c r="BV2674" s="56"/>
      <c r="BW2674" s="56"/>
      <c r="BX2674" s="56"/>
      <c r="BY2674" s="56"/>
      <c r="BZ2674" s="56"/>
      <c r="CA2674" s="56"/>
      <c r="CB2674" s="56"/>
      <c r="CC2674" s="56"/>
      <c r="CD2674" s="56"/>
      <c r="CE2674" s="56"/>
      <c r="CF2674" s="56"/>
      <c r="CG2674" s="56"/>
      <c r="CH2674" s="56"/>
      <c r="CI2674" s="56"/>
      <c r="CJ2674" s="56"/>
      <c r="CK2674" s="56"/>
      <c r="CL2674" s="56"/>
      <c r="CM2674" s="56"/>
      <c r="CN2674" s="56"/>
      <c r="CO2674" s="56"/>
      <c r="CP2674" s="56"/>
      <c r="CQ2674" s="56"/>
      <c r="CR2674" s="56"/>
      <c r="CS2674" s="56"/>
      <c r="CT2674" s="56"/>
      <c r="CU2674" s="56"/>
      <c r="CV2674" s="56"/>
      <c r="CW2674" s="56"/>
      <c r="CX2674" s="56"/>
      <c r="CY2674" s="56"/>
      <c r="CZ2674" s="56"/>
    </row>
    <row r="2675" spans="27:104" s="5" customFormat="1" x14ac:dyDescent="0.25">
      <c r="AA2675" s="56"/>
      <c r="AB2675" s="56"/>
      <c r="AC2675" s="56"/>
      <c r="AD2675" s="56"/>
      <c r="AE2675" s="56"/>
      <c r="AF2675" s="56"/>
      <c r="AG2675" s="56"/>
      <c r="AH2675" s="56"/>
      <c r="AI2675" s="56"/>
      <c r="AJ2675" s="56"/>
      <c r="AK2675" s="56"/>
      <c r="AL2675" s="56"/>
      <c r="AM2675" s="56"/>
      <c r="AN2675" s="56"/>
      <c r="AO2675" s="56"/>
      <c r="AP2675" s="56"/>
      <c r="AQ2675" s="56"/>
      <c r="AR2675" s="56"/>
      <c r="AS2675" s="56"/>
      <c r="AT2675" s="56"/>
      <c r="AU2675" s="56"/>
      <c r="AV2675" s="56"/>
      <c r="AW2675" s="56"/>
      <c r="AX2675" s="56"/>
      <c r="AY2675" s="56"/>
      <c r="AZ2675" s="56"/>
      <c r="BA2675" s="56"/>
      <c r="BB2675" s="16"/>
      <c r="BC2675" s="56"/>
      <c r="BD2675" s="56"/>
      <c r="BE2675" s="56"/>
      <c r="BF2675" s="56"/>
      <c r="BG2675" s="56"/>
      <c r="BH2675" s="56"/>
      <c r="BI2675" s="56"/>
      <c r="BJ2675" s="56"/>
      <c r="BK2675" s="56"/>
      <c r="BL2675" s="56"/>
      <c r="BM2675" s="56"/>
      <c r="BN2675" s="56"/>
      <c r="BO2675" s="56"/>
      <c r="BP2675" s="56"/>
      <c r="BQ2675" s="56"/>
      <c r="BR2675" s="56"/>
      <c r="BS2675" s="56"/>
      <c r="BT2675" s="56"/>
      <c r="BU2675" s="56"/>
      <c r="BV2675" s="56"/>
      <c r="BW2675" s="56"/>
      <c r="BX2675" s="56"/>
      <c r="BY2675" s="56"/>
      <c r="BZ2675" s="56"/>
      <c r="CA2675" s="56"/>
      <c r="CB2675" s="56"/>
      <c r="CC2675" s="56"/>
      <c r="CD2675" s="56"/>
      <c r="CE2675" s="56"/>
      <c r="CF2675" s="56"/>
      <c r="CG2675" s="56"/>
      <c r="CH2675" s="56"/>
      <c r="CI2675" s="56"/>
      <c r="CJ2675" s="56"/>
      <c r="CK2675" s="56"/>
      <c r="CL2675" s="56"/>
      <c r="CM2675" s="56"/>
      <c r="CN2675" s="56"/>
      <c r="CO2675" s="56"/>
      <c r="CP2675" s="56"/>
      <c r="CQ2675" s="56"/>
      <c r="CR2675" s="56"/>
      <c r="CS2675" s="56"/>
      <c r="CT2675" s="56"/>
      <c r="CU2675" s="56"/>
      <c r="CV2675" s="56"/>
      <c r="CW2675" s="56"/>
      <c r="CX2675" s="56"/>
      <c r="CY2675" s="56"/>
      <c r="CZ2675" s="56"/>
    </row>
    <row r="2676" spans="27:104" s="5" customFormat="1" x14ac:dyDescent="0.25">
      <c r="AA2676" s="56"/>
      <c r="AB2676" s="56"/>
      <c r="AC2676" s="56"/>
      <c r="AD2676" s="56"/>
      <c r="AE2676" s="56"/>
      <c r="AF2676" s="56"/>
      <c r="AG2676" s="56"/>
      <c r="AH2676" s="56"/>
      <c r="AI2676" s="56"/>
      <c r="AJ2676" s="56"/>
      <c r="AK2676" s="56"/>
      <c r="AL2676" s="56"/>
      <c r="AM2676" s="56"/>
      <c r="AN2676" s="56"/>
      <c r="AO2676" s="56"/>
      <c r="AP2676" s="56"/>
      <c r="AQ2676" s="56"/>
      <c r="AR2676" s="56"/>
      <c r="AS2676" s="56"/>
      <c r="AT2676" s="56"/>
      <c r="AU2676" s="56"/>
      <c r="AV2676" s="56"/>
      <c r="AW2676" s="56"/>
      <c r="AX2676" s="56"/>
      <c r="AY2676" s="56"/>
      <c r="AZ2676" s="56"/>
      <c r="BA2676" s="56"/>
      <c r="BB2676" s="16"/>
      <c r="BC2676" s="56"/>
      <c r="BD2676" s="56"/>
      <c r="BE2676" s="56"/>
      <c r="BF2676" s="56"/>
      <c r="BG2676" s="56"/>
      <c r="BH2676" s="56"/>
      <c r="BI2676" s="56"/>
      <c r="BJ2676" s="56"/>
      <c r="BK2676" s="56"/>
      <c r="BL2676" s="56"/>
      <c r="BM2676" s="56"/>
      <c r="BN2676" s="56"/>
      <c r="BO2676" s="56"/>
      <c r="BP2676" s="56"/>
      <c r="BQ2676" s="56"/>
      <c r="BR2676" s="56"/>
      <c r="BS2676" s="56"/>
      <c r="BT2676" s="56"/>
      <c r="BU2676" s="56"/>
      <c r="BV2676" s="56"/>
      <c r="BW2676" s="56"/>
      <c r="BX2676" s="56"/>
      <c r="BY2676" s="56"/>
      <c r="BZ2676" s="56"/>
      <c r="CA2676" s="56"/>
      <c r="CB2676" s="56"/>
      <c r="CC2676" s="56"/>
      <c r="CD2676" s="56"/>
      <c r="CE2676" s="56"/>
      <c r="CF2676" s="56"/>
      <c r="CG2676" s="56"/>
      <c r="CH2676" s="56"/>
      <c r="CI2676" s="56"/>
      <c r="CJ2676" s="56"/>
      <c r="CK2676" s="56"/>
      <c r="CL2676" s="56"/>
      <c r="CM2676" s="56"/>
      <c r="CN2676" s="56"/>
      <c r="CO2676" s="56"/>
      <c r="CP2676" s="56"/>
      <c r="CQ2676" s="56"/>
      <c r="CR2676" s="56"/>
      <c r="CS2676" s="56"/>
      <c r="CT2676" s="56"/>
      <c r="CU2676" s="56"/>
      <c r="CV2676" s="56"/>
      <c r="CW2676" s="56"/>
      <c r="CX2676" s="56"/>
      <c r="CY2676" s="56"/>
      <c r="CZ2676" s="56"/>
    </row>
    <row r="2677" spans="27:104" s="5" customFormat="1" x14ac:dyDescent="0.25">
      <c r="AA2677" s="56"/>
      <c r="AB2677" s="56"/>
      <c r="AC2677" s="56"/>
      <c r="AD2677" s="56"/>
      <c r="AE2677" s="56"/>
      <c r="AF2677" s="56"/>
      <c r="AG2677" s="56"/>
      <c r="AH2677" s="56"/>
      <c r="AI2677" s="56"/>
      <c r="AJ2677" s="56"/>
      <c r="AK2677" s="56"/>
      <c r="AL2677" s="56"/>
      <c r="AM2677" s="56"/>
      <c r="AN2677" s="56"/>
      <c r="AO2677" s="56"/>
      <c r="AP2677" s="56"/>
      <c r="AQ2677" s="56"/>
      <c r="AR2677" s="56"/>
      <c r="AS2677" s="56"/>
      <c r="AT2677" s="56"/>
      <c r="AU2677" s="56"/>
      <c r="AV2677" s="56"/>
      <c r="AW2677" s="56"/>
      <c r="AX2677" s="56"/>
      <c r="AY2677" s="56"/>
      <c r="AZ2677" s="56"/>
      <c r="BA2677" s="56"/>
      <c r="BB2677" s="16"/>
      <c r="BC2677" s="56"/>
      <c r="BD2677" s="56"/>
      <c r="BE2677" s="56"/>
      <c r="BF2677" s="56"/>
      <c r="BG2677" s="56"/>
      <c r="BH2677" s="56"/>
      <c r="BI2677" s="56"/>
      <c r="BJ2677" s="56"/>
      <c r="BK2677" s="56"/>
      <c r="BL2677" s="56"/>
      <c r="BM2677" s="56"/>
      <c r="BN2677" s="56"/>
      <c r="BO2677" s="56"/>
      <c r="BP2677" s="56"/>
      <c r="BQ2677" s="56"/>
      <c r="BR2677" s="56"/>
      <c r="BS2677" s="56"/>
      <c r="BT2677" s="56"/>
      <c r="BU2677" s="56"/>
      <c r="BV2677" s="56"/>
      <c r="BW2677" s="56"/>
      <c r="BX2677" s="56"/>
      <c r="BY2677" s="56"/>
      <c r="BZ2677" s="56"/>
      <c r="CA2677" s="56"/>
      <c r="CB2677" s="56"/>
      <c r="CC2677" s="56"/>
      <c r="CD2677" s="56"/>
      <c r="CE2677" s="56"/>
      <c r="CF2677" s="56"/>
      <c r="CG2677" s="56"/>
      <c r="CH2677" s="56"/>
      <c r="CI2677" s="56"/>
      <c r="CJ2677" s="56"/>
      <c r="CK2677" s="56"/>
      <c r="CL2677" s="56"/>
      <c r="CM2677" s="56"/>
      <c r="CN2677" s="56"/>
      <c r="CO2677" s="56"/>
      <c r="CP2677" s="56"/>
      <c r="CQ2677" s="56"/>
      <c r="CR2677" s="56"/>
      <c r="CS2677" s="56"/>
      <c r="CT2677" s="56"/>
      <c r="CU2677" s="56"/>
      <c r="CV2677" s="56"/>
      <c r="CW2677" s="56"/>
      <c r="CX2677" s="56"/>
      <c r="CY2677" s="56"/>
      <c r="CZ2677" s="56"/>
    </row>
    <row r="2678" spans="27:104" s="5" customFormat="1" x14ac:dyDescent="0.25">
      <c r="AA2678" s="56"/>
      <c r="AB2678" s="56"/>
      <c r="AC2678" s="56"/>
      <c r="AD2678" s="56"/>
      <c r="AE2678" s="56"/>
      <c r="AF2678" s="56"/>
      <c r="AG2678" s="56"/>
      <c r="AH2678" s="56"/>
      <c r="AI2678" s="56"/>
      <c r="AJ2678" s="56"/>
      <c r="AK2678" s="56"/>
      <c r="AL2678" s="56"/>
      <c r="AM2678" s="56"/>
      <c r="AN2678" s="56"/>
      <c r="AO2678" s="56"/>
      <c r="AP2678" s="56"/>
      <c r="AQ2678" s="56"/>
      <c r="AR2678" s="56"/>
      <c r="AS2678" s="56"/>
      <c r="AT2678" s="56"/>
      <c r="AU2678" s="56"/>
      <c r="AV2678" s="56"/>
      <c r="AW2678" s="56"/>
      <c r="AX2678" s="56"/>
      <c r="AY2678" s="56"/>
      <c r="AZ2678" s="56"/>
      <c r="BA2678" s="56"/>
      <c r="BB2678" s="16"/>
      <c r="BC2678" s="56"/>
      <c r="BD2678" s="56"/>
      <c r="BE2678" s="56"/>
      <c r="BF2678" s="56"/>
      <c r="BG2678" s="56"/>
      <c r="BH2678" s="56"/>
      <c r="BI2678" s="56"/>
      <c r="BJ2678" s="56"/>
      <c r="BK2678" s="56"/>
      <c r="BL2678" s="56"/>
      <c r="BM2678" s="56"/>
      <c r="BN2678" s="56"/>
      <c r="BO2678" s="56"/>
      <c r="BP2678" s="56"/>
      <c r="BQ2678" s="56"/>
      <c r="BR2678" s="56"/>
      <c r="BS2678" s="56"/>
      <c r="BT2678" s="56"/>
      <c r="BU2678" s="56"/>
      <c r="BV2678" s="56"/>
      <c r="BW2678" s="56"/>
      <c r="BX2678" s="56"/>
      <c r="BY2678" s="56"/>
      <c r="BZ2678" s="56"/>
      <c r="CA2678" s="56"/>
      <c r="CB2678" s="56"/>
      <c r="CC2678" s="56"/>
      <c r="CD2678" s="56"/>
      <c r="CE2678" s="56"/>
      <c r="CF2678" s="56"/>
      <c r="CG2678" s="56"/>
      <c r="CH2678" s="56"/>
      <c r="CI2678" s="56"/>
      <c r="CJ2678" s="56"/>
      <c r="CK2678" s="56"/>
      <c r="CL2678" s="56"/>
      <c r="CM2678" s="56"/>
      <c r="CN2678" s="56"/>
      <c r="CO2678" s="56"/>
      <c r="CP2678" s="56"/>
      <c r="CQ2678" s="56"/>
      <c r="CR2678" s="56"/>
      <c r="CS2678" s="56"/>
      <c r="CT2678" s="56"/>
      <c r="CU2678" s="56"/>
      <c r="CV2678" s="56"/>
      <c r="CW2678" s="56"/>
      <c r="CX2678" s="56"/>
      <c r="CY2678" s="56"/>
      <c r="CZ2678" s="56"/>
    </row>
    <row r="2679" spans="27:104" s="5" customFormat="1" x14ac:dyDescent="0.25">
      <c r="AA2679" s="56"/>
      <c r="AB2679" s="56"/>
      <c r="AC2679" s="56"/>
      <c r="AD2679" s="56"/>
      <c r="AE2679" s="56"/>
      <c r="AF2679" s="56"/>
      <c r="AG2679" s="56"/>
      <c r="AH2679" s="56"/>
      <c r="AI2679" s="56"/>
      <c r="AJ2679" s="56"/>
      <c r="AK2679" s="56"/>
      <c r="AL2679" s="56"/>
      <c r="AM2679" s="56"/>
      <c r="AN2679" s="56"/>
      <c r="AO2679" s="56"/>
      <c r="AP2679" s="56"/>
      <c r="AQ2679" s="56"/>
      <c r="AR2679" s="56"/>
      <c r="AS2679" s="56"/>
      <c r="AT2679" s="56"/>
      <c r="AU2679" s="56"/>
      <c r="AV2679" s="56"/>
      <c r="AW2679" s="56"/>
      <c r="AX2679" s="56"/>
      <c r="AY2679" s="56"/>
      <c r="AZ2679" s="56"/>
      <c r="BA2679" s="56"/>
      <c r="BB2679" s="16"/>
      <c r="BC2679" s="56"/>
      <c r="BD2679" s="56"/>
      <c r="BE2679" s="56"/>
      <c r="BF2679" s="56"/>
      <c r="BG2679" s="56"/>
      <c r="BH2679" s="56"/>
      <c r="BI2679" s="56"/>
      <c r="BJ2679" s="56"/>
      <c r="BK2679" s="56"/>
      <c r="BL2679" s="56"/>
      <c r="BM2679" s="56"/>
      <c r="BN2679" s="56"/>
      <c r="BO2679" s="56"/>
      <c r="BP2679" s="56"/>
      <c r="BQ2679" s="56"/>
      <c r="BR2679" s="56"/>
      <c r="BS2679" s="56"/>
      <c r="BT2679" s="56"/>
      <c r="BU2679" s="56"/>
      <c r="BV2679" s="56"/>
      <c r="BW2679" s="56"/>
      <c r="BX2679" s="56"/>
      <c r="BY2679" s="56"/>
      <c r="BZ2679" s="56"/>
      <c r="CA2679" s="56"/>
      <c r="CB2679" s="56"/>
      <c r="CC2679" s="56"/>
      <c r="CD2679" s="56"/>
      <c r="CE2679" s="56"/>
      <c r="CF2679" s="56"/>
      <c r="CG2679" s="56"/>
      <c r="CH2679" s="56"/>
      <c r="CI2679" s="56"/>
      <c r="CJ2679" s="56"/>
      <c r="CK2679" s="56"/>
      <c r="CL2679" s="56"/>
      <c r="CM2679" s="56"/>
      <c r="CN2679" s="56"/>
      <c r="CO2679" s="56"/>
      <c r="CP2679" s="56"/>
      <c r="CQ2679" s="56"/>
      <c r="CR2679" s="56"/>
      <c r="CS2679" s="56"/>
      <c r="CT2679" s="56"/>
      <c r="CU2679" s="56"/>
      <c r="CV2679" s="56"/>
      <c r="CW2679" s="56"/>
      <c r="CX2679" s="56"/>
      <c r="CY2679" s="56"/>
      <c r="CZ2679" s="56"/>
    </row>
    <row r="2680" spans="27:104" s="5" customFormat="1" x14ac:dyDescent="0.25">
      <c r="AA2680" s="56"/>
      <c r="AB2680" s="56"/>
      <c r="AC2680" s="56"/>
      <c r="AD2680" s="56"/>
      <c r="AE2680" s="56"/>
      <c r="AF2680" s="56"/>
      <c r="AG2680" s="56"/>
      <c r="AH2680" s="56"/>
      <c r="AI2680" s="56"/>
      <c r="AJ2680" s="56"/>
      <c r="AK2680" s="56"/>
      <c r="AL2680" s="56"/>
      <c r="AM2680" s="56"/>
      <c r="AN2680" s="56"/>
      <c r="AO2680" s="56"/>
      <c r="AP2680" s="56"/>
      <c r="AQ2680" s="56"/>
      <c r="AR2680" s="56"/>
      <c r="AS2680" s="56"/>
      <c r="AT2680" s="56"/>
      <c r="AU2680" s="56"/>
      <c r="AV2680" s="56"/>
      <c r="AW2680" s="56"/>
      <c r="AX2680" s="56"/>
      <c r="AY2680" s="56"/>
      <c r="AZ2680" s="56"/>
      <c r="BA2680" s="56"/>
      <c r="BB2680" s="16"/>
      <c r="BC2680" s="56"/>
      <c r="BD2680" s="56"/>
      <c r="BE2680" s="56"/>
      <c r="BF2680" s="56"/>
      <c r="BG2680" s="56"/>
      <c r="BH2680" s="56"/>
      <c r="BI2680" s="56"/>
      <c r="BJ2680" s="56"/>
      <c r="BK2680" s="56"/>
      <c r="BL2680" s="56"/>
      <c r="BM2680" s="56"/>
      <c r="BN2680" s="56"/>
      <c r="BO2680" s="56"/>
      <c r="BP2680" s="56"/>
      <c r="BQ2680" s="56"/>
      <c r="BR2680" s="56"/>
      <c r="BS2680" s="56"/>
      <c r="BT2680" s="56"/>
      <c r="BU2680" s="56"/>
      <c r="BV2680" s="56"/>
      <c r="BW2680" s="56"/>
      <c r="BX2680" s="56"/>
      <c r="BY2680" s="56"/>
      <c r="BZ2680" s="56"/>
      <c r="CA2680" s="56"/>
      <c r="CB2680" s="56"/>
      <c r="CC2680" s="56"/>
      <c r="CD2680" s="56"/>
      <c r="CE2680" s="56"/>
      <c r="CF2680" s="56"/>
      <c r="CG2680" s="56"/>
      <c r="CH2680" s="56"/>
      <c r="CI2680" s="56"/>
      <c r="CJ2680" s="56"/>
      <c r="CK2680" s="56"/>
      <c r="CL2680" s="56"/>
      <c r="CM2680" s="56"/>
      <c r="CN2680" s="56"/>
      <c r="CO2680" s="56"/>
      <c r="CP2680" s="56"/>
      <c r="CQ2680" s="56"/>
      <c r="CR2680" s="56"/>
      <c r="CS2680" s="56"/>
      <c r="CT2680" s="56"/>
      <c r="CU2680" s="56"/>
      <c r="CV2680" s="56"/>
      <c r="CW2680" s="56"/>
      <c r="CX2680" s="56"/>
      <c r="CY2680" s="56"/>
      <c r="CZ2680" s="56"/>
    </row>
    <row r="2681" spans="27:104" s="5" customFormat="1" x14ac:dyDescent="0.25">
      <c r="AA2681" s="56"/>
      <c r="AB2681" s="56"/>
      <c r="AC2681" s="56"/>
      <c r="AD2681" s="56"/>
      <c r="AE2681" s="56"/>
      <c r="AF2681" s="56"/>
      <c r="AG2681" s="56"/>
      <c r="AH2681" s="56"/>
      <c r="AI2681" s="56"/>
      <c r="AJ2681" s="56"/>
      <c r="AK2681" s="56"/>
      <c r="AL2681" s="56"/>
      <c r="AM2681" s="56"/>
      <c r="AN2681" s="56"/>
      <c r="AO2681" s="56"/>
      <c r="AP2681" s="56"/>
      <c r="AQ2681" s="56"/>
      <c r="AR2681" s="56"/>
      <c r="AS2681" s="56"/>
      <c r="AT2681" s="56"/>
      <c r="AU2681" s="56"/>
      <c r="AV2681" s="56"/>
      <c r="AW2681" s="56"/>
      <c r="AX2681" s="56"/>
      <c r="AY2681" s="56"/>
      <c r="AZ2681" s="56"/>
      <c r="BA2681" s="56"/>
      <c r="BB2681" s="16"/>
      <c r="BC2681" s="56"/>
      <c r="BD2681" s="56"/>
      <c r="BE2681" s="56"/>
      <c r="BF2681" s="56"/>
      <c r="BG2681" s="56"/>
      <c r="BH2681" s="56"/>
      <c r="BI2681" s="56"/>
      <c r="BJ2681" s="56"/>
      <c r="BK2681" s="56"/>
      <c r="BL2681" s="56"/>
      <c r="BM2681" s="56"/>
      <c r="BN2681" s="56"/>
      <c r="BO2681" s="56"/>
      <c r="BP2681" s="56"/>
      <c r="BQ2681" s="56"/>
      <c r="BR2681" s="56"/>
      <c r="BS2681" s="56"/>
      <c r="BT2681" s="56"/>
      <c r="BU2681" s="56"/>
      <c r="BV2681" s="56"/>
      <c r="BW2681" s="56"/>
      <c r="BX2681" s="56"/>
      <c r="BY2681" s="56"/>
      <c r="BZ2681" s="56"/>
      <c r="CA2681" s="56"/>
      <c r="CB2681" s="56"/>
      <c r="CC2681" s="56"/>
      <c r="CD2681" s="56"/>
      <c r="CE2681" s="56"/>
      <c r="CF2681" s="56"/>
      <c r="CG2681" s="56"/>
      <c r="CH2681" s="56"/>
      <c r="CI2681" s="56"/>
      <c r="CJ2681" s="56"/>
      <c r="CK2681" s="56"/>
      <c r="CL2681" s="56"/>
      <c r="CM2681" s="56"/>
      <c r="CN2681" s="56"/>
      <c r="CO2681" s="56"/>
      <c r="CP2681" s="56"/>
      <c r="CQ2681" s="56"/>
      <c r="CR2681" s="56"/>
      <c r="CS2681" s="56"/>
      <c r="CT2681" s="56"/>
      <c r="CU2681" s="56"/>
      <c r="CV2681" s="56"/>
      <c r="CW2681" s="56"/>
      <c r="CX2681" s="56"/>
      <c r="CY2681" s="56"/>
      <c r="CZ2681" s="56"/>
    </row>
    <row r="2682" spans="27:104" s="5" customFormat="1" x14ac:dyDescent="0.25">
      <c r="AA2682" s="56"/>
      <c r="AB2682" s="56"/>
      <c r="AC2682" s="56"/>
      <c r="AD2682" s="56"/>
      <c r="AE2682" s="56"/>
      <c r="AF2682" s="56"/>
      <c r="AG2682" s="56"/>
      <c r="AH2682" s="56"/>
      <c r="AI2682" s="56"/>
      <c r="AJ2682" s="56"/>
      <c r="AK2682" s="56"/>
      <c r="AL2682" s="56"/>
      <c r="AM2682" s="56"/>
      <c r="AN2682" s="56"/>
      <c r="AO2682" s="56"/>
      <c r="AP2682" s="56"/>
      <c r="AQ2682" s="56"/>
      <c r="AR2682" s="56"/>
      <c r="AS2682" s="56"/>
      <c r="AT2682" s="56"/>
      <c r="AU2682" s="56"/>
      <c r="AV2682" s="56"/>
      <c r="AW2682" s="56"/>
      <c r="AX2682" s="56"/>
      <c r="AY2682" s="56"/>
      <c r="AZ2682" s="56"/>
      <c r="BA2682" s="56"/>
      <c r="BB2682" s="16"/>
      <c r="BC2682" s="56"/>
      <c r="BD2682" s="56"/>
      <c r="BE2682" s="56"/>
      <c r="BF2682" s="56"/>
      <c r="BG2682" s="56"/>
      <c r="BH2682" s="56"/>
      <c r="BI2682" s="56"/>
      <c r="BJ2682" s="56"/>
      <c r="BK2682" s="56"/>
      <c r="BL2682" s="56"/>
      <c r="BM2682" s="56"/>
      <c r="BN2682" s="56"/>
      <c r="BO2682" s="56"/>
      <c r="BP2682" s="56"/>
      <c r="BQ2682" s="56"/>
      <c r="BR2682" s="56"/>
      <c r="BS2682" s="56"/>
      <c r="BT2682" s="56"/>
      <c r="BU2682" s="56"/>
      <c r="BV2682" s="56"/>
      <c r="BW2682" s="56"/>
      <c r="BX2682" s="56"/>
      <c r="BY2682" s="56"/>
      <c r="BZ2682" s="56"/>
      <c r="CA2682" s="56"/>
      <c r="CB2682" s="56"/>
      <c r="CC2682" s="56"/>
      <c r="CD2682" s="56"/>
      <c r="CE2682" s="56"/>
      <c r="CF2682" s="56"/>
      <c r="CG2682" s="56"/>
      <c r="CH2682" s="56"/>
      <c r="CI2682" s="56"/>
      <c r="CJ2682" s="56"/>
      <c r="CK2682" s="56"/>
      <c r="CL2682" s="56"/>
      <c r="CM2682" s="56"/>
      <c r="CN2682" s="56"/>
      <c r="CO2682" s="56"/>
      <c r="CP2682" s="56"/>
      <c r="CQ2682" s="56"/>
      <c r="CR2682" s="56"/>
      <c r="CS2682" s="56"/>
      <c r="CT2682" s="56"/>
      <c r="CU2682" s="56"/>
      <c r="CV2682" s="56"/>
      <c r="CW2682" s="56"/>
      <c r="CX2682" s="56"/>
      <c r="CY2682" s="56"/>
      <c r="CZ2682" s="56"/>
    </row>
    <row r="2683" spans="27:104" s="5" customFormat="1" x14ac:dyDescent="0.25">
      <c r="AA2683" s="56"/>
      <c r="AB2683" s="56"/>
      <c r="AC2683" s="56"/>
      <c r="AD2683" s="56"/>
      <c r="AE2683" s="56"/>
      <c r="AF2683" s="56"/>
      <c r="AG2683" s="56"/>
      <c r="AH2683" s="56"/>
      <c r="AI2683" s="56"/>
      <c r="AJ2683" s="56"/>
      <c r="AK2683" s="56"/>
      <c r="AL2683" s="56"/>
      <c r="AM2683" s="56"/>
      <c r="AN2683" s="56"/>
      <c r="AO2683" s="56"/>
      <c r="AP2683" s="56"/>
      <c r="AQ2683" s="56"/>
      <c r="AR2683" s="56"/>
      <c r="AS2683" s="56"/>
      <c r="AT2683" s="56"/>
      <c r="AU2683" s="56"/>
      <c r="AV2683" s="56"/>
      <c r="AW2683" s="56"/>
      <c r="AX2683" s="56"/>
      <c r="AY2683" s="56"/>
      <c r="AZ2683" s="56"/>
      <c r="BA2683" s="56"/>
      <c r="BB2683" s="16"/>
      <c r="BC2683" s="56"/>
      <c r="BD2683" s="56"/>
      <c r="BE2683" s="56"/>
      <c r="BF2683" s="56"/>
      <c r="BG2683" s="56"/>
      <c r="BH2683" s="56"/>
      <c r="BI2683" s="56"/>
      <c r="BJ2683" s="56"/>
      <c r="BK2683" s="56"/>
      <c r="BL2683" s="56"/>
      <c r="BM2683" s="56"/>
      <c r="BN2683" s="56"/>
      <c r="BO2683" s="56"/>
      <c r="BP2683" s="56"/>
      <c r="BQ2683" s="56"/>
      <c r="BR2683" s="56"/>
      <c r="BS2683" s="56"/>
      <c r="BT2683" s="56"/>
      <c r="BU2683" s="56"/>
      <c r="BV2683" s="56"/>
      <c r="BW2683" s="56"/>
      <c r="BX2683" s="56"/>
      <c r="BY2683" s="56"/>
      <c r="BZ2683" s="56"/>
      <c r="CA2683" s="56"/>
      <c r="CB2683" s="56"/>
      <c r="CC2683" s="56"/>
      <c r="CD2683" s="56"/>
      <c r="CE2683" s="56"/>
      <c r="CF2683" s="56"/>
      <c r="CG2683" s="56"/>
      <c r="CH2683" s="56"/>
      <c r="CI2683" s="56"/>
      <c r="CJ2683" s="56"/>
      <c r="CK2683" s="56"/>
      <c r="CL2683" s="56"/>
      <c r="CM2683" s="56"/>
      <c r="CN2683" s="56"/>
      <c r="CO2683" s="56"/>
      <c r="CP2683" s="56"/>
      <c r="CQ2683" s="56"/>
      <c r="CR2683" s="56"/>
      <c r="CS2683" s="56"/>
      <c r="CT2683" s="56"/>
      <c r="CU2683" s="56"/>
      <c r="CV2683" s="56"/>
      <c r="CW2683" s="56"/>
      <c r="CX2683" s="56"/>
      <c r="CY2683" s="56"/>
      <c r="CZ2683" s="56"/>
    </row>
    <row r="2684" spans="27:104" s="5" customFormat="1" x14ac:dyDescent="0.25">
      <c r="AA2684" s="56"/>
      <c r="AB2684" s="56"/>
      <c r="AC2684" s="56"/>
      <c r="AD2684" s="56"/>
      <c r="AE2684" s="56"/>
      <c r="AF2684" s="56"/>
      <c r="AG2684" s="56"/>
      <c r="AH2684" s="56"/>
      <c r="AI2684" s="56"/>
      <c r="AJ2684" s="56"/>
      <c r="AK2684" s="56"/>
      <c r="AL2684" s="56"/>
      <c r="AM2684" s="56"/>
      <c r="AN2684" s="56"/>
      <c r="AO2684" s="56"/>
      <c r="AP2684" s="56"/>
      <c r="AQ2684" s="56"/>
      <c r="AR2684" s="56"/>
      <c r="AS2684" s="56"/>
      <c r="AT2684" s="56"/>
      <c r="AU2684" s="56"/>
      <c r="AV2684" s="56"/>
      <c r="AW2684" s="56"/>
      <c r="AX2684" s="56"/>
      <c r="AY2684" s="56"/>
      <c r="AZ2684" s="56"/>
      <c r="BA2684" s="56"/>
      <c r="BB2684" s="16"/>
      <c r="BC2684" s="56"/>
      <c r="BD2684" s="56"/>
      <c r="BE2684" s="56"/>
      <c r="BF2684" s="56"/>
      <c r="BG2684" s="56"/>
      <c r="BH2684" s="56"/>
      <c r="BI2684" s="56"/>
      <c r="BJ2684" s="56"/>
      <c r="BK2684" s="56"/>
      <c r="BL2684" s="56"/>
      <c r="BM2684" s="56"/>
      <c r="BN2684" s="56"/>
      <c r="BO2684" s="56"/>
      <c r="BP2684" s="56"/>
      <c r="BQ2684" s="56"/>
      <c r="BR2684" s="56"/>
      <c r="BS2684" s="56"/>
      <c r="BT2684" s="56"/>
      <c r="BU2684" s="56"/>
      <c r="BV2684" s="56"/>
      <c r="BW2684" s="56"/>
      <c r="BX2684" s="56"/>
      <c r="BY2684" s="56"/>
      <c r="BZ2684" s="56"/>
      <c r="CA2684" s="56"/>
      <c r="CB2684" s="56"/>
      <c r="CC2684" s="56"/>
      <c r="CD2684" s="56"/>
      <c r="CE2684" s="56"/>
      <c r="CF2684" s="56"/>
      <c r="CG2684" s="56"/>
      <c r="CH2684" s="56"/>
      <c r="CI2684" s="56"/>
      <c r="CJ2684" s="56"/>
      <c r="CK2684" s="56"/>
      <c r="CL2684" s="56"/>
      <c r="CM2684" s="56"/>
      <c r="CN2684" s="56"/>
      <c r="CO2684" s="56"/>
      <c r="CP2684" s="56"/>
      <c r="CQ2684" s="56"/>
      <c r="CR2684" s="56"/>
      <c r="CS2684" s="56"/>
      <c r="CT2684" s="56"/>
      <c r="CU2684" s="56"/>
      <c r="CV2684" s="56"/>
      <c r="CW2684" s="56"/>
      <c r="CX2684" s="56"/>
      <c r="CY2684" s="56"/>
      <c r="CZ2684" s="56"/>
    </row>
    <row r="2685" spans="27:104" s="5" customFormat="1" x14ac:dyDescent="0.25">
      <c r="AA2685" s="56"/>
      <c r="AB2685" s="56"/>
      <c r="AC2685" s="56"/>
      <c r="AD2685" s="56"/>
      <c r="AE2685" s="56"/>
      <c r="AF2685" s="56"/>
      <c r="AG2685" s="56"/>
      <c r="AH2685" s="56"/>
      <c r="AI2685" s="56"/>
      <c r="AJ2685" s="56"/>
      <c r="AK2685" s="56"/>
      <c r="AL2685" s="56"/>
      <c r="AM2685" s="56"/>
      <c r="AN2685" s="56"/>
      <c r="AO2685" s="56"/>
      <c r="AP2685" s="56"/>
      <c r="AQ2685" s="56"/>
      <c r="AR2685" s="56"/>
      <c r="AS2685" s="56"/>
      <c r="AT2685" s="56"/>
      <c r="AU2685" s="56"/>
      <c r="AV2685" s="56"/>
      <c r="AW2685" s="56"/>
      <c r="AX2685" s="56"/>
      <c r="AY2685" s="56"/>
      <c r="AZ2685" s="56"/>
      <c r="BA2685" s="56"/>
      <c r="BB2685" s="16"/>
      <c r="BC2685" s="56"/>
      <c r="BD2685" s="56"/>
      <c r="BE2685" s="56"/>
      <c r="BF2685" s="56"/>
      <c r="BG2685" s="56"/>
      <c r="BH2685" s="56"/>
      <c r="BI2685" s="56"/>
      <c r="BJ2685" s="56"/>
      <c r="BK2685" s="56"/>
      <c r="BL2685" s="56"/>
      <c r="BM2685" s="56"/>
      <c r="BN2685" s="56"/>
      <c r="BO2685" s="56"/>
      <c r="BP2685" s="56"/>
      <c r="BQ2685" s="56"/>
      <c r="BR2685" s="56"/>
      <c r="BS2685" s="56"/>
      <c r="BT2685" s="56"/>
      <c r="BU2685" s="56"/>
      <c r="BV2685" s="56"/>
      <c r="BW2685" s="56"/>
      <c r="BX2685" s="56"/>
      <c r="BY2685" s="56"/>
      <c r="BZ2685" s="56"/>
      <c r="CA2685" s="56"/>
      <c r="CB2685" s="56"/>
      <c r="CC2685" s="56"/>
      <c r="CD2685" s="56"/>
      <c r="CE2685" s="56"/>
      <c r="CF2685" s="56"/>
      <c r="CG2685" s="56"/>
      <c r="CH2685" s="56"/>
      <c r="CI2685" s="56"/>
      <c r="CJ2685" s="56"/>
      <c r="CK2685" s="56"/>
      <c r="CL2685" s="56"/>
      <c r="CM2685" s="56"/>
      <c r="CN2685" s="56"/>
      <c r="CO2685" s="56"/>
      <c r="CP2685" s="56"/>
      <c r="CQ2685" s="56"/>
      <c r="CR2685" s="56"/>
      <c r="CS2685" s="56"/>
      <c r="CT2685" s="56"/>
      <c r="CU2685" s="56"/>
      <c r="CV2685" s="56"/>
      <c r="CW2685" s="56"/>
      <c r="CX2685" s="56"/>
      <c r="CY2685" s="56"/>
      <c r="CZ2685" s="56"/>
    </row>
    <row r="2686" spans="27:104" s="5" customFormat="1" x14ac:dyDescent="0.25">
      <c r="AA2686" s="56"/>
      <c r="AB2686" s="56"/>
      <c r="AC2686" s="56"/>
      <c r="AD2686" s="56"/>
      <c r="AE2686" s="56"/>
      <c r="AF2686" s="56"/>
      <c r="AG2686" s="56"/>
      <c r="AH2686" s="56"/>
      <c r="AI2686" s="56"/>
      <c r="AJ2686" s="56"/>
      <c r="AK2686" s="56"/>
      <c r="AL2686" s="56"/>
      <c r="AM2686" s="56"/>
      <c r="AN2686" s="56"/>
      <c r="AO2686" s="56"/>
      <c r="AP2686" s="56"/>
      <c r="AQ2686" s="56"/>
      <c r="AR2686" s="56"/>
      <c r="AS2686" s="56"/>
      <c r="AT2686" s="56"/>
      <c r="AU2686" s="56"/>
      <c r="AV2686" s="56"/>
      <c r="AW2686" s="56"/>
      <c r="AX2686" s="56"/>
      <c r="AY2686" s="56"/>
      <c r="AZ2686" s="56"/>
      <c r="BA2686" s="56"/>
      <c r="BB2686" s="16"/>
      <c r="BC2686" s="56"/>
      <c r="BD2686" s="56"/>
      <c r="BE2686" s="56"/>
      <c r="BF2686" s="56"/>
      <c r="BG2686" s="56"/>
      <c r="BH2686" s="56"/>
      <c r="BI2686" s="56"/>
      <c r="BJ2686" s="56"/>
      <c r="BK2686" s="56"/>
      <c r="BL2686" s="56"/>
      <c r="BM2686" s="56"/>
      <c r="BN2686" s="56"/>
      <c r="BO2686" s="56"/>
      <c r="BP2686" s="56"/>
      <c r="BQ2686" s="56"/>
      <c r="BR2686" s="56"/>
      <c r="BS2686" s="56"/>
      <c r="BT2686" s="56"/>
      <c r="BU2686" s="56"/>
      <c r="BV2686" s="56"/>
      <c r="BW2686" s="56"/>
      <c r="BX2686" s="56"/>
      <c r="BY2686" s="56"/>
      <c r="BZ2686" s="56"/>
      <c r="CA2686" s="56"/>
      <c r="CB2686" s="56"/>
      <c r="CC2686" s="56"/>
      <c r="CD2686" s="56"/>
      <c r="CE2686" s="56"/>
      <c r="CF2686" s="56"/>
      <c r="CG2686" s="56"/>
      <c r="CH2686" s="56"/>
      <c r="CI2686" s="56"/>
      <c r="CJ2686" s="56"/>
      <c r="CK2686" s="56"/>
      <c r="CL2686" s="56"/>
      <c r="CM2686" s="56"/>
      <c r="CN2686" s="56"/>
      <c r="CO2686" s="56"/>
      <c r="CP2686" s="56"/>
      <c r="CQ2686" s="56"/>
      <c r="CR2686" s="56"/>
      <c r="CS2686" s="56"/>
      <c r="CT2686" s="56"/>
      <c r="CU2686" s="56"/>
      <c r="CV2686" s="56"/>
      <c r="CW2686" s="56"/>
      <c r="CX2686" s="56"/>
      <c r="CY2686" s="56"/>
      <c r="CZ2686" s="56"/>
    </row>
    <row r="2687" spans="27:104" s="5" customFormat="1" x14ac:dyDescent="0.25">
      <c r="AA2687" s="56"/>
      <c r="AB2687" s="56"/>
      <c r="AC2687" s="56"/>
      <c r="AD2687" s="56"/>
      <c r="AE2687" s="56"/>
      <c r="AF2687" s="56"/>
      <c r="AG2687" s="56"/>
      <c r="AH2687" s="56"/>
      <c r="AI2687" s="56"/>
      <c r="AJ2687" s="56"/>
      <c r="AK2687" s="56"/>
      <c r="AL2687" s="56"/>
      <c r="AM2687" s="56"/>
      <c r="AN2687" s="56"/>
      <c r="AO2687" s="56"/>
      <c r="AP2687" s="56"/>
      <c r="AQ2687" s="56"/>
      <c r="AR2687" s="56"/>
      <c r="AS2687" s="56"/>
      <c r="AT2687" s="56"/>
      <c r="AU2687" s="56"/>
      <c r="AV2687" s="56"/>
      <c r="AW2687" s="56"/>
      <c r="AX2687" s="56"/>
      <c r="AY2687" s="56"/>
      <c r="AZ2687" s="56"/>
      <c r="BA2687" s="56"/>
      <c r="BB2687" s="16"/>
      <c r="BC2687" s="56"/>
      <c r="BD2687" s="56"/>
      <c r="BE2687" s="56"/>
      <c r="BF2687" s="56"/>
      <c r="BG2687" s="56"/>
      <c r="BH2687" s="56"/>
      <c r="BI2687" s="56"/>
      <c r="BJ2687" s="56"/>
      <c r="BK2687" s="56"/>
      <c r="BL2687" s="56"/>
      <c r="BM2687" s="56"/>
      <c r="BN2687" s="56"/>
      <c r="BO2687" s="56"/>
      <c r="BP2687" s="56"/>
      <c r="BQ2687" s="56"/>
      <c r="BR2687" s="56"/>
      <c r="BS2687" s="56"/>
      <c r="BT2687" s="56"/>
      <c r="BU2687" s="56"/>
      <c r="BV2687" s="56"/>
      <c r="BW2687" s="56"/>
      <c r="BX2687" s="56"/>
      <c r="BY2687" s="56"/>
      <c r="BZ2687" s="56"/>
      <c r="CA2687" s="56"/>
      <c r="CB2687" s="56"/>
      <c r="CC2687" s="56"/>
      <c r="CD2687" s="56"/>
      <c r="CE2687" s="56"/>
      <c r="CF2687" s="56"/>
      <c r="CG2687" s="56"/>
      <c r="CH2687" s="56"/>
      <c r="CI2687" s="56"/>
      <c r="CJ2687" s="56"/>
      <c r="CK2687" s="56"/>
      <c r="CL2687" s="56"/>
      <c r="CM2687" s="56"/>
      <c r="CN2687" s="56"/>
      <c r="CO2687" s="56"/>
      <c r="CP2687" s="56"/>
      <c r="CQ2687" s="56"/>
      <c r="CR2687" s="56"/>
      <c r="CS2687" s="56"/>
      <c r="CT2687" s="56"/>
      <c r="CU2687" s="56"/>
      <c r="CV2687" s="56"/>
      <c r="CW2687" s="56"/>
      <c r="CX2687" s="56"/>
      <c r="CY2687" s="56"/>
      <c r="CZ2687" s="56"/>
    </row>
    <row r="2688" spans="27:104" s="5" customFormat="1" x14ac:dyDescent="0.25">
      <c r="AA2688" s="56"/>
      <c r="AB2688" s="56"/>
      <c r="AC2688" s="56"/>
      <c r="AD2688" s="56"/>
      <c r="AE2688" s="56"/>
      <c r="AF2688" s="56"/>
      <c r="AG2688" s="56"/>
      <c r="AH2688" s="56"/>
      <c r="AI2688" s="56"/>
      <c r="AJ2688" s="56"/>
      <c r="AK2688" s="56"/>
      <c r="AL2688" s="56"/>
      <c r="AM2688" s="56"/>
      <c r="AN2688" s="56"/>
      <c r="AO2688" s="56"/>
      <c r="AP2688" s="56"/>
      <c r="AQ2688" s="56"/>
      <c r="AR2688" s="56"/>
      <c r="AS2688" s="56"/>
      <c r="AT2688" s="56"/>
      <c r="AU2688" s="56"/>
      <c r="AV2688" s="56"/>
      <c r="AW2688" s="56"/>
      <c r="AX2688" s="56"/>
      <c r="AY2688" s="56"/>
      <c r="AZ2688" s="56"/>
      <c r="BA2688" s="56"/>
      <c r="BB2688" s="16"/>
      <c r="BC2688" s="56"/>
      <c r="BD2688" s="56"/>
      <c r="BE2688" s="56"/>
      <c r="BF2688" s="56"/>
      <c r="BG2688" s="56"/>
      <c r="BH2688" s="56"/>
      <c r="BI2688" s="56"/>
      <c r="BJ2688" s="56"/>
      <c r="BK2688" s="56"/>
      <c r="BL2688" s="56"/>
      <c r="BM2688" s="56"/>
      <c r="BN2688" s="56"/>
      <c r="BO2688" s="56"/>
      <c r="BP2688" s="56"/>
      <c r="BQ2688" s="56"/>
      <c r="BR2688" s="56"/>
      <c r="BS2688" s="56"/>
      <c r="BT2688" s="56"/>
      <c r="BU2688" s="56"/>
      <c r="BV2688" s="56"/>
      <c r="BW2688" s="56"/>
      <c r="BX2688" s="56"/>
      <c r="BY2688" s="56"/>
      <c r="BZ2688" s="56"/>
      <c r="CA2688" s="56"/>
      <c r="CB2688" s="56"/>
      <c r="CC2688" s="56"/>
      <c r="CD2688" s="56"/>
      <c r="CE2688" s="56"/>
      <c r="CF2688" s="56"/>
      <c r="CG2688" s="56"/>
      <c r="CH2688" s="56"/>
      <c r="CI2688" s="56"/>
      <c r="CJ2688" s="56"/>
      <c r="CK2688" s="56"/>
      <c r="CL2688" s="56"/>
      <c r="CM2688" s="56"/>
      <c r="CN2688" s="56"/>
      <c r="CO2688" s="56"/>
      <c r="CP2688" s="56"/>
      <c r="CQ2688" s="56"/>
      <c r="CR2688" s="56"/>
      <c r="CS2688" s="56"/>
      <c r="CT2688" s="56"/>
      <c r="CU2688" s="56"/>
      <c r="CV2688" s="56"/>
      <c r="CW2688" s="56"/>
      <c r="CX2688" s="56"/>
      <c r="CY2688" s="56"/>
      <c r="CZ2688" s="56"/>
    </row>
    <row r="2689" spans="27:104" s="5" customFormat="1" x14ac:dyDescent="0.25">
      <c r="AA2689" s="56"/>
      <c r="AB2689" s="56"/>
      <c r="AC2689" s="56"/>
      <c r="AD2689" s="56"/>
      <c r="AE2689" s="56"/>
      <c r="AF2689" s="56"/>
      <c r="AG2689" s="56"/>
      <c r="AH2689" s="56"/>
      <c r="AI2689" s="56"/>
      <c r="AJ2689" s="56"/>
      <c r="AK2689" s="56"/>
      <c r="AL2689" s="56"/>
      <c r="AM2689" s="56"/>
      <c r="AN2689" s="56"/>
      <c r="AO2689" s="56"/>
      <c r="AP2689" s="56"/>
      <c r="AQ2689" s="56"/>
      <c r="AR2689" s="56"/>
      <c r="AS2689" s="56"/>
      <c r="AT2689" s="56"/>
      <c r="AU2689" s="56"/>
      <c r="AV2689" s="56"/>
      <c r="AW2689" s="56"/>
      <c r="AX2689" s="56"/>
      <c r="AY2689" s="56"/>
      <c r="AZ2689" s="56"/>
      <c r="BA2689" s="56"/>
      <c r="BB2689" s="16"/>
      <c r="BC2689" s="56"/>
      <c r="BD2689" s="56"/>
      <c r="BE2689" s="56"/>
      <c r="BF2689" s="56"/>
      <c r="BG2689" s="56"/>
      <c r="BH2689" s="56"/>
      <c r="BI2689" s="56"/>
      <c r="BJ2689" s="56"/>
      <c r="BK2689" s="56"/>
      <c r="BL2689" s="56"/>
      <c r="BM2689" s="56"/>
      <c r="BN2689" s="56"/>
      <c r="BO2689" s="56"/>
      <c r="BP2689" s="56"/>
      <c r="BQ2689" s="56"/>
      <c r="BR2689" s="56"/>
      <c r="BS2689" s="56"/>
      <c r="BT2689" s="56"/>
      <c r="BU2689" s="56"/>
      <c r="BV2689" s="56"/>
      <c r="BW2689" s="56"/>
      <c r="BX2689" s="56"/>
      <c r="BY2689" s="56"/>
      <c r="BZ2689" s="56"/>
      <c r="CA2689" s="56"/>
      <c r="CB2689" s="56"/>
      <c r="CC2689" s="56"/>
      <c r="CD2689" s="56"/>
      <c r="CE2689" s="56"/>
      <c r="CF2689" s="56"/>
      <c r="CG2689" s="56"/>
      <c r="CH2689" s="56"/>
      <c r="CI2689" s="56"/>
      <c r="CJ2689" s="56"/>
      <c r="CK2689" s="56"/>
      <c r="CL2689" s="56"/>
      <c r="CM2689" s="56"/>
      <c r="CN2689" s="56"/>
      <c r="CO2689" s="56"/>
      <c r="CP2689" s="56"/>
      <c r="CQ2689" s="56"/>
      <c r="CR2689" s="56"/>
      <c r="CS2689" s="56"/>
      <c r="CT2689" s="56"/>
      <c r="CU2689" s="56"/>
      <c r="CV2689" s="56"/>
      <c r="CW2689" s="56"/>
      <c r="CX2689" s="56"/>
      <c r="CY2689" s="56"/>
      <c r="CZ2689" s="56"/>
    </row>
    <row r="2690" spans="27:104" s="5" customFormat="1" x14ac:dyDescent="0.25">
      <c r="AA2690" s="56"/>
      <c r="AB2690" s="56"/>
      <c r="AC2690" s="56"/>
      <c r="AD2690" s="56"/>
      <c r="AE2690" s="56"/>
      <c r="AF2690" s="56"/>
      <c r="AG2690" s="56"/>
      <c r="AH2690" s="56"/>
      <c r="AI2690" s="56"/>
      <c r="AJ2690" s="56"/>
      <c r="AK2690" s="56"/>
      <c r="AL2690" s="56"/>
      <c r="AM2690" s="56"/>
      <c r="AN2690" s="56"/>
      <c r="AO2690" s="56"/>
      <c r="AP2690" s="56"/>
      <c r="AQ2690" s="56"/>
      <c r="AR2690" s="56"/>
      <c r="AS2690" s="56"/>
      <c r="AT2690" s="56"/>
      <c r="AU2690" s="56"/>
      <c r="AV2690" s="56"/>
      <c r="AW2690" s="56"/>
      <c r="AX2690" s="56"/>
      <c r="AY2690" s="56"/>
      <c r="AZ2690" s="56"/>
      <c r="BA2690" s="56"/>
      <c r="BB2690" s="16"/>
      <c r="BC2690" s="56"/>
      <c r="BD2690" s="56"/>
      <c r="BE2690" s="56"/>
      <c r="BF2690" s="56"/>
      <c r="BG2690" s="56"/>
      <c r="BH2690" s="56"/>
      <c r="BI2690" s="56"/>
      <c r="BJ2690" s="56"/>
      <c r="BK2690" s="56"/>
      <c r="BL2690" s="56"/>
      <c r="BM2690" s="56"/>
      <c r="BN2690" s="56"/>
      <c r="BO2690" s="56"/>
      <c r="BP2690" s="56"/>
      <c r="BQ2690" s="56"/>
      <c r="BR2690" s="56"/>
      <c r="BS2690" s="56"/>
      <c r="BT2690" s="56"/>
      <c r="BU2690" s="56"/>
      <c r="BV2690" s="56"/>
      <c r="BW2690" s="56"/>
      <c r="BX2690" s="56"/>
      <c r="BY2690" s="56"/>
      <c r="BZ2690" s="56"/>
      <c r="CA2690" s="56"/>
      <c r="CB2690" s="56"/>
      <c r="CC2690" s="56"/>
      <c r="CD2690" s="56"/>
      <c r="CE2690" s="56"/>
      <c r="CF2690" s="56"/>
      <c r="CG2690" s="56"/>
      <c r="CH2690" s="56"/>
      <c r="CI2690" s="56"/>
      <c r="CJ2690" s="56"/>
      <c r="CK2690" s="56"/>
      <c r="CL2690" s="56"/>
      <c r="CM2690" s="56"/>
      <c r="CN2690" s="56"/>
      <c r="CO2690" s="56"/>
      <c r="CP2690" s="56"/>
      <c r="CQ2690" s="56"/>
      <c r="CR2690" s="56"/>
      <c r="CS2690" s="56"/>
      <c r="CT2690" s="56"/>
      <c r="CU2690" s="56"/>
      <c r="CV2690" s="56"/>
      <c r="CW2690" s="56"/>
      <c r="CX2690" s="56"/>
      <c r="CY2690" s="56"/>
      <c r="CZ2690" s="56"/>
    </row>
    <row r="2691" spans="27:104" s="5" customFormat="1" x14ac:dyDescent="0.25">
      <c r="AA2691" s="56"/>
      <c r="AB2691" s="56"/>
      <c r="AC2691" s="56"/>
      <c r="AD2691" s="56"/>
      <c r="AE2691" s="56"/>
      <c r="AF2691" s="56"/>
      <c r="AG2691" s="56"/>
      <c r="AH2691" s="56"/>
      <c r="AI2691" s="56"/>
      <c r="AJ2691" s="56"/>
      <c r="AK2691" s="56"/>
      <c r="AL2691" s="56"/>
      <c r="AM2691" s="56"/>
      <c r="AN2691" s="56"/>
      <c r="AO2691" s="56"/>
      <c r="AP2691" s="56"/>
      <c r="AQ2691" s="56"/>
      <c r="AR2691" s="56"/>
      <c r="AS2691" s="56"/>
      <c r="AT2691" s="56"/>
      <c r="AU2691" s="56"/>
      <c r="AV2691" s="56"/>
      <c r="AW2691" s="56"/>
      <c r="AX2691" s="56"/>
      <c r="AY2691" s="56"/>
      <c r="AZ2691" s="56"/>
      <c r="BA2691" s="56"/>
      <c r="BB2691" s="16"/>
      <c r="BC2691" s="56"/>
      <c r="BD2691" s="56"/>
      <c r="BE2691" s="56"/>
      <c r="BF2691" s="56"/>
      <c r="BG2691" s="56"/>
      <c r="BH2691" s="56"/>
      <c r="BI2691" s="56"/>
      <c r="BJ2691" s="56"/>
      <c r="BK2691" s="56"/>
      <c r="BL2691" s="56"/>
      <c r="BM2691" s="56"/>
      <c r="BN2691" s="56"/>
      <c r="BO2691" s="56"/>
      <c r="BP2691" s="56"/>
      <c r="BQ2691" s="56"/>
      <c r="BR2691" s="56"/>
      <c r="BS2691" s="56"/>
      <c r="BT2691" s="56"/>
      <c r="BU2691" s="56"/>
      <c r="BV2691" s="56"/>
      <c r="BW2691" s="56"/>
      <c r="BX2691" s="56"/>
      <c r="BY2691" s="56"/>
      <c r="BZ2691" s="56"/>
      <c r="CA2691" s="56"/>
      <c r="CB2691" s="56"/>
      <c r="CC2691" s="56"/>
      <c r="CD2691" s="56"/>
      <c r="CE2691" s="56"/>
      <c r="CF2691" s="56"/>
      <c r="CG2691" s="56"/>
      <c r="CH2691" s="56"/>
      <c r="CI2691" s="56"/>
      <c r="CJ2691" s="56"/>
      <c r="CK2691" s="56"/>
      <c r="CL2691" s="56"/>
      <c r="CM2691" s="56"/>
      <c r="CN2691" s="56"/>
      <c r="CO2691" s="56"/>
      <c r="CP2691" s="56"/>
      <c r="CQ2691" s="56"/>
      <c r="CR2691" s="56"/>
      <c r="CS2691" s="56"/>
      <c r="CT2691" s="56"/>
      <c r="CU2691" s="56"/>
      <c r="CV2691" s="56"/>
      <c r="CW2691" s="56"/>
      <c r="CX2691" s="56"/>
      <c r="CY2691" s="56"/>
      <c r="CZ2691" s="56"/>
    </row>
    <row r="2692" spans="27:104" s="5" customFormat="1" x14ac:dyDescent="0.25">
      <c r="AA2692" s="56"/>
      <c r="AB2692" s="56"/>
      <c r="AC2692" s="56"/>
      <c r="AD2692" s="56"/>
      <c r="AE2692" s="56"/>
      <c r="AF2692" s="56"/>
      <c r="AG2692" s="56"/>
      <c r="AH2692" s="56"/>
      <c r="AI2692" s="56"/>
      <c r="AJ2692" s="56"/>
      <c r="AK2692" s="56"/>
      <c r="AL2692" s="56"/>
      <c r="AM2692" s="56"/>
      <c r="AN2692" s="56"/>
      <c r="AO2692" s="56"/>
      <c r="AP2692" s="56"/>
      <c r="AQ2692" s="56"/>
      <c r="AR2692" s="56"/>
      <c r="AS2692" s="56"/>
      <c r="AT2692" s="56"/>
      <c r="AU2692" s="56"/>
      <c r="AV2692" s="56"/>
      <c r="AW2692" s="56"/>
      <c r="AX2692" s="56"/>
      <c r="AY2692" s="56"/>
      <c r="AZ2692" s="56"/>
      <c r="BA2692" s="56"/>
      <c r="BB2692" s="16"/>
      <c r="BC2692" s="56"/>
      <c r="BD2692" s="56"/>
      <c r="BE2692" s="56"/>
      <c r="BF2692" s="56"/>
      <c r="BG2692" s="56"/>
      <c r="BH2692" s="56"/>
      <c r="BI2692" s="56"/>
      <c r="BJ2692" s="56"/>
      <c r="BK2692" s="56"/>
      <c r="BL2692" s="56"/>
      <c r="BM2692" s="56"/>
      <c r="BN2692" s="56"/>
      <c r="BO2692" s="56"/>
      <c r="BP2692" s="56"/>
      <c r="BQ2692" s="56"/>
      <c r="BR2692" s="56"/>
      <c r="BS2692" s="56"/>
      <c r="BT2692" s="56"/>
      <c r="BU2692" s="56"/>
      <c r="BV2692" s="56"/>
      <c r="BW2692" s="56"/>
      <c r="BX2692" s="56"/>
      <c r="BY2692" s="56"/>
      <c r="BZ2692" s="56"/>
      <c r="CA2692" s="56"/>
      <c r="CB2692" s="56"/>
      <c r="CC2692" s="56"/>
      <c r="CD2692" s="56"/>
      <c r="CE2692" s="56"/>
      <c r="CF2692" s="56"/>
      <c r="CG2692" s="56"/>
      <c r="CH2692" s="56"/>
      <c r="CI2692" s="56"/>
      <c r="CJ2692" s="56"/>
      <c r="CK2692" s="56"/>
      <c r="CL2692" s="56"/>
      <c r="CM2692" s="56"/>
      <c r="CN2692" s="56"/>
      <c r="CO2692" s="56"/>
      <c r="CP2692" s="56"/>
      <c r="CQ2692" s="56"/>
      <c r="CR2692" s="56"/>
      <c r="CS2692" s="56"/>
      <c r="CT2692" s="56"/>
      <c r="CU2692" s="56"/>
      <c r="CV2692" s="56"/>
      <c r="CW2692" s="56"/>
      <c r="CX2692" s="56"/>
      <c r="CY2692" s="56"/>
      <c r="CZ2692" s="56"/>
    </row>
    <row r="2693" spans="27:104" s="5" customFormat="1" x14ac:dyDescent="0.25">
      <c r="AA2693" s="56"/>
      <c r="AB2693" s="56"/>
      <c r="AC2693" s="56"/>
      <c r="AD2693" s="56"/>
      <c r="AE2693" s="56"/>
      <c r="AF2693" s="56"/>
      <c r="AG2693" s="56"/>
      <c r="AH2693" s="56"/>
      <c r="AI2693" s="56"/>
      <c r="AJ2693" s="56"/>
      <c r="AK2693" s="56"/>
      <c r="AL2693" s="56"/>
      <c r="AM2693" s="56"/>
      <c r="AN2693" s="56"/>
      <c r="AO2693" s="56"/>
      <c r="AP2693" s="56"/>
      <c r="AQ2693" s="56"/>
      <c r="AR2693" s="56"/>
      <c r="AS2693" s="56"/>
      <c r="AT2693" s="56"/>
      <c r="AU2693" s="56"/>
      <c r="AV2693" s="56"/>
      <c r="AW2693" s="56"/>
      <c r="AX2693" s="56"/>
      <c r="AY2693" s="56"/>
      <c r="AZ2693" s="56"/>
      <c r="BA2693" s="56"/>
      <c r="BB2693" s="16"/>
      <c r="BC2693" s="56"/>
      <c r="BD2693" s="56"/>
      <c r="BE2693" s="56"/>
      <c r="BF2693" s="56"/>
      <c r="BG2693" s="56"/>
      <c r="BH2693" s="56"/>
      <c r="BI2693" s="56"/>
      <c r="BJ2693" s="56"/>
      <c r="BK2693" s="56"/>
      <c r="BL2693" s="56"/>
      <c r="BM2693" s="56"/>
      <c r="BN2693" s="56"/>
      <c r="BO2693" s="56"/>
      <c r="BP2693" s="56"/>
      <c r="BQ2693" s="56"/>
      <c r="BR2693" s="56"/>
      <c r="BS2693" s="56"/>
      <c r="BT2693" s="56"/>
      <c r="BU2693" s="56"/>
      <c r="BV2693" s="56"/>
      <c r="BW2693" s="56"/>
      <c r="BX2693" s="56"/>
      <c r="BY2693" s="56"/>
      <c r="BZ2693" s="56"/>
      <c r="CA2693" s="56"/>
      <c r="CB2693" s="56"/>
      <c r="CC2693" s="56"/>
      <c r="CD2693" s="56"/>
      <c r="CE2693" s="56"/>
      <c r="CF2693" s="56"/>
      <c r="CG2693" s="56"/>
      <c r="CH2693" s="56"/>
      <c r="CI2693" s="56"/>
      <c r="CJ2693" s="56"/>
      <c r="CK2693" s="56"/>
      <c r="CL2693" s="56"/>
      <c r="CM2693" s="56"/>
      <c r="CN2693" s="56"/>
      <c r="CO2693" s="56"/>
      <c r="CP2693" s="56"/>
      <c r="CQ2693" s="56"/>
      <c r="CR2693" s="56"/>
      <c r="CS2693" s="56"/>
      <c r="CT2693" s="56"/>
      <c r="CU2693" s="56"/>
      <c r="CV2693" s="56"/>
      <c r="CW2693" s="56"/>
      <c r="CX2693" s="56"/>
      <c r="CY2693" s="56"/>
      <c r="CZ2693" s="56"/>
    </row>
    <row r="2694" spans="27:104" s="5" customFormat="1" x14ac:dyDescent="0.25">
      <c r="AA2694" s="56"/>
      <c r="AB2694" s="56"/>
      <c r="AC2694" s="56"/>
      <c r="AD2694" s="56"/>
      <c r="AE2694" s="56"/>
      <c r="AF2694" s="56"/>
      <c r="AG2694" s="56"/>
      <c r="AH2694" s="56"/>
      <c r="AI2694" s="56"/>
      <c r="AJ2694" s="56"/>
      <c r="AK2694" s="56"/>
      <c r="AL2694" s="56"/>
      <c r="AM2694" s="56"/>
      <c r="AN2694" s="56"/>
      <c r="AO2694" s="56"/>
      <c r="AP2694" s="56"/>
      <c r="AQ2694" s="56"/>
      <c r="AR2694" s="56"/>
      <c r="AS2694" s="56"/>
      <c r="AT2694" s="56"/>
      <c r="AU2694" s="56"/>
      <c r="AV2694" s="56"/>
      <c r="AW2694" s="56"/>
      <c r="AX2694" s="56"/>
      <c r="AY2694" s="56"/>
      <c r="AZ2694" s="56"/>
      <c r="BA2694" s="56"/>
      <c r="BB2694" s="16"/>
      <c r="BC2694" s="56"/>
      <c r="BD2694" s="56"/>
      <c r="BE2694" s="56"/>
      <c r="BF2694" s="56"/>
      <c r="BG2694" s="56"/>
      <c r="BH2694" s="56"/>
      <c r="BI2694" s="56"/>
      <c r="BJ2694" s="56"/>
      <c r="BK2694" s="56"/>
      <c r="BL2694" s="56"/>
      <c r="BM2694" s="56"/>
      <c r="BN2694" s="56"/>
      <c r="BO2694" s="56"/>
      <c r="BP2694" s="56"/>
      <c r="BQ2694" s="56"/>
      <c r="BR2694" s="56"/>
      <c r="BS2694" s="56"/>
      <c r="BT2694" s="56"/>
      <c r="BU2694" s="56"/>
      <c r="BV2694" s="56"/>
      <c r="BW2694" s="56"/>
      <c r="BX2694" s="56"/>
      <c r="BY2694" s="56"/>
      <c r="BZ2694" s="56"/>
      <c r="CA2694" s="56"/>
      <c r="CB2694" s="56"/>
      <c r="CC2694" s="56"/>
      <c r="CD2694" s="56"/>
      <c r="CE2694" s="56"/>
      <c r="CF2694" s="56"/>
      <c r="CG2694" s="56"/>
      <c r="CH2694" s="56"/>
      <c r="CI2694" s="56"/>
      <c r="CJ2694" s="56"/>
      <c r="CK2694" s="56"/>
      <c r="CL2694" s="56"/>
      <c r="CM2694" s="56"/>
      <c r="CN2694" s="56"/>
      <c r="CO2694" s="56"/>
      <c r="CP2694" s="56"/>
      <c r="CQ2694" s="56"/>
      <c r="CR2694" s="56"/>
      <c r="CS2694" s="56"/>
      <c r="CT2694" s="56"/>
      <c r="CU2694" s="56"/>
      <c r="CV2694" s="56"/>
      <c r="CW2694" s="56"/>
      <c r="CX2694" s="56"/>
      <c r="CY2694" s="56"/>
      <c r="CZ2694" s="56"/>
    </row>
    <row r="2695" spans="27:104" s="5" customFormat="1" x14ac:dyDescent="0.25">
      <c r="AA2695" s="56"/>
      <c r="AB2695" s="56"/>
      <c r="AC2695" s="56"/>
      <c r="AD2695" s="56"/>
      <c r="AE2695" s="56"/>
      <c r="AF2695" s="56"/>
      <c r="AG2695" s="56"/>
      <c r="AH2695" s="56"/>
      <c r="AI2695" s="56"/>
      <c r="AJ2695" s="56"/>
      <c r="AK2695" s="56"/>
      <c r="AL2695" s="56"/>
      <c r="AM2695" s="56"/>
      <c r="AN2695" s="56"/>
      <c r="AO2695" s="56"/>
      <c r="AP2695" s="56"/>
      <c r="AQ2695" s="56"/>
      <c r="AR2695" s="56"/>
      <c r="AS2695" s="56"/>
      <c r="AT2695" s="56"/>
      <c r="AU2695" s="56"/>
      <c r="AV2695" s="56"/>
      <c r="AW2695" s="56"/>
      <c r="AX2695" s="56"/>
      <c r="AY2695" s="56"/>
      <c r="AZ2695" s="56"/>
      <c r="BA2695" s="56"/>
      <c r="BB2695" s="16"/>
      <c r="BC2695" s="56"/>
      <c r="BD2695" s="56"/>
      <c r="BE2695" s="56"/>
      <c r="BF2695" s="56"/>
      <c r="BG2695" s="56"/>
      <c r="BH2695" s="56"/>
      <c r="BI2695" s="56"/>
      <c r="BJ2695" s="56"/>
      <c r="BK2695" s="56"/>
      <c r="BL2695" s="56"/>
      <c r="BM2695" s="56"/>
      <c r="BN2695" s="56"/>
      <c r="BO2695" s="56"/>
      <c r="BP2695" s="56"/>
      <c r="BQ2695" s="56"/>
      <c r="BR2695" s="56"/>
      <c r="BS2695" s="56"/>
      <c r="BT2695" s="56"/>
      <c r="BU2695" s="56"/>
      <c r="BV2695" s="56"/>
      <c r="BW2695" s="56"/>
      <c r="BX2695" s="56"/>
      <c r="BY2695" s="56"/>
      <c r="BZ2695" s="56"/>
      <c r="CA2695" s="56"/>
      <c r="CB2695" s="56"/>
      <c r="CC2695" s="56"/>
      <c r="CD2695" s="56"/>
      <c r="CE2695" s="56"/>
      <c r="CF2695" s="56"/>
      <c r="CG2695" s="56"/>
      <c r="CH2695" s="56"/>
      <c r="CI2695" s="56"/>
      <c r="CJ2695" s="56"/>
      <c r="CK2695" s="56"/>
      <c r="CL2695" s="56"/>
      <c r="CM2695" s="56"/>
      <c r="CN2695" s="56"/>
      <c r="CO2695" s="56"/>
      <c r="CP2695" s="56"/>
      <c r="CQ2695" s="56"/>
      <c r="CR2695" s="56"/>
      <c r="CS2695" s="56"/>
      <c r="CT2695" s="56"/>
      <c r="CU2695" s="56"/>
      <c r="CV2695" s="56"/>
      <c r="CW2695" s="56"/>
      <c r="CX2695" s="56"/>
      <c r="CY2695" s="56"/>
      <c r="CZ2695" s="56"/>
    </row>
    <row r="2696" spans="27:104" s="5" customFormat="1" x14ac:dyDescent="0.25">
      <c r="AA2696" s="56"/>
      <c r="AB2696" s="56"/>
      <c r="AC2696" s="56"/>
      <c r="AD2696" s="56"/>
      <c r="AE2696" s="56"/>
      <c r="AF2696" s="56"/>
      <c r="AG2696" s="56"/>
      <c r="AH2696" s="56"/>
      <c r="AI2696" s="56"/>
      <c r="AJ2696" s="56"/>
      <c r="AK2696" s="56"/>
      <c r="AL2696" s="56"/>
      <c r="AM2696" s="56"/>
      <c r="AN2696" s="56"/>
      <c r="AO2696" s="56"/>
      <c r="AP2696" s="56"/>
      <c r="AQ2696" s="56"/>
      <c r="AR2696" s="56"/>
      <c r="AS2696" s="56"/>
      <c r="AT2696" s="56"/>
      <c r="AU2696" s="56"/>
      <c r="AV2696" s="56"/>
      <c r="AW2696" s="56"/>
      <c r="AX2696" s="56"/>
      <c r="AY2696" s="56"/>
      <c r="AZ2696" s="56"/>
      <c r="BA2696" s="56"/>
      <c r="BB2696" s="16"/>
      <c r="BC2696" s="56"/>
      <c r="BD2696" s="56"/>
      <c r="BE2696" s="56"/>
      <c r="BF2696" s="56"/>
      <c r="BG2696" s="56"/>
      <c r="BH2696" s="56"/>
      <c r="BI2696" s="56"/>
      <c r="BJ2696" s="56"/>
      <c r="BK2696" s="56"/>
      <c r="BL2696" s="56"/>
      <c r="BM2696" s="56"/>
      <c r="BN2696" s="56"/>
      <c r="BO2696" s="56"/>
      <c r="BP2696" s="56"/>
      <c r="BQ2696" s="56"/>
      <c r="BR2696" s="56"/>
      <c r="BS2696" s="56"/>
      <c r="BT2696" s="56"/>
      <c r="BU2696" s="56"/>
      <c r="BV2696" s="56"/>
      <c r="BW2696" s="56"/>
      <c r="BX2696" s="56"/>
      <c r="BY2696" s="56"/>
      <c r="BZ2696" s="56"/>
      <c r="CA2696" s="56"/>
      <c r="CB2696" s="56"/>
      <c r="CC2696" s="56"/>
      <c r="CD2696" s="56"/>
      <c r="CE2696" s="56"/>
      <c r="CF2696" s="56"/>
      <c r="CG2696" s="56"/>
      <c r="CH2696" s="56"/>
      <c r="CI2696" s="56"/>
      <c r="CJ2696" s="56"/>
      <c r="CK2696" s="56"/>
      <c r="CL2696" s="56"/>
      <c r="CM2696" s="56"/>
      <c r="CN2696" s="56"/>
      <c r="CO2696" s="56"/>
      <c r="CP2696" s="56"/>
      <c r="CQ2696" s="56"/>
      <c r="CR2696" s="56"/>
      <c r="CS2696" s="56"/>
      <c r="CT2696" s="56"/>
      <c r="CU2696" s="56"/>
      <c r="CV2696" s="56"/>
      <c r="CW2696" s="56"/>
      <c r="CX2696" s="56"/>
      <c r="CY2696" s="56"/>
      <c r="CZ2696" s="56"/>
    </row>
    <row r="2697" spans="27:104" s="5" customFormat="1" x14ac:dyDescent="0.25">
      <c r="AA2697" s="56"/>
      <c r="AB2697" s="56"/>
      <c r="AC2697" s="56"/>
      <c r="AD2697" s="56"/>
      <c r="AE2697" s="56"/>
      <c r="AF2697" s="56"/>
      <c r="AG2697" s="56"/>
      <c r="AH2697" s="56"/>
      <c r="AI2697" s="56"/>
      <c r="AJ2697" s="56"/>
      <c r="AK2697" s="56"/>
      <c r="AL2697" s="56"/>
      <c r="AM2697" s="56"/>
      <c r="AN2697" s="56"/>
      <c r="AO2697" s="56"/>
      <c r="AP2697" s="56"/>
      <c r="AQ2697" s="56"/>
      <c r="AR2697" s="56"/>
      <c r="AS2697" s="56"/>
      <c r="AT2697" s="56"/>
      <c r="AU2697" s="56"/>
      <c r="AV2697" s="56"/>
      <c r="AW2697" s="56"/>
      <c r="AX2697" s="56"/>
      <c r="AY2697" s="56"/>
      <c r="AZ2697" s="56"/>
      <c r="BA2697" s="56"/>
      <c r="BB2697" s="16"/>
      <c r="BC2697" s="56"/>
      <c r="BD2697" s="56"/>
      <c r="BE2697" s="56"/>
      <c r="BF2697" s="56"/>
      <c r="BG2697" s="56"/>
      <c r="BH2697" s="56"/>
      <c r="BI2697" s="56"/>
      <c r="BJ2697" s="56"/>
      <c r="BK2697" s="56"/>
      <c r="BL2697" s="56"/>
      <c r="BM2697" s="56"/>
      <c r="BN2697" s="56"/>
      <c r="BO2697" s="56"/>
      <c r="BP2697" s="56"/>
      <c r="BQ2697" s="56"/>
      <c r="BR2697" s="56"/>
      <c r="BS2697" s="56"/>
      <c r="BT2697" s="56"/>
      <c r="BU2697" s="56"/>
      <c r="BV2697" s="56"/>
      <c r="BW2697" s="56"/>
      <c r="BX2697" s="56"/>
      <c r="BY2697" s="56"/>
      <c r="BZ2697" s="56"/>
      <c r="CA2697" s="56"/>
      <c r="CB2697" s="56"/>
      <c r="CC2697" s="56"/>
      <c r="CD2697" s="56"/>
      <c r="CE2697" s="56"/>
      <c r="CF2697" s="56"/>
      <c r="CG2697" s="56"/>
      <c r="CH2697" s="56"/>
      <c r="CI2697" s="56"/>
      <c r="CJ2697" s="56"/>
      <c r="CK2697" s="56"/>
      <c r="CL2697" s="56"/>
      <c r="CM2697" s="56"/>
      <c r="CN2697" s="56"/>
      <c r="CO2697" s="56"/>
      <c r="CP2697" s="56"/>
      <c r="CQ2697" s="56"/>
      <c r="CR2697" s="56"/>
      <c r="CS2697" s="56"/>
      <c r="CT2697" s="56"/>
      <c r="CU2697" s="56"/>
      <c r="CV2697" s="56"/>
      <c r="CW2697" s="56"/>
      <c r="CX2697" s="56"/>
      <c r="CY2697" s="56"/>
      <c r="CZ2697" s="56"/>
    </row>
    <row r="2698" spans="27:104" s="5" customFormat="1" x14ac:dyDescent="0.25">
      <c r="AA2698" s="56"/>
      <c r="AB2698" s="56"/>
      <c r="AC2698" s="56"/>
      <c r="AD2698" s="56"/>
      <c r="AE2698" s="56"/>
      <c r="AF2698" s="56"/>
      <c r="AG2698" s="56"/>
      <c r="AH2698" s="56"/>
      <c r="AI2698" s="56"/>
      <c r="AJ2698" s="56"/>
      <c r="AK2698" s="56"/>
      <c r="AL2698" s="56"/>
      <c r="AM2698" s="56"/>
      <c r="AN2698" s="56"/>
      <c r="AO2698" s="56"/>
      <c r="AP2698" s="56"/>
      <c r="AQ2698" s="56"/>
      <c r="AR2698" s="56"/>
      <c r="AS2698" s="56"/>
      <c r="AT2698" s="56"/>
      <c r="AU2698" s="56"/>
      <c r="AV2698" s="56"/>
      <c r="AW2698" s="56"/>
      <c r="AX2698" s="56"/>
      <c r="AY2698" s="56"/>
      <c r="AZ2698" s="56"/>
      <c r="BA2698" s="56"/>
      <c r="BB2698" s="16"/>
      <c r="BC2698" s="56"/>
      <c r="BD2698" s="56"/>
      <c r="BE2698" s="56"/>
      <c r="BF2698" s="56"/>
      <c r="BG2698" s="56"/>
      <c r="BH2698" s="56"/>
      <c r="BI2698" s="56"/>
      <c r="BJ2698" s="56"/>
      <c r="BK2698" s="56"/>
      <c r="BL2698" s="56"/>
      <c r="BM2698" s="56"/>
      <c r="BN2698" s="56"/>
      <c r="BO2698" s="56"/>
      <c r="BP2698" s="56"/>
      <c r="BQ2698" s="56"/>
      <c r="BR2698" s="56"/>
      <c r="BS2698" s="56"/>
      <c r="BT2698" s="56"/>
      <c r="BU2698" s="56"/>
      <c r="BV2698" s="56"/>
      <c r="BW2698" s="56"/>
      <c r="BX2698" s="56"/>
      <c r="BY2698" s="56"/>
      <c r="BZ2698" s="56"/>
      <c r="CA2698" s="56"/>
      <c r="CB2698" s="56"/>
      <c r="CC2698" s="56"/>
      <c r="CD2698" s="56"/>
      <c r="CE2698" s="56"/>
      <c r="CF2698" s="56"/>
      <c r="CG2698" s="56"/>
      <c r="CH2698" s="56"/>
      <c r="CI2698" s="56"/>
      <c r="CJ2698" s="56"/>
      <c r="CK2698" s="56"/>
      <c r="CL2698" s="56"/>
      <c r="CM2698" s="56"/>
      <c r="CN2698" s="56"/>
      <c r="CO2698" s="56"/>
      <c r="CP2698" s="56"/>
      <c r="CQ2698" s="56"/>
      <c r="CR2698" s="56"/>
      <c r="CS2698" s="56"/>
      <c r="CT2698" s="56"/>
      <c r="CU2698" s="56"/>
      <c r="CV2698" s="56"/>
      <c r="CW2698" s="56"/>
      <c r="CX2698" s="56"/>
      <c r="CY2698" s="56"/>
      <c r="CZ2698" s="56"/>
    </row>
    <row r="2699" spans="27:104" s="5" customFormat="1" x14ac:dyDescent="0.25">
      <c r="AA2699" s="56"/>
      <c r="AB2699" s="56"/>
      <c r="AC2699" s="56"/>
      <c r="AD2699" s="56"/>
      <c r="AE2699" s="56"/>
      <c r="AF2699" s="56"/>
      <c r="AG2699" s="56"/>
      <c r="AH2699" s="56"/>
      <c r="AI2699" s="56"/>
      <c r="AJ2699" s="56"/>
      <c r="AK2699" s="56"/>
      <c r="AL2699" s="56"/>
      <c r="AM2699" s="56"/>
      <c r="AN2699" s="56"/>
      <c r="AO2699" s="56"/>
      <c r="AP2699" s="56"/>
      <c r="AQ2699" s="56"/>
      <c r="AR2699" s="56"/>
      <c r="AS2699" s="56"/>
      <c r="AT2699" s="56"/>
      <c r="AU2699" s="56"/>
      <c r="AV2699" s="56"/>
      <c r="AW2699" s="56"/>
      <c r="AX2699" s="56"/>
      <c r="AY2699" s="56"/>
      <c r="AZ2699" s="56"/>
      <c r="BA2699" s="56"/>
      <c r="BB2699" s="16"/>
      <c r="BC2699" s="56"/>
      <c r="BD2699" s="56"/>
      <c r="BE2699" s="56"/>
      <c r="BF2699" s="56"/>
      <c r="BG2699" s="56"/>
      <c r="BH2699" s="56"/>
      <c r="BI2699" s="56"/>
      <c r="BJ2699" s="56"/>
      <c r="BK2699" s="56"/>
      <c r="BL2699" s="56"/>
      <c r="BM2699" s="56"/>
      <c r="BN2699" s="56"/>
      <c r="BO2699" s="56"/>
      <c r="BP2699" s="56"/>
      <c r="BQ2699" s="56"/>
      <c r="BR2699" s="56"/>
      <c r="BS2699" s="56"/>
      <c r="BT2699" s="56"/>
      <c r="BU2699" s="56"/>
      <c r="BV2699" s="56"/>
      <c r="BW2699" s="56"/>
      <c r="BX2699" s="56"/>
      <c r="BY2699" s="56"/>
      <c r="BZ2699" s="56"/>
      <c r="CA2699" s="56"/>
      <c r="CB2699" s="56"/>
      <c r="CC2699" s="56"/>
      <c r="CD2699" s="56"/>
      <c r="CE2699" s="56"/>
      <c r="CF2699" s="56"/>
      <c r="CG2699" s="56"/>
      <c r="CH2699" s="56"/>
      <c r="CI2699" s="56"/>
      <c r="CJ2699" s="56"/>
      <c r="CK2699" s="56"/>
      <c r="CL2699" s="56"/>
      <c r="CM2699" s="56"/>
      <c r="CN2699" s="56"/>
      <c r="CO2699" s="56"/>
      <c r="CP2699" s="56"/>
      <c r="CQ2699" s="56"/>
      <c r="CR2699" s="56"/>
      <c r="CS2699" s="56"/>
      <c r="CT2699" s="56"/>
      <c r="CU2699" s="56"/>
      <c r="CV2699" s="56"/>
      <c r="CW2699" s="56"/>
      <c r="CX2699" s="56"/>
      <c r="CY2699" s="56"/>
      <c r="CZ2699" s="56"/>
    </row>
    <row r="2700" spans="27:104" s="5" customFormat="1" x14ac:dyDescent="0.25">
      <c r="AA2700" s="56"/>
      <c r="AB2700" s="56"/>
      <c r="AC2700" s="56"/>
      <c r="AD2700" s="56"/>
      <c r="AE2700" s="56"/>
      <c r="AF2700" s="56"/>
      <c r="AG2700" s="56"/>
      <c r="AH2700" s="56"/>
      <c r="AI2700" s="56"/>
      <c r="AJ2700" s="56"/>
      <c r="AK2700" s="56"/>
      <c r="AL2700" s="56"/>
      <c r="AM2700" s="56"/>
      <c r="AN2700" s="56"/>
      <c r="AO2700" s="56"/>
      <c r="AP2700" s="56"/>
      <c r="AQ2700" s="56"/>
      <c r="AR2700" s="56"/>
      <c r="AS2700" s="56"/>
      <c r="AT2700" s="56"/>
      <c r="AU2700" s="56"/>
      <c r="AV2700" s="56"/>
      <c r="AW2700" s="56"/>
      <c r="AX2700" s="56"/>
      <c r="AY2700" s="56"/>
      <c r="AZ2700" s="56"/>
      <c r="BA2700" s="56"/>
      <c r="BB2700" s="16"/>
      <c r="BC2700" s="56"/>
      <c r="BD2700" s="56"/>
      <c r="BE2700" s="56"/>
      <c r="BF2700" s="56"/>
      <c r="BG2700" s="56"/>
      <c r="BH2700" s="56"/>
      <c r="BI2700" s="56"/>
      <c r="BJ2700" s="56"/>
      <c r="BK2700" s="56"/>
      <c r="BL2700" s="56"/>
      <c r="BM2700" s="56"/>
      <c r="BN2700" s="56"/>
      <c r="BO2700" s="56"/>
      <c r="BP2700" s="56"/>
      <c r="BQ2700" s="56"/>
      <c r="BR2700" s="56"/>
      <c r="BS2700" s="56"/>
      <c r="BT2700" s="56"/>
      <c r="BU2700" s="56"/>
      <c r="BV2700" s="56"/>
      <c r="BW2700" s="56"/>
      <c r="BX2700" s="56"/>
      <c r="BY2700" s="56"/>
      <c r="BZ2700" s="56"/>
      <c r="CA2700" s="56"/>
      <c r="CB2700" s="56"/>
      <c r="CC2700" s="56"/>
      <c r="CD2700" s="56"/>
      <c r="CE2700" s="56"/>
      <c r="CF2700" s="56"/>
      <c r="CG2700" s="56"/>
      <c r="CH2700" s="56"/>
      <c r="CI2700" s="56"/>
      <c r="CJ2700" s="56"/>
      <c r="CK2700" s="56"/>
      <c r="CL2700" s="56"/>
      <c r="CM2700" s="56"/>
      <c r="CN2700" s="56"/>
      <c r="CO2700" s="56"/>
      <c r="CP2700" s="56"/>
      <c r="CQ2700" s="56"/>
      <c r="CR2700" s="56"/>
      <c r="CS2700" s="56"/>
      <c r="CT2700" s="56"/>
      <c r="CU2700" s="56"/>
      <c r="CV2700" s="56"/>
      <c r="CW2700" s="56"/>
      <c r="CX2700" s="56"/>
      <c r="CY2700" s="56"/>
      <c r="CZ2700" s="56"/>
    </row>
    <row r="2701" spans="27:104" s="5" customFormat="1" x14ac:dyDescent="0.25">
      <c r="AA2701" s="56"/>
      <c r="AB2701" s="56"/>
      <c r="AC2701" s="56"/>
      <c r="AD2701" s="56"/>
      <c r="AE2701" s="56"/>
      <c r="AF2701" s="56"/>
      <c r="AG2701" s="56"/>
      <c r="AH2701" s="56"/>
      <c r="AI2701" s="56"/>
      <c r="AJ2701" s="56"/>
      <c r="AK2701" s="56"/>
      <c r="AL2701" s="56"/>
      <c r="AM2701" s="56"/>
      <c r="AN2701" s="56"/>
      <c r="AO2701" s="56"/>
      <c r="AP2701" s="56"/>
      <c r="AQ2701" s="56"/>
      <c r="AR2701" s="56"/>
      <c r="AS2701" s="56"/>
      <c r="AT2701" s="56"/>
      <c r="AU2701" s="56"/>
      <c r="AV2701" s="56"/>
      <c r="AW2701" s="56"/>
      <c r="AX2701" s="56"/>
      <c r="AY2701" s="56"/>
      <c r="AZ2701" s="56"/>
      <c r="BA2701" s="56"/>
      <c r="BB2701" s="16"/>
      <c r="BC2701" s="56"/>
      <c r="BD2701" s="56"/>
      <c r="BE2701" s="56"/>
      <c r="BF2701" s="56"/>
      <c r="BG2701" s="56"/>
      <c r="BH2701" s="56"/>
      <c r="BI2701" s="56"/>
      <c r="BJ2701" s="56"/>
      <c r="BK2701" s="56"/>
      <c r="BL2701" s="56"/>
      <c r="BM2701" s="56"/>
      <c r="BN2701" s="56"/>
      <c r="BO2701" s="56"/>
      <c r="BP2701" s="56"/>
      <c r="BQ2701" s="56"/>
      <c r="BR2701" s="56"/>
      <c r="BS2701" s="56"/>
      <c r="BT2701" s="56"/>
      <c r="BU2701" s="56"/>
      <c r="BV2701" s="56"/>
      <c r="BW2701" s="56"/>
      <c r="BX2701" s="56"/>
      <c r="BY2701" s="56"/>
      <c r="BZ2701" s="56"/>
      <c r="CA2701" s="56"/>
      <c r="CB2701" s="56"/>
      <c r="CC2701" s="56"/>
      <c r="CD2701" s="56"/>
      <c r="CE2701" s="56"/>
      <c r="CF2701" s="56"/>
      <c r="CG2701" s="56"/>
      <c r="CH2701" s="56"/>
      <c r="CI2701" s="56"/>
      <c r="CJ2701" s="56"/>
      <c r="CK2701" s="56"/>
      <c r="CL2701" s="56"/>
      <c r="CM2701" s="56"/>
      <c r="CN2701" s="56"/>
      <c r="CO2701" s="56"/>
      <c r="CP2701" s="56"/>
      <c r="CQ2701" s="56"/>
      <c r="CR2701" s="56"/>
      <c r="CS2701" s="56"/>
      <c r="CT2701" s="56"/>
      <c r="CU2701" s="56"/>
      <c r="CV2701" s="56"/>
      <c r="CW2701" s="56"/>
      <c r="CX2701" s="56"/>
      <c r="CY2701" s="56"/>
      <c r="CZ2701" s="56"/>
    </row>
    <row r="2702" spans="27:104" s="5" customFormat="1" x14ac:dyDescent="0.25">
      <c r="AA2702" s="56"/>
      <c r="AB2702" s="56"/>
      <c r="AC2702" s="56"/>
      <c r="AD2702" s="56"/>
      <c r="AE2702" s="56"/>
      <c r="AF2702" s="56"/>
      <c r="AG2702" s="56"/>
      <c r="AH2702" s="56"/>
      <c r="AI2702" s="56"/>
      <c r="AJ2702" s="56"/>
      <c r="AK2702" s="56"/>
      <c r="AL2702" s="56"/>
      <c r="AM2702" s="56"/>
      <c r="AN2702" s="56"/>
      <c r="AO2702" s="56"/>
      <c r="AP2702" s="56"/>
      <c r="AQ2702" s="56"/>
      <c r="AR2702" s="56"/>
      <c r="AS2702" s="56"/>
      <c r="AT2702" s="56"/>
      <c r="AU2702" s="56"/>
      <c r="AV2702" s="56"/>
      <c r="AW2702" s="56"/>
      <c r="AX2702" s="56"/>
      <c r="AY2702" s="56"/>
      <c r="AZ2702" s="56"/>
      <c r="BA2702" s="56"/>
      <c r="BB2702" s="16"/>
      <c r="BC2702" s="56"/>
      <c r="BD2702" s="56"/>
      <c r="BE2702" s="56"/>
      <c r="BF2702" s="56"/>
      <c r="BG2702" s="56"/>
      <c r="BH2702" s="56"/>
      <c r="BI2702" s="56"/>
      <c r="BJ2702" s="56"/>
      <c r="BK2702" s="56"/>
      <c r="BL2702" s="56"/>
      <c r="BM2702" s="56"/>
      <c r="BN2702" s="56"/>
      <c r="BO2702" s="56"/>
      <c r="BP2702" s="56"/>
      <c r="BQ2702" s="56"/>
      <c r="BR2702" s="56"/>
      <c r="BS2702" s="56"/>
      <c r="BT2702" s="56"/>
      <c r="BU2702" s="56"/>
      <c r="BV2702" s="56"/>
      <c r="BW2702" s="56"/>
      <c r="BX2702" s="56"/>
      <c r="BY2702" s="56"/>
      <c r="BZ2702" s="56"/>
      <c r="CA2702" s="56"/>
      <c r="CB2702" s="56"/>
      <c r="CC2702" s="56"/>
      <c r="CD2702" s="56"/>
      <c r="CE2702" s="56"/>
      <c r="CF2702" s="56"/>
      <c r="CG2702" s="56"/>
      <c r="CH2702" s="56"/>
      <c r="CI2702" s="56"/>
      <c r="CJ2702" s="56"/>
      <c r="CK2702" s="56"/>
      <c r="CL2702" s="56"/>
      <c r="CM2702" s="56"/>
      <c r="CN2702" s="56"/>
      <c r="CO2702" s="56"/>
      <c r="CP2702" s="56"/>
      <c r="CQ2702" s="56"/>
      <c r="CR2702" s="56"/>
      <c r="CS2702" s="56"/>
      <c r="CT2702" s="56"/>
      <c r="CU2702" s="56"/>
      <c r="CV2702" s="56"/>
      <c r="CW2702" s="56"/>
      <c r="CX2702" s="56"/>
      <c r="CY2702" s="56"/>
      <c r="CZ2702" s="56"/>
    </row>
    <row r="2703" spans="27:104" s="5" customFormat="1" x14ac:dyDescent="0.25">
      <c r="AA2703" s="56"/>
      <c r="AB2703" s="56"/>
      <c r="AC2703" s="56"/>
      <c r="AD2703" s="56"/>
      <c r="AE2703" s="56"/>
      <c r="AF2703" s="56"/>
      <c r="AG2703" s="56"/>
      <c r="AH2703" s="56"/>
      <c r="AI2703" s="56"/>
      <c r="AJ2703" s="56"/>
      <c r="AK2703" s="56"/>
      <c r="AL2703" s="56"/>
      <c r="AM2703" s="56"/>
      <c r="AN2703" s="56"/>
      <c r="AO2703" s="56"/>
      <c r="AP2703" s="56"/>
      <c r="AQ2703" s="56"/>
      <c r="AR2703" s="56"/>
      <c r="AS2703" s="56"/>
      <c r="AT2703" s="56"/>
      <c r="AU2703" s="56"/>
      <c r="AV2703" s="56"/>
      <c r="AW2703" s="56"/>
      <c r="AX2703" s="56"/>
      <c r="AY2703" s="56"/>
      <c r="AZ2703" s="56"/>
      <c r="BA2703" s="56"/>
      <c r="BB2703" s="16"/>
      <c r="BC2703" s="56"/>
      <c r="BD2703" s="56"/>
      <c r="BE2703" s="56"/>
      <c r="BF2703" s="56"/>
      <c r="BG2703" s="56"/>
      <c r="BH2703" s="56"/>
      <c r="BI2703" s="56"/>
      <c r="BJ2703" s="56"/>
      <c r="BK2703" s="56"/>
      <c r="BL2703" s="56"/>
      <c r="BM2703" s="56"/>
      <c r="BN2703" s="56"/>
      <c r="BO2703" s="56"/>
      <c r="BP2703" s="56"/>
      <c r="BQ2703" s="56"/>
      <c r="BR2703" s="56"/>
      <c r="BS2703" s="56"/>
      <c r="BT2703" s="56"/>
      <c r="BU2703" s="56"/>
      <c r="BV2703" s="56"/>
      <c r="BW2703" s="56"/>
      <c r="BX2703" s="56"/>
      <c r="BY2703" s="56"/>
      <c r="BZ2703" s="56"/>
      <c r="CA2703" s="56"/>
      <c r="CB2703" s="56"/>
      <c r="CC2703" s="56"/>
      <c r="CD2703" s="56"/>
      <c r="CE2703" s="56"/>
      <c r="CF2703" s="56"/>
      <c r="CG2703" s="56"/>
      <c r="CH2703" s="56"/>
      <c r="CI2703" s="56"/>
      <c r="CJ2703" s="56"/>
      <c r="CK2703" s="56"/>
      <c r="CL2703" s="56"/>
      <c r="CM2703" s="56"/>
      <c r="CN2703" s="56"/>
      <c r="CO2703" s="56"/>
      <c r="CP2703" s="56"/>
      <c r="CQ2703" s="56"/>
      <c r="CR2703" s="56"/>
      <c r="CS2703" s="56"/>
      <c r="CT2703" s="56"/>
      <c r="CU2703" s="56"/>
      <c r="CV2703" s="56"/>
      <c r="CW2703" s="56"/>
      <c r="CX2703" s="56"/>
      <c r="CY2703" s="56"/>
      <c r="CZ2703" s="56"/>
    </row>
    <row r="2704" spans="27:104" s="5" customFormat="1" x14ac:dyDescent="0.25">
      <c r="AA2704" s="56"/>
      <c r="AB2704" s="56"/>
      <c r="AC2704" s="56"/>
      <c r="AD2704" s="56"/>
      <c r="AE2704" s="56"/>
      <c r="AF2704" s="56"/>
      <c r="AG2704" s="56"/>
      <c r="AH2704" s="56"/>
      <c r="AI2704" s="56"/>
      <c r="AJ2704" s="56"/>
      <c r="AK2704" s="56"/>
      <c r="AL2704" s="56"/>
      <c r="AM2704" s="56"/>
      <c r="AN2704" s="56"/>
      <c r="AO2704" s="56"/>
      <c r="AP2704" s="56"/>
      <c r="AQ2704" s="56"/>
      <c r="AR2704" s="56"/>
      <c r="AS2704" s="56"/>
      <c r="AT2704" s="56"/>
      <c r="AU2704" s="56"/>
      <c r="AV2704" s="56"/>
      <c r="AW2704" s="56"/>
      <c r="AX2704" s="56"/>
      <c r="AY2704" s="56"/>
      <c r="AZ2704" s="56"/>
      <c r="BA2704" s="56"/>
      <c r="BB2704" s="16"/>
      <c r="BC2704" s="56"/>
      <c r="BD2704" s="56"/>
      <c r="BE2704" s="56"/>
      <c r="BF2704" s="56"/>
      <c r="BG2704" s="56"/>
      <c r="BH2704" s="56"/>
      <c r="BI2704" s="56"/>
      <c r="BJ2704" s="56"/>
      <c r="BK2704" s="56"/>
      <c r="BL2704" s="56"/>
      <c r="BM2704" s="56"/>
      <c r="BN2704" s="56"/>
      <c r="BO2704" s="56"/>
      <c r="BP2704" s="56"/>
      <c r="BQ2704" s="56"/>
      <c r="BR2704" s="56"/>
      <c r="BS2704" s="56"/>
      <c r="BT2704" s="56"/>
      <c r="BU2704" s="56"/>
      <c r="BV2704" s="56"/>
      <c r="BW2704" s="56"/>
      <c r="BX2704" s="56"/>
      <c r="BY2704" s="56"/>
      <c r="BZ2704" s="56"/>
      <c r="CA2704" s="56"/>
      <c r="CB2704" s="56"/>
      <c r="CC2704" s="56"/>
      <c r="CD2704" s="56"/>
      <c r="CE2704" s="56"/>
      <c r="CF2704" s="56"/>
      <c r="CG2704" s="56"/>
      <c r="CH2704" s="56"/>
      <c r="CI2704" s="56"/>
      <c r="CJ2704" s="56"/>
      <c r="CK2704" s="56"/>
      <c r="CL2704" s="56"/>
      <c r="CM2704" s="56"/>
      <c r="CN2704" s="56"/>
      <c r="CO2704" s="56"/>
      <c r="CP2704" s="56"/>
      <c r="CQ2704" s="56"/>
      <c r="CR2704" s="56"/>
      <c r="CS2704" s="56"/>
      <c r="CT2704" s="56"/>
      <c r="CU2704" s="56"/>
      <c r="CV2704" s="56"/>
      <c r="CW2704" s="56"/>
      <c r="CX2704" s="56"/>
      <c r="CY2704" s="56"/>
      <c r="CZ2704" s="56"/>
    </row>
    <row r="2705" spans="27:104" s="5" customFormat="1" x14ac:dyDescent="0.25">
      <c r="AA2705" s="56"/>
      <c r="AB2705" s="56"/>
      <c r="AC2705" s="56"/>
      <c r="AD2705" s="56"/>
      <c r="AE2705" s="56"/>
      <c r="AF2705" s="56"/>
      <c r="AG2705" s="56"/>
      <c r="AH2705" s="56"/>
      <c r="AI2705" s="56"/>
      <c r="AJ2705" s="56"/>
      <c r="AK2705" s="56"/>
      <c r="AL2705" s="56"/>
      <c r="AM2705" s="56"/>
      <c r="AN2705" s="56"/>
      <c r="AO2705" s="56"/>
      <c r="AP2705" s="56"/>
      <c r="AQ2705" s="56"/>
      <c r="AR2705" s="56"/>
      <c r="AS2705" s="56"/>
      <c r="AT2705" s="56"/>
      <c r="AU2705" s="56"/>
      <c r="AV2705" s="56"/>
      <c r="AW2705" s="56"/>
      <c r="AX2705" s="56"/>
      <c r="AY2705" s="56"/>
      <c r="AZ2705" s="56"/>
      <c r="BA2705" s="56"/>
      <c r="BB2705" s="16"/>
      <c r="BC2705" s="56"/>
      <c r="BD2705" s="56"/>
      <c r="BE2705" s="56"/>
      <c r="BF2705" s="56"/>
      <c r="BG2705" s="56"/>
      <c r="BH2705" s="56"/>
      <c r="BI2705" s="56"/>
      <c r="BJ2705" s="56"/>
      <c r="BK2705" s="56"/>
      <c r="BL2705" s="56"/>
      <c r="BM2705" s="56"/>
      <c r="BN2705" s="56"/>
      <c r="BO2705" s="56"/>
      <c r="BP2705" s="56"/>
      <c r="BQ2705" s="56"/>
      <c r="BR2705" s="56"/>
      <c r="BS2705" s="56"/>
      <c r="BT2705" s="56"/>
      <c r="BU2705" s="56"/>
      <c r="BV2705" s="56"/>
      <c r="BW2705" s="56"/>
      <c r="BX2705" s="56"/>
      <c r="BY2705" s="56"/>
      <c r="BZ2705" s="56"/>
      <c r="CA2705" s="56"/>
      <c r="CB2705" s="56"/>
      <c r="CC2705" s="56"/>
      <c r="CD2705" s="56"/>
      <c r="CE2705" s="56"/>
      <c r="CF2705" s="56"/>
      <c r="CG2705" s="56"/>
      <c r="CH2705" s="56"/>
      <c r="CI2705" s="56"/>
      <c r="CJ2705" s="56"/>
      <c r="CK2705" s="56"/>
      <c r="CL2705" s="56"/>
      <c r="CM2705" s="56"/>
      <c r="CN2705" s="56"/>
      <c r="CO2705" s="56"/>
      <c r="CP2705" s="56"/>
      <c r="CQ2705" s="56"/>
      <c r="CR2705" s="56"/>
      <c r="CS2705" s="56"/>
      <c r="CT2705" s="56"/>
      <c r="CU2705" s="56"/>
      <c r="CV2705" s="56"/>
      <c r="CW2705" s="56"/>
      <c r="CX2705" s="56"/>
      <c r="CY2705" s="56"/>
      <c r="CZ2705" s="56"/>
    </row>
    <row r="2706" spans="27:104" s="5" customFormat="1" x14ac:dyDescent="0.25">
      <c r="AA2706" s="56"/>
      <c r="AB2706" s="56"/>
      <c r="AC2706" s="56"/>
      <c r="AD2706" s="56"/>
      <c r="AE2706" s="56"/>
      <c r="AF2706" s="56"/>
      <c r="AG2706" s="56"/>
      <c r="AH2706" s="56"/>
      <c r="AI2706" s="56"/>
      <c r="AJ2706" s="56"/>
      <c r="AK2706" s="56"/>
      <c r="AL2706" s="56"/>
      <c r="AM2706" s="56"/>
      <c r="AN2706" s="56"/>
      <c r="AO2706" s="56"/>
      <c r="AP2706" s="56"/>
      <c r="AQ2706" s="56"/>
      <c r="AR2706" s="56"/>
      <c r="AS2706" s="56"/>
      <c r="AT2706" s="56"/>
      <c r="AU2706" s="56"/>
      <c r="AV2706" s="56"/>
      <c r="AW2706" s="56"/>
      <c r="AX2706" s="56"/>
      <c r="AY2706" s="56"/>
      <c r="AZ2706" s="56"/>
      <c r="BA2706" s="56"/>
      <c r="BB2706" s="16"/>
      <c r="BC2706" s="56"/>
      <c r="BD2706" s="56"/>
      <c r="BE2706" s="56"/>
      <c r="BF2706" s="56"/>
      <c r="BG2706" s="56"/>
      <c r="BH2706" s="56"/>
      <c r="BI2706" s="56"/>
      <c r="BJ2706" s="56"/>
      <c r="BK2706" s="56"/>
      <c r="BL2706" s="56"/>
      <c r="BM2706" s="56"/>
      <c r="BN2706" s="56"/>
      <c r="BO2706" s="56"/>
      <c r="BP2706" s="56"/>
      <c r="BQ2706" s="56"/>
      <c r="BR2706" s="56"/>
      <c r="BS2706" s="56"/>
      <c r="BT2706" s="56"/>
      <c r="BU2706" s="56"/>
      <c r="BV2706" s="56"/>
      <c r="BW2706" s="56"/>
      <c r="BX2706" s="56"/>
      <c r="BY2706" s="56"/>
      <c r="BZ2706" s="56"/>
      <c r="CA2706" s="56"/>
      <c r="CB2706" s="56"/>
      <c r="CC2706" s="56"/>
      <c r="CD2706" s="56"/>
      <c r="CE2706" s="56"/>
      <c r="CF2706" s="56"/>
      <c r="CG2706" s="56"/>
      <c r="CH2706" s="56"/>
      <c r="CI2706" s="56"/>
      <c r="CJ2706" s="56"/>
      <c r="CK2706" s="56"/>
      <c r="CL2706" s="56"/>
      <c r="CM2706" s="56"/>
      <c r="CN2706" s="56"/>
      <c r="CO2706" s="56"/>
      <c r="CP2706" s="56"/>
      <c r="CQ2706" s="56"/>
      <c r="CR2706" s="56"/>
      <c r="CS2706" s="56"/>
      <c r="CT2706" s="56"/>
      <c r="CU2706" s="56"/>
      <c r="CV2706" s="56"/>
      <c r="CW2706" s="56"/>
      <c r="CX2706" s="56"/>
      <c r="CY2706" s="56"/>
      <c r="CZ2706" s="56"/>
    </row>
    <row r="2707" spans="27:104" s="5" customFormat="1" x14ac:dyDescent="0.25">
      <c r="AA2707" s="56"/>
      <c r="AB2707" s="56"/>
      <c r="AC2707" s="56"/>
      <c r="AD2707" s="56"/>
      <c r="AE2707" s="56"/>
      <c r="AF2707" s="56"/>
      <c r="AG2707" s="56"/>
      <c r="AH2707" s="56"/>
      <c r="AI2707" s="56"/>
      <c r="AJ2707" s="56"/>
      <c r="AK2707" s="56"/>
      <c r="AL2707" s="56"/>
      <c r="AM2707" s="56"/>
      <c r="AN2707" s="56"/>
      <c r="AO2707" s="56"/>
      <c r="AP2707" s="56"/>
      <c r="AQ2707" s="56"/>
      <c r="AR2707" s="56"/>
      <c r="AS2707" s="56"/>
      <c r="AT2707" s="56"/>
      <c r="AU2707" s="56"/>
      <c r="AV2707" s="56"/>
      <c r="AW2707" s="56"/>
      <c r="AX2707" s="56"/>
      <c r="AY2707" s="56"/>
      <c r="AZ2707" s="56"/>
      <c r="BA2707" s="56"/>
      <c r="BB2707" s="16"/>
      <c r="BC2707" s="56"/>
      <c r="BD2707" s="56"/>
      <c r="BE2707" s="56"/>
      <c r="BF2707" s="56"/>
      <c r="BG2707" s="56"/>
      <c r="BH2707" s="56"/>
      <c r="BI2707" s="56"/>
      <c r="BJ2707" s="56"/>
      <c r="BK2707" s="56"/>
      <c r="BL2707" s="56"/>
      <c r="BM2707" s="56"/>
      <c r="BN2707" s="56"/>
      <c r="BO2707" s="56"/>
      <c r="BP2707" s="56"/>
      <c r="BQ2707" s="56"/>
      <c r="BR2707" s="56"/>
      <c r="BS2707" s="56"/>
      <c r="BT2707" s="56"/>
      <c r="BU2707" s="56"/>
      <c r="BV2707" s="56"/>
      <c r="BW2707" s="56"/>
      <c r="BX2707" s="56"/>
      <c r="BY2707" s="56"/>
      <c r="BZ2707" s="56"/>
      <c r="CA2707" s="56"/>
      <c r="CB2707" s="56"/>
      <c r="CC2707" s="56"/>
      <c r="CD2707" s="56"/>
      <c r="CE2707" s="56"/>
      <c r="CF2707" s="56"/>
      <c r="CG2707" s="56"/>
      <c r="CH2707" s="56"/>
      <c r="CI2707" s="56"/>
      <c r="CJ2707" s="56"/>
      <c r="CK2707" s="56"/>
      <c r="CL2707" s="56"/>
      <c r="CM2707" s="56"/>
      <c r="CN2707" s="56"/>
      <c r="CO2707" s="56"/>
      <c r="CP2707" s="56"/>
      <c r="CQ2707" s="56"/>
      <c r="CR2707" s="56"/>
      <c r="CS2707" s="56"/>
      <c r="CT2707" s="56"/>
      <c r="CU2707" s="56"/>
      <c r="CV2707" s="56"/>
      <c r="CW2707" s="56"/>
      <c r="CX2707" s="56"/>
      <c r="CY2707" s="56"/>
      <c r="CZ2707" s="56"/>
    </row>
    <row r="2708" spans="27:104" s="5" customFormat="1" x14ac:dyDescent="0.25">
      <c r="AA2708" s="56"/>
      <c r="AB2708" s="56"/>
      <c r="AC2708" s="56"/>
      <c r="AD2708" s="56"/>
      <c r="AE2708" s="56"/>
      <c r="AF2708" s="56"/>
      <c r="AG2708" s="56"/>
      <c r="AH2708" s="56"/>
      <c r="AI2708" s="56"/>
      <c r="AJ2708" s="56"/>
      <c r="AK2708" s="56"/>
      <c r="AL2708" s="56"/>
      <c r="AM2708" s="56"/>
      <c r="AN2708" s="56"/>
      <c r="AO2708" s="56"/>
      <c r="AP2708" s="56"/>
      <c r="AQ2708" s="56"/>
      <c r="AR2708" s="56"/>
      <c r="AS2708" s="56"/>
      <c r="AT2708" s="56"/>
      <c r="AU2708" s="56"/>
      <c r="AV2708" s="56"/>
      <c r="AW2708" s="56"/>
      <c r="AX2708" s="56"/>
      <c r="AY2708" s="56"/>
      <c r="AZ2708" s="56"/>
      <c r="BA2708" s="56"/>
      <c r="BB2708" s="16"/>
      <c r="BC2708" s="56"/>
      <c r="BD2708" s="56"/>
      <c r="BE2708" s="56"/>
      <c r="BF2708" s="56"/>
      <c r="BG2708" s="56"/>
      <c r="BH2708" s="56"/>
      <c r="BI2708" s="56"/>
      <c r="BJ2708" s="56"/>
      <c r="BK2708" s="56"/>
      <c r="BL2708" s="56"/>
      <c r="BM2708" s="56"/>
      <c r="BN2708" s="56"/>
      <c r="BO2708" s="56"/>
      <c r="BP2708" s="56"/>
      <c r="BQ2708" s="56"/>
      <c r="BR2708" s="56"/>
      <c r="BS2708" s="56"/>
      <c r="BT2708" s="56"/>
      <c r="BU2708" s="56"/>
      <c r="BV2708" s="56"/>
      <c r="BW2708" s="56"/>
      <c r="BX2708" s="56"/>
      <c r="BY2708" s="56"/>
      <c r="BZ2708" s="56"/>
      <c r="CA2708" s="56"/>
      <c r="CB2708" s="56"/>
      <c r="CC2708" s="56"/>
      <c r="CD2708" s="56"/>
      <c r="CE2708" s="56"/>
      <c r="CF2708" s="56"/>
      <c r="CG2708" s="56"/>
      <c r="CH2708" s="56"/>
      <c r="CI2708" s="56"/>
      <c r="CJ2708" s="56"/>
      <c r="CK2708" s="56"/>
      <c r="CL2708" s="56"/>
      <c r="CM2708" s="56"/>
      <c r="CN2708" s="56"/>
      <c r="CO2708" s="56"/>
      <c r="CP2708" s="56"/>
      <c r="CQ2708" s="56"/>
      <c r="CR2708" s="56"/>
      <c r="CS2708" s="56"/>
      <c r="CT2708" s="56"/>
      <c r="CU2708" s="56"/>
      <c r="CV2708" s="56"/>
      <c r="CW2708" s="56"/>
      <c r="CX2708" s="56"/>
      <c r="CY2708" s="56"/>
      <c r="CZ2708" s="56"/>
    </row>
    <row r="2709" spans="27:104" s="5" customFormat="1" x14ac:dyDescent="0.25">
      <c r="AA2709" s="56"/>
      <c r="AB2709" s="56"/>
      <c r="AC2709" s="56"/>
      <c r="AD2709" s="56"/>
      <c r="AE2709" s="56"/>
      <c r="AF2709" s="56"/>
      <c r="AG2709" s="56"/>
      <c r="AH2709" s="56"/>
      <c r="AI2709" s="56"/>
      <c r="AJ2709" s="56"/>
      <c r="AK2709" s="56"/>
      <c r="AL2709" s="56"/>
      <c r="AM2709" s="56"/>
      <c r="AN2709" s="56"/>
      <c r="AO2709" s="56"/>
      <c r="AP2709" s="56"/>
      <c r="AQ2709" s="56"/>
      <c r="AR2709" s="56"/>
      <c r="AS2709" s="56"/>
      <c r="AT2709" s="56"/>
      <c r="AU2709" s="56"/>
      <c r="AV2709" s="56"/>
      <c r="AW2709" s="56"/>
      <c r="AX2709" s="56"/>
      <c r="AY2709" s="56"/>
      <c r="AZ2709" s="56"/>
      <c r="BA2709" s="56"/>
      <c r="BB2709" s="16"/>
      <c r="BC2709" s="56"/>
      <c r="BD2709" s="56"/>
      <c r="BE2709" s="56"/>
      <c r="BF2709" s="56"/>
      <c r="BG2709" s="56"/>
      <c r="BH2709" s="56"/>
      <c r="BI2709" s="56"/>
      <c r="BJ2709" s="56"/>
      <c r="BK2709" s="56"/>
      <c r="BL2709" s="56"/>
      <c r="BM2709" s="56"/>
      <c r="BN2709" s="56"/>
      <c r="BO2709" s="56"/>
      <c r="BP2709" s="56"/>
      <c r="BQ2709" s="56"/>
      <c r="BR2709" s="56"/>
      <c r="BS2709" s="56"/>
      <c r="BT2709" s="56"/>
      <c r="BU2709" s="56"/>
      <c r="BV2709" s="56"/>
      <c r="BW2709" s="56"/>
      <c r="BX2709" s="56"/>
      <c r="BY2709" s="56"/>
      <c r="BZ2709" s="56"/>
      <c r="CA2709" s="56"/>
      <c r="CB2709" s="56"/>
      <c r="CC2709" s="56"/>
      <c r="CD2709" s="56"/>
      <c r="CE2709" s="56"/>
      <c r="CF2709" s="56"/>
      <c r="CG2709" s="56"/>
      <c r="CH2709" s="56"/>
      <c r="CI2709" s="56"/>
      <c r="CJ2709" s="56"/>
      <c r="CK2709" s="56"/>
      <c r="CL2709" s="56"/>
      <c r="CM2709" s="56"/>
      <c r="CN2709" s="56"/>
      <c r="CO2709" s="56"/>
      <c r="CP2709" s="56"/>
      <c r="CQ2709" s="56"/>
      <c r="CR2709" s="56"/>
      <c r="CS2709" s="56"/>
      <c r="CT2709" s="56"/>
      <c r="CU2709" s="56"/>
      <c r="CV2709" s="56"/>
      <c r="CW2709" s="56"/>
      <c r="CX2709" s="56"/>
      <c r="CY2709" s="56"/>
      <c r="CZ2709" s="56"/>
    </row>
    <row r="2710" spans="27:104" s="5" customFormat="1" x14ac:dyDescent="0.25">
      <c r="AA2710" s="56"/>
      <c r="AB2710" s="56"/>
      <c r="AC2710" s="56"/>
      <c r="AD2710" s="56"/>
      <c r="AE2710" s="56"/>
      <c r="AF2710" s="56"/>
      <c r="AG2710" s="56"/>
      <c r="AH2710" s="56"/>
      <c r="AI2710" s="56"/>
      <c r="AJ2710" s="56"/>
      <c r="AK2710" s="56"/>
      <c r="AL2710" s="56"/>
      <c r="AM2710" s="56"/>
      <c r="AN2710" s="56"/>
      <c r="AO2710" s="56"/>
      <c r="AP2710" s="56"/>
      <c r="AQ2710" s="56"/>
      <c r="AR2710" s="56"/>
      <c r="AS2710" s="56"/>
      <c r="AT2710" s="56"/>
      <c r="AU2710" s="56"/>
      <c r="AV2710" s="56"/>
      <c r="AW2710" s="56"/>
      <c r="AX2710" s="56"/>
      <c r="AY2710" s="56"/>
      <c r="AZ2710" s="56"/>
      <c r="BA2710" s="56"/>
      <c r="BB2710" s="16"/>
      <c r="BC2710" s="56"/>
      <c r="BD2710" s="56"/>
      <c r="BE2710" s="56"/>
      <c r="BF2710" s="56"/>
      <c r="BG2710" s="56"/>
      <c r="BH2710" s="56"/>
      <c r="BI2710" s="56"/>
      <c r="BJ2710" s="56"/>
      <c r="BK2710" s="56"/>
      <c r="BL2710" s="56"/>
      <c r="BM2710" s="56"/>
      <c r="BN2710" s="56"/>
      <c r="BO2710" s="56"/>
      <c r="BP2710" s="56"/>
      <c r="BQ2710" s="56"/>
      <c r="BR2710" s="56"/>
      <c r="BS2710" s="56"/>
      <c r="BT2710" s="56"/>
      <c r="BU2710" s="56"/>
      <c r="BV2710" s="56"/>
      <c r="BW2710" s="56"/>
      <c r="BX2710" s="56"/>
      <c r="BY2710" s="56"/>
      <c r="BZ2710" s="56"/>
      <c r="CA2710" s="56"/>
      <c r="CB2710" s="56"/>
      <c r="CC2710" s="56"/>
      <c r="CD2710" s="56"/>
      <c r="CE2710" s="56"/>
      <c r="CF2710" s="56"/>
      <c r="CG2710" s="56"/>
      <c r="CH2710" s="56"/>
      <c r="CI2710" s="56"/>
      <c r="CJ2710" s="56"/>
      <c r="CK2710" s="56"/>
      <c r="CL2710" s="56"/>
      <c r="CM2710" s="56"/>
      <c r="CN2710" s="56"/>
      <c r="CO2710" s="56"/>
      <c r="CP2710" s="56"/>
      <c r="CQ2710" s="56"/>
      <c r="CR2710" s="56"/>
      <c r="CS2710" s="56"/>
      <c r="CT2710" s="56"/>
      <c r="CU2710" s="56"/>
      <c r="CV2710" s="56"/>
      <c r="CW2710" s="56"/>
      <c r="CX2710" s="56"/>
      <c r="CY2710" s="56"/>
      <c r="CZ2710" s="56"/>
    </row>
    <row r="2711" spans="27:104" s="5" customFormat="1" x14ac:dyDescent="0.25">
      <c r="AA2711" s="56"/>
      <c r="AB2711" s="56"/>
      <c r="AC2711" s="56"/>
      <c r="AD2711" s="56"/>
      <c r="AE2711" s="56"/>
      <c r="AF2711" s="56"/>
      <c r="AG2711" s="56"/>
      <c r="AH2711" s="56"/>
      <c r="AI2711" s="56"/>
      <c r="AJ2711" s="56"/>
      <c r="AK2711" s="56"/>
      <c r="AL2711" s="56"/>
      <c r="AM2711" s="56"/>
      <c r="AN2711" s="56"/>
      <c r="AO2711" s="56"/>
      <c r="AP2711" s="56"/>
      <c r="AQ2711" s="56"/>
      <c r="AR2711" s="56"/>
      <c r="AS2711" s="56"/>
      <c r="AT2711" s="56"/>
      <c r="AU2711" s="56"/>
      <c r="AV2711" s="56"/>
      <c r="AW2711" s="56"/>
      <c r="AX2711" s="56"/>
      <c r="AY2711" s="56"/>
      <c r="AZ2711" s="56"/>
      <c r="BA2711" s="56"/>
      <c r="BB2711" s="16"/>
      <c r="BC2711" s="56"/>
      <c r="BD2711" s="56"/>
      <c r="BE2711" s="56"/>
      <c r="BF2711" s="56"/>
      <c r="BG2711" s="56"/>
      <c r="BH2711" s="56"/>
      <c r="BI2711" s="56"/>
      <c r="BJ2711" s="56"/>
      <c r="BK2711" s="56"/>
      <c r="BL2711" s="56"/>
      <c r="BM2711" s="56"/>
      <c r="BN2711" s="56"/>
      <c r="BO2711" s="56"/>
      <c r="BP2711" s="56"/>
      <c r="BQ2711" s="56"/>
      <c r="BR2711" s="56"/>
      <c r="BS2711" s="56"/>
      <c r="BT2711" s="56"/>
      <c r="BU2711" s="56"/>
      <c r="BV2711" s="56"/>
      <c r="BW2711" s="56"/>
      <c r="BX2711" s="56"/>
      <c r="BY2711" s="56"/>
      <c r="BZ2711" s="56"/>
      <c r="CA2711" s="56"/>
      <c r="CB2711" s="56"/>
      <c r="CC2711" s="56"/>
      <c r="CD2711" s="56"/>
      <c r="CE2711" s="56"/>
      <c r="CF2711" s="56"/>
      <c r="CG2711" s="56"/>
      <c r="CH2711" s="56"/>
      <c r="CI2711" s="56"/>
      <c r="CJ2711" s="56"/>
      <c r="CK2711" s="56"/>
      <c r="CL2711" s="56"/>
      <c r="CM2711" s="56"/>
      <c r="CN2711" s="56"/>
      <c r="CO2711" s="56"/>
      <c r="CP2711" s="56"/>
      <c r="CQ2711" s="56"/>
      <c r="CR2711" s="56"/>
      <c r="CS2711" s="56"/>
      <c r="CT2711" s="56"/>
      <c r="CU2711" s="56"/>
      <c r="CV2711" s="56"/>
      <c r="CW2711" s="56"/>
      <c r="CX2711" s="56"/>
      <c r="CY2711" s="56"/>
      <c r="CZ2711" s="56"/>
    </row>
    <row r="2712" spans="27:104" s="5" customFormat="1" x14ac:dyDescent="0.25">
      <c r="AA2712" s="56"/>
      <c r="AB2712" s="56"/>
      <c r="AC2712" s="56"/>
      <c r="AD2712" s="56"/>
      <c r="AE2712" s="56"/>
      <c r="AF2712" s="56"/>
      <c r="AG2712" s="56"/>
      <c r="AH2712" s="56"/>
      <c r="AI2712" s="56"/>
      <c r="AJ2712" s="56"/>
      <c r="AK2712" s="56"/>
      <c r="AL2712" s="56"/>
      <c r="AM2712" s="56"/>
      <c r="AN2712" s="56"/>
      <c r="AO2712" s="56"/>
      <c r="AP2712" s="56"/>
      <c r="AQ2712" s="56"/>
      <c r="AR2712" s="56"/>
      <c r="AS2712" s="56"/>
      <c r="AT2712" s="56"/>
      <c r="AU2712" s="56"/>
      <c r="AV2712" s="56"/>
      <c r="AW2712" s="56"/>
      <c r="AX2712" s="56"/>
      <c r="AY2712" s="56"/>
      <c r="AZ2712" s="56"/>
      <c r="BA2712" s="56"/>
      <c r="BB2712" s="16"/>
      <c r="BC2712" s="56"/>
      <c r="BD2712" s="56"/>
      <c r="BE2712" s="56"/>
      <c r="BF2712" s="56"/>
      <c r="BG2712" s="56"/>
      <c r="BH2712" s="56"/>
      <c r="BI2712" s="56"/>
      <c r="BJ2712" s="56"/>
      <c r="BK2712" s="56"/>
      <c r="BL2712" s="56"/>
      <c r="BM2712" s="56"/>
      <c r="BN2712" s="56"/>
      <c r="BO2712" s="56"/>
      <c r="BP2712" s="56"/>
      <c r="BQ2712" s="56"/>
      <c r="BR2712" s="56"/>
      <c r="BS2712" s="56"/>
      <c r="BT2712" s="56"/>
      <c r="BU2712" s="56"/>
      <c r="BV2712" s="56"/>
      <c r="BW2712" s="56"/>
      <c r="BX2712" s="56"/>
      <c r="BY2712" s="56"/>
      <c r="BZ2712" s="56"/>
      <c r="CA2712" s="56"/>
      <c r="CB2712" s="56"/>
      <c r="CC2712" s="56"/>
      <c r="CD2712" s="56"/>
      <c r="CE2712" s="56"/>
      <c r="CF2712" s="56"/>
      <c r="CG2712" s="56"/>
      <c r="CH2712" s="56"/>
      <c r="CI2712" s="56"/>
      <c r="CJ2712" s="56"/>
      <c r="CK2712" s="56"/>
      <c r="CL2712" s="56"/>
      <c r="CM2712" s="56"/>
      <c r="CN2712" s="56"/>
      <c r="CO2712" s="56"/>
      <c r="CP2712" s="56"/>
      <c r="CQ2712" s="56"/>
      <c r="CR2712" s="56"/>
      <c r="CS2712" s="56"/>
      <c r="CT2712" s="56"/>
      <c r="CU2712" s="56"/>
      <c r="CV2712" s="56"/>
      <c r="CW2712" s="56"/>
      <c r="CX2712" s="56"/>
      <c r="CY2712" s="56"/>
      <c r="CZ2712" s="56"/>
    </row>
    <row r="2713" spans="27:104" s="5" customFormat="1" x14ac:dyDescent="0.25">
      <c r="AA2713" s="56"/>
      <c r="AB2713" s="56"/>
      <c r="AC2713" s="56"/>
      <c r="AD2713" s="56"/>
      <c r="AE2713" s="56"/>
      <c r="AF2713" s="56"/>
      <c r="AG2713" s="56"/>
      <c r="AH2713" s="56"/>
      <c r="AI2713" s="56"/>
      <c r="AJ2713" s="56"/>
      <c r="AK2713" s="56"/>
      <c r="AL2713" s="56"/>
      <c r="AM2713" s="56"/>
      <c r="AN2713" s="56"/>
      <c r="AO2713" s="56"/>
      <c r="AP2713" s="56"/>
      <c r="AQ2713" s="56"/>
      <c r="AR2713" s="56"/>
      <c r="AS2713" s="56"/>
      <c r="AT2713" s="56"/>
      <c r="AU2713" s="56"/>
      <c r="AV2713" s="56"/>
      <c r="AW2713" s="56"/>
      <c r="AX2713" s="56"/>
      <c r="AY2713" s="56"/>
      <c r="AZ2713" s="56"/>
      <c r="BA2713" s="56"/>
      <c r="BB2713" s="16"/>
      <c r="BC2713" s="56"/>
      <c r="BD2713" s="56"/>
      <c r="BE2713" s="56"/>
      <c r="BF2713" s="56"/>
      <c r="BG2713" s="56"/>
      <c r="BH2713" s="56"/>
      <c r="BI2713" s="56"/>
      <c r="BJ2713" s="56"/>
      <c r="BK2713" s="56"/>
      <c r="BL2713" s="56"/>
      <c r="BM2713" s="56"/>
      <c r="BN2713" s="56"/>
      <c r="BO2713" s="56"/>
      <c r="BP2713" s="56"/>
      <c r="BQ2713" s="56"/>
      <c r="BR2713" s="56"/>
      <c r="BS2713" s="56"/>
      <c r="BT2713" s="56"/>
      <c r="BU2713" s="56"/>
      <c r="BV2713" s="56"/>
      <c r="BW2713" s="56"/>
      <c r="BX2713" s="56"/>
      <c r="BY2713" s="56"/>
      <c r="BZ2713" s="56"/>
      <c r="CA2713" s="56"/>
      <c r="CB2713" s="56"/>
      <c r="CC2713" s="56"/>
      <c r="CD2713" s="56"/>
      <c r="CE2713" s="56"/>
      <c r="CF2713" s="56"/>
      <c r="CG2713" s="56"/>
      <c r="CH2713" s="56"/>
      <c r="CI2713" s="56"/>
      <c r="CJ2713" s="56"/>
      <c r="CK2713" s="56"/>
      <c r="CL2713" s="56"/>
      <c r="CM2713" s="56"/>
      <c r="CN2713" s="56"/>
      <c r="CO2713" s="56"/>
      <c r="CP2713" s="56"/>
      <c r="CQ2713" s="56"/>
      <c r="CR2713" s="56"/>
      <c r="CS2713" s="56"/>
      <c r="CT2713" s="56"/>
      <c r="CU2713" s="56"/>
      <c r="CV2713" s="56"/>
      <c r="CW2713" s="56"/>
      <c r="CX2713" s="56"/>
      <c r="CY2713" s="56"/>
      <c r="CZ2713" s="56"/>
    </row>
    <row r="2714" spans="27:104" s="5" customFormat="1" x14ac:dyDescent="0.25">
      <c r="AA2714" s="56"/>
      <c r="AB2714" s="56"/>
      <c r="AC2714" s="56"/>
      <c r="AD2714" s="56"/>
      <c r="AE2714" s="56"/>
      <c r="AF2714" s="56"/>
      <c r="AG2714" s="56"/>
      <c r="AH2714" s="56"/>
      <c r="AI2714" s="56"/>
      <c r="AJ2714" s="56"/>
      <c r="AK2714" s="56"/>
      <c r="AL2714" s="56"/>
      <c r="AM2714" s="56"/>
      <c r="AN2714" s="56"/>
      <c r="AO2714" s="56"/>
      <c r="AP2714" s="56"/>
      <c r="AQ2714" s="56"/>
      <c r="AR2714" s="56"/>
      <c r="AS2714" s="56"/>
      <c r="AT2714" s="56"/>
      <c r="AU2714" s="56"/>
      <c r="AV2714" s="56"/>
      <c r="AW2714" s="56"/>
      <c r="AX2714" s="56"/>
      <c r="AY2714" s="56"/>
      <c r="AZ2714" s="56"/>
      <c r="BA2714" s="56"/>
      <c r="BB2714" s="16"/>
      <c r="BC2714" s="56"/>
      <c r="BD2714" s="56"/>
      <c r="BE2714" s="56"/>
      <c r="BF2714" s="56"/>
      <c r="BG2714" s="56"/>
      <c r="BH2714" s="56"/>
      <c r="BI2714" s="56"/>
      <c r="BJ2714" s="56"/>
      <c r="BK2714" s="56"/>
      <c r="BL2714" s="56"/>
      <c r="BM2714" s="56"/>
      <c r="BN2714" s="56"/>
      <c r="BO2714" s="56"/>
      <c r="BP2714" s="56"/>
      <c r="BQ2714" s="56"/>
      <c r="BR2714" s="56"/>
      <c r="BS2714" s="56"/>
      <c r="BT2714" s="56"/>
      <c r="BU2714" s="56"/>
      <c r="BV2714" s="56"/>
      <c r="BW2714" s="56"/>
      <c r="BX2714" s="56"/>
      <c r="BY2714" s="56"/>
      <c r="BZ2714" s="56"/>
      <c r="CA2714" s="56"/>
      <c r="CB2714" s="56"/>
      <c r="CC2714" s="56"/>
      <c r="CD2714" s="56"/>
      <c r="CE2714" s="56"/>
      <c r="CF2714" s="56"/>
      <c r="CG2714" s="56"/>
      <c r="CH2714" s="56"/>
      <c r="CI2714" s="56"/>
      <c r="CJ2714" s="56"/>
      <c r="CK2714" s="56"/>
      <c r="CL2714" s="56"/>
      <c r="CM2714" s="56"/>
      <c r="CN2714" s="56"/>
      <c r="CO2714" s="56"/>
      <c r="CP2714" s="56"/>
      <c r="CQ2714" s="56"/>
      <c r="CR2714" s="56"/>
      <c r="CS2714" s="56"/>
      <c r="CT2714" s="56"/>
      <c r="CU2714" s="56"/>
      <c r="CV2714" s="56"/>
      <c r="CW2714" s="56"/>
      <c r="CX2714" s="56"/>
      <c r="CY2714" s="56"/>
      <c r="CZ2714" s="56"/>
    </row>
    <row r="2715" spans="27:104" s="5" customFormat="1" x14ac:dyDescent="0.25">
      <c r="AA2715" s="56"/>
      <c r="AB2715" s="56"/>
      <c r="AC2715" s="56"/>
      <c r="AD2715" s="56"/>
      <c r="AE2715" s="56"/>
      <c r="AF2715" s="56"/>
      <c r="AG2715" s="56"/>
      <c r="AH2715" s="56"/>
      <c r="AI2715" s="56"/>
      <c r="AJ2715" s="56"/>
      <c r="AK2715" s="56"/>
      <c r="AL2715" s="56"/>
      <c r="AM2715" s="56"/>
      <c r="AN2715" s="56"/>
      <c r="AO2715" s="56"/>
      <c r="AP2715" s="56"/>
      <c r="AQ2715" s="56"/>
      <c r="AR2715" s="56"/>
      <c r="AS2715" s="56"/>
      <c r="AT2715" s="56"/>
      <c r="AU2715" s="56"/>
      <c r="AV2715" s="56"/>
      <c r="AW2715" s="56"/>
      <c r="AX2715" s="56"/>
      <c r="AY2715" s="56"/>
      <c r="AZ2715" s="56"/>
      <c r="BA2715" s="56"/>
      <c r="BB2715" s="16"/>
      <c r="BC2715" s="56"/>
      <c r="BD2715" s="56"/>
      <c r="BE2715" s="56"/>
      <c r="BF2715" s="56"/>
      <c r="BG2715" s="56"/>
      <c r="BH2715" s="56"/>
      <c r="BI2715" s="56"/>
      <c r="BJ2715" s="56"/>
      <c r="BK2715" s="56"/>
      <c r="BL2715" s="56"/>
      <c r="BM2715" s="56"/>
      <c r="BN2715" s="56"/>
      <c r="BO2715" s="56"/>
      <c r="BP2715" s="56"/>
      <c r="BQ2715" s="56"/>
      <c r="BR2715" s="56"/>
      <c r="BS2715" s="56"/>
      <c r="BT2715" s="56"/>
      <c r="BU2715" s="56"/>
      <c r="BV2715" s="56"/>
      <c r="BW2715" s="56"/>
      <c r="BX2715" s="56"/>
      <c r="BY2715" s="56"/>
      <c r="BZ2715" s="56"/>
      <c r="CA2715" s="56"/>
      <c r="CB2715" s="56"/>
      <c r="CC2715" s="56"/>
      <c r="CD2715" s="56"/>
      <c r="CE2715" s="56"/>
      <c r="CF2715" s="56"/>
      <c r="CG2715" s="56"/>
      <c r="CH2715" s="56"/>
      <c r="CI2715" s="56"/>
      <c r="CJ2715" s="56"/>
      <c r="CK2715" s="56"/>
      <c r="CL2715" s="56"/>
      <c r="CM2715" s="56"/>
      <c r="CN2715" s="56"/>
      <c r="CO2715" s="56"/>
      <c r="CP2715" s="56"/>
      <c r="CQ2715" s="56"/>
      <c r="CR2715" s="56"/>
      <c r="CS2715" s="56"/>
      <c r="CT2715" s="56"/>
      <c r="CU2715" s="56"/>
      <c r="CV2715" s="56"/>
      <c r="CW2715" s="56"/>
      <c r="CX2715" s="56"/>
      <c r="CY2715" s="56"/>
      <c r="CZ2715" s="56"/>
    </row>
    <row r="2716" spans="27:104" s="5" customFormat="1" x14ac:dyDescent="0.25">
      <c r="AA2716" s="56"/>
      <c r="AB2716" s="56"/>
      <c r="AC2716" s="56"/>
      <c r="AD2716" s="56"/>
      <c r="AE2716" s="56"/>
      <c r="AF2716" s="56"/>
      <c r="AG2716" s="56"/>
      <c r="AH2716" s="56"/>
      <c r="AI2716" s="56"/>
      <c r="AJ2716" s="56"/>
      <c r="AK2716" s="56"/>
      <c r="AL2716" s="56"/>
      <c r="AM2716" s="56"/>
      <c r="AN2716" s="56"/>
      <c r="AO2716" s="56"/>
      <c r="AP2716" s="56"/>
      <c r="AQ2716" s="56"/>
      <c r="AR2716" s="56"/>
      <c r="AS2716" s="56"/>
      <c r="AT2716" s="56"/>
      <c r="AU2716" s="56"/>
      <c r="AV2716" s="56"/>
      <c r="AW2716" s="56"/>
      <c r="AX2716" s="56"/>
      <c r="AY2716" s="56"/>
      <c r="AZ2716" s="56"/>
      <c r="BA2716" s="56"/>
      <c r="BB2716" s="16"/>
      <c r="BC2716" s="56"/>
      <c r="BD2716" s="56"/>
      <c r="BE2716" s="56"/>
      <c r="BF2716" s="56"/>
      <c r="BG2716" s="56"/>
      <c r="BH2716" s="56"/>
      <c r="BI2716" s="56"/>
      <c r="BJ2716" s="56"/>
      <c r="BK2716" s="56"/>
      <c r="BL2716" s="56"/>
      <c r="BM2716" s="56"/>
      <c r="BN2716" s="56"/>
      <c r="BO2716" s="56"/>
      <c r="BP2716" s="56"/>
      <c r="BQ2716" s="56"/>
      <c r="BR2716" s="56"/>
      <c r="BS2716" s="56"/>
      <c r="BT2716" s="56"/>
      <c r="BU2716" s="56"/>
      <c r="BV2716" s="56"/>
      <c r="BW2716" s="56"/>
      <c r="BX2716" s="56"/>
      <c r="BY2716" s="56"/>
      <c r="BZ2716" s="56"/>
      <c r="CA2716" s="56"/>
      <c r="CB2716" s="56"/>
      <c r="CC2716" s="56"/>
      <c r="CD2716" s="56"/>
      <c r="CE2716" s="56"/>
      <c r="CF2716" s="56"/>
      <c r="CG2716" s="56"/>
      <c r="CH2716" s="56"/>
      <c r="CI2716" s="56"/>
      <c r="CJ2716" s="56"/>
      <c r="CK2716" s="56"/>
      <c r="CL2716" s="56"/>
      <c r="CM2716" s="56"/>
      <c r="CN2716" s="56"/>
      <c r="CO2716" s="56"/>
      <c r="CP2716" s="56"/>
      <c r="CQ2716" s="56"/>
      <c r="CR2716" s="56"/>
      <c r="CS2716" s="56"/>
      <c r="CT2716" s="56"/>
      <c r="CU2716" s="56"/>
      <c r="CV2716" s="56"/>
      <c r="CW2716" s="56"/>
      <c r="CX2716" s="56"/>
      <c r="CY2716" s="56"/>
      <c r="CZ2716" s="56"/>
    </row>
    <row r="2717" spans="27:104" s="5" customFormat="1" x14ac:dyDescent="0.25">
      <c r="AA2717" s="56"/>
      <c r="AB2717" s="56"/>
      <c r="AC2717" s="56"/>
      <c r="AD2717" s="56"/>
      <c r="AE2717" s="56"/>
      <c r="AF2717" s="56"/>
      <c r="AG2717" s="56"/>
      <c r="AH2717" s="56"/>
      <c r="AI2717" s="56"/>
      <c r="AJ2717" s="56"/>
      <c r="AK2717" s="56"/>
      <c r="AL2717" s="56"/>
      <c r="AM2717" s="56"/>
      <c r="AN2717" s="56"/>
      <c r="AO2717" s="56"/>
      <c r="AP2717" s="56"/>
      <c r="AQ2717" s="56"/>
      <c r="AR2717" s="56"/>
      <c r="AS2717" s="56"/>
      <c r="AT2717" s="56"/>
      <c r="AU2717" s="56"/>
      <c r="AV2717" s="56"/>
      <c r="AW2717" s="56"/>
      <c r="AX2717" s="56"/>
      <c r="AY2717" s="56"/>
      <c r="AZ2717" s="56"/>
      <c r="BA2717" s="56"/>
      <c r="BB2717" s="16"/>
      <c r="BC2717" s="56"/>
      <c r="BD2717" s="56"/>
      <c r="BE2717" s="56"/>
      <c r="BF2717" s="56"/>
      <c r="BG2717" s="56"/>
      <c r="BH2717" s="56"/>
      <c r="BI2717" s="56"/>
      <c r="BJ2717" s="56"/>
      <c r="BK2717" s="56"/>
      <c r="BL2717" s="56"/>
      <c r="BM2717" s="56"/>
      <c r="BN2717" s="56"/>
      <c r="BO2717" s="56"/>
      <c r="BP2717" s="56"/>
      <c r="BQ2717" s="56"/>
      <c r="BR2717" s="56"/>
      <c r="BS2717" s="56"/>
      <c r="BT2717" s="56"/>
      <c r="BU2717" s="56"/>
      <c r="BV2717" s="56"/>
      <c r="BW2717" s="56"/>
      <c r="BX2717" s="56"/>
      <c r="BY2717" s="56"/>
      <c r="BZ2717" s="56"/>
      <c r="CA2717" s="56"/>
      <c r="CB2717" s="56"/>
      <c r="CC2717" s="56"/>
      <c r="CD2717" s="56"/>
      <c r="CE2717" s="56"/>
      <c r="CF2717" s="56"/>
      <c r="CG2717" s="56"/>
      <c r="CH2717" s="56"/>
      <c r="CI2717" s="56"/>
      <c r="CJ2717" s="56"/>
      <c r="CK2717" s="56"/>
      <c r="CL2717" s="56"/>
      <c r="CM2717" s="56"/>
      <c r="CN2717" s="56"/>
      <c r="CO2717" s="56"/>
      <c r="CP2717" s="56"/>
      <c r="CQ2717" s="56"/>
      <c r="CR2717" s="56"/>
      <c r="CS2717" s="56"/>
      <c r="CT2717" s="56"/>
      <c r="CU2717" s="56"/>
      <c r="CV2717" s="56"/>
      <c r="CW2717" s="56"/>
      <c r="CX2717" s="56"/>
      <c r="CY2717" s="56"/>
      <c r="CZ2717" s="56"/>
    </row>
    <row r="2718" spans="27:104" s="5" customFormat="1" x14ac:dyDescent="0.25">
      <c r="AA2718" s="56"/>
      <c r="AB2718" s="56"/>
      <c r="AC2718" s="56"/>
      <c r="AD2718" s="56"/>
      <c r="AE2718" s="56"/>
      <c r="AF2718" s="56"/>
      <c r="AG2718" s="56"/>
      <c r="AH2718" s="56"/>
      <c r="AI2718" s="56"/>
      <c r="AJ2718" s="56"/>
      <c r="AK2718" s="56"/>
      <c r="AL2718" s="56"/>
      <c r="AM2718" s="56"/>
      <c r="AN2718" s="56"/>
      <c r="AO2718" s="56"/>
      <c r="AP2718" s="56"/>
      <c r="AQ2718" s="56"/>
      <c r="AR2718" s="56"/>
      <c r="AS2718" s="56"/>
      <c r="AT2718" s="56"/>
      <c r="AU2718" s="56"/>
      <c r="AV2718" s="56"/>
      <c r="AW2718" s="56"/>
      <c r="AX2718" s="56"/>
      <c r="AY2718" s="56"/>
      <c r="AZ2718" s="56"/>
      <c r="BA2718" s="56"/>
      <c r="BB2718" s="16"/>
      <c r="BC2718" s="56"/>
      <c r="BD2718" s="56"/>
      <c r="BE2718" s="56"/>
      <c r="BF2718" s="56"/>
      <c r="BG2718" s="56"/>
      <c r="BH2718" s="56"/>
      <c r="BI2718" s="56"/>
      <c r="BJ2718" s="56"/>
      <c r="BK2718" s="56"/>
      <c r="BL2718" s="56"/>
      <c r="BM2718" s="56"/>
      <c r="BN2718" s="56"/>
      <c r="BO2718" s="56"/>
      <c r="BP2718" s="56"/>
      <c r="BQ2718" s="56"/>
      <c r="BR2718" s="56"/>
      <c r="BS2718" s="56"/>
      <c r="BT2718" s="56"/>
      <c r="BU2718" s="56"/>
      <c r="BV2718" s="56"/>
      <c r="BW2718" s="56"/>
      <c r="BX2718" s="56"/>
      <c r="BY2718" s="56"/>
      <c r="BZ2718" s="56"/>
      <c r="CA2718" s="56"/>
      <c r="CB2718" s="56"/>
      <c r="CC2718" s="56"/>
      <c r="CD2718" s="56"/>
      <c r="CE2718" s="56"/>
      <c r="CF2718" s="56"/>
      <c r="CG2718" s="56"/>
      <c r="CH2718" s="56"/>
      <c r="CI2718" s="56"/>
      <c r="CJ2718" s="56"/>
      <c r="CK2718" s="56"/>
      <c r="CL2718" s="56"/>
      <c r="CM2718" s="56"/>
      <c r="CN2718" s="56"/>
      <c r="CO2718" s="56"/>
      <c r="CP2718" s="56"/>
      <c r="CQ2718" s="56"/>
      <c r="CR2718" s="56"/>
      <c r="CS2718" s="56"/>
      <c r="CT2718" s="56"/>
      <c r="CU2718" s="56"/>
      <c r="CV2718" s="56"/>
      <c r="CW2718" s="56"/>
      <c r="CX2718" s="56"/>
      <c r="CY2718" s="56"/>
      <c r="CZ2718" s="56"/>
    </row>
    <row r="2719" spans="27:104" s="5" customFormat="1" x14ac:dyDescent="0.25">
      <c r="AA2719" s="56"/>
      <c r="AB2719" s="56"/>
      <c r="AC2719" s="56"/>
      <c r="AD2719" s="56"/>
      <c r="AE2719" s="56"/>
      <c r="AF2719" s="56"/>
      <c r="AG2719" s="56"/>
      <c r="AH2719" s="56"/>
      <c r="AI2719" s="56"/>
      <c r="AJ2719" s="56"/>
      <c r="AK2719" s="56"/>
      <c r="AL2719" s="56"/>
      <c r="AM2719" s="56"/>
      <c r="AN2719" s="56"/>
      <c r="AO2719" s="56"/>
      <c r="AP2719" s="56"/>
      <c r="AQ2719" s="56"/>
      <c r="AR2719" s="56"/>
      <c r="AS2719" s="56"/>
      <c r="AT2719" s="56"/>
      <c r="AU2719" s="56"/>
      <c r="AV2719" s="56"/>
      <c r="AW2719" s="56"/>
      <c r="AX2719" s="56"/>
      <c r="AY2719" s="56"/>
      <c r="AZ2719" s="56"/>
      <c r="BA2719" s="56"/>
      <c r="BB2719" s="16"/>
      <c r="BC2719" s="56"/>
      <c r="BD2719" s="56"/>
      <c r="BE2719" s="56"/>
      <c r="BF2719" s="56"/>
      <c r="BG2719" s="56"/>
      <c r="BH2719" s="56"/>
      <c r="BI2719" s="56"/>
      <c r="BJ2719" s="56"/>
      <c r="BK2719" s="56"/>
      <c r="BL2719" s="56"/>
      <c r="BM2719" s="56"/>
      <c r="BN2719" s="56"/>
      <c r="BO2719" s="56"/>
      <c r="BP2719" s="56"/>
      <c r="BQ2719" s="56"/>
      <c r="BR2719" s="56"/>
      <c r="BS2719" s="56"/>
      <c r="BT2719" s="56"/>
      <c r="BU2719" s="56"/>
      <c r="BV2719" s="56"/>
      <c r="BW2719" s="56"/>
      <c r="BX2719" s="56"/>
      <c r="BY2719" s="56"/>
      <c r="BZ2719" s="56"/>
      <c r="CA2719" s="56"/>
      <c r="CB2719" s="56"/>
      <c r="CC2719" s="56"/>
      <c r="CD2719" s="56"/>
      <c r="CE2719" s="56"/>
      <c r="CF2719" s="56"/>
      <c r="CG2719" s="56"/>
      <c r="CH2719" s="56"/>
      <c r="CI2719" s="56"/>
      <c r="CJ2719" s="56"/>
      <c r="CK2719" s="56"/>
      <c r="CL2719" s="56"/>
      <c r="CM2719" s="56"/>
      <c r="CN2719" s="56"/>
      <c r="CO2719" s="56"/>
      <c r="CP2719" s="56"/>
      <c r="CQ2719" s="56"/>
      <c r="CR2719" s="56"/>
      <c r="CS2719" s="56"/>
      <c r="CT2719" s="56"/>
      <c r="CU2719" s="56"/>
      <c r="CV2719" s="56"/>
      <c r="CW2719" s="56"/>
      <c r="CX2719" s="56"/>
      <c r="CY2719" s="56"/>
      <c r="CZ2719" s="56"/>
    </row>
    <row r="2720" spans="27:104" s="5" customFormat="1" x14ac:dyDescent="0.25">
      <c r="AA2720" s="56"/>
      <c r="AB2720" s="56"/>
      <c r="AC2720" s="56"/>
      <c r="AD2720" s="56"/>
      <c r="AE2720" s="56"/>
      <c r="AF2720" s="56"/>
      <c r="AG2720" s="56"/>
      <c r="AH2720" s="56"/>
      <c r="AI2720" s="56"/>
      <c r="AJ2720" s="56"/>
      <c r="AK2720" s="56"/>
      <c r="AL2720" s="56"/>
      <c r="AM2720" s="56"/>
      <c r="AN2720" s="56"/>
      <c r="AO2720" s="56"/>
      <c r="AP2720" s="56"/>
      <c r="AQ2720" s="56"/>
      <c r="AR2720" s="56"/>
      <c r="AS2720" s="56"/>
      <c r="AT2720" s="56"/>
      <c r="AU2720" s="56"/>
      <c r="AV2720" s="56"/>
      <c r="AW2720" s="56"/>
      <c r="AX2720" s="56"/>
      <c r="AY2720" s="56"/>
      <c r="AZ2720" s="56"/>
      <c r="BA2720" s="56"/>
      <c r="BB2720" s="16"/>
      <c r="BC2720" s="56"/>
      <c r="BD2720" s="56"/>
      <c r="BE2720" s="56"/>
      <c r="BF2720" s="56"/>
      <c r="BG2720" s="56"/>
      <c r="BH2720" s="56"/>
      <c r="BI2720" s="56"/>
      <c r="BJ2720" s="56"/>
      <c r="BK2720" s="56"/>
      <c r="BL2720" s="56"/>
      <c r="BM2720" s="56"/>
      <c r="BN2720" s="56"/>
      <c r="BO2720" s="56"/>
      <c r="BP2720" s="56"/>
      <c r="BQ2720" s="56"/>
      <c r="BR2720" s="56"/>
      <c r="BS2720" s="56"/>
      <c r="BT2720" s="56"/>
      <c r="BU2720" s="56"/>
      <c r="BV2720" s="56"/>
      <c r="BW2720" s="56"/>
      <c r="BX2720" s="56"/>
      <c r="BY2720" s="56"/>
      <c r="BZ2720" s="56"/>
      <c r="CA2720" s="56"/>
      <c r="CB2720" s="56"/>
      <c r="CC2720" s="56"/>
      <c r="CD2720" s="56"/>
      <c r="CE2720" s="56"/>
      <c r="CF2720" s="56"/>
      <c r="CG2720" s="56"/>
      <c r="CH2720" s="56"/>
      <c r="CI2720" s="56"/>
      <c r="CJ2720" s="56"/>
      <c r="CK2720" s="56"/>
      <c r="CL2720" s="56"/>
      <c r="CM2720" s="56"/>
      <c r="CN2720" s="56"/>
      <c r="CO2720" s="56"/>
      <c r="CP2720" s="56"/>
      <c r="CQ2720" s="56"/>
      <c r="CR2720" s="56"/>
      <c r="CS2720" s="56"/>
      <c r="CT2720" s="56"/>
      <c r="CU2720" s="56"/>
      <c r="CV2720" s="56"/>
      <c r="CW2720" s="56"/>
      <c r="CX2720" s="56"/>
      <c r="CY2720" s="56"/>
      <c r="CZ2720" s="56"/>
    </row>
    <row r="2721" spans="27:104" s="5" customFormat="1" x14ac:dyDescent="0.25">
      <c r="AA2721" s="56"/>
      <c r="AB2721" s="56"/>
      <c r="AC2721" s="56"/>
      <c r="AD2721" s="56"/>
      <c r="AE2721" s="56"/>
      <c r="AF2721" s="56"/>
      <c r="AG2721" s="56"/>
      <c r="AH2721" s="56"/>
      <c r="AI2721" s="56"/>
      <c r="AJ2721" s="56"/>
      <c r="AK2721" s="56"/>
      <c r="AL2721" s="56"/>
      <c r="AM2721" s="56"/>
      <c r="AN2721" s="56"/>
      <c r="AO2721" s="56"/>
      <c r="AP2721" s="56"/>
      <c r="AQ2721" s="56"/>
      <c r="AR2721" s="56"/>
      <c r="AS2721" s="56"/>
      <c r="AT2721" s="56"/>
      <c r="AU2721" s="56"/>
      <c r="AV2721" s="56"/>
      <c r="AW2721" s="56"/>
      <c r="AX2721" s="56"/>
      <c r="AY2721" s="56"/>
      <c r="AZ2721" s="56"/>
      <c r="BA2721" s="56"/>
      <c r="BB2721" s="16"/>
      <c r="BC2721" s="56"/>
      <c r="BD2721" s="56"/>
      <c r="BE2721" s="56"/>
      <c r="BF2721" s="56"/>
      <c r="BG2721" s="56"/>
      <c r="BH2721" s="56"/>
      <c r="BI2721" s="56"/>
      <c r="BJ2721" s="56"/>
      <c r="BK2721" s="56"/>
      <c r="BL2721" s="56"/>
      <c r="BM2721" s="56"/>
      <c r="BN2721" s="56"/>
      <c r="BO2721" s="56"/>
      <c r="BP2721" s="56"/>
      <c r="BQ2721" s="56"/>
      <c r="BR2721" s="56"/>
      <c r="BS2721" s="56"/>
      <c r="BT2721" s="56"/>
      <c r="BU2721" s="56"/>
      <c r="BV2721" s="56"/>
      <c r="BW2721" s="56"/>
      <c r="BX2721" s="56"/>
      <c r="BY2721" s="56"/>
      <c r="BZ2721" s="56"/>
      <c r="CA2721" s="56"/>
      <c r="CB2721" s="56"/>
      <c r="CC2721" s="56"/>
      <c r="CD2721" s="56"/>
      <c r="CE2721" s="56"/>
      <c r="CF2721" s="56"/>
      <c r="CG2721" s="56"/>
      <c r="CH2721" s="56"/>
      <c r="CI2721" s="56"/>
      <c r="CJ2721" s="56"/>
      <c r="CK2721" s="56"/>
      <c r="CL2721" s="56"/>
      <c r="CM2721" s="56"/>
      <c r="CN2721" s="56"/>
      <c r="CO2721" s="56"/>
      <c r="CP2721" s="56"/>
      <c r="CQ2721" s="56"/>
      <c r="CR2721" s="56"/>
      <c r="CS2721" s="56"/>
      <c r="CT2721" s="56"/>
      <c r="CU2721" s="56"/>
      <c r="CV2721" s="56"/>
      <c r="CW2721" s="56"/>
      <c r="CX2721" s="56"/>
      <c r="CY2721" s="56"/>
      <c r="CZ2721" s="56"/>
    </row>
    <row r="2722" spans="27:104" s="5" customFormat="1" x14ac:dyDescent="0.25">
      <c r="AA2722" s="56"/>
      <c r="AB2722" s="56"/>
      <c r="AC2722" s="56"/>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c r="AX2722" s="56"/>
      <c r="AY2722" s="56"/>
      <c r="AZ2722" s="56"/>
      <c r="BA2722" s="56"/>
      <c r="BB2722" s="16"/>
      <c r="BC2722" s="56"/>
      <c r="BD2722" s="56"/>
      <c r="BE2722" s="56"/>
      <c r="BF2722" s="56"/>
      <c r="BG2722" s="56"/>
      <c r="BH2722" s="56"/>
      <c r="BI2722" s="56"/>
      <c r="BJ2722" s="56"/>
      <c r="BK2722" s="56"/>
      <c r="BL2722" s="56"/>
      <c r="BM2722" s="56"/>
      <c r="BN2722" s="56"/>
      <c r="BO2722" s="56"/>
      <c r="BP2722" s="56"/>
      <c r="BQ2722" s="56"/>
      <c r="BR2722" s="56"/>
      <c r="BS2722" s="56"/>
      <c r="BT2722" s="56"/>
      <c r="BU2722" s="56"/>
      <c r="BV2722" s="56"/>
      <c r="BW2722" s="56"/>
      <c r="BX2722" s="56"/>
      <c r="BY2722" s="56"/>
      <c r="BZ2722" s="56"/>
      <c r="CA2722" s="56"/>
      <c r="CB2722" s="56"/>
      <c r="CC2722" s="56"/>
      <c r="CD2722" s="56"/>
      <c r="CE2722" s="56"/>
      <c r="CF2722" s="56"/>
      <c r="CG2722" s="56"/>
      <c r="CH2722" s="56"/>
      <c r="CI2722" s="56"/>
      <c r="CJ2722" s="56"/>
      <c r="CK2722" s="56"/>
      <c r="CL2722" s="56"/>
      <c r="CM2722" s="56"/>
      <c r="CN2722" s="56"/>
      <c r="CO2722" s="56"/>
      <c r="CP2722" s="56"/>
      <c r="CQ2722" s="56"/>
      <c r="CR2722" s="56"/>
      <c r="CS2722" s="56"/>
      <c r="CT2722" s="56"/>
      <c r="CU2722" s="56"/>
      <c r="CV2722" s="56"/>
      <c r="CW2722" s="56"/>
      <c r="CX2722" s="56"/>
      <c r="CY2722" s="56"/>
      <c r="CZ2722" s="56"/>
    </row>
    <row r="2723" spans="27:104" s="5" customFormat="1" x14ac:dyDescent="0.25">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c r="AX2723" s="56"/>
      <c r="AY2723" s="56"/>
      <c r="AZ2723" s="56"/>
      <c r="BA2723" s="56"/>
      <c r="BB2723" s="16"/>
      <c r="BC2723" s="56"/>
      <c r="BD2723" s="56"/>
      <c r="BE2723" s="56"/>
      <c r="BF2723" s="56"/>
      <c r="BG2723" s="56"/>
      <c r="BH2723" s="56"/>
      <c r="BI2723" s="56"/>
      <c r="BJ2723" s="56"/>
      <c r="BK2723" s="56"/>
      <c r="BL2723" s="56"/>
      <c r="BM2723" s="56"/>
      <c r="BN2723" s="56"/>
      <c r="BO2723" s="56"/>
      <c r="BP2723" s="56"/>
      <c r="BQ2723" s="56"/>
      <c r="BR2723" s="56"/>
      <c r="BS2723" s="56"/>
      <c r="BT2723" s="56"/>
      <c r="BU2723" s="56"/>
      <c r="BV2723" s="56"/>
      <c r="BW2723" s="56"/>
      <c r="BX2723" s="56"/>
      <c r="BY2723" s="56"/>
      <c r="BZ2723" s="56"/>
      <c r="CA2723" s="56"/>
      <c r="CB2723" s="56"/>
      <c r="CC2723" s="56"/>
      <c r="CD2723" s="56"/>
      <c r="CE2723" s="56"/>
      <c r="CF2723" s="56"/>
      <c r="CG2723" s="56"/>
      <c r="CH2723" s="56"/>
      <c r="CI2723" s="56"/>
      <c r="CJ2723" s="56"/>
      <c r="CK2723" s="56"/>
      <c r="CL2723" s="56"/>
      <c r="CM2723" s="56"/>
      <c r="CN2723" s="56"/>
      <c r="CO2723" s="56"/>
      <c r="CP2723" s="56"/>
      <c r="CQ2723" s="56"/>
      <c r="CR2723" s="56"/>
      <c r="CS2723" s="56"/>
      <c r="CT2723" s="56"/>
      <c r="CU2723" s="56"/>
      <c r="CV2723" s="56"/>
      <c r="CW2723" s="56"/>
      <c r="CX2723" s="56"/>
      <c r="CY2723" s="56"/>
      <c r="CZ2723" s="56"/>
    </row>
    <row r="2724" spans="27:104" s="5" customFormat="1" x14ac:dyDescent="0.25">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c r="AX2724" s="56"/>
      <c r="AY2724" s="56"/>
      <c r="AZ2724" s="56"/>
      <c r="BA2724" s="56"/>
      <c r="BB2724" s="16"/>
      <c r="BC2724" s="56"/>
      <c r="BD2724" s="56"/>
      <c r="BE2724" s="56"/>
      <c r="BF2724" s="56"/>
      <c r="BG2724" s="56"/>
      <c r="BH2724" s="56"/>
      <c r="BI2724" s="56"/>
      <c r="BJ2724" s="56"/>
      <c r="BK2724" s="56"/>
      <c r="BL2724" s="56"/>
      <c r="BM2724" s="56"/>
      <c r="BN2724" s="56"/>
      <c r="BO2724" s="56"/>
      <c r="BP2724" s="56"/>
      <c r="BQ2724" s="56"/>
      <c r="BR2724" s="56"/>
      <c r="BS2724" s="56"/>
      <c r="BT2724" s="56"/>
      <c r="BU2724" s="56"/>
      <c r="BV2724" s="56"/>
      <c r="BW2724" s="56"/>
      <c r="BX2724" s="56"/>
      <c r="BY2724" s="56"/>
      <c r="BZ2724" s="56"/>
      <c r="CA2724" s="56"/>
      <c r="CB2724" s="56"/>
      <c r="CC2724" s="56"/>
      <c r="CD2724" s="56"/>
      <c r="CE2724" s="56"/>
      <c r="CF2724" s="56"/>
      <c r="CG2724" s="56"/>
      <c r="CH2724" s="56"/>
      <c r="CI2724" s="56"/>
      <c r="CJ2724" s="56"/>
      <c r="CK2724" s="56"/>
      <c r="CL2724" s="56"/>
      <c r="CM2724" s="56"/>
      <c r="CN2724" s="56"/>
      <c r="CO2724" s="56"/>
      <c r="CP2724" s="56"/>
      <c r="CQ2724" s="56"/>
      <c r="CR2724" s="56"/>
      <c r="CS2724" s="56"/>
      <c r="CT2724" s="56"/>
      <c r="CU2724" s="56"/>
      <c r="CV2724" s="56"/>
      <c r="CW2724" s="56"/>
      <c r="CX2724" s="56"/>
      <c r="CY2724" s="56"/>
      <c r="CZ2724" s="56"/>
    </row>
    <row r="2725" spans="27:104" s="5" customFormat="1" x14ac:dyDescent="0.25">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c r="AX2725" s="56"/>
      <c r="AY2725" s="56"/>
      <c r="AZ2725" s="56"/>
      <c r="BA2725" s="56"/>
      <c r="BB2725" s="16"/>
      <c r="BC2725" s="56"/>
      <c r="BD2725" s="56"/>
      <c r="BE2725" s="56"/>
      <c r="BF2725" s="56"/>
      <c r="BG2725" s="56"/>
      <c r="BH2725" s="56"/>
      <c r="BI2725" s="56"/>
      <c r="BJ2725" s="56"/>
      <c r="BK2725" s="56"/>
      <c r="BL2725" s="56"/>
      <c r="BM2725" s="56"/>
      <c r="BN2725" s="56"/>
      <c r="BO2725" s="56"/>
      <c r="BP2725" s="56"/>
      <c r="BQ2725" s="56"/>
      <c r="BR2725" s="56"/>
      <c r="BS2725" s="56"/>
      <c r="BT2725" s="56"/>
      <c r="BU2725" s="56"/>
      <c r="BV2725" s="56"/>
      <c r="BW2725" s="56"/>
      <c r="BX2725" s="56"/>
      <c r="BY2725" s="56"/>
      <c r="BZ2725" s="56"/>
      <c r="CA2725" s="56"/>
      <c r="CB2725" s="56"/>
      <c r="CC2725" s="56"/>
      <c r="CD2725" s="56"/>
      <c r="CE2725" s="56"/>
      <c r="CF2725" s="56"/>
      <c r="CG2725" s="56"/>
      <c r="CH2725" s="56"/>
      <c r="CI2725" s="56"/>
      <c r="CJ2725" s="56"/>
      <c r="CK2725" s="56"/>
      <c r="CL2725" s="56"/>
      <c r="CM2725" s="56"/>
      <c r="CN2725" s="56"/>
      <c r="CO2725" s="56"/>
      <c r="CP2725" s="56"/>
      <c r="CQ2725" s="56"/>
      <c r="CR2725" s="56"/>
      <c r="CS2725" s="56"/>
      <c r="CT2725" s="56"/>
      <c r="CU2725" s="56"/>
      <c r="CV2725" s="56"/>
      <c r="CW2725" s="56"/>
      <c r="CX2725" s="56"/>
      <c r="CY2725" s="56"/>
      <c r="CZ2725" s="56"/>
    </row>
    <row r="2726" spans="27:104" s="5" customFormat="1" x14ac:dyDescent="0.25">
      <c r="AA2726" s="56"/>
      <c r="AB2726" s="56"/>
      <c r="AC2726" s="56"/>
      <c r="AD2726" s="56"/>
      <c r="AE2726" s="56"/>
      <c r="AF2726" s="56"/>
      <c r="AG2726" s="56"/>
      <c r="AH2726" s="56"/>
      <c r="AI2726" s="56"/>
      <c r="AJ2726" s="56"/>
      <c r="AK2726" s="56"/>
      <c r="AL2726" s="56"/>
      <c r="AM2726" s="56"/>
      <c r="AN2726" s="56"/>
      <c r="AO2726" s="56"/>
      <c r="AP2726" s="56"/>
      <c r="AQ2726" s="56"/>
      <c r="AR2726" s="56"/>
      <c r="AS2726" s="56"/>
      <c r="AT2726" s="56"/>
      <c r="AU2726" s="56"/>
      <c r="AV2726" s="56"/>
      <c r="AW2726" s="56"/>
      <c r="AX2726" s="56"/>
      <c r="AY2726" s="56"/>
      <c r="AZ2726" s="56"/>
      <c r="BA2726" s="56"/>
      <c r="BB2726" s="16"/>
      <c r="BC2726" s="56"/>
      <c r="BD2726" s="56"/>
      <c r="BE2726" s="56"/>
      <c r="BF2726" s="56"/>
      <c r="BG2726" s="56"/>
      <c r="BH2726" s="56"/>
      <c r="BI2726" s="56"/>
      <c r="BJ2726" s="56"/>
      <c r="BK2726" s="56"/>
      <c r="BL2726" s="56"/>
      <c r="BM2726" s="56"/>
      <c r="BN2726" s="56"/>
      <c r="BO2726" s="56"/>
      <c r="BP2726" s="56"/>
      <c r="BQ2726" s="56"/>
      <c r="BR2726" s="56"/>
      <c r="BS2726" s="56"/>
      <c r="BT2726" s="56"/>
      <c r="BU2726" s="56"/>
      <c r="BV2726" s="56"/>
      <c r="BW2726" s="56"/>
      <c r="BX2726" s="56"/>
      <c r="BY2726" s="56"/>
      <c r="BZ2726" s="56"/>
      <c r="CA2726" s="56"/>
      <c r="CB2726" s="56"/>
      <c r="CC2726" s="56"/>
      <c r="CD2726" s="56"/>
      <c r="CE2726" s="56"/>
      <c r="CF2726" s="56"/>
      <c r="CG2726" s="56"/>
      <c r="CH2726" s="56"/>
      <c r="CI2726" s="56"/>
      <c r="CJ2726" s="56"/>
      <c r="CK2726" s="56"/>
      <c r="CL2726" s="56"/>
      <c r="CM2726" s="56"/>
      <c r="CN2726" s="56"/>
      <c r="CO2726" s="56"/>
      <c r="CP2726" s="56"/>
      <c r="CQ2726" s="56"/>
      <c r="CR2726" s="56"/>
      <c r="CS2726" s="56"/>
      <c r="CT2726" s="56"/>
      <c r="CU2726" s="56"/>
      <c r="CV2726" s="56"/>
      <c r="CW2726" s="56"/>
      <c r="CX2726" s="56"/>
      <c r="CY2726" s="56"/>
      <c r="CZ2726" s="56"/>
    </row>
    <row r="2727" spans="27:104" s="5" customFormat="1" x14ac:dyDescent="0.25">
      <c r="AA2727" s="56"/>
      <c r="AB2727" s="56"/>
      <c r="AC2727" s="56"/>
      <c r="AD2727" s="56"/>
      <c r="AE2727" s="56"/>
      <c r="AF2727" s="56"/>
      <c r="AG2727" s="56"/>
      <c r="AH2727" s="56"/>
      <c r="AI2727" s="56"/>
      <c r="AJ2727" s="56"/>
      <c r="AK2727" s="56"/>
      <c r="AL2727" s="56"/>
      <c r="AM2727" s="56"/>
      <c r="AN2727" s="56"/>
      <c r="AO2727" s="56"/>
      <c r="AP2727" s="56"/>
      <c r="AQ2727" s="56"/>
      <c r="AR2727" s="56"/>
      <c r="AS2727" s="56"/>
      <c r="AT2727" s="56"/>
      <c r="AU2727" s="56"/>
      <c r="AV2727" s="56"/>
      <c r="AW2727" s="56"/>
      <c r="AX2727" s="56"/>
      <c r="AY2727" s="56"/>
      <c r="AZ2727" s="56"/>
      <c r="BA2727" s="56"/>
      <c r="BB2727" s="16"/>
      <c r="BC2727" s="56"/>
      <c r="BD2727" s="56"/>
      <c r="BE2727" s="56"/>
      <c r="BF2727" s="56"/>
      <c r="BG2727" s="56"/>
      <c r="BH2727" s="56"/>
      <c r="BI2727" s="56"/>
      <c r="BJ2727" s="56"/>
      <c r="BK2727" s="56"/>
      <c r="BL2727" s="56"/>
      <c r="BM2727" s="56"/>
      <c r="BN2727" s="56"/>
      <c r="BO2727" s="56"/>
      <c r="BP2727" s="56"/>
      <c r="BQ2727" s="56"/>
      <c r="BR2727" s="56"/>
      <c r="BS2727" s="56"/>
      <c r="BT2727" s="56"/>
      <c r="BU2727" s="56"/>
      <c r="BV2727" s="56"/>
      <c r="BW2727" s="56"/>
      <c r="BX2727" s="56"/>
      <c r="BY2727" s="56"/>
      <c r="BZ2727" s="56"/>
      <c r="CA2727" s="56"/>
      <c r="CB2727" s="56"/>
      <c r="CC2727" s="56"/>
      <c r="CD2727" s="56"/>
      <c r="CE2727" s="56"/>
      <c r="CF2727" s="56"/>
      <c r="CG2727" s="56"/>
      <c r="CH2727" s="56"/>
      <c r="CI2727" s="56"/>
      <c r="CJ2727" s="56"/>
      <c r="CK2727" s="56"/>
      <c r="CL2727" s="56"/>
      <c r="CM2727" s="56"/>
      <c r="CN2727" s="56"/>
      <c r="CO2727" s="56"/>
      <c r="CP2727" s="56"/>
      <c r="CQ2727" s="56"/>
      <c r="CR2727" s="56"/>
      <c r="CS2727" s="56"/>
      <c r="CT2727" s="56"/>
      <c r="CU2727" s="56"/>
      <c r="CV2727" s="56"/>
      <c r="CW2727" s="56"/>
      <c r="CX2727" s="56"/>
      <c r="CY2727" s="56"/>
      <c r="CZ2727" s="56"/>
    </row>
    <row r="2728" spans="27:104" s="5" customFormat="1" x14ac:dyDescent="0.25">
      <c r="AA2728" s="56"/>
      <c r="AB2728" s="56"/>
      <c r="AC2728" s="56"/>
      <c r="AD2728" s="56"/>
      <c r="AE2728" s="56"/>
      <c r="AF2728" s="56"/>
      <c r="AG2728" s="56"/>
      <c r="AH2728" s="56"/>
      <c r="AI2728" s="56"/>
      <c r="AJ2728" s="56"/>
      <c r="AK2728" s="56"/>
      <c r="AL2728" s="56"/>
      <c r="AM2728" s="56"/>
      <c r="AN2728" s="56"/>
      <c r="AO2728" s="56"/>
      <c r="AP2728" s="56"/>
      <c r="AQ2728" s="56"/>
      <c r="AR2728" s="56"/>
      <c r="AS2728" s="56"/>
      <c r="AT2728" s="56"/>
      <c r="AU2728" s="56"/>
      <c r="AV2728" s="56"/>
      <c r="AW2728" s="56"/>
      <c r="AX2728" s="56"/>
      <c r="AY2728" s="56"/>
      <c r="AZ2728" s="56"/>
      <c r="BA2728" s="56"/>
      <c r="BB2728" s="16"/>
      <c r="BC2728" s="56"/>
      <c r="BD2728" s="56"/>
      <c r="BE2728" s="56"/>
      <c r="BF2728" s="56"/>
      <c r="BG2728" s="56"/>
      <c r="BH2728" s="56"/>
      <c r="BI2728" s="56"/>
      <c r="BJ2728" s="56"/>
      <c r="BK2728" s="56"/>
      <c r="BL2728" s="56"/>
      <c r="BM2728" s="56"/>
      <c r="BN2728" s="56"/>
      <c r="BO2728" s="56"/>
      <c r="BP2728" s="56"/>
      <c r="BQ2728" s="56"/>
      <c r="BR2728" s="56"/>
      <c r="BS2728" s="56"/>
      <c r="BT2728" s="56"/>
      <c r="BU2728" s="56"/>
      <c r="BV2728" s="56"/>
      <c r="BW2728" s="56"/>
      <c r="BX2728" s="56"/>
      <c r="BY2728" s="56"/>
      <c r="BZ2728" s="56"/>
      <c r="CA2728" s="56"/>
      <c r="CB2728" s="56"/>
      <c r="CC2728" s="56"/>
      <c r="CD2728" s="56"/>
      <c r="CE2728" s="56"/>
      <c r="CF2728" s="56"/>
      <c r="CG2728" s="56"/>
      <c r="CH2728" s="56"/>
      <c r="CI2728" s="56"/>
      <c r="CJ2728" s="56"/>
      <c r="CK2728" s="56"/>
      <c r="CL2728" s="56"/>
      <c r="CM2728" s="56"/>
      <c r="CN2728" s="56"/>
      <c r="CO2728" s="56"/>
      <c r="CP2728" s="56"/>
      <c r="CQ2728" s="56"/>
      <c r="CR2728" s="56"/>
      <c r="CS2728" s="56"/>
      <c r="CT2728" s="56"/>
      <c r="CU2728" s="56"/>
      <c r="CV2728" s="56"/>
      <c r="CW2728" s="56"/>
      <c r="CX2728" s="56"/>
      <c r="CY2728" s="56"/>
      <c r="CZ2728" s="56"/>
    </row>
    <row r="2729" spans="27:104" s="5" customFormat="1" x14ac:dyDescent="0.25">
      <c r="AA2729" s="56"/>
      <c r="AB2729" s="56"/>
      <c r="AC2729" s="56"/>
      <c r="AD2729" s="56"/>
      <c r="AE2729" s="56"/>
      <c r="AF2729" s="56"/>
      <c r="AG2729" s="56"/>
      <c r="AH2729" s="56"/>
      <c r="AI2729" s="56"/>
      <c r="AJ2729" s="56"/>
      <c r="AK2729" s="56"/>
      <c r="AL2729" s="56"/>
      <c r="AM2729" s="56"/>
      <c r="AN2729" s="56"/>
      <c r="AO2729" s="56"/>
      <c r="AP2729" s="56"/>
      <c r="AQ2729" s="56"/>
      <c r="AR2729" s="56"/>
      <c r="AS2729" s="56"/>
      <c r="AT2729" s="56"/>
      <c r="AU2729" s="56"/>
      <c r="AV2729" s="56"/>
      <c r="AW2729" s="56"/>
      <c r="AX2729" s="56"/>
      <c r="AY2729" s="56"/>
      <c r="AZ2729" s="56"/>
      <c r="BA2729" s="56"/>
      <c r="BB2729" s="16"/>
      <c r="BC2729" s="56"/>
      <c r="BD2729" s="56"/>
      <c r="BE2729" s="56"/>
      <c r="BF2729" s="56"/>
      <c r="BG2729" s="56"/>
      <c r="BH2729" s="56"/>
      <c r="BI2729" s="56"/>
      <c r="BJ2729" s="56"/>
      <c r="BK2729" s="56"/>
      <c r="BL2729" s="56"/>
      <c r="BM2729" s="56"/>
      <c r="BN2729" s="56"/>
      <c r="BO2729" s="56"/>
      <c r="BP2729" s="56"/>
      <c r="BQ2729" s="56"/>
      <c r="BR2729" s="56"/>
      <c r="BS2729" s="56"/>
      <c r="BT2729" s="56"/>
      <c r="BU2729" s="56"/>
      <c r="BV2729" s="56"/>
      <c r="BW2729" s="56"/>
      <c r="BX2729" s="56"/>
      <c r="BY2729" s="56"/>
      <c r="BZ2729" s="56"/>
      <c r="CA2729" s="56"/>
      <c r="CB2729" s="56"/>
      <c r="CC2729" s="56"/>
      <c r="CD2729" s="56"/>
      <c r="CE2729" s="56"/>
      <c r="CF2729" s="56"/>
      <c r="CG2729" s="56"/>
      <c r="CH2729" s="56"/>
      <c r="CI2729" s="56"/>
      <c r="CJ2729" s="56"/>
      <c r="CK2729" s="56"/>
      <c r="CL2729" s="56"/>
      <c r="CM2729" s="56"/>
      <c r="CN2729" s="56"/>
      <c r="CO2729" s="56"/>
      <c r="CP2729" s="56"/>
      <c r="CQ2729" s="56"/>
      <c r="CR2729" s="56"/>
      <c r="CS2729" s="56"/>
      <c r="CT2729" s="56"/>
      <c r="CU2729" s="56"/>
      <c r="CV2729" s="56"/>
      <c r="CW2729" s="56"/>
      <c r="CX2729" s="56"/>
      <c r="CY2729" s="56"/>
      <c r="CZ2729" s="56"/>
    </row>
    <row r="2730" spans="27:104" s="5" customFormat="1" x14ac:dyDescent="0.25">
      <c r="AA2730" s="56"/>
      <c r="AB2730" s="56"/>
      <c r="AC2730" s="56"/>
      <c r="AD2730" s="56"/>
      <c r="AE2730" s="56"/>
      <c r="AF2730" s="56"/>
      <c r="AG2730" s="56"/>
      <c r="AH2730" s="56"/>
      <c r="AI2730" s="56"/>
      <c r="AJ2730" s="56"/>
      <c r="AK2730" s="56"/>
      <c r="AL2730" s="56"/>
      <c r="AM2730" s="56"/>
      <c r="AN2730" s="56"/>
      <c r="AO2730" s="56"/>
      <c r="AP2730" s="56"/>
      <c r="AQ2730" s="56"/>
      <c r="AR2730" s="56"/>
      <c r="AS2730" s="56"/>
      <c r="AT2730" s="56"/>
      <c r="AU2730" s="56"/>
      <c r="AV2730" s="56"/>
      <c r="AW2730" s="56"/>
      <c r="AX2730" s="56"/>
      <c r="AY2730" s="56"/>
      <c r="AZ2730" s="56"/>
      <c r="BA2730" s="56"/>
      <c r="BB2730" s="16"/>
      <c r="BC2730" s="56"/>
      <c r="BD2730" s="56"/>
      <c r="BE2730" s="56"/>
      <c r="BF2730" s="56"/>
      <c r="BG2730" s="56"/>
      <c r="BH2730" s="56"/>
      <c r="BI2730" s="56"/>
      <c r="BJ2730" s="56"/>
      <c r="BK2730" s="56"/>
      <c r="BL2730" s="56"/>
      <c r="BM2730" s="56"/>
      <c r="BN2730" s="56"/>
      <c r="BO2730" s="56"/>
      <c r="BP2730" s="56"/>
      <c r="BQ2730" s="56"/>
      <c r="BR2730" s="56"/>
      <c r="BS2730" s="56"/>
      <c r="BT2730" s="56"/>
      <c r="BU2730" s="56"/>
      <c r="BV2730" s="56"/>
      <c r="BW2730" s="56"/>
      <c r="BX2730" s="56"/>
      <c r="BY2730" s="56"/>
      <c r="BZ2730" s="56"/>
      <c r="CA2730" s="56"/>
      <c r="CB2730" s="56"/>
      <c r="CC2730" s="56"/>
      <c r="CD2730" s="56"/>
      <c r="CE2730" s="56"/>
      <c r="CF2730" s="56"/>
      <c r="CG2730" s="56"/>
      <c r="CH2730" s="56"/>
      <c r="CI2730" s="56"/>
      <c r="CJ2730" s="56"/>
      <c r="CK2730" s="56"/>
      <c r="CL2730" s="56"/>
      <c r="CM2730" s="56"/>
      <c r="CN2730" s="56"/>
      <c r="CO2730" s="56"/>
      <c r="CP2730" s="56"/>
      <c r="CQ2730" s="56"/>
      <c r="CR2730" s="56"/>
      <c r="CS2730" s="56"/>
      <c r="CT2730" s="56"/>
      <c r="CU2730" s="56"/>
      <c r="CV2730" s="56"/>
      <c r="CW2730" s="56"/>
      <c r="CX2730" s="56"/>
      <c r="CY2730" s="56"/>
      <c r="CZ2730" s="56"/>
    </row>
    <row r="2731" spans="27:104" s="5" customFormat="1" x14ac:dyDescent="0.25">
      <c r="AA2731" s="56"/>
      <c r="AB2731" s="56"/>
      <c r="AC2731" s="56"/>
      <c r="AD2731" s="56"/>
      <c r="AE2731" s="56"/>
      <c r="AF2731" s="56"/>
      <c r="AG2731" s="56"/>
      <c r="AH2731" s="56"/>
      <c r="AI2731" s="56"/>
      <c r="AJ2731" s="56"/>
      <c r="AK2731" s="56"/>
      <c r="AL2731" s="56"/>
      <c r="AM2731" s="56"/>
      <c r="AN2731" s="56"/>
      <c r="AO2731" s="56"/>
      <c r="AP2731" s="56"/>
      <c r="AQ2731" s="56"/>
      <c r="AR2731" s="56"/>
      <c r="AS2731" s="56"/>
      <c r="AT2731" s="56"/>
      <c r="AU2731" s="56"/>
      <c r="AV2731" s="56"/>
      <c r="AW2731" s="56"/>
      <c r="AX2731" s="56"/>
      <c r="AY2731" s="56"/>
      <c r="AZ2731" s="56"/>
      <c r="BA2731" s="56"/>
      <c r="BB2731" s="16"/>
      <c r="BC2731" s="56"/>
      <c r="BD2731" s="56"/>
      <c r="BE2731" s="56"/>
      <c r="BF2731" s="56"/>
      <c r="BG2731" s="56"/>
      <c r="BH2731" s="56"/>
      <c r="BI2731" s="56"/>
      <c r="BJ2731" s="56"/>
      <c r="BK2731" s="56"/>
      <c r="BL2731" s="56"/>
      <c r="BM2731" s="56"/>
      <c r="BN2731" s="56"/>
      <c r="BO2731" s="56"/>
      <c r="BP2731" s="56"/>
      <c r="BQ2731" s="56"/>
      <c r="BR2731" s="56"/>
      <c r="BS2731" s="56"/>
      <c r="BT2731" s="56"/>
      <c r="BU2731" s="56"/>
      <c r="BV2731" s="56"/>
      <c r="BW2731" s="56"/>
      <c r="BX2731" s="56"/>
      <c r="BY2731" s="56"/>
      <c r="BZ2731" s="56"/>
      <c r="CA2731" s="56"/>
      <c r="CB2731" s="56"/>
      <c r="CC2731" s="56"/>
      <c r="CD2731" s="56"/>
      <c r="CE2731" s="56"/>
      <c r="CF2731" s="56"/>
      <c r="CG2731" s="56"/>
      <c r="CH2731" s="56"/>
      <c r="CI2731" s="56"/>
      <c r="CJ2731" s="56"/>
      <c r="CK2731" s="56"/>
      <c r="CL2731" s="56"/>
      <c r="CM2731" s="56"/>
      <c r="CN2731" s="56"/>
      <c r="CO2731" s="56"/>
      <c r="CP2731" s="56"/>
      <c r="CQ2731" s="56"/>
      <c r="CR2731" s="56"/>
      <c r="CS2731" s="56"/>
      <c r="CT2731" s="56"/>
      <c r="CU2731" s="56"/>
      <c r="CV2731" s="56"/>
      <c r="CW2731" s="56"/>
      <c r="CX2731" s="56"/>
      <c r="CY2731" s="56"/>
      <c r="CZ2731" s="56"/>
    </row>
    <row r="2732" spans="27:104" s="5" customFormat="1" x14ac:dyDescent="0.25">
      <c r="AA2732" s="56"/>
      <c r="AB2732" s="56"/>
      <c r="AC2732" s="56"/>
      <c r="AD2732" s="56"/>
      <c r="AE2732" s="56"/>
      <c r="AF2732" s="56"/>
      <c r="AG2732" s="56"/>
      <c r="AH2732" s="56"/>
      <c r="AI2732" s="56"/>
      <c r="AJ2732" s="56"/>
      <c r="AK2732" s="56"/>
      <c r="AL2732" s="56"/>
      <c r="AM2732" s="56"/>
      <c r="AN2732" s="56"/>
      <c r="AO2732" s="56"/>
      <c r="AP2732" s="56"/>
      <c r="AQ2732" s="56"/>
      <c r="AR2732" s="56"/>
      <c r="AS2732" s="56"/>
      <c r="AT2732" s="56"/>
      <c r="AU2732" s="56"/>
      <c r="AV2732" s="56"/>
      <c r="AW2732" s="56"/>
      <c r="AX2732" s="56"/>
      <c r="AY2732" s="56"/>
      <c r="AZ2732" s="56"/>
      <c r="BA2732" s="56"/>
      <c r="BB2732" s="16"/>
      <c r="BC2732" s="56"/>
      <c r="BD2732" s="56"/>
      <c r="BE2732" s="56"/>
      <c r="BF2732" s="56"/>
      <c r="BG2732" s="56"/>
      <c r="BH2732" s="56"/>
      <c r="BI2732" s="56"/>
      <c r="BJ2732" s="56"/>
      <c r="BK2732" s="56"/>
      <c r="BL2732" s="56"/>
      <c r="BM2732" s="56"/>
      <c r="BN2732" s="56"/>
      <c r="BO2732" s="56"/>
      <c r="BP2732" s="56"/>
      <c r="BQ2732" s="56"/>
      <c r="BR2732" s="56"/>
      <c r="BS2732" s="56"/>
      <c r="BT2732" s="56"/>
      <c r="BU2732" s="56"/>
      <c r="BV2732" s="56"/>
      <c r="BW2732" s="56"/>
      <c r="BX2732" s="56"/>
      <c r="BY2732" s="56"/>
      <c r="BZ2732" s="56"/>
      <c r="CA2732" s="56"/>
      <c r="CB2732" s="56"/>
      <c r="CC2732" s="56"/>
      <c r="CD2732" s="56"/>
      <c r="CE2732" s="56"/>
      <c r="CF2732" s="56"/>
      <c r="CG2732" s="56"/>
      <c r="CH2732" s="56"/>
      <c r="CI2732" s="56"/>
      <c r="CJ2732" s="56"/>
      <c r="CK2732" s="56"/>
      <c r="CL2732" s="56"/>
      <c r="CM2732" s="56"/>
      <c r="CN2732" s="56"/>
      <c r="CO2732" s="56"/>
      <c r="CP2732" s="56"/>
      <c r="CQ2732" s="56"/>
      <c r="CR2732" s="56"/>
      <c r="CS2732" s="56"/>
      <c r="CT2732" s="56"/>
      <c r="CU2732" s="56"/>
      <c r="CV2732" s="56"/>
      <c r="CW2732" s="56"/>
      <c r="CX2732" s="56"/>
      <c r="CY2732" s="56"/>
      <c r="CZ2732" s="56"/>
    </row>
    <row r="2733" spans="27:104" s="5" customFormat="1" x14ac:dyDescent="0.25">
      <c r="AA2733" s="56"/>
      <c r="AB2733" s="56"/>
      <c r="AC2733" s="56"/>
      <c r="AD2733" s="56"/>
      <c r="AE2733" s="56"/>
      <c r="AF2733" s="56"/>
      <c r="AG2733" s="56"/>
      <c r="AH2733" s="56"/>
      <c r="AI2733" s="56"/>
      <c r="AJ2733" s="56"/>
      <c r="AK2733" s="56"/>
      <c r="AL2733" s="56"/>
      <c r="AM2733" s="56"/>
      <c r="AN2733" s="56"/>
      <c r="AO2733" s="56"/>
      <c r="AP2733" s="56"/>
      <c r="AQ2733" s="56"/>
      <c r="AR2733" s="56"/>
      <c r="AS2733" s="56"/>
      <c r="AT2733" s="56"/>
      <c r="AU2733" s="56"/>
      <c r="AV2733" s="56"/>
      <c r="AW2733" s="56"/>
      <c r="AX2733" s="56"/>
      <c r="AY2733" s="56"/>
      <c r="AZ2733" s="56"/>
      <c r="BA2733" s="56"/>
      <c r="BB2733" s="16"/>
      <c r="BC2733" s="56"/>
      <c r="BD2733" s="56"/>
      <c r="BE2733" s="56"/>
      <c r="BF2733" s="56"/>
      <c r="BG2733" s="56"/>
      <c r="BH2733" s="56"/>
      <c r="BI2733" s="56"/>
      <c r="BJ2733" s="56"/>
      <c r="BK2733" s="56"/>
      <c r="BL2733" s="56"/>
      <c r="BM2733" s="56"/>
      <c r="BN2733" s="56"/>
      <c r="BO2733" s="56"/>
      <c r="BP2733" s="56"/>
      <c r="BQ2733" s="56"/>
      <c r="BR2733" s="56"/>
      <c r="BS2733" s="56"/>
      <c r="BT2733" s="56"/>
      <c r="BU2733" s="56"/>
      <c r="BV2733" s="56"/>
      <c r="BW2733" s="56"/>
      <c r="BX2733" s="56"/>
      <c r="BY2733" s="56"/>
      <c r="BZ2733" s="56"/>
      <c r="CA2733" s="56"/>
      <c r="CB2733" s="56"/>
      <c r="CC2733" s="56"/>
      <c r="CD2733" s="56"/>
      <c r="CE2733" s="56"/>
      <c r="CF2733" s="56"/>
      <c r="CG2733" s="56"/>
      <c r="CH2733" s="56"/>
      <c r="CI2733" s="56"/>
      <c r="CJ2733" s="56"/>
      <c r="CK2733" s="56"/>
      <c r="CL2733" s="56"/>
      <c r="CM2733" s="56"/>
      <c r="CN2733" s="56"/>
      <c r="CO2733" s="56"/>
      <c r="CP2733" s="56"/>
      <c r="CQ2733" s="56"/>
      <c r="CR2733" s="56"/>
      <c r="CS2733" s="56"/>
      <c r="CT2733" s="56"/>
      <c r="CU2733" s="56"/>
      <c r="CV2733" s="56"/>
      <c r="CW2733" s="56"/>
      <c r="CX2733" s="56"/>
      <c r="CY2733" s="56"/>
      <c r="CZ2733" s="56"/>
    </row>
    <row r="2734" spans="27:104" s="5" customFormat="1" x14ac:dyDescent="0.25">
      <c r="AA2734" s="56"/>
      <c r="AB2734" s="56"/>
      <c r="AC2734" s="56"/>
      <c r="AD2734" s="56"/>
      <c r="AE2734" s="56"/>
      <c r="AF2734" s="56"/>
      <c r="AG2734" s="56"/>
      <c r="AH2734" s="56"/>
      <c r="AI2734" s="56"/>
      <c r="AJ2734" s="56"/>
      <c r="AK2734" s="56"/>
      <c r="AL2734" s="56"/>
      <c r="AM2734" s="56"/>
      <c r="AN2734" s="56"/>
      <c r="AO2734" s="56"/>
      <c r="AP2734" s="56"/>
      <c r="AQ2734" s="56"/>
      <c r="AR2734" s="56"/>
      <c r="AS2734" s="56"/>
      <c r="AT2734" s="56"/>
      <c r="AU2734" s="56"/>
      <c r="AV2734" s="56"/>
      <c r="AW2734" s="56"/>
      <c r="AX2734" s="56"/>
      <c r="AY2734" s="56"/>
      <c r="AZ2734" s="56"/>
      <c r="BA2734" s="56"/>
      <c r="BB2734" s="16"/>
      <c r="BC2734" s="56"/>
      <c r="BD2734" s="56"/>
      <c r="BE2734" s="56"/>
      <c r="BF2734" s="56"/>
      <c r="BG2734" s="56"/>
      <c r="BH2734" s="56"/>
      <c r="BI2734" s="56"/>
      <c r="BJ2734" s="56"/>
      <c r="BK2734" s="56"/>
      <c r="BL2734" s="56"/>
      <c r="BM2734" s="56"/>
      <c r="BN2734" s="56"/>
      <c r="BO2734" s="56"/>
      <c r="BP2734" s="56"/>
      <c r="BQ2734" s="56"/>
      <c r="BR2734" s="56"/>
      <c r="BS2734" s="56"/>
      <c r="BT2734" s="56"/>
      <c r="BU2734" s="56"/>
      <c r="BV2734" s="56"/>
      <c r="BW2734" s="56"/>
      <c r="BX2734" s="56"/>
      <c r="BY2734" s="56"/>
      <c r="BZ2734" s="56"/>
      <c r="CA2734" s="56"/>
      <c r="CB2734" s="56"/>
      <c r="CC2734" s="56"/>
      <c r="CD2734" s="56"/>
      <c r="CE2734" s="56"/>
      <c r="CF2734" s="56"/>
      <c r="CG2734" s="56"/>
      <c r="CH2734" s="56"/>
      <c r="CI2734" s="56"/>
      <c r="CJ2734" s="56"/>
      <c r="CK2734" s="56"/>
      <c r="CL2734" s="56"/>
      <c r="CM2734" s="56"/>
      <c r="CN2734" s="56"/>
      <c r="CO2734" s="56"/>
      <c r="CP2734" s="56"/>
      <c r="CQ2734" s="56"/>
      <c r="CR2734" s="56"/>
      <c r="CS2734" s="56"/>
      <c r="CT2734" s="56"/>
      <c r="CU2734" s="56"/>
      <c r="CV2734" s="56"/>
      <c r="CW2734" s="56"/>
      <c r="CX2734" s="56"/>
      <c r="CY2734" s="56"/>
      <c r="CZ2734" s="56"/>
    </row>
    <row r="2735" spans="27:104" s="5" customFormat="1" x14ac:dyDescent="0.25">
      <c r="AA2735" s="56"/>
      <c r="AB2735" s="56"/>
      <c r="AC2735" s="56"/>
      <c r="AD2735" s="56"/>
      <c r="AE2735" s="56"/>
      <c r="AF2735" s="56"/>
      <c r="AG2735" s="56"/>
      <c r="AH2735" s="56"/>
      <c r="AI2735" s="56"/>
      <c r="AJ2735" s="56"/>
      <c r="AK2735" s="56"/>
      <c r="AL2735" s="56"/>
      <c r="AM2735" s="56"/>
      <c r="AN2735" s="56"/>
      <c r="AO2735" s="56"/>
      <c r="AP2735" s="56"/>
      <c r="AQ2735" s="56"/>
      <c r="AR2735" s="56"/>
      <c r="AS2735" s="56"/>
      <c r="AT2735" s="56"/>
      <c r="AU2735" s="56"/>
      <c r="AV2735" s="56"/>
      <c r="AW2735" s="56"/>
      <c r="AX2735" s="56"/>
      <c r="AY2735" s="56"/>
      <c r="AZ2735" s="56"/>
      <c r="BA2735" s="56"/>
      <c r="BB2735" s="16"/>
      <c r="BC2735" s="56"/>
      <c r="BD2735" s="56"/>
      <c r="BE2735" s="56"/>
      <c r="BF2735" s="56"/>
      <c r="BG2735" s="56"/>
      <c r="BH2735" s="56"/>
      <c r="BI2735" s="56"/>
      <c r="BJ2735" s="56"/>
      <c r="BK2735" s="56"/>
      <c r="BL2735" s="56"/>
      <c r="BM2735" s="56"/>
      <c r="BN2735" s="56"/>
      <c r="BO2735" s="56"/>
      <c r="BP2735" s="56"/>
      <c r="BQ2735" s="56"/>
      <c r="BR2735" s="56"/>
      <c r="BS2735" s="56"/>
      <c r="BT2735" s="56"/>
      <c r="BU2735" s="56"/>
      <c r="BV2735" s="56"/>
      <c r="BW2735" s="56"/>
      <c r="BX2735" s="56"/>
      <c r="BY2735" s="56"/>
      <c r="BZ2735" s="56"/>
      <c r="CA2735" s="56"/>
      <c r="CB2735" s="56"/>
      <c r="CC2735" s="56"/>
      <c r="CD2735" s="56"/>
      <c r="CE2735" s="56"/>
      <c r="CF2735" s="56"/>
      <c r="CG2735" s="56"/>
      <c r="CH2735" s="56"/>
      <c r="CI2735" s="56"/>
      <c r="CJ2735" s="56"/>
      <c r="CK2735" s="56"/>
      <c r="CL2735" s="56"/>
      <c r="CM2735" s="56"/>
      <c r="CN2735" s="56"/>
      <c r="CO2735" s="56"/>
      <c r="CP2735" s="56"/>
      <c r="CQ2735" s="56"/>
      <c r="CR2735" s="56"/>
      <c r="CS2735" s="56"/>
      <c r="CT2735" s="56"/>
      <c r="CU2735" s="56"/>
      <c r="CV2735" s="56"/>
      <c r="CW2735" s="56"/>
      <c r="CX2735" s="56"/>
      <c r="CY2735" s="56"/>
      <c r="CZ2735" s="56"/>
    </row>
    <row r="2736" spans="27:104" s="5" customFormat="1" x14ac:dyDescent="0.25">
      <c r="AA2736" s="56"/>
      <c r="AB2736" s="56"/>
      <c r="AC2736" s="56"/>
      <c r="AD2736" s="56"/>
      <c r="AE2736" s="56"/>
      <c r="AF2736" s="56"/>
      <c r="AG2736" s="56"/>
      <c r="AH2736" s="56"/>
      <c r="AI2736" s="56"/>
      <c r="AJ2736" s="56"/>
      <c r="AK2736" s="56"/>
      <c r="AL2736" s="56"/>
      <c r="AM2736" s="56"/>
      <c r="AN2736" s="56"/>
      <c r="AO2736" s="56"/>
      <c r="AP2736" s="56"/>
      <c r="AQ2736" s="56"/>
      <c r="AR2736" s="56"/>
      <c r="AS2736" s="56"/>
      <c r="AT2736" s="56"/>
      <c r="AU2736" s="56"/>
      <c r="AV2736" s="56"/>
      <c r="AW2736" s="56"/>
      <c r="AX2736" s="56"/>
      <c r="AY2736" s="56"/>
      <c r="AZ2736" s="56"/>
      <c r="BA2736" s="56"/>
      <c r="BB2736" s="16"/>
      <c r="BC2736" s="56"/>
      <c r="BD2736" s="56"/>
      <c r="BE2736" s="56"/>
      <c r="BF2736" s="56"/>
      <c r="BG2736" s="56"/>
      <c r="BH2736" s="56"/>
      <c r="BI2736" s="56"/>
      <c r="BJ2736" s="56"/>
      <c r="BK2736" s="56"/>
      <c r="BL2736" s="56"/>
      <c r="BM2736" s="56"/>
      <c r="BN2736" s="56"/>
      <c r="BO2736" s="56"/>
      <c r="BP2736" s="56"/>
      <c r="BQ2736" s="56"/>
      <c r="BR2736" s="56"/>
      <c r="BS2736" s="56"/>
      <c r="BT2736" s="56"/>
      <c r="BU2736" s="56"/>
      <c r="BV2736" s="56"/>
      <c r="BW2736" s="56"/>
      <c r="BX2736" s="56"/>
      <c r="BY2736" s="56"/>
      <c r="BZ2736" s="56"/>
      <c r="CA2736" s="56"/>
      <c r="CB2736" s="56"/>
      <c r="CC2736" s="56"/>
      <c r="CD2736" s="56"/>
      <c r="CE2736" s="56"/>
      <c r="CF2736" s="56"/>
      <c r="CG2736" s="56"/>
      <c r="CH2736" s="56"/>
      <c r="CI2736" s="56"/>
      <c r="CJ2736" s="56"/>
      <c r="CK2736" s="56"/>
      <c r="CL2736" s="56"/>
      <c r="CM2736" s="56"/>
      <c r="CN2736" s="56"/>
      <c r="CO2736" s="56"/>
      <c r="CP2736" s="56"/>
      <c r="CQ2736" s="56"/>
      <c r="CR2736" s="56"/>
      <c r="CS2736" s="56"/>
      <c r="CT2736" s="56"/>
      <c r="CU2736" s="56"/>
      <c r="CV2736" s="56"/>
      <c r="CW2736" s="56"/>
      <c r="CX2736" s="56"/>
      <c r="CY2736" s="56"/>
      <c r="CZ2736" s="56"/>
    </row>
    <row r="2737" spans="27:104" s="5" customFormat="1" x14ac:dyDescent="0.25">
      <c r="AA2737" s="56"/>
      <c r="AB2737" s="56"/>
      <c r="AC2737" s="56"/>
      <c r="AD2737" s="56"/>
      <c r="AE2737" s="56"/>
      <c r="AF2737" s="56"/>
      <c r="AG2737" s="56"/>
      <c r="AH2737" s="56"/>
      <c r="AI2737" s="56"/>
      <c r="AJ2737" s="56"/>
      <c r="AK2737" s="56"/>
      <c r="AL2737" s="56"/>
      <c r="AM2737" s="56"/>
      <c r="AN2737" s="56"/>
      <c r="AO2737" s="56"/>
      <c r="AP2737" s="56"/>
      <c r="AQ2737" s="56"/>
      <c r="AR2737" s="56"/>
      <c r="AS2737" s="56"/>
      <c r="AT2737" s="56"/>
      <c r="AU2737" s="56"/>
      <c r="AV2737" s="56"/>
      <c r="AW2737" s="56"/>
      <c r="AX2737" s="56"/>
      <c r="AY2737" s="56"/>
      <c r="AZ2737" s="56"/>
      <c r="BA2737" s="56"/>
      <c r="BB2737" s="16"/>
      <c r="BC2737" s="56"/>
      <c r="BD2737" s="56"/>
      <c r="BE2737" s="56"/>
      <c r="BF2737" s="56"/>
      <c r="BG2737" s="56"/>
      <c r="BH2737" s="56"/>
      <c r="BI2737" s="56"/>
      <c r="BJ2737" s="56"/>
      <c r="BK2737" s="56"/>
      <c r="BL2737" s="56"/>
      <c r="BM2737" s="56"/>
      <c r="BN2737" s="56"/>
      <c r="BO2737" s="56"/>
      <c r="BP2737" s="56"/>
      <c r="BQ2737" s="56"/>
      <c r="BR2737" s="56"/>
      <c r="BS2737" s="56"/>
      <c r="BT2737" s="56"/>
      <c r="BU2737" s="56"/>
      <c r="BV2737" s="56"/>
      <c r="BW2737" s="56"/>
      <c r="BX2737" s="56"/>
      <c r="BY2737" s="56"/>
      <c r="BZ2737" s="56"/>
      <c r="CA2737" s="56"/>
      <c r="CB2737" s="56"/>
      <c r="CC2737" s="56"/>
      <c r="CD2737" s="56"/>
      <c r="CE2737" s="56"/>
      <c r="CF2737" s="56"/>
      <c r="CG2737" s="56"/>
      <c r="CH2737" s="56"/>
      <c r="CI2737" s="56"/>
      <c r="CJ2737" s="56"/>
      <c r="CK2737" s="56"/>
      <c r="CL2737" s="56"/>
      <c r="CM2737" s="56"/>
      <c r="CN2737" s="56"/>
      <c r="CO2737" s="56"/>
      <c r="CP2737" s="56"/>
      <c r="CQ2737" s="56"/>
      <c r="CR2737" s="56"/>
      <c r="CS2737" s="56"/>
      <c r="CT2737" s="56"/>
      <c r="CU2737" s="56"/>
      <c r="CV2737" s="56"/>
      <c r="CW2737" s="56"/>
      <c r="CX2737" s="56"/>
      <c r="CY2737" s="56"/>
      <c r="CZ2737" s="56"/>
    </row>
    <row r="2738" spans="27:104" s="5" customFormat="1" x14ac:dyDescent="0.25">
      <c r="AA2738" s="56"/>
      <c r="AB2738" s="56"/>
      <c r="AC2738" s="56"/>
      <c r="AD2738" s="56"/>
      <c r="AE2738" s="56"/>
      <c r="AF2738" s="56"/>
      <c r="AG2738" s="56"/>
      <c r="AH2738" s="56"/>
      <c r="AI2738" s="56"/>
      <c r="AJ2738" s="56"/>
      <c r="AK2738" s="56"/>
      <c r="AL2738" s="56"/>
      <c r="AM2738" s="56"/>
      <c r="AN2738" s="56"/>
      <c r="AO2738" s="56"/>
      <c r="AP2738" s="56"/>
      <c r="AQ2738" s="56"/>
      <c r="AR2738" s="56"/>
      <c r="AS2738" s="56"/>
      <c r="AT2738" s="56"/>
      <c r="AU2738" s="56"/>
      <c r="AV2738" s="56"/>
      <c r="AW2738" s="56"/>
      <c r="AX2738" s="56"/>
      <c r="AY2738" s="56"/>
      <c r="AZ2738" s="56"/>
      <c r="BA2738" s="56"/>
      <c r="BB2738" s="16"/>
      <c r="BC2738" s="56"/>
      <c r="BD2738" s="56"/>
      <c r="BE2738" s="56"/>
      <c r="BF2738" s="56"/>
      <c r="BG2738" s="56"/>
      <c r="BH2738" s="56"/>
      <c r="BI2738" s="56"/>
      <c r="BJ2738" s="56"/>
      <c r="BK2738" s="56"/>
      <c r="BL2738" s="56"/>
      <c r="BM2738" s="56"/>
      <c r="BN2738" s="56"/>
      <c r="BO2738" s="56"/>
      <c r="BP2738" s="56"/>
      <c r="BQ2738" s="56"/>
      <c r="BR2738" s="56"/>
      <c r="BS2738" s="56"/>
      <c r="BT2738" s="56"/>
      <c r="BU2738" s="56"/>
      <c r="BV2738" s="56"/>
      <c r="BW2738" s="56"/>
      <c r="BX2738" s="56"/>
      <c r="BY2738" s="56"/>
      <c r="BZ2738" s="56"/>
      <c r="CA2738" s="56"/>
      <c r="CB2738" s="56"/>
      <c r="CC2738" s="56"/>
      <c r="CD2738" s="56"/>
      <c r="CE2738" s="56"/>
      <c r="CF2738" s="56"/>
      <c r="CG2738" s="56"/>
      <c r="CH2738" s="56"/>
      <c r="CI2738" s="56"/>
      <c r="CJ2738" s="56"/>
      <c r="CK2738" s="56"/>
      <c r="CL2738" s="56"/>
      <c r="CM2738" s="56"/>
      <c r="CN2738" s="56"/>
      <c r="CO2738" s="56"/>
      <c r="CP2738" s="56"/>
      <c r="CQ2738" s="56"/>
      <c r="CR2738" s="56"/>
      <c r="CS2738" s="56"/>
      <c r="CT2738" s="56"/>
      <c r="CU2738" s="56"/>
      <c r="CV2738" s="56"/>
      <c r="CW2738" s="56"/>
      <c r="CX2738" s="56"/>
      <c r="CY2738" s="56"/>
      <c r="CZ2738" s="56"/>
    </row>
    <row r="2739" spans="27:104" s="5" customFormat="1" x14ac:dyDescent="0.25">
      <c r="AA2739" s="56"/>
      <c r="AB2739" s="56"/>
      <c r="AC2739" s="56"/>
      <c r="AD2739" s="56"/>
      <c r="AE2739" s="56"/>
      <c r="AF2739" s="56"/>
      <c r="AG2739" s="56"/>
      <c r="AH2739" s="56"/>
      <c r="AI2739" s="56"/>
      <c r="AJ2739" s="56"/>
      <c r="AK2739" s="56"/>
      <c r="AL2739" s="56"/>
      <c r="AM2739" s="56"/>
      <c r="AN2739" s="56"/>
      <c r="AO2739" s="56"/>
      <c r="AP2739" s="56"/>
      <c r="AQ2739" s="56"/>
      <c r="AR2739" s="56"/>
      <c r="AS2739" s="56"/>
      <c r="AT2739" s="56"/>
      <c r="AU2739" s="56"/>
      <c r="AV2739" s="56"/>
      <c r="AW2739" s="56"/>
      <c r="AX2739" s="56"/>
      <c r="AY2739" s="56"/>
      <c r="AZ2739" s="56"/>
      <c r="BA2739" s="56"/>
      <c r="BB2739" s="16"/>
      <c r="BC2739" s="56"/>
      <c r="BD2739" s="56"/>
      <c r="BE2739" s="56"/>
      <c r="BF2739" s="56"/>
      <c r="BG2739" s="56"/>
      <c r="BH2739" s="56"/>
      <c r="BI2739" s="56"/>
      <c r="BJ2739" s="56"/>
      <c r="BK2739" s="56"/>
      <c r="BL2739" s="56"/>
      <c r="BM2739" s="56"/>
      <c r="BN2739" s="56"/>
      <c r="BO2739" s="56"/>
      <c r="BP2739" s="56"/>
      <c r="BQ2739" s="56"/>
      <c r="BR2739" s="56"/>
      <c r="BS2739" s="56"/>
      <c r="BT2739" s="56"/>
      <c r="BU2739" s="56"/>
      <c r="BV2739" s="56"/>
      <c r="BW2739" s="56"/>
      <c r="BX2739" s="56"/>
      <c r="BY2739" s="56"/>
      <c r="BZ2739" s="56"/>
      <c r="CA2739" s="56"/>
      <c r="CB2739" s="56"/>
      <c r="CC2739" s="56"/>
      <c r="CD2739" s="56"/>
      <c r="CE2739" s="56"/>
      <c r="CF2739" s="56"/>
      <c r="CG2739" s="56"/>
      <c r="CH2739" s="56"/>
      <c r="CI2739" s="56"/>
      <c r="CJ2739" s="56"/>
      <c r="CK2739" s="56"/>
      <c r="CL2739" s="56"/>
      <c r="CM2739" s="56"/>
      <c r="CN2739" s="56"/>
      <c r="CO2739" s="56"/>
      <c r="CP2739" s="56"/>
      <c r="CQ2739" s="56"/>
      <c r="CR2739" s="56"/>
      <c r="CS2739" s="56"/>
      <c r="CT2739" s="56"/>
      <c r="CU2739" s="56"/>
      <c r="CV2739" s="56"/>
      <c r="CW2739" s="56"/>
      <c r="CX2739" s="56"/>
      <c r="CY2739" s="56"/>
      <c r="CZ2739" s="56"/>
    </row>
    <row r="2740" spans="27:104" s="5" customFormat="1" x14ac:dyDescent="0.25">
      <c r="AA2740" s="56"/>
      <c r="AB2740" s="56"/>
      <c r="AC2740" s="56"/>
      <c r="AD2740" s="56"/>
      <c r="AE2740" s="56"/>
      <c r="AF2740" s="56"/>
      <c r="AG2740" s="56"/>
      <c r="AH2740" s="56"/>
      <c r="AI2740" s="56"/>
      <c r="AJ2740" s="56"/>
      <c r="AK2740" s="56"/>
      <c r="AL2740" s="56"/>
      <c r="AM2740" s="56"/>
      <c r="AN2740" s="56"/>
      <c r="AO2740" s="56"/>
      <c r="AP2740" s="56"/>
      <c r="AQ2740" s="56"/>
      <c r="AR2740" s="56"/>
      <c r="AS2740" s="56"/>
      <c r="AT2740" s="56"/>
      <c r="AU2740" s="56"/>
      <c r="AV2740" s="56"/>
      <c r="AW2740" s="56"/>
      <c r="AX2740" s="56"/>
      <c r="AY2740" s="56"/>
      <c r="AZ2740" s="56"/>
      <c r="BA2740" s="56"/>
      <c r="BB2740" s="16"/>
      <c r="BC2740" s="56"/>
      <c r="BD2740" s="56"/>
      <c r="BE2740" s="56"/>
      <c r="BF2740" s="56"/>
      <c r="BG2740" s="56"/>
      <c r="BH2740" s="56"/>
      <c r="BI2740" s="56"/>
      <c r="BJ2740" s="56"/>
      <c r="BK2740" s="56"/>
      <c r="BL2740" s="56"/>
      <c r="BM2740" s="56"/>
      <c r="BN2740" s="56"/>
      <c r="BO2740" s="56"/>
      <c r="BP2740" s="56"/>
      <c r="BQ2740" s="56"/>
      <c r="BR2740" s="56"/>
      <c r="BS2740" s="56"/>
      <c r="BT2740" s="56"/>
      <c r="BU2740" s="56"/>
      <c r="BV2740" s="56"/>
      <c r="BW2740" s="56"/>
      <c r="BX2740" s="56"/>
      <c r="BY2740" s="56"/>
      <c r="BZ2740" s="56"/>
      <c r="CA2740" s="56"/>
      <c r="CB2740" s="56"/>
      <c r="CC2740" s="56"/>
      <c r="CD2740" s="56"/>
      <c r="CE2740" s="56"/>
      <c r="CF2740" s="56"/>
      <c r="CG2740" s="56"/>
      <c r="CH2740" s="56"/>
      <c r="CI2740" s="56"/>
      <c r="CJ2740" s="56"/>
      <c r="CK2740" s="56"/>
      <c r="CL2740" s="56"/>
      <c r="CM2740" s="56"/>
      <c r="CN2740" s="56"/>
      <c r="CO2740" s="56"/>
      <c r="CP2740" s="56"/>
      <c r="CQ2740" s="56"/>
      <c r="CR2740" s="56"/>
      <c r="CS2740" s="56"/>
      <c r="CT2740" s="56"/>
      <c r="CU2740" s="56"/>
      <c r="CV2740" s="56"/>
      <c r="CW2740" s="56"/>
      <c r="CX2740" s="56"/>
      <c r="CY2740" s="56"/>
      <c r="CZ2740" s="56"/>
    </row>
    <row r="2741" spans="27:104" s="5" customFormat="1" x14ac:dyDescent="0.25">
      <c r="AA2741" s="56"/>
      <c r="AB2741" s="56"/>
      <c r="AC2741" s="56"/>
      <c r="AD2741" s="56"/>
      <c r="AE2741" s="56"/>
      <c r="AF2741" s="56"/>
      <c r="AG2741" s="56"/>
      <c r="AH2741" s="56"/>
      <c r="AI2741" s="56"/>
      <c r="AJ2741" s="56"/>
      <c r="AK2741" s="56"/>
      <c r="AL2741" s="56"/>
      <c r="AM2741" s="56"/>
      <c r="AN2741" s="56"/>
      <c r="AO2741" s="56"/>
      <c r="AP2741" s="56"/>
      <c r="AQ2741" s="56"/>
      <c r="AR2741" s="56"/>
      <c r="AS2741" s="56"/>
      <c r="AT2741" s="56"/>
      <c r="AU2741" s="56"/>
      <c r="AV2741" s="56"/>
      <c r="AW2741" s="56"/>
      <c r="AX2741" s="56"/>
      <c r="AY2741" s="56"/>
      <c r="AZ2741" s="56"/>
      <c r="BA2741" s="56"/>
      <c r="BB2741" s="16"/>
      <c r="BC2741" s="56"/>
      <c r="BD2741" s="56"/>
      <c r="BE2741" s="56"/>
      <c r="BF2741" s="56"/>
      <c r="BG2741" s="56"/>
      <c r="BH2741" s="56"/>
      <c r="BI2741" s="56"/>
      <c r="BJ2741" s="56"/>
      <c r="BK2741" s="56"/>
      <c r="BL2741" s="56"/>
      <c r="BM2741" s="56"/>
      <c r="BN2741" s="56"/>
      <c r="BO2741" s="56"/>
      <c r="BP2741" s="56"/>
      <c r="BQ2741" s="56"/>
      <c r="BR2741" s="56"/>
      <c r="BS2741" s="56"/>
      <c r="BT2741" s="56"/>
      <c r="BU2741" s="56"/>
      <c r="BV2741" s="56"/>
      <c r="BW2741" s="56"/>
      <c r="BX2741" s="56"/>
      <c r="BY2741" s="56"/>
      <c r="BZ2741" s="56"/>
      <c r="CA2741" s="56"/>
      <c r="CB2741" s="56"/>
      <c r="CC2741" s="56"/>
      <c r="CD2741" s="56"/>
      <c r="CE2741" s="56"/>
      <c r="CF2741" s="56"/>
      <c r="CG2741" s="56"/>
      <c r="CH2741" s="56"/>
      <c r="CI2741" s="56"/>
      <c r="CJ2741" s="56"/>
      <c r="CK2741" s="56"/>
      <c r="CL2741" s="56"/>
      <c r="CM2741" s="56"/>
      <c r="CN2741" s="56"/>
      <c r="CO2741" s="56"/>
      <c r="CP2741" s="56"/>
      <c r="CQ2741" s="56"/>
      <c r="CR2741" s="56"/>
      <c r="CS2741" s="56"/>
      <c r="CT2741" s="56"/>
      <c r="CU2741" s="56"/>
      <c r="CV2741" s="56"/>
      <c r="CW2741" s="56"/>
      <c r="CX2741" s="56"/>
      <c r="CY2741" s="56"/>
      <c r="CZ2741" s="56"/>
    </row>
    <row r="2742" spans="27:104" s="5" customFormat="1" x14ac:dyDescent="0.25">
      <c r="AA2742" s="56"/>
      <c r="AB2742" s="56"/>
      <c r="AC2742" s="56"/>
      <c r="AD2742" s="56"/>
      <c r="AE2742" s="56"/>
      <c r="AF2742" s="56"/>
      <c r="AG2742" s="56"/>
      <c r="AH2742" s="56"/>
      <c r="AI2742" s="56"/>
      <c r="AJ2742" s="56"/>
      <c r="AK2742" s="56"/>
      <c r="AL2742" s="56"/>
      <c r="AM2742" s="56"/>
      <c r="AN2742" s="56"/>
      <c r="AO2742" s="56"/>
      <c r="AP2742" s="56"/>
      <c r="AQ2742" s="56"/>
      <c r="AR2742" s="56"/>
      <c r="AS2742" s="56"/>
      <c r="AT2742" s="56"/>
      <c r="AU2742" s="56"/>
      <c r="AV2742" s="56"/>
      <c r="AW2742" s="56"/>
      <c r="AX2742" s="56"/>
      <c r="AY2742" s="56"/>
      <c r="AZ2742" s="56"/>
      <c r="BA2742" s="56"/>
      <c r="BB2742" s="16"/>
      <c r="BC2742" s="56"/>
      <c r="BD2742" s="56"/>
      <c r="BE2742" s="56"/>
      <c r="BF2742" s="56"/>
      <c r="BG2742" s="56"/>
      <c r="BH2742" s="56"/>
      <c r="BI2742" s="56"/>
      <c r="BJ2742" s="56"/>
      <c r="BK2742" s="56"/>
      <c r="BL2742" s="56"/>
      <c r="BM2742" s="56"/>
      <c r="BN2742" s="56"/>
      <c r="BO2742" s="56"/>
      <c r="BP2742" s="56"/>
      <c r="BQ2742" s="56"/>
      <c r="BR2742" s="56"/>
      <c r="BS2742" s="56"/>
      <c r="BT2742" s="56"/>
      <c r="BU2742" s="56"/>
      <c r="BV2742" s="56"/>
      <c r="BW2742" s="56"/>
      <c r="BX2742" s="56"/>
      <c r="BY2742" s="56"/>
      <c r="BZ2742" s="56"/>
      <c r="CA2742" s="56"/>
      <c r="CB2742" s="56"/>
      <c r="CC2742" s="56"/>
      <c r="CD2742" s="56"/>
      <c r="CE2742" s="56"/>
      <c r="CF2742" s="56"/>
      <c r="CG2742" s="56"/>
      <c r="CH2742" s="56"/>
      <c r="CI2742" s="56"/>
      <c r="CJ2742" s="56"/>
      <c r="CK2742" s="56"/>
      <c r="CL2742" s="56"/>
      <c r="CM2742" s="56"/>
      <c r="CN2742" s="56"/>
      <c r="CO2742" s="56"/>
      <c r="CP2742" s="56"/>
      <c r="CQ2742" s="56"/>
      <c r="CR2742" s="56"/>
      <c r="CS2742" s="56"/>
      <c r="CT2742" s="56"/>
      <c r="CU2742" s="56"/>
      <c r="CV2742" s="56"/>
      <c r="CW2742" s="56"/>
      <c r="CX2742" s="56"/>
      <c r="CY2742" s="56"/>
      <c r="CZ2742" s="56"/>
    </row>
    <row r="2743" spans="27:104" s="5" customFormat="1" x14ac:dyDescent="0.25">
      <c r="AA2743" s="56"/>
      <c r="AB2743" s="56"/>
      <c r="AC2743" s="56"/>
      <c r="AD2743" s="56"/>
      <c r="AE2743" s="56"/>
      <c r="AF2743" s="56"/>
      <c r="AG2743" s="56"/>
      <c r="AH2743" s="56"/>
      <c r="AI2743" s="56"/>
      <c r="AJ2743" s="56"/>
      <c r="AK2743" s="56"/>
      <c r="AL2743" s="56"/>
      <c r="AM2743" s="56"/>
      <c r="AN2743" s="56"/>
      <c r="AO2743" s="56"/>
      <c r="AP2743" s="56"/>
      <c r="AQ2743" s="56"/>
      <c r="AR2743" s="56"/>
      <c r="AS2743" s="56"/>
      <c r="AT2743" s="56"/>
      <c r="AU2743" s="56"/>
      <c r="AV2743" s="56"/>
      <c r="AW2743" s="56"/>
      <c r="AX2743" s="56"/>
      <c r="AY2743" s="56"/>
      <c r="AZ2743" s="56"/>
      <c r="BA2743" s="56"/>
      <c r="BB2743" s="16"/>
      <c r="BC2743" s="56"/>
      <c r="BD2743" s="56"/>
      <c r="BE2743" s="56"/>
      <c r="BF2743" s="56"/>
      <c r="BG2743" s="56"/>
      <c r="BH2743" s="56"/>
      <c r="BI2743" s="56"/>
      <c r="BJ2743" s="56"/>
      <c r="BK2743" s="56"/>
      <c r="BL2743" s="56"/>
      <c r="BM2743" s="56"/>
      <c r="BN2743" s="56"/>
      <c r="BO2743" s="56"/>
      <c r="BP2743" s="56"/>
      <c r="BQ2743" s="56"/>
      <c r="BR2743" s="56"/>
      <c r="BS2743" s="56"/>
      <c r="BT2743" s="56"/>
      <c r="BU2743" s="56"/>
      <c r="BV2743" s="56"/>
      <c r="BW2743" s="56"/>
      <c r="BX2743" s="56"/>
      <c r="BY2743" s="56"/>
      <c r="BZ2743" s="56"/>
      <c r="CA2743" s="56"/>
      <c r="CB2743" s="56"/>
      <c r="CC2743" s="56"/>
      <c r="CD2743" s="56"/>
      <c r="CE2743" s="56"/>
      <c r="CF2743" s="56"/>
      <c r="CG2743" s="56"/>
      <c r="CH2743" s="56"/>
      <c r="CI2743" s="56"/>
      <c r="CJ2743" s="56"/>
      <c r="CK2743" s="56"/>
      <c r="CL2743" s="56"/>
      <c r="CM2743" s="56"/>
      <c r="CN2743" s="56"/>
      <c r="CO2743" s="56"/>
      <c r="CP2743" s="56"/>
      <c r="CQ2743" s="56"/>
      <c r="CR2743" s="56"/>
      <c r="CS2743" s="56"/>
      <c r="CT2743" s="56"/>
      <c r="CU2743" s="56"/>
      <c r="CV2743" s="56"/>
      <c r="CW2743" s="56"/>
      <c r="CX2743" s="56"/>
      <c r="CY2743" s="56"/>
      <c r="CZ2743" s="56"/>
    </row>
    <row r="2744" spans="27:104" s="5" customFormat="1" x14ac:dyDescent="0.25">
      <c r="AA2744" s="56"/>
      <c r="AB2744" s="56"/>
      <c r="AC2744" s="56"/>
      <c r="AD2744" s="56"/>
      <c r="AE2744" s="56"/>
      <c r="AF2744" s="56"/>
      <c r="AG2744" s="56"/>
      <c r="AH2744" s="56"/>
      <c r="AI2744" s="56"/>
      <c r="AJ2744" s="56"/>
      <c r="AK2744" s="56"/>
      <c r="AL2744" s="56"/>
      <c r="AM2744" s="56"/>
      <c r="AN2744" s="56"/>
      <c r="AO2744" s="56"/>
      <c r="AP2744" s="56"/>
      <c r="AQ2744" s="56"/>
      <c r="AR2744" s="56"/>
      <c r="AS2744" s="56"/>
      <c r="AT2744" s="56"/>
      <c r="AU2744" s="56"/>
      <c r="AV2744" s="56"/>
      <c r="AW2744" s="56"/>
      <c r="AX2744" s="56"/>
      <c r="AY2744" s="56"/>
      <c r="AZ2744" s="56"/>
      <c r="BA2744" s="56"/>
      <c r="BB2744" s="16"/>
      <c r="BC2744" s="56"/>
      <c r="BD2744" s="56"/>
      <c r="BE2744" s="56"/>
      <c r="BF2744" s="56"/>
      <c r="BG2744" s="56"/>
      <c r="BH2744" s="56"/>
      <c r="BI2744" s="56"/>
      <c r="BJ2744" s="56"/>
      <c r="BK2744" s="56"/>
      <c r="BL2744" s="56"/>
      <c r="BM2744" s="56"/>
      <c r="BN2744" s="56"/>
      <c r="BO2744" s="56"/>
      <c r="BP2744" s="56"/>
      <c r="BQ2744" s="56"/>
      <c r="BR2744" s="56"/>
      <c r="BS2744" s="56"/>
      <c r="BT2744" s="56"/>
      <c r="BU2744" s="56"/>
      <c r="BV2744" s="56"/>
      <c r="BW2744" s="56"/>
      <c r="BX2744" s="56"/>
      <c r="BY2744" s="56"/>
      <c r="BZ2744" s="56"/>
      <c r="CA2744" s="56"/>
      <c r="CB2744" s="56"/>
      <c r="CC2744" s="56"/>
      <c r="CD2744" s="56"/>
      <c r="CE2744" s="56"/>
      <c r="CF2744" s="56"/>
      <c r="CG2744" s="56"/>
      <c r="CH2744" s="56"/>
      <c r="CI2744" s="56"/>
      <c r="CJ2744" s="56"/>
      <c r="CK2744" s="56"/>
      <c r="CL2744" s="56"/>
      <c r="CM2744" s="56"/>
      <c r="CN2744" s="56"/>
      <c r="CO2744" s="56"/>
      <c r="CP2744" s="56"/>
      <c r="CQ2744" s="56"/>
      <c r="CR2744" s="56"/>
      <c r="CS2744" s="56"/>
      <c r="CT2744" s="56"/>
      <c r="CU2744" s="56"/>
      <c r="CV2744" s="56"/>
      <c r="CW2744" s="56"/>
      <c r="CX2744" s="56"/>
      <c r="CY2744" s="56"/>
      <c r="CZ2744" s="56"/>
    </row>
    <row r="2745" spans="27:104" s="5" customFormat="1" x14ac:dyDescent="0.25">
      <c r="AA2745" s="56"/>
      <c r="AB2745" s="56"/>
      <c r="AC2745" s="56"/>
      <c r="AD2745" s="56"/>
      <c r="AE2745" s="56"/>
      <c r="AF2745" s="56"/>
      <c r="AG2745" s="56"/>
      <c r="AH2745" s="56"/>
      <c r="AI2745" s="56"/>
      <c r="AJ2745" s="56"/>
      <c r="AK2745" s="56"/>
      <c r="AL2745" s="56"/>
      <c r="AM2745" s="56"/>
      <c r="AN2745" s="56"/>
      <c r="AO2745" s="56"/>
      <c r="AP2745" s="56"/>
      <c r="AQ2745" s="56"/>
      <c r="AR2745" s="56"/>
      <c r="AS2745" s="56"/>
      <c r="AT2745" s="56"/>
      <c r="AU2745" s="56"/>
      <c r="AV2745" s="56"/>
      <c r="AW2745" s="56"/>
      <c r="AX2745" s="56"/>
      <c r="AY2745" s="56"/>
      <c r="AZ2745" s="56"/>
      <c r="BA2745" s="56"/>
      <c r="BB2745" s="16"/>
      <c r="BC2745" s="56"/>
      <c r="BD2745" s="56"/>
      <c r="BE2745" s="56"/>
      <c r="BF2745" s="56"/>
      <c r="BG2745" s="56"/>
      <c r="BH2745" s="56"/>
      <c r="BI2745" s="56"/>
      <c r="BJ2745" s="56"/>
      <c r="BK2745" s="56"/>
      <c r="BL2745" s="56"/>
      <c r="BM2745" s="56"/>
      <c r="BN2745" s="56"/>
      <c r="BO2745" s="56"/>
      <c r="BP2745" s="56"/>
      <c r="BQ2745" s="56"/>
      <c r="BR2745" s="56"/>
      <c r="BS2745" s="56"/>
      <c r="BT2745" s="56"/>
      <c r="BU2745" s="56"/>
      <c r="BV2745" s="56"/>
      <c r="BW2745" s="56"/>
      <c r="BX2745" s="56"/>
      <c r="BY2745" s="56"/>
      <c r="BZ2745" s="56"/>
      <c r="CA2745" s="56"/>
      <c r="CB2745" s="56"/>
      <c r="CC2745" s="56"/>
      <c r="CD2745" s="56"/>
      <c r="CE2745" s="56"/>
      <c r="CF2745" s="56"/>
      <c r="CG2745" s="56"/>
      <c r="CH2745" s="56"/>
      <c r="CI2745" s="56"/>
      <c r="CJ2745" s="56"/>
      <c r="CK2745" s="56"/>
      <c r="CL2745" s="56"/>
      <c r="CM2745" s="56"/>
      <c r="CN2745" s="56"/>
      <c r="CO2745" s="56"/>
      <c r="CP2745" s="56"/>
      <c r="CQ2745" s="56"/>
      <c r="CR2745" s="56"/>
      <c r="CS2745" s="56"/>
      <c r="CT2745" s="56"/>
      <c r="CU2745" s="56"/>
      <c r="CV2745" s="56"/>
      <c r="CW2745" s="56"/>
      <c r="CX2745" s="56"/>
      <c r="CY2745" s="56"/>
      <c r="CZ2745" s="56"/>
    </row>
    <row r="2746" spans="27:104" s="5" customFormat="1" x14ac:dyDescent="0.25">
      <c r="AA2746" s="56"/>
      <c r="AB2746" s="56"/>
      <c r="AC2746" s="56"/>
      <c r="AD2746" s="56"/>
      <c r="AE2746" s="56"/>
      <c r="AF2746" s="56"/>
      <c r="AG2746" s="56"/>
      <c r="AH2746" s="56"/>
      <c r="AI2746" s="56"/>
      <c r="AJ2746" s="56"/>
      <c r="AK2746" s="56"/>
      <c r="AL2746" s="56"/>
      <c r="AM2746" s="56"/>
      <c r="AN2746" s="56"/>
      <c r="AO2746" s="56"/>
      <c r="AP2746" s="56"/>
      <c r="AQ2746" s="56"/>
      <c r="AR2746" s="56"/>
      <c r="AS2746" s="56"/>
      <c r="AT2746" s="56"/>
      <c r="AU2746" s="56"/>
      <c r="AV2746" s="56"/>
      <c r="AW2746" s="56"/>
      <c r="AX2746" s="56"/>
      <c r="AY2746" s="56"/>
      <c r="AZ2746" s="56"/>
      <c r="BA2746" s="56"/>
      <c r="BB2746" s="16"/>
      <c r="BC2746" s="56"/>
      <c r="BD2746" s="56"/>
      <c r="BE2746" s="56"/>
      <c r="BF2746" s="56"/>
      <c r="BG2746" s="56"/>
      <c r="BH2746" s="56"/>
      <c r="BI2746" s="56"/>
      <c r="BJ2746" s="56"/>
      <c r="BK2746" s="56"/>
      <c r="BL2746" s="56"/>
      <c r="BM2746" s="56"/>
      <c r="BN2746" s="56"/>
      <c r="BO2746" s="56"/>
      <c r="BP2746" s="56"/>
      <c r="BQ2746" s="56"/>
      <c r="BR2746" s="56"/>
      <c r="BS2746" s="56"/>
      <c r="BT2746" s="56"/>
      <c r="BU2746" s="56"/>
      <c r="BV2746" s="56"/>
      <c r="BW2746" s="56"/>
      <c r="BX2746" s="56"/>
      <c r="BY2746" s="56"/>
      <c r="BZ2746" s="56"/>
      <c r="CA2746" s="56"/>
      <c r="CB2746" s="56"/>
      <c r="CC2746" s="56"/>
      <c r="CD2746" s="56"/>
      <c r="CE2746" s="56"/>
      <c r="CF2746" s="56"/>
      <c r="CG2746" s="56"/>
      <c r="CH2746" s="56"/>
      <c r="CI2746" s="56"/>
      <c r="CJ2746" s="56"/>
      <c r="CK2746" s="56"/>
      <c r="CL2746" s="56"/>
      <c r="CM2746" s="56"/>
      <c r="CN2746" s="56"/>
      <c r="CO2746" s="56"/>
      <c r="CP2746" s="56"/>
      <c r="CQ2746" s="56"/>
      <c r="CR2746" s="56"/>
      <c r="CS2746" s="56"/>
      <c r="CT2746" s="56"/>
      <c r="CU2746" s="56"/>
      <c r="CV2746" s="56"/>
      <c r="CW2746" s="56"/>
      <c r="CX2746" s="56"/>
      <c r="CY2746" s="56"/>
      <c r="CZ2746" s="56"/>
    </row>
    <row r="2747" spans="27:104" s="5" customFormat="1" x14ac:dyDescent="0.25">
      <c r="AA2747" s="56"/>
      <c r="AB2747" s="56"/>
      <c r="AC2747" s="56"/>
      <c r="AD2747" s="56"/>
      <c r="AE2747" s="56"/>
      <c r="AF2747" s="56"/>
      <c r="AG2747" s="56"/>
      <c r="AH2747" s="56"/>
      <c r="AI2747" s="56"/>
      <c r="AJ2747" s="56"/>
      <c r="AK2747" s="56"/>
      <c r="AL2747" s="56"/>
      <c r="AM2747" s="56"/>
      <c r="AN2747" s="56"/>
      <c r="AO2747" s="56"/>
      <c r="AP2747" s="56"/>
      <c r="AQ2747" s="56"/>
      <c r="AR2747" s="56"/>
      <c r="AS2747" s="56"/>
      <c r="AT2747" s="56"/>
      <c r="AU2747" s="56"/>
      <c r="AV2747" s="56"/>
      <c r="AW2747" s="56"/>
      <c r="AX2747" s="56"/>
      <c r="AY2747" s="56"/>
      <c r="AZ2747" s="56"/>
      <c r="BA2747" s="56"/>
      <c r="BB2747" s="16"/>
      <c r="BC2747" s="56"/>
      <c r="BD2747" s="56"/>
      <c r="BE2747" s="56"/>
      <c r="BF2747" s="56"/>
      <c r="BG2747" s="56"/>
      <c r="BH2747" s="56"/>
      <c r="BI2747" s="56"/>
      <c r="BJ2747" s="56"/>
      <c r="BK2747" s="56"/>
      <c r="BL2747" s="56"/>
      <c r="BM2747" s="56"/>
      <c r="BN2747" s="56"/>
      <c r="BO2747" s="56"/>
      <c r="BP2747" s="56"/>
      <c r="BQ2747" s="56"/>
      <c r="BR2747" s="56"/>
      <c r="BS2747" s="56"/>
      <c r="BT2747" s="56"/>
      <c r="BU2747" s="56"/>
      <c r="BV2747" s="56"/>
      <c r="BW2747" s="56"/>
      <c r="BX2747" s="56"/>
      <c r="BY2747" s="56"/>
      <c r="BZ2747" s="56"/>
      <c r="CA2747" s="56"/>
      <c r="CB2747" s="56"/>
      <c r="CC2747" s="56"/>
      <c r="CD2747" s="56"/>
      <c r="CE2747" s="56"/>
      <c r="CF2747" s="56"/>
      <c r="CG2747" s="56"/>
      <c r="CH2747" s="56"/>
      <c r="CI2747" s="56"/>
      <c r="CJ2747" s="56"/>
      <c r="CK2747" s="56"/>
      <c r="CL2747" s="56"/>
      <c r="CM2747" s="56"/>
      <c r="CN2747" s="56"/>
      <c r="CO2747" s="56"/>
      <c r="CP2747" s="56"/>
      <c r="CQ2747" s="56"/>
      <c r="CR2747" s="56"/>
      <c r="CS2747" s="56"/>
      <c r="CT2747" s="56"/>
      <c r="CU2747" s="56"/>
      <c r="CV2747" s="56"/>
      <c r="CW2747" s="56"/>
      <c r="CX2747" s="56"/>
      <c r="CY2747" s="56"/>
      <c r="CZ2747" s="56"/>
    </row>
    <row r="2748" spans="27:104" s="5" customFormat="1" x14ac:dyDescent="0.25">
      <c r="AA2748" s="56"/>
      <c r="AB2748" s="56"/>
      <c r="AC2748" s="56"/>
      <c r="AD2748" s="56"/>
      <c r="AE2748" s="56"/>
      <c r="AF2748" s="56"/>
      <c r="AG2748" s="56"/>
      <c r="AH2748" s="56"/>
      <c r="AI2748" s="56"/>
      <c r="AJ2748" s="56"/>
      <c r="AK2748" s="56"/>
      <c r="AL2748" s="56"/>
      <c r="AM2748" s="56"/>
      <c r="AN2748" s="56"/>
      <c r="AO2748" s="56"/>
      <c r="AP2748" s="56"/>
      <c r="AQ2748" s="56"/>
      <c r="AR2748" s="56"/>
      <c r="AS2748" s="56"/>
      <c r="AT2748" s="56"/>
      <c r="AU2748" s="56"/>
      <c r="AV2748" s="56"/>
      <c r="AW2748" s="56"/>
      <c r="AX2748" s="56"/>
      <c r="AY2748" s="56"/>
      <c r="AZ2748" s="56"/>
      <c r="BA2748" s="56"/>
      <c r="BB2748" s="16"/>
      <c r="BC2748" s="56"/>
      <c r="BD2748" s="56"/>
      <c r="BE2748" s="56"/>
      <c r="BF2748" s="56"/>
      <c r="BG2748" s="56"/>
      <c r="BH2748" s="56"/>
      <c r="BI2748" s="56"/>
      <c r="BJ2748" s="56"/>
      <c r="BK2748" s="56"/>
      <c r="BL2748" s="56"/>
      <c r="BM2748" s="56"/>
      <c r="BN2748" s="56"/>
      <c r="BO2748" s="56"/>
      <c r="BP2748" s="56"/>
      <c r="BQ2748" s="56"/>
      <c r="BR2748" s="56"/>
      <c r="BS2748" s="56"/>
      <c r="BT2748" s="56"/>
      <c r="BU2748" s="56"/>
      <c r="BV2748" s="56"/>
      <c r="BW2748" s="56"/>
      <c r="BX2748" s="56"/>
      <c r="BY2748" s="56"/>
      <c r="BZ2748" s="56"/>
      <c r="CA2748" s="56"/>
      <c r="CB2748" s="56"/>
      <c r="CC2748" s="56"/>
      <c r="CD2748" s="56"/>
      <c r="CE2748" s="56"/>
      <c r="CF2748" s="56"/>
      <c r="CG2748" s="56"/>
      <c r="CH2748" s="56"/>
      <c r="CI2748" s="56"/>
      <c r="CJ2748" s="56"/>
      <c r="CK2748" s="56"/>
      <c r="CL2748" s="56"/>
      <c r="CM2748" s="56"/>
      <c r="CN2748" s="56"/>
      <c r="CO2748" s="56"/>
      <c r="CP2748" s="56"/>
      <c r="CQ2748" s="56"/>
      <c r="CR2748" s="56"/>
      <c r="CS2748" s="56"/>
      <c r="CT2748" s="56"/>
      <c r="CU2748" s="56"/>
      <c r="CV2748" s="56"/>
      <c r="CW2748" s="56"/>
      <c r="CX2748" s="56"/>
      <c r="CY2748" s="56"/>
      <c r="CZ2748" s="56"/>
    </row>
    <row r="2749" spans="27:104" s="5" customFormat="1" x14ac:dyDescent="0.25">
      <c r="AA2749" s="56"/>
      <c r="AB2749" s="56"/>
      <c r="AC2749" s="56"/>
      <c r="AD2749" s="56"/>
      <c r="AE2749" s="56"/>
      <c r="AF2749" s="56"/>
      <c r="AG2749" s="56"/>
      <c r="AH2749" s="56"/>
      <c r="AI2749" s="56"/>
      <c r="AJ2749" s="56"/>
      <c r="AK2749" s="56"/>
      <c r="AL2749" s="56"/>
      <c r="AM2749" s="56"/>
      <c r="AN2749" s="56"/>
      <c r="AO2749" s="56"/>
      <c r="AP2749" s="56"/>
      <c r="AQ2749" s="56"/>
      <c r="AR2749" s="56"/>
      <c r="AS2749" s="56"/>
      <c r="AT2749" s="56"/>
      <c r="AU2749" s="56"/>
      <c r="AV2749" s="56"/>
      <c r="AW2749" s="56"/>
      <c r="AX2749" s="56"/>
      <c r="AY2749" s="56"/>
      <c r="AZ2749" s="56"/>
      <c r="BA2749" s="56"/>
      <c r="BB2749" s="16"/>
      <c r="BC2749" s="56"/>
      <c r="BD2749" s="56"/>
      <c r="BE2749" s="56"/>
      <c r="BF2749" s="56"/>
      <c r="BG2749" s="56"/>
      <c r="BH2749" s="56"/>
      <c r="BI2749" s="56"/>
      <c r="BJ2749" s="56"/>
      <c r="BK2749" s="56"/>
      <c r="BL2749" s="56"/>
      <c r="BM2749" s="56"/>
      <c r="BN2749" s="56"/>
      <c r="BO2749" s="56"/>
      <c r="BP2749" s="56"/>
      <c r="BQ2749" s="56"/>
      <c r="BR2749" s="56"/>
      <c r="BS2749" s="56"/>
      <c r="BT2749" s="56"/>
      <c r="BU2749" s="56"/>
      <c r="BV2749" s="56"/>
      <c r="BW2749" s="56"/>
      <c r="BX2749" s="56"/>
      <c r="BY2749" s="56"/>
      <c r="BZ2749" s="56"/>
      <c r="CA2749" s="56"/>
      <c r="CB2749" s="56"/>
      <c r="CC2749" s="56"/>
      <c r="CD2749" s="56"/>
      <c r="CE2749" s="56"/>
      <c r="CF2749" s="56"/>
      <c r="CG2749" s="56"/>
      <c r="CH2749" s="56"/>
      <c r="CI2749" s="56"/>
      <c r="CJ2749" s="56"/>
      <c r="CK2749" s="56"/>
      <c r="CL2749" s="56"/>
      <c r="CM2749" s="56"/>
      <c r="CN2749" s="56"/>
      <c r="CO2749" s="56"/>
      <c r="CP2749" s="56"/>
      <c r="CQ2749" s="56"/>
      <c r="CR2749" s="56"/>
      <c r="CS2749" s="56"/>
      <c r="CT2749" s="56"/>
      <c r="CU2749" s="56"/>
      <c r="CV2749" s="56"/>
      <c r="CW2749" s="56"/>
      <c r="CX2749" s="56"/>
      <c r="CY2749" s="56"/>
      <c r="CZ2749" s="56"/>
    </row>
    <row r="2750" spans="27:104" s="5" customFormat="1" x14ac:dyDescent="0.25">
      <c r="AA2750" s="56"/>
      <c r="AB2750" s="56"/>
      <c r="AC2750" s="56"/>
      <c r="AD2750" s="56"/>
      <c r="AE2750" s="56"/>
      <c r="AF2750" s="56"/>
      <c r="AG2750" s="56"/>
      <c r="AH2750" s="56"/>
      <c r="AI2750" s="56"/>
      <c r="AJ2750" s="56"/>
      <c r="AK2750" s="56"/>
      <c r="AL2750" s="56"/>
      <c r="AM2750" s="56"/>
      <c r="AN2750" s="56"/>
      <c r="AO2750" s="56"/>
      <c r="AP2750" s="56"/>
      <c r="AQ2750" s="56"/>
      <c r="AR2750" s="56"/>
      <c r="AS2750" s="56"/>
      <c r="AT2750" s="56"/>
      <c r="AU2750" s="56"/>
      <c r="AV2750" s="56"/>
      <c r="AW2750" s="56"/>
      <c r="AX2750" s="56"/>
      <c r="AY2750" s="56"/>
      <c r="AZ2750" s="56"/>
      <c r="BA2750" s="56"/>
      <c r="BB2750" s="16"/>
      <c r="BC2750" s="56"/>
      <c r="BD2750" s="56"/>
      <c r="BE2750" s="56"/>
      <c r="BF2750" s="56"/>
      <c r="BG2750" s="56"/>
      <c r="BH2750" s="56"/>
      <c r="BI2750" s="56"/>
      <c r="BJ2750" s="56"/>
      <c r="BK2750" s="56"/>
      <c r="BL2750" s="56"/>
      <c r="BM2750" s="56"/>
      <c r="BN2750" s="56"/>
      <c r="BO2750" s="56"/>
      <c r="BP2750" s="56"/>
      <c r="BQ2750" s="56"/>
      <c r="BR2750" s="56"/>
      <c r="BS2750" s="56"/>
      <c r="BT2750" s="56"/>
      <c r="BU2750" s="56"/>
      <c r="BV2750" s="56"/>
      <c r="BW2750" s="56"/>
      <c r="BX2750" s="56"/>
      <c r="BY2750" s="56"/>
      <c r="BZ2750" s="56"/>
      <c r="CA2750" s="56"/>
      <c r="CB2750" s="56"/>
      <c r="CC2750" s="56"/>
      <c r="CD2750" s="56"/>
      <c r="CE2750" s="56"/>
      <c r="CF2750" s="56"/>
      <c r="CG2750" s="56"/>
      <c r="CH2750" s="56"/>
      <c r="CI2750" s="56"/>
      <c r="CJ2750" s="56"/>
      <c r="CK2750" s="56"/>
      <c r="CL2750" s="56"/>
      <c r="CM2750" s="56"/>
      <c r="CN2750" s="56"/>
      <c r="CO2750" s="56"/>
      <c r="CP2750" s="56"/>
      <c r="CQ2750" s="56"/>
      <c r="CR2750" s="56"/>
      <c r="CS2750" s="56"/>
      <c r="CT2750" s="56"/>
      <c r="CU2750" s="56"/>
      <c r="CV2750" s="56"/>
      <c r="CW2750" s="56"/>
      <c r="CX2750" s="56"/>
      <c r="CY2750" s="56"/>
      <c r="CZ2750" s="56"/>
    </row>
    <row r="2751" spans="27:104" s="5" customFormat="1" x14ac:dyDescent="0.25">
      <c r="AA2751" s="56"/>
      <c r="AB2751" s="56"/>
      <c r="AC2751" s="56"/>
      <c r="AD2751" s="56"/>
      <c r="AE2751" s="56"/>
      <c r="AF2751" s="56"/>
      <c r="AG2751" s="56"/>
      <c r="AH2751" s="56"/>
      <c r="AI2751" s="56"/>
      <c r="AJ2751" s="56"/>
      <c r="AK2751" s="56"/>
      <c r="AL2751" s="56"/>
      <c r="AM2751" s="56"/>
      <c r="AN2751" s="56"/>
      <c r="AO2751" s="56"/>
      <c r="AP2751" s="56"/>
      <c r="AQ2751" s="56"/>
      <c r="AR2751" s="56"/>
      <c r="AS2751" s="56"/>
      <c r="AT2751" s="56"/>
      <c r="AU2751" s="56"/>
      <c r="AV2751" s="56"/>
      <c r="AW2751" s="56"/>
      <c r="AX2751" s="56"/>
      <c r="AY2751" s="56"/>
      <c r="AZ2751" s="56"/>
      <c r="BA2751" s="56"/>
      <c r="BB2751" s="16"/>
      <c r="BC2751" s="56"/>
      <c r="BD2751" s="56"/>
      <c r="BE2751" s="56"/>
      <c r="BF2751" s="56"/>
      <c r="BG2751" s="56"/>
      <c r="BH2751" s="56"/>
      <c r="BI2751" s="56"/>
      <c r="BJ2751" s="56"/>
      <c r="BK2751" s="56"/>
      <c r="BL2751" s="56"/>
      <c r="BM2751" s="56"/>
      <c r="BN2751" s="56"/>
      <c r="BO2751" s="56"/>
      <c r="BP2751" s="56"/>
      <c r="BQ2751" s="56"/>
      <c r="BR2751" s="56"/>
      <c r="BS2751" s="56"/>
      <c r="BT2751" s="56"/>
      <c r="BU2751" s="56"/>
      <c r="BV2751" s="56"/>
      <c r="BW2751" s="56"/>
      <c r="BX2751" s="56"/>
      <c r="BY2751" s="56"/>
      <c r="BZ2751" s="56"/>
      <c r="CA2751" s="56"/>
      <c r="CB2751" s="56"/>
      <c r="CC2751" s="56"/>
      <c r="CD2751" s="56"/>
      <c r="CE2751" s="56"/>
      <c r="CF2751" s="56"/>
      <c r="CG2751" s="56"/>
      <c r="CH2751" s="56"/>
      <c r="CI2751" s="56"/>
      <c r="CJ2751" s="56"/>
      <c r="CK2751" s="56"/>
      <c r="CL2751" s="56"/>
      <c r="CM2751" s="56"/>
      <c r="CN2751" s="56"/>
      <c r="CO2751" s="56"/>
      <c r="CP2751" s="56"/>
      <c r="CQ2751" s="56"/>
      <c r="CR2751" s="56"/>
      <c r="CS2751" s="56"/>
      <c r="CT2751" s="56"/>
      <c r="CU2751" s="56"/>
      <c r="CV2751" s="56"/>
      <c r="CW2751" s="56"/>
      <c r="CX2751" s="56"/>
      <c r="CY2751" s="56"/>
      <c r="CZ2751" s="56"/>
    </row>
    <row r="2752" spans="27:104" s="5" customFormat="1" x14ac:dyDescent="0.25">
      <c r="AA2752" s="56"/>
      <c r="AB2752" s="56"/>
      <c r="AC2752" s="56"/>
      <c r="AD2752" s="56"/>
      <c r="AE2752" s="56"/>
      <c r="AF2752" s="56"/>
      <c r="AG2752" s="56"/>
      <c r="AH2752" s="56"/>
      <c r="AI2752" s="56"/>
      <c r="AJ2752" s="56"/>
      <c r="AK2752" s="56"/>
      <c r="AL2752" s="56"/>
      <c r="AM2752" s="56"/>
      <c r="AN2752" s="56"/>
      <c r="AO2752" s="56"/>
      <c r="AP2752" s="56"/>
      <c r="AQ2752" s="56"/>
      <c r="AR2752" s="56"/>
      <c r="AS2752" s="56"/>
      <c r="AT2752" s="56"/>
      <c r="AU2752" s="56"/>
      <c r="AV2752" s="56"/>
      <c r="AW2752" s="56"/>
      <c r="AX2752" s="56"/>
      <c r="AY2752" s="56"/>
      <c r="AZ2752" s="56"/>
      <c r="BA2752" s="56"/>
      <c r="BB2752" s="16"/>
      <c r="BC2752" s="56"/>
      <c r="BD2752" s="56"/>
      <c r="BE2752" s="56"/>
      <c r="BF2752" s="56"/>
      <c r="BG2752" s="56"/>
      <c r="BH2752" s="56"/>
      <c r="BI2752" s="56"/>
      <c r="BJ2752" s="56"/>
      <c r="BK2752" s="56"/>
      <c r="BL2752" s="56"/>
      <c r="BM2752" s="56"/>
      <c r="BN2752" s="56"/>
      <c r="BO2752" s="56"/>
      <c r="BP2752" s="56"/>
      <c r="BQ2752" s="56"/>
      <c r="BR2752" s="56"/>
      <c r="BS2752" s="56"/>
      <c r="BT2752" s="56"/>
      <c r="BU2752" s="56"/>
      <c r="BV2752" s="56"/>
      <c r="BW2752" s="56"/>
      <c r="BX2752" s="56"/>
      <c r="BY2752" s="56"/>
      <c r="BZ2752" s="56"/>
      <c r="CA2752" s="56"/>
      <c r="CB2752" s="56"/>
      <c r="CC2752" s="56"/>
      <c r="CD2752" s="56"/>
      <c r="CE2752" s="56"/>
      <c r="CF2752" s="56"/>
      <c r="CG2752" s="56"/>
      <c r="CH2752" s="56"/>
      <c r="CI2752" s="56"/>
      <c r="CJ2752" s="56"/>
      <c r="CK2752" s="56"/>
      <c r="CL2752" s="56"/>
      <c r="CM2752" s="56"/>
      <c r="CN2752" s="56"/>
      <c r="CO2752" s="56"/>
      <c r="CP2752" s="56"/>
      <c r="CQ2752" s="56"/>
      <c r="CR2752" s="56"/>
      <c r="CS2752" s="56"/>
      <c r="CT2752" s="56"/>
      <c r="CU2752" s="56"/>
      <c r="CV2752" s="56"/>
      <c r="CW2752" s="56"/>
      <c r="CX2752" s="56"/>
      <c r="CY2752" s="56"/>
      <c r="CZ2752" s="56"/>
    </row>
    <row r="2753" spans="27:104" s="5" customFormat="1" x14ac:dyDescent="0.25">
      <c r="AA2753" s="56"/>
      <c r="AB2753" s="56"/>
      <c r="AC2753" s="56"/>
      <c r="AD2753" s="56"/>
      <c r="AE2753" s="56"/>
      <c r="AF2753" s="56"/>
      <c r="AG2753" s="56"/>
      <c r="AH2753" s="56"/>
      <c r="AI2753" s="56"/>
      <c r="AJ2753" s="56"/>
      <c r="AK2753" s="56"/>
      <c r="AL2753" s="56"/>
      <c r="AM2753" s="56"/>
      <c r="AN2753" s="56"/>
      <c r="AO2753" s="56"/>
      <c r="AP2753" s="56"/>
      <c r="AQ2753" s="56"/>
      <c r="AR2753" s="56"/>
      <c r="AS2753" s="56"/>
      <c r="AT2753" s="56"/>
      <c r="AU2753" s="56"/>
      <c r="AV2753" s="56"/>
      <c r="AW2753" s="56"/>
      <c r="AX2753" s="56"/>
      <c r="AY2753" s="56"/>
      <c r="AZ2753" s="56"/>
      <c r="BA2753" s="56"/>
      <c r="BB2753" s="16"/>
      <c r="BC2753" s="56"/>
      <c r="BD2753" s="56"/>
      <c r="BE2753" s="56"/>
      <c r="BF2753" s="56"/>
      <c r="BG2753" s="56"/>
      <c r="BH2753" s="56"/>
      <c r="BI2753" s="56"/>
      <c r="BJ2753" s="56"/>
      <c r="BK2753" s="56"/>
      <c r="BL2753" s="56"/>
      <c r="BM2753" s="56"/>
      <c r="BN2753" s="56"/>
      <c r="BO2753" s="56"/>
      <c r="BP2753" s="56"/>
      <c r="BQ2753" s="56"/>
      <c r="BR2753" s="56"/>
      <c r="BS2753" s="56"/>
      <c r="BT2753" s="56"/>
      <c r="BU2753" s="56"/>
      <c r="BV2753" s="56"/>
      <c r="BW2753" s="56"/>
      <c r="BX2753" s="56"/>
      <c r="BY2753" s="56"/>
      <c r="BZ2753" s="56"/>
      <c r="CA2753" s="56"/>
      <c r="CB2753" s="56"/>
      <c r="CC2753" s="56"/>
      <c r="CD2753" s="56"/>
      <c r="CE2753" s="56"/>
      <c r="CF2753" s="56"/>
      <c r="CG2753" s="56"/>
      <c r="CH2753" s="56"/>
      <c r="CI2753" s="56"/>
      <c r="CJ2753" s="56"/>
      <c r="CK2753" s="56"/>
      <c r="CL2753" s="56"/>
      <c r="CM2753" s="56"/>
      <c r="CN2753" s="56"/>
      <c r="CO2753" s="56"/>
      <c r="CP2753" s="56"/>
      <c r="CQ2753" s="56"/>
      <c r="CR2753" s="56"/>
      <c r="CS2753" s="56"/>
      <c r="CT2753" s="56"/>
      <c r="CU2753" s="56"/>
      <c r="CV2753" s="56"/>
      <c r="CW2753" s="56"/>
      <c r="CX2753" s="56"/>
      <c r="CY2753" s="56"/>
      <c r="CZ2753" s="56"/>
    </row>
    <row r="2754" spans="27:104" s="5" customFormat="1" x14ac:dyDescent="0.25">
      <c r="AA2754" s="56"/>
      <c r="AB2754" s="56"/>
      <c r="AC2754" s="56"/>
      <c r="AD2754" s="56"/>
      <c r="AE2754" s="56"/>
      <c r="AF2754" s="56"/>
      <c r="AG2754" s="56"/>
      <c r="AH2754" s="56"/>
      <c r="AI2754" s="56"/>
      <c r="AJ2754" s="56"/>
      <c r="AK2754" s="56"/>
      <c r="AL2754" s="56"/>
      <c r="AM2754" s="56"/>
      <c r="AN2754" s="56"/>
      <c r="AO2754" s="56"/>
      <c r="AP2754" s="56"/>
      <c r="AQ2754" s="56"/>
      <c r="AR2754" s="56"/>
      <c r="AS2754" s="56"/>
      <c r="AT2754" s="56"/>
      <c r="AU2754" s="56"/>
      <c r="AV2754" s="56"/>
      <c r="AW2754" s="56"/>
      <c r="AX2754" s="56"/>
      <c r="AY2754" s="56"/>
      <c r="AZ2754" s="56"/>
      <c r="BA2754" s="56"/>
      <c r="BB2754" s="16"/>
      <c r="BC2754" s="56"/>
      <c r="BD2754" s="56"/>
      <c r="BE2754" s="56"/>
      <c r="BF2754" s="56"/>
      <c r="BG2754" s="56"/>
      <c r="BH2754" s="56"/>
      <c r="BI2754" s="56"/>
      <c r="BJ2754" s="56"/>
      <c r="BK2754" s="56"/>
      <c r="BL2754" s="56"/>
      <c r="BM2754" s="56"/>
      <c r="BN2754" s="56"/>
      <c r="BO2754" s="56"/>
      <c r="BP2754" s="56"/>
      <c r="BQ2754" s="56"/>
      <c r="BR2754" s="56"/>
      <c r="BS2754" s="56"/>
      <c r="BT2754" s="56"/>
      <c r="BU2754" s="56"/>
      <c r="BV2754" s="56"/>
      <c r="BW2754" s="56"/>
      <c r="BX2754" s="56"/>
      <c r="BY2754" s="56"/>
      <c r="BZ2754" s="56"/>
      <c r="CA2754" s="56"/>
      <c r="CB2754" s="56"/>
      <c r="CC2754" s="56"/>
      <c r="CD2754" s="56"/>
      <c r="CE2754" s="56"/>
      <c r="CF2754" s="56"/>
      <c r="CG2754" s="56"/>
      <c r="CH2754" s="56"/>
      <c r="CI2754" s="56"/>
      <c r="CJ2754" s="56"/>
      <c r="CK2754" s="56"/>
      <c r="CL2754" s="56"/>
      <c r="CM2754" s="56"/>
      <c r="CN2754" s="56"/>
      <c r="CO2754" s="56"/>
      <c r="CP2754" s="56"/>
      <c r="CQ2754" s="56"/>
      <c r="CR2754" s="56"/>
      <c r="CS2754" s="56"/>
      <c r="CT2754" s="56"/>
      <c r="CU2754" s="56"/>
      <c r="CV2754" s="56"/>
      <c r="CW2754" s="56"/>
      <c r="CX2754" s="56"/>
      <c r="CY2754" s="56"/>
      <c r="CZ2754" s="56"/>
    </row>
    <row r="2755" spans="27:104" s="5" customFormat="1" x14ac:dyDescent="0.25">
      <c r="AA2755" s="56"/>
      <c r="AB2755" s="56"/>
      <c r="AC2755" s="56"/>
      <c r="AD2755" s="56"/>
      <c r="AE2755" s="56"/>
      <c r="AF2755" s="56"/>
      <c r="AG2755" s="56"/>
      <c r="AH2755" s="56"/>
      <c r="AI2755" s="56"/>
      <c r="AJ2755" s="56"/>
      <c r="AK2755" s="56"/>
      <c r="AL2755" s="56"/>
      <c r="AM2755" s="56"/>
      <c r="AN2755" s="56"/>
      <c r="AO2755" s="56"/>
      <c r="AP2755" s="56"/>
      <c r="AQ2755" s="56"/>
      <c r="AR2755" s="56"/>
      <c r="AS2755" s="56"/>
      <c r="AT2755" s="56"/>
      <c r="AU2755" s="56"/>
      <c r="AV2755" s="56"/>
      <c r="AW2755" s="56"/>
      <c r="AX2755" s="56"/>
      <c r="AY2755" s="56"/>
      <c r="AZ2755" s="56"/>
      <c r="BA2755" s="56"/>
      <c r="BB2755" s="16"/>
      <c r="BC2755" s="56"/>
      <c r="BD2755" s="56"/>
      <c r="BE2755" s="56"/>
      <c r="BF2755" s="56"/>
      <c r="BG2755" s="56"/>
      <c r="BH2755" s="56"/>
      <c r="BI2755" s="56"/>
      <c r="BJ2755" s="56"/>
      <c r="BK2755" s="56"/>
      <c r="BL2755" s="56"/>
      <c r="BM2755" s="56"/>
      <c r="BN2755" s="56"/>
      <c r="BO2755" s="56"/>
      <c r="BP2755" s="56"/>
      <c r="BQ2755" s="56"/>
      <c r="BR2755" s="56"/>
      <c r="BS2755" s="56"/>
      <c r="BT2755" s="56"/>
      <c r="BU2755" s="56"/>
      <c r="BV2755" s="56"/>
      <c r="BW2755" s="56"/>
      <c r="BX2755" s="56"/>
      <c r="BY2755" s="56"/>
      <c r="BZ2755" s="56"/>
      <c r="CA2755" s="56"/>
      <c r="CB2755" s="56"/>
      <c r="CC2755" s="56"/>
      <c r="CD2755" s="56"/>
      <c r="CE2755" s="56"/>
      <c r="CF2755" s="56"/>
      <c r="CG2755" s="56"/>
      <c r="CH2755" s="56"/>
      <c r="CI2755" s="56"/>
      <c r="CJ2755" s="56"/>
      <c r="CK2755" s="56"/>
      <c r="CL2755" s="56"/>
      <c r="CM2755" s="56"/>
      <c r="CN2755" s="56"/>
      <c r="CO2755" s="56"/>
      <c r="CP2755" s="56"/>
      <c r="CQ2755" s="56"/>
      <c r="CR2755" s="56"/>
      <c r="CS2755" s="56"/>
      <c r="CT2755" s="56"/>
      <c r="CU2755" s="56"/>
      <c r="CV2755" s="56"/>
      <c r="CW2755" s="56"/>
      <c r="CX2755" s="56"/>
      <c r="CY2755" s="56"/>
      <c r="CZ2755" s="56"/>
    </row>
    <row r="2756" spans="27:104" s="5" customFormat="1" x14ac:dyDescent="0.25">
      <c r="AA2756" s="56"/>
      <c r="AB2756" s="56"/>
      <c r="AC2756" s="56"/>
      <c r="AD2756" s="56"/>
      <c r="AE2756" s="56"/>
      <c r="AF2756" s="56"/>
      <c r="AG2756" s="56"/>
      <c r="AH2756" s="56"/>
      <c r="AI2756" s="56"/>
      <c r="AJ2756" s="56"/>
      <c r="AK2756" s="56"/>
      <c r="AL2756" s="56"/>
      <c r="AM2756" s="56"/>
      <c r="AN2756" s="56"/>
      <c r="AO2756" s="56"/>
      <c r="AP2756" s="56"/>
      <c r="AQ2756" s="56"/>
      <c r="AR2756" s="56"/>
      <c r="AS2756" s="56"/>
      <c r="AT2756" s="56"/>
      <c r="AU2756" s="56"/>
      <c r="AV2756" s="56"/>
      <c r="AW2756" s="56"/>
      <c r="AX2756" s="56"/>
      <c r="AY2756" s="56"/>
      <c r="AZ2756" s="56"/>
      <c r="BA2756" s="56"/>
      <c r="BB2756" s="16"/>
      <c r="BC2756" s="56"/>
      <c r="BD2756" s="56"/>
      <c r="BE2756" s="56"/>
      <c r="BF2756" s="56"/>
      <c r="BG2756" s="56"/>
      <c r="BH2756" s="56"/>
      <c r="BI2756" s="56"/>
      <c r="BJ2756" s="56"/>
      <c r="BK2756" s="56"/>
      <c r="BL2756" s="56"/>
      <c r="BM2756" s="56"/>
      <c r="BN2756" s="56"/>
      <c r="BO2756" s="56"/>
      <c r="BP2756" s="56"/>
      <c r="BQ2756" s="56"/>
      <c r="BR2756" s="56"/>
      <c r="BS2756" s="56"/>
      <c r="BT2756" s="56"/>
      <c r="BU2756" s="56"/>
      <c r="BV2756" s="56"/>
      <c r="BW2756" s="56"/>
      <c r="BX2756" s="56"/>
      <c r="BY2756" s="56"/>
      <c r="BZ2756" s="56"/>
      <c r="CA2756" s="56"/>
      <c r="CB2756" s="56"/>
      <c r="CC2756" s="56"/>
      <c r="CD2756" s="56"/>
      <c r="CE2756" s="56"/>
      <c r="CF2756" s="56"/>
      <c r="CG2756" s="56"/>
      <c r="CH2756" s="56"/>
      <c r="CI2756" s="56"/>
      <c r="CJ2756" s="56"/>
      <c r="CK2756" s="56"/>
      <c r="CL2756" s="56"/>
      <c r="CM2756" s="56"/>
      <c r="CN2756" s="56"/>
      <c r="CO2756" s="56"/>
      <c r="CP2756" s="56"/>
      <c r="CQ2756" s="56"/>
      <c r="CR2756" s="56"/>
      <c r="CS2756" s="56"/>
      <c r="CT2756" s="56"/>
      <c r="CU2756" s="56"/>
      <c r="CV2756" s="56"/>
      <c r="CW2756" s="56"/>
      <c r="CX2756" s="56"/>
      <c r="CY2756" s="56"/>
      <c r="CZ2756" s="56"/>
    </row>
    <row r="2757" spans="27:104" s="5" customFormat="1" x14ac:dyDescent="0.25">
      <c r="AA2757" s="56"/>
      <c r="AB2757" s="56"/>
      <c r="AC2757" s="56"/>
      <c r="AD2757" s="56"/>
      <c r="AE2757" s="56"/>
      <c r="AF2757" s="56"/>
      <c r="AG2757" s="56"/>
      <c r="AH2757" s="56"/>
      <c r="AI2757" s="56"/>
      <c r="AJ2757" s="56"/>
      <c r="AK2757" s="56"/>
      <c r="AL2757" s="56"/>
      <c r="AM2757" s="56"/>
      <c r="AN2757" s="56"/>
      <c r="AO2757" s="56"/>
      <c r="AP2757" s="56"/>
      <c r="AQ2757" s="56"/>
      <c r="AR2757" s="56"/>
      <c r="AS2757" s="56"/>
      <c r="AT2757" s="56"/>
      <c r="AU2757" s="56"/>
      <c r="AV2757" s="56"/>
      <c r="AW2757" s="56"/>
      <c r="AX2757" s="56"/>
      <c r="AY2757" s="56"/>
      <c r="AZ2757" s="56"/>
      <c r="BA2757" s="56"/>
      <c r="BB2757" s="16"/>
      <c r="BC2757" s="56"/>
      <c r="BD2757" s="56"/>
      <c r="BE2757" s="56"/>
      <c r="BF2757" s="56"/>
      <c r="BG2757" s="56"/>
      <c r="BH2757" s="56"/>
      <c r="BI2757" s="56"/>
      <c r="BJ2757" s="56"/>
      <c r="BK2757" s="56"/>
      <c r="BL2757" s="56"/>
      <c r="BM2757" s="56"/>
      <c r="BN2757" s="56"/>
      <c r="BO2757" s="56"/>
      <c r="BP2757" s="56"/>
      <c r="BQ2757" s="56"/>
      <c r="BR2757" s="56"/>
      <c r="BS2757" s="56"/>
      <c r="BT2757" s="56"/>
      <c r="BU2757" s="56"/>
      <c r="BV2757" s="56"/>
      <c r="BW2757" s="56"/>
      <c r="BX2757" s="56"/>
      <c r="BY2757" s="56"/>
      <c r="BZ2757" s="56"/>
      <c r="CA2757" s="56"/>
      <c r="CB2757" s="56"/>
      <c r="CC2757" s="56"/>
      <c r="CD2757" s="56"/>
      <c r="CE2757" s="56"/>
      <c r="CF2757" s="56"/>
      <c r="CG2757" s="56"/>
      <c r="CH2757" s="56"/>
      <c r="CI2757" s="56"/>
      <c r="CJ2757" s="56"/>
      <c r="CK2757" s="56"/>
      <c r="CL2757" s="56"/>
      <c r="CM2757" s="56"/>
      <c r="CN2757" s="56"/>
      <c r="CO2757" s="56"/>
      <c r="CP2757" s="56"/>
      <c r="CQ2757" s="56"/>
      <c r="CR2757" s="56"/>
      <c r="CS2757" s="56"/>
      <c r="CT2757" s="56"/>
      <c r="CU2757" s="56"/>
      <c r="CV2757" s="56"/>
      <c r="CW2757" s="56"/>
      <c r="CX2757" s="56"/>
      <c r="CY2757" s="56"/>
      <c r="CZ2757" s="56"/>
    </row>
    <row r="2758" spans="27:104" s="5" customFormat="1" x14ac:dyDescent="0.25">
      <c r="AA2758" s="56"/>
      <c r="AB2758" s="56"/>
      <c r="AC2758" s="56"/>
      <c r="AD2758" s="56"/>
      <c r="AE2758" s="56"/>
      <c r="AF2758" s="56"/>
      <c r="AG2758" s="56"/>
      <c r="AH2758" s="56"/>
      <c r="AI2758" s="56"/>
      <c r="AJ2758" s="56"/>
      <c r="AK2758" s="56"/>
      <c r="AL2758" s="56"/>
      <c r="AM2758" s="56"/>
      <c r="AN2758" s="56"/>
      <c r="AO2758" s="56"/>
      <c r="AP2758" s="56"/>
      <c r="AQ2758" s="56"/>
      <c r="AR2758" s="56"/>
      <c r="AS2758" s="56"/>
      <c r="AT2758" s="56"/>
      <c r="AU2758" s="56"/>
      <c r="AV2758" s="56"/>
      <c r="AW2758" s="56"/>
      <c r="AX2758" s="56"/>
      <c r="AY2758" s="56"/>
      <c r="AZ2758" s="56"/>
      <c r="BA2758" s="56"/>
      <c r="BB2758" s="16"/>
      <c r="BC2758" s="56"/>
      <c r="BD2758" s="56"/>
      <c r="BE2758" s="56"/>
      <c r="BF2758" s="56"/>
      <c r="BG2758" s="56"/>
      <c r="BH2758" s="56"/>
      <c r="BI2758" s="56"/>
      <c r="BJ2758" s="56"/>
      <c r="BK2758" s="56"/>
      <c r="BL2758" s="56"/>
      <c r="BM2758" s="56"/>
      <c r="BN2758" s="56"/>
      <c r="BO2758" s="56"/>
      <c r="BP2758" s="56"/>
      <c r="BQ2758" s="56"/>
      <c r="BR2758" s="56"/>
      <c r="BS2758" s="56"/>
      <c r="BT2758" s="56"/>
      <c r="BU2758" s="56"/>
      <c r="BV2758" s="56"/>
      <c r="BW2758" s="56"/>
      <c r="BX2758" s="56"/>
      <c r="BY2758" s="56"/>
      <c r="BZ2758" s="56"/>
      <c r="CA2758" s="56"/>
      <c r="CB2758" s="56"/>
      <c r="CC2758" s="56"/>
      <c r="CD2758" s="56"/>
      <c r="CE2758" s="56"/>
      <c r="CF2758" s="56"/>
      <c r="CG2758" s="56"/>
      <c r="CH2758" s="56"/>
      <c r="CI2758" s="56"/>
      <c r="CJ2758" s="56"/>
      <c r="CK2758" s="56"/>
      <c r="CL2758" s="56"/>
      <c r="CM2758" s="56"/>
      <c r="CN2758" s="56"/>
      <c r="CO2758" s="56"/>
      <c r="CP2758" s="56"/>
      <c r="CQ2758" s="56"/>
      <c r="CR2758" s="56"/>
      <c r="CS2758" s="56"/>
      <c r="CT2758" s="56"/>
      <c r="CU2758" s="56"/>
      <c r="CV2758" s="56"/>
      <c r="CW2758" s="56"/>
      <c r="CX2758" s="56"/>
      <c r="CY2758" s="56"/>
      <c r="CZ2758" s="56"/>
    </row>
    <row r="2759" spans="27:104" s="5" customFormat="1" x14ac:dyDescent="0.25">
      <c r="AA2759" s="56"/>
      <c r="AB2759" s="56"/>
      <c r="AC2759" s="56"/>
      <c r="AD2759" s="56"/>
      <c r="AE2759" s="56"/>
      <c r="AF2759" s="56"/>
      <c r="AG2759" s="56"/>
      <c r="AH2759" s="56"/>
      <c r="AI2759" s="56"/>
      <c r="AJ2759" s="56"/>
      <c r="AK2759" s="56"/>
      <c r="AL2759" s="56"/>
      <c r="AM2759" s="56"/>
      <c r="AN2759" s="56"/>
      <c r="AO2759" s="56"/>
      <c r="AP2759" s="56"/>
      <c r="AQ2759" s="56"/>
      <c r="AR2759" s="56"/>
      <c r="AS2759" s="56"/>
      <c r="AT2759" s="56"/>
      <c r="AU2759" s="56"/>
      <c r="AV2759" s="56"/>
      <c r="AW2759" s="56"/>
      <c r="AX2759" s="56"/>
      <c r="AY2759" s="56"/>
      <c r="AZ2759" s="56"/>
      <c r="BA2759" s="56"/>
      <c r="BB2759" s="16"/>
      <c r="BC2759" s="56"/>
      <c r="BD2759" s="56"/>
      <c r="BE2759" s="56"/>
      <c r="BF2759" s="56"/>
      <c r="BG2759" s="56"/>
      <c r="BH2759" s="56"/>
      <c r="BI2759" s="56"/>
      <c r="BJ2759" s="56"/>
      <c r="BK2759" s="56"/>
      <c r="BL2759" s="56"/>
      <c r="BM2759" s="56"/>
      <c r="BN2759" s="56"/>
      <c r="BO2759" s="56"/>
      <c r="BP2759" s="56"/>
      <c r="BQ2759" s="56"/>
      <c r="BR2759" s="56"/>
      <c r="BS2759" s="56"/>
      <c r="BT2759" s="56"/>
      <c r="BU2759" s="56"/>
      <c r="BV2759" s="56"/>
      <c r="BW2759" s="56"/>
      <c r="BX2759" s="56"/>
      <c r="BY2759" s="56"/>
      <c r="BZ2759" s="56"/>
      <c r="CA2759" s="56"/>
      <c r="CB2759" s="56"/>
      <c r="CC2759" s="56"/>
      <c r="CD2759" s="56"/>
      <c r="CE2759" s="56"/>
      <c r="CF2759" s="56"/>
      <c r="CG2759" s="56"/>
      <c r="CH2759" s="56"/>
      <c r="CI2759" s="56"/>
      <c r="CJ2759" s="56"/>
      <c r="CK2759" s="56"/>
      <c r="CL2759" s="56"/>
      <c r="CM2759" s="56"/>
      <c r="CN2759" s="56"/>
      <c r="CO2759" s="56"/>
      <c r="CP2759" s="56"/>
      <c r="CQ2759" s="56"/>
      <c r="CR2759" s="56"/>
      <c r="CS2759" s="56"/>
      <c r="CT2759" s="56"/>
      <c r="CU2759" s="56"/>
      <c r="CV2759" s="56"/>
      <c r="CW2759" s="56"/>
      <c r="CX2759" s="56"/>
      <c r="CY2759" s="56"/>
      <c r="CZ2759" s="56"/>
    </row>
    <row r="2760" spans="27:104" s="5" customFormat="1" x14ac:dyDescent="0.25">
      <c r="AA2760" s="56"/>
      <c r="AB2760" s="56"/>
      <c r="AC2760" s="56"/>
      <c r="AD2760" s="56"/>
      <c r="AE2760" s="56"/>
      <c r="AF2760" s="56"/>
      <c r="AG2760" s="56"/>
      <c r="AH2760" s="56"/>
      <c r="AI2760" s="56"/>
      <c r="AJ2760" s="56"/>
      <c r="AK2760" s="56"/>
      <c r="AL2760" s="56"/>
      <c r="AM2760" s="56"/>
      <c r="AN2760" s="56"/>
      <c r="AO2760" s="56"/>
      <c r="AP2760" s="56"/>
      <c r="AQ2760" s="56"/>
      <c r="AR2760" s="56"/>
      <c r="AS2760" s="56"/>
      <c r="AT2760" s="56"/>
      <c r="AU2760" s="56"/>
      <c r="AV2760" s="56"/>
      <c r="AW2760" s="56"/>
      <c r="AX2760" s="56"/>
      <c r="AY2760" s="56"/>
      <c r="AZ2760" s="56"/>
      <c r="BA2760" s="56"/>
      <c r="BB2760" s="16"/>
      <c r="BC2760" s="56"/>
      <c r="BD2760" s="56"/>
      <c r="BE2760" s="56"/>
      <c r="BF2760" s="56"/>
      <c r="BG2760" s="56"/>
      <c r="BH2760" s="56"/>
      <c r="BI2760" s="56"/>
      <c r="BJ2760" s="56"/>
      <c r="BK2760" s="56"/>
      <c r="BL2760" s="56"/>
      <c r="BM2760" s="56"/>
      <c r="BN2760" s="56"/>
      <c r="BO2760" s="56"/>
      <c r="BP2760" s="56"/>
      <c r="BQ2760" s="56"/>
      <c r="BR2760" s="56"/>
      <c r="BS2760" s="56"/>
      <c r="BT2760" s="56"/>
      <c r="BU2760" s="56"/>
      <c r="BV2760" s="56"/>
      <c r="BW2760" s="56"/>
      <c r="BX2760" s="56"/>
      <c r="BY2760" s="56"/>
      <c r="BZ2760" s="56"/>
      <c r="CA2760" s="56"/>
      <c r="CB2760" s="56"/>
      <c r="CC2760" s="56"/>
      <c r="CD2760" s="56"/>
      <c r="CE2760" s="56"/>
      <c r="CF2760" s="56"/>
      <c r="CG2760" s="56"/>
      <c r="CH2760" s="56"/>
      <c r="CI2760" s="56"/>
      <c r="CJ2760" s="56"/>
      <c r="CK2760" s="56"/>
      <c r="CL2760" s="56"/>
      <c r="CM2760" s="56"/>
      <c r="CN2760" s="56"/>
      <c r="CO2760" s="56"/>
      <c r="CP2760" s="56"/>
      <c r="CQ2760" s="56"/>
      <c r="CR2760" s="56"/>
      <c r="CS2760" s="56"/>
      <c r="CT2760" s="56"/>
      <c r="CU2760" s="56"/>
      <c r="CV2760" s="56"/>
      <c r="CW2760" s="56"/>
      <c r="CX2760" s="56"/>
      <c r="CY2760" s="56"/>
      <c r="CZ2760" s="56"/>
    </row>
    <row r="2761" spans="27:104" s="5" customFormat="1" x14ac:dyDescent="0.25">
      <c r="AA2761" s="56"/>
      <c r="AB2761" s="56"/>
      <c r="AC2761" s="56"/>
      <c r="AD2761" s="56"/>
      <c r="AE2761" s="56"/>
      <c r="AF2761" s="56"/>
      <c r="AG2761" s="56"/>
      <c r="AH2761" s="56"/>
      <c r="AI2761" s="56"/>
      <c r="AJ2761" s="56"/>
      <c r="AK2761" s="56"/>
      <c r="AL2761" s="56"/>
      <c r="AM2761" s="56"/>
      <c r="AN2761" s="56"/>
      <c r="AO2761" s="56"/>
      <c r="AP2761" s="56"/>
      <c r="AQ2761" s="56"/>
      <c r="AR2761" s="56"/>
      <c r="AS2761" s="56"/>
      <c r="AT2761" s="56"/>
      <c r="AU2761" s="56"/>
      <c r="AV2761" s="56"/>
      <c r="AW2761" s="56"/>
      <c r="AX2761" s="56"/>
      <c r="AY2761" s="56"/>
      <c r="AZ2761" s="56"/>
      <c r="BA2761" s="56"/>
      <c r="BB2761" s="16"/>
      <c r="BC2761" s="56"/>
      <c r="BD2761" s="56"/>
      <c r="BE2761" s="56"/>
      <c r="BF2761" s="56"/>
      <c r="BG2761" s="56"/>
      <c r="BH2761" s="56"/>
      <c r="BI2761" s="56"/>
      <c r="BJ2761" s="56"/>
      <c r="BK2761" s="56"/>
      <c r="BL2761" s="56"/>
      <c r="BM2761" s="56"/>
      <c r="BN2761" s="56"/>
      <c r="BO2761" s="56"/>
      <c r="BP2761" s="56"/>
      <c r="BQ2761" s="56"/>
      <c r="BR2761" s="56"/>
      <c r="BS2761" s="56"/>
      <c r="BT2761" s="56"/>
      <c r="BU2761" s="56"/>
      <c r="BV2761" s="56"/>
      <c r="BW2761" s="56"/>
      <c r="BX2761" s="56"/>
      <c r="BY2761" s="56"/>
      <c r="BZ2761" s="56"/>
      <c r="CA2761" s="56"/>
      <c r="CB2761" s="56"/>
      <c r="CC2761" s="56"/>
      <c r="CD2761" s="56"/>
      <c r="CE2761" s="56"/>
      <c r="CF2761" s="56"/>
      <c r="CG2761" s="56"/>
      <c r="CH2761" s="56"/>
      <c r="CI2761" s="56"/>
      <c r="CJ2761" s="56"/>
      <c r="CK2761" s="56"/>
      <c r="CL2761" s="56"/>
      <c r="CM2761" s="56"/>
      <c r="CN2761" s="56"/>
      <c r="CO2761" s="56"/>
      <c r="CP2761" s="56"/>
      <c r="CQ2761" s="56"/>
      <c r="CR2761" s="56"/>
      <c r="CS2761" s="56"/>
      <c r="CT2761" s="56"/>
      <c r="CU2761" s="56"/>
      <c r="CV2761" s="56"/>
      <c r="CW2761" s="56"/>
      <c r="CX2761" s="56"/>
      <c r="CY2761" s="56"/>
      <c r="CZ2761" s="56"/>
    </row>
    <row r="2762" spans="27:104" s="5" customFormat="1" x14ac:dyDescent="0.25">
      <c r="AA2762" s="56"/>
      <c r="AB2762" s="56"/>
      <c r="AC2762" s="56"/>
      <c r="AD2762" s="56"/>
      <c r="AE2762" s="56"/>
      <c r="AF2762" s="56"/>
      <c r="AG2762" s="56"/>
      <c r="AH2762" s="56"/>
      <c r="AI2762" s="56"/>
      <c r="AJ2762" s="56"/>
      <c r="AK2762" s="56"/>
      <c r="AL2762" s="56"/>
      <c r="AM2762" s="56"/>
      <c r="AN2762" s="56"/>
      <c r="AO2762" s="56"/>
      <c r="AP2762" s="56"/>
      <c r="AQ2762" s="56"/>
      <c r="AR2762" s="56"/>
      <c r="AS2762" s="56"/>
      <c r="AT2762" s="56"/>
      <c r="AU2762" s="56"/>
      <c r="AV2762" s="56"/>
      <c r="AW2762" s="56"/>
      <c r="AX2762" s="56"/>
      <c r="AY2762" s="56"/>
      <c r="AZ2762" s="56"/>
      <c r="BA2762" s="56"/>
      <c r="BB2762" s="16"/>
      <c r="BC2762" s="56"/>
      <c r="BD2762" s="56"/>
      <c r="BE2762" s="56"/>
      <c r="BF2762" s="56"/>
      <c r="BG2762" s="56"/>
      <c r="BH2762" s="56"/>
      <c r="BI2762" s="56"/>
      <c r="BJ2762" s="56"/>
      <c r="BK2762" s="56"/>
      <c r="BL2762" s="56"/>
      <c r="BM2762" s="56"/>
      <c r="BN2762" s="56"/>
      <c r="BO2762" s="56"/>
      <c r="BP2762" s="56"/>
      <c r="BQ2762" s="56"/>
      <c r="BR2762" s="56"/>
      <c r="BS2762" s="56"/>
      <c r="BT2762" s="56"/>
      <c r="BU2762" s="56"/>
      <c r="BV2762" s="56"/>
      <c r="BW2762" s="56"/>
      <c r="BX2762" s="56"/>
      <c r="BY2762" s="56"/>
      <c r="BZ2762" s="56"/>
      <c r="CA2762" s="56"/>
      <c r="CB2762" s="56"/>
      <c r="CC2762" s="56"/>
      <c r="CD2762" s="56"/>
      <c r="CE2762" s="56"/>
      <c r="CF2762" s="56"/>
      <c r="CG2762" s="56"/>
      <c r="CH2762" s="56"/>
      <c r="CI2762" s="56"/>
      <c r="CJ2762" s="56"/>
      <c r="CK2762" s="56"/>
      <c r="CL2762" s="56"/>
      <c r="CM2762" s="56"/>
      <c r="CN2762" s="56"/>
      <c r="CO2762" s="56"/>
      <c r="CP2762" s="56"/>
      <c r="CQ2762" s="56"/>
      <c r="CR2762" s="56"/>
      <c r="CS2762" s="56"/>
      <c r="CT2762" s="56"/>
      <c r="CU2762" s="56"/>
      <c r="CV2762" s="56"/>
      <c r="CW2762" s="56"/>
      <c r="CX2762" s="56"/>
      <c r="CY2762" s="56"/>
      <c r="CZ2762" s="56"/>
    </row>
    <row r="2763" spans="27:104" s="5" customFormat="1" x14ac:dyDescent="0.25">
      <c r="AA2763" s="56"/>
      <c r="AB2763" s="56"/>
      <c r="AC2763" s="56"/>
      <c r="AD2763" s="56"/>
      <c r="AE2763" s="56"/>
      <c r="AF2763" s="56"/>
      <c r="AG2763" s="56"/>
      <c r="AH2763" s="56"/>
      <c r="AI2763" s="56"/>
      <c r="AJ2763" s="56"/>
      <c r="AK2763" s="56"/>
      <c r="AL2763" s="56"/>
      <c r="AM2763" s="56"/>
      <c r="AN2763" s="56"/>
      <c r="AO2763" s="56"/>
      <c r="AP2763" s="56"/>
      <c r="AQ2763" s="56"/>
      <c r="AR2763" s="56"/>
      <c r="AS2763" s="56"/>
      <c r="AT2763" s="56"/>
      <c r="AU2763" s="56"/>
      <c r="AV2763" s="56"/>
      <c r="AW2763" s="56"/>
      <c r="AX2763" s="56"/>
      <c r="AY2763" s="56"/>
      <c r="AZ2763" s="56"/>
      <c r="BA2763" s="56"/>
      <c r="BB2763" s="16"/>
      <c r="BC2763" s="56"/>
      <c r="BD2763" s="56"/>
      <c r="BE2763" s="56"/>
      <c r="BF2763" s="56"/>
      <c r="BG2763" s="56"/>
      <c r="BH2763" s="56"/>
      <c r="BI2763" s="56"/>
      <c r="BJ2763" s="56"/>
      <c r="BK2763" s="56"/>
      <c r="BL2763" s="56"/>
      <c r="BM2763" s="56"/>
      <c r="BN2763" s="56"/>
      <c r="BO2763" s="56"/>
      <c r="BP2763" s="56"/>
      <c r="BQ2763" s="56"/>
      <c r="BR2763" s="56"/>
      <c r="BS2763" s="56"/>
      <c r="BT2763" s="56"/>
      <c r="BU2763" s="56"/>
      <c r="BV2763" s="56"/>
      <c r="BW2763" s="56"/>
      <c r="BX2763" s="56"/>
      <c r="BY2763" s="56"/>
      <c r="BZ2763" s="56"/>
      <c r="CA2763" s="56"/>
      <c r="CB2763" s="56"/>
      <c r="CC2763" s="56"/>
      <c r="CD2763" s="56"/>
      <c r="CE2763" s="56"/>
      <c r="CF2763" s="56"/>
      <c r="CG2763" s="56"/>
      <c r="CH2763" s="56"/>
      <c r="CI2763" s="56"/>
      <c r="CJ2763" s="56"/>
      <c r="CK2763" s="56"/>
      <c r="CL2763" s="56"/>
      <c r="CM2763" s="56"/>
      <c r="CN2763" s="56"/>
      <c r="CO2763" s="56"/>
      <c r="CP2763" s="56"/>
      <c r="CQ2763" s="56"/>
      <c r="CR2763" s="56"/>
      <c r="CS2763" s="56"/>
      <c r="CT2763" s="56"/>
      <c r="CU2763" s="56"/>
      <c r="CV2763" s="56"/>
      <c r="CW2763" s="56"/>
      <c r="CX2763" s="56"/>
      <c r="CY2763" s="56"/>
      <c r="CZ2763" s="56"/>
    </row>
    <row r="2764" spans="27:104" s="5" customFormat="1" x14ac:dyDescent="0.25">
      <c r="AA2764" s="56"/>
      <c r="AB2764" s="56"/>
      <c r="AC2764" s="56"/>
      <c r="AD2764" s="56"/>
      <c r="AE2764" s="56"/>
      <c r="AF2764" s="56"/>
      <c r="AG2764" s="56"/>
      <c r="AH2764" s="56"/>
      <c r="AI2764" s="56"/>
      <c r="AJ2764" s="56"/>
      <c r="AK2764" s="56"/>
      <c r="AL2764" s="56"/>
      <c r="AM2764" s="56"/>
      <c r="AN2764" s="56"/>
      <c r="AO2764" s="56"/>
      <c r="AP2764" s="56"/>
      <c r="AQ2764" s="56"/>
      <c r="AR2764" s="56"/>
      <c r="AS2764" s="56"/>
      <c r="AT2764" s="56"/>
      <c r="AU2764" s="56"/>
      <c r="AV2764" s="56"/>
      <c r="AW2764" s="56"/>
      <c r="AX2764" s="56"/>
      <c r="AY2764" s="56"/>
      <c r="AZ2764" s="56"/>
      <c r="BA2764" s="56"/>
      <c r="BB2764" s="16"/>
      <c r="BC2764" s="56"/>
      <c r="BD2764" s="56"/>
      <c r="BE2764" s="56"/>
      <c r="BF2764" s="56"/>
      <c r="BG2764" s="56"/>
      <c r="BH2764" s="56"/>
      <c r="BI2764" s="56"/>
      <c r="BJ2764" s="56"/>
      <c r="BK2764" s="56"/>
      <c r="BL2764" s="56"/>
      <c r="BM2764" s="56"/>
      <c r="BN2764" s="56"/>
      <c r="BO2764" s="56"/>
      <c r="BP2764" s="56"/>
      <c r="BQ2764" s="56"/>
      <c r="BR2764" s="56"/>
      <c r="BS2764" s="56"/>
      <c r="BT2764" s="56"/>
      <c r="BU2764" s="56"/>
      <c r="BV2764" s="56"/>
      <c r="BW2764" s="56"/>
      <c r="BX2764" s="56"/>
      <c r="BY2764" s="56"/>
      <c r="BZ2764" s="56"/>
      <c r="CA2764" s="56"/>
      <c r="CB2764" s="56"/>
      <c r="CC2764" s="56"/>
      <c r="CD2764" s="56"/>
      <c r="CE2764" s="56"/>
      <c r="CF2764" s="56"/>
      <c r="CG2764" s="56"/>
      <c r="CH2764" s="56"/>
      <c r="CI2764" s="56"/>
      <c r="CJ2764" s="56"/>
      <c r="CK2764" s="56"/>
      <c r="CL2764" s="56"/>
      <c r="CM2764" s="56"/>
      <c r="CN2764" s="56"/>
      <c r="CO2764" s="56"/>
      <c r="CP2764" s="56"/>
      <c r="CQ2764" s="56"/>
      <c r="CR2764" s="56"/>
      <c r="CS2764" s="56"/>
      <c r="CT2764" s="56"/>
      <c r="CU2764" s="56"/>
      <c r="CV2764" s="56"/>
      <c r="CW2764" s="56"/>
      <c r="CX2764" s="56"/>
      <c r="CY2764" s="56"/>
      <c r="CZ2764" s="56"/>
    </row>
    <row r="2765" spans="27:104" s="5" customFormat="1" x14ac:dyDescent="0.25">
      <c r="AA2765" s="56"/>
      <c r="AB2765" s="56"/>
      <c r="AC2765" s="56"/>
      <c r="AD2765" s="56"/>
      <c r="AE2765" s="56"/>
      <c r="AF2765" s="56"/>
      <c r="AG2765" s="56"/>
      <c r="AH2765" s="56"/>
      <c r="AI2765" s="56"/>
      <c r="AJ2765" s="56"/>
      <c r="AK2765" s="56"/>
      <c r="AL2765" s="56"/>
      <c r="AM2765" s="56"/>
      <c r="AN2765" s="56"/>
      <c r="AO2765" s="56"/>
      <c r="AP2765" s="56"/>
      <c r="AQ2765" s="56"/>
      <c r="AR2765" s="56"/>
      <c r="AS2765" s="56"/>
      <c r="AT2765" s="56"/>
      <c r="AU2765" s="56"/>
      <c r="AV2765" s="56"/>
      <c r="AW2765" s="56"/>
      <c r="AX2765" s="56"/>
      <c r="AY2765" s="56"/>
      <c r="AZ2765" s="56"/>
      <c r="BA2765" s="56"/>
      <c r="BB2765" s="16"/>
      <c r="BC2765" s="56"/>
      <c r="BD2765" s="56"/>
      <c r="BE2765" s="56"/>
      <c r="BF2765" s="56"/>
      <c r="BG2765" s="56"/>
      <c r="BH2765" s="56"/>
      <c r="BI2765" s="56"/>
      <c r="BJ2765" s="56"/>
      <c r="BK2765" s="56"/>
      <c r="BL2765" s="56"/>
      <c r="BM2765" s="56"/>
      <c r="BN2765" s="56"/>
      <c r="BO2765" s="56"/>
      <c r="BP2765" s="56"/>
      <c r="BQ2765" s="56"/>
      <c r="BR2765" s="56"/>
      <c r="BS2765" s="56"/>
      <c r="BT2765" s="56"/>
      <c r="BU2765" s="56"/>
      <c r="BV2765" s="56"/>
      <c r="BW2765" s="56"/>
      <c r="BX2765" s="56"/>
      <c r="BY2765" s="56"/>
      <c r="BZ2765" s="56"/>
      <c r="CA2765" s="56"/>
      <c r="CB2765" s="56"/>
      <c r="CC2765" s="56"/>
      <c r="CD2765" s="56"/>
      <c r="CE2765" s="56"/>
      <c r="CF2765" s="56"/>
      <c r="CG2765" s="56"/>
      <c r="CH2765" s="56"/>
      <c r="CI2765" s="56"/>
      <c r="CJ2765" s="56"/>
      <c r="CK2765" s="56"/>
      <c r="CL2765" s="56"/>
      <c r="CM2765" s="56"/>
      <c r="CN2765" s="56"/>
      <c r="CO2765" s="56"/>
      <c r="CP2765" s="56"/>
      <c r="CQ2765" s="56"/>
      <c r="CR2765" s="56"/>
      <c r="CS2765" s="56"/>
      <c r="CT2765" s="56"/>
      <c r="CU2765" s="56"/>
      <c r="CV2765" s="56"/>
      <c r="CW2765" s="56"/>
      <c r="CX2765" s="56"/>
      <c r="CY2765" s="56"/>
      <c r="CZ2765" s="56"/>
    </row>
    <row r="2766" spans="27:104" s="5" customFormat="1" x14ac:dyDescent="0.25">
      <c r="AA2766" s="56"/>
      <c r="AB2766" s="56"/>
      <c r="AC2766" s="56"/>
      <c r="AD2766" s="56"/>
      <c r="AE2766" s="56"/>
      <c r="AF2766" s="56"/>
      <c r="AG2766" s="56"/>
      <c r="AH2766" s="56"/>
      <c r="AI2766" s="56"/>
      <c r="AJ2766" s="56"/>
      <c r="AK2766" s="56"/>
      <c r="AL2766" s="56"/>
      <c r="AM2766" s="56"/>
      <c r="AN2766" s="56"/>
      <c r="AO2766" s="56"/>
      <c r="AP2766" s="56"/>
      <c r="AQ2766" s="56"/>
      <c r="AR2766" s="56"/>
      <c r="AS2766" s="56"/>
      <c r="AT2766" s="56"/>
      <c r="AU2766" s="56"/>
      <c r="AV2766" s="56"/>
      <c r="AW2766" s="56"/>
      <c r="AX2766" s="56"/>
      <c r="AY2766" s="56"/>
      <c r="AZ2766" s="56"/>
      <c r="BA2766" s="56"/>
      <c r="BB2766" s="16"/>
      <c r="BC2766" s="56"/>
      <c r="BD2766" s="56"/>
      <c r="BE2766" s="56"/>
      <c r="BF2766" s="56"/>
      <c r="BG2766" s="56"/>
      <c r="BH2766" s="56"/>
      <c r="BI2766" s="56"/>
      <c r="BJ2766" s="56"/>
      <c r="BK2766" s="56"/>
      <c r="BL2766" s="56"/>
      <c r="BM2766" s="56"/>
      <c r="BN2766" s="56"/>
      <c r="BO2766" s="56"/>
      <c r="BP2766" s="56"/>
      <c r="BQ2766" s="56"/>
      <c r="BR2766" s="56"/>
      <c r="BS2766" s="56"/>
      <c r="BT2766" s="56"/>
      <c r="BU2766" s="56"/>
      <c r="BV2766" s="56"/>
      <c r="BW2766" s="56"/>
      <c r="BX2766" s="56"/>
      <c r="BY2766" s="56"/>
      <c r="BZ2766" s="56"/>
      <c r="CA2766" s="56"/>
      <c r="CB2766" s="56"/>
      <c r="CC2766" s="56"/>
      <c r="CD2766" s="56"/>
      <c r="CE2766" s="56"/>
      <c r="CF2766" s="56"/>
      <c r="CG2766" s="56"/>
      <c r="CH2766" s="56"/>
      <c r="CI2766" s="56"/>
      <c r="CJ2766" s="56"/>
      <c r="CK2766" s="56"/>
      <c r="CL2766" s="56"/>
      <c r="CM2766" s="56"/>
      <c r="CN2766" s="56"/>
      <c r="CO2766" s="56"/>
      <c r="CP2766" s="56"/>
      <c r="CQ2766" s="56"/>
      <c r="CR2766" s="56"/>
      <c r="CS2766" s="56"/>
      <c r="CT2766" s="56"/>
      <c r="CU2766" s="56"/>
      <c r="CV2766" s="56"/>
      <c r="CW2766" s="56"/>
      <c r="CX2766" s="56"/>
      <c r="CY2766" s="56"/>
      <c r="CZ2766" s="56"/>
    </row>
    <row r="2767" spans="27:104" s="5" customFormat="1" x14ac:dyDescent="0.25">
      <c r="AA2767" s="56"/>
      <c r="AB2767" s="56"/>
      <c r="AC2767" s="56"/>
      <c r="AD2767" s="56"/>
      <c r="AE2767" s="56"/>
      <c r="AF2767" s="56"/>
      <c r="AG2767" s="56"/>
      <c r="AH2767" s="56"/>
      <c r="AI2767" s="56"/>
      <c r="AJ2767" s="56"/>
      <c r="AK2767" s="56"/>
      <c r="AL2767" s="56"/>
      <c r="AM2767" s="56"/>
      <c r="AN2767" s="56"/>
      <c r="AO2767" s="56"/>
      <c r="AP2767" s="56"/>
      <c r="AQ2767" s="56"/>
      <c r="AR2767" s="56"/>
      <c r="AS2767" s="56"/>
      <c r="AT2767" s="56"/>
      <c r="AU2767" s="56"/>
      <c r="AV2767" s="56"/>
      <c r="AW2767" s="56"/>
      <c r="AX2767" s="56"/>
      <c r="AY2767" s="56"/>
      <c r="AZ2767" s="56"/>
      <c r="BA2767" s="56"/>
      <c r="BB2767" s="16"/>
      <c r="BC2767" s="56"/>
      <c r="BD2767" s="56"/>
      <c r="BE2767" s="56"/>
      <c r="BF2767" s="56"/>
      <c r="BG2767" s="56"/>
      <c r="BH2767" s="56"/>
      <c r="BI2767" s="56"/>
      <c r="BJ2767" s="56"/>
      <c r="BK2767" s="56"/>
      <c r="BL2767" s="56"/>
      <c r="BM2767" s="56"/>
      <c r="BN2767" s="56"/>
      <c r="BO2767" s="56"/>
      <c r="BP2767" s="56"/>
      <c r="BQ2767" s="56"/>
      <c r="BR2767" s="56"/>
      <c r="BS2767" s="56"/>
      <c r="BT2767" s="56"/>
      <c r="BU2767" s="56"/>
      <c r="BV2767" s="56"/>
      <c r="BW2767" s="56"/>
      <c r="BX2767" s="56"/>
      <c r="BY2767" s="56"/>
      <c r="BZ2767" s="56"/>
      <c r="CA2767" s="56"/>
      <c r="CB2767" s="56"/>
      <c r="CC2767" s="56"/>
      <c r="CD2767" s="56"/>
      <c r="CE2767" s="56"/>
      <c r="CF2767" s="56"/>
      <c r="CG2767" s="56"/>
      <c r="CH2767" s="56"/>
      <c r="CI2767" s="56"/>
      <c r="CJ2767" s="56"/>
      <c r="CK2767" s="56"/>
      <c r="CL2767" s="56"/>
      <c r="CM2767" s="56"/>
      <c r="CN2767" s="56"/>
      <c r="CO2767" s="56"/>
      <c r="CP2767" s="56"/>
      <c r="CQ2767" s="56"/>
      <c r="CR2767" s="56"/>
      <c r="CS2767" s="56"/>
      <c r="CT2767" s="56"/>
      <c r="CU2767" s="56"/>
      <c r="CV2767" s="56"/>
      <c r="CW2767" s="56"/>
      <c r="CX2767" s="56"/>
      <c r="CY2767" s="56"/>
      <c r="CZ2767" s="56"/>
    </row>
    <row r="2768" spans="27:104" s="5" customFormat="1" x14ac:dyDescent="0.25">
      <c r="AA2768" s="56"/>
      <c r="AB2768" s="56"/>
      <c r="AC2768" s="56"/>
      <c r="AD2768" s="56"/>
      <c r="AE2768" s="56"/>
      <c r="AF2768" s="56"/>
      <c r="AG2768" s="56"/>
      <c r="AH2768" s="56"/>
      <c r="AI2768" s="56"/>
      <c r="AJ2768" s="56"/>
      <c r="AK2768" s="56"/>
      <c r="AL2768" s="56"/>
      <c r="AM2768" s="56"/>
      <c r="AN2768" s="56"/>
      <c r="AO2768" s="56"/>
      <c r="AP2768" s="56"/>
      <c r="AQ2768" s="56"/>
      <c r="AR2768" s="56"/>
      <c r="AS2768" s="56"/>
      <c r="AT2768" s="56"/>
      <c r="AU2768" s="56"/>
      <c r="AV2768" s="56"/>
      <c r="AW2768" s="56"/>
      <c r="AX2768" s="56"/>
      <c r="AY2768" s="56"/>
      <c r="AZ2768" s="56"/>
      <c r="BA2768" s="56"/>
      <c r="BB2768" s="16"/>
      <c r="BC2768" s="56"/>
      <c r="BD2768" s="56"/>
      <c r="BE2768" s="56"/>
      <c r="BF2768" s="56"/>
      <c r="BG2768" s="56"/>
      <c r="BH2768" s="56"/>
      <c r="BI2768" s="56"/>
      <c r="BJ2768" s="56"/>
      <c r="BK2768" s="56"/>
      <c r="BL2768" s="56"/>
      <c r="BM2768" s="56"/>
      <c r="BN2768" s="56"/>
      <c r="BO2768" s="56"/>
      <c r="BP2768" s="56"/>
      <c r="BQ2768" s="56"/>
      <c r="BR2768" s="56"/>
      <c r="BS2768" s="56"/>
      <c r="BT2768" s="56"/>
      <c r="BU2768" s="56"/>
      <c r="BV2768" s="56"/>
      <c r="BW2768" s="56"/>
      <c r="BX2768" s="56"/>
      <c r="BY2768" s="56"/>
      <c r="BZ2768" s="56"/>
      <c r="CA2768" s="56"/>
      <c r="CB2768" s="56"/>
      <c r="CC2768" s="56"/>
      <c r="CD2768" s="56"/>
      <c r="CE2768" s="56"/>
      <c r="CF2768" s="56"/>
      <c r="CG2768" s="56"/>
      <c r="CH2768" s="56"/>
      <c r="CI2768" s="56"/>
      <c r="CJ2768" s="56"/>
      <c r="CK2768" s="56"/>
      <c r="CL2768" s="56"/>
      <c r="CM2768" s="56"/>
      <c r="CN2768" s="56"/>
      <c r="CO2768" s="56"/>
      <c r="CP2768" s="56"/>
      <c r="CQ2768" s="56"/>
      <c r="CR2768" s="56"/>
      <c r="CS2768" s="56"/>
      <c r="CT2768" s="56"/>
      <c r="CU2768" s="56"/>
      <c r="CV2768" s="56"/>
      <c r="CW2768" s="56"/>
      <c r="CX2768" s="56"/>
      <c r="CY2768" s="56"/>
      <c r="CZ2768" s="56"/>
    </row>
    <row r="2769" spans="27:104" s="5" customFormat="1" x14ac:dyDescent="0.25">
      <c r="AA2769" s="56"/>
      <c r="AB2769" s="56"/>
      <c r="AC2769" s="56"/>
      <c r="AD2769" s="56"/>
      <c r="AE2769" s="56"/>
      <c r="AF2769" s="56"/>
      <c r="AG2769" s="56"/>
      <c r="AH2769" s="56"/>
      <c r="AI2769" s="56"/>
      <c r="AJ2769" s="56"/>
      <c r="AK2769" s="56"/>
      <c r="AL2769" s="56"/>
      <c r="AM2769" s="56"/>
      <c r="AN2769" s="56"/>
      <c r="AO2769" s="56"/>
      <c r="AP2769" s="56"/>
      <c r="AQ2769" s="56"/>
      <c r="AR2769" s="56"/>
      <c r="AS2769" s="56"/>
      <c r="AT2769" s="56"/>
      <c r="AU2769" s="56"/>
      <c r="AV2769" s="56"/>
      <c r="AW2769" s="56"/>
      <c r="AX2769" s="56"/>
      <c r="AY2769" s="56"/>
      <c r="AZ2769" s="56"/>
      <c r="BA2769" s="56"/>
      <c r="BB2769" s="16"/>
      <c r="BC2769" s="56"/>
      <c r="BD2769" s="56"/>
      <c r="BE2769" s="56"/>
      <c r="BF2769" s="56"/>
      <c r="BG2769" s="56"/>
      <c r="BH2769" s="56"/>
      <c r="BI2769" s="56"/>
      <c r="BJ2769" s="56"/>
      <c r="BK2769" s="56"/>
      <c r="BL2769" s="56"/>
      <c r="BM2769" s="56"/>
      <c r="BN2769" s="56"/>
      <c r="BO2769" s="56"/>
      <c r="BP2769" s="56"/>
      <c r="BQ2769" s="56"/>
      <c r="BR2769" s="56"/>
      <c r="BS2769" s="56"/>
      <c r="BT2769" s="56"/>
      <c r="BU2769" s="56"/>
      <c r="BV2769" s="56"/>
      <c r="BW2769" s="56"/>
      <c r="BX2769" s="56"/>
      <c r="BY2769" s="56"/>
      <c r="BZ2769" s="56"/>
      <c r="CA2769" s="56"/>
      <c r="CB2769" s="56"/>
      <c r="CC2769" s="56"/>
      <c r="CD2769" s="56"/>
      <c r="CE2769" s="56"/>
      <c r="CF2769" s="56"/>
      <c r="CG2769" s="56"/>
      <c r="CH2769" s="56"/>
      <c r="CI2769" s="56"/>
      <c r="CJ2769" s="56"/>
      <c r="CK2769" s="56"/>
      <c r="CL2769" s="56"/>
      <c r="CM2769" s="56"/>
      <c r="CN2769" s="56"/>
      <c r="CO2769" s="56"/>
      <c r="CP2769" s="56"/>
      <c r="CQ2769" s="56"/>
      <c r="CR2769" s="56"/>
      <c r="CS2769" s="56"/>
      <c r="CT2769" s="56"/>
      <c r="CU2769" s="56"/>
      <c r="CV2769" s="56"/>
      <c r="CW2769" s="56"/>
      <c r="CX2769" s="56"/>
      <c r="CY2769" s="56"/>
      <c r="CZ2769" s="56"/>
    </row>
    <row r="2770" spans="27:104" s="5" customFormat="1" x14ac:dyDescent="0.25">
      <c r="AA2770" s="56"/>
      <c r="AB2770" s="56"/>
      <c r="AC2770" s="56"/>
      <c r="AD2770" s="56"/>
      <c r="AE2770" s="56"/>
      <c r="AF2770" s="56"/>
      <c r="AG2770" s="56"/>
      <c r="AH2770" s="56"/>
      <c r="AI2770" s="56"/>
      <c r="AJ2770" s="56"/>
      <c r="AK2770" s="56"/>
      <c r="AL2770" s="56"/>
      <c r="AM2770" s="56"/>
      <c r="AN2770" s="56"/>
      <c r="AO2770" s="56"/>
      <c r="AP2770" s="56"/>
      <c r="AQ2770" s="56"/>
      <c r="AR2770" s="56"/>
      <c r="AS2770" s="56"/>
      <c r="AT2770" s="56"/>
      <c r="AU2770" s="56"/>
      <c r="AV2770" s="56"/>
      <c r="AW2770" s="56"/>
      <c r="AX2770" s="56"/>
      <c r="AY2770" s="56"/>
      <c r="AZ2770" s="56"/>
      <c r="BA2770" s="56"/>
      <c r="BB2770" s="16"/>
      <c r="BC2770" s="56"/>
      <c r="BD2770" s="56"/>
      <c r="BE2770" s="56"/>
      <c r="BF2770" s="56"/>
      <c r="BG2770" s="56"/>
      <c r="BH2770" s="56"/>
      <c r="BI2770" s="56"/>
      <c r="BJ2770" s="56"/>
      <c r="BK2770" s="56"/>
      <c r="BL2770" s="56"/>
      <c r="BM2770" s="56"/>
      <c r="BN2770" s="56"/>
      <c r="BO2770" s="56"/>
      <c r="BP2770" s="56"/>
      <c r="BQ2770" s="56"/>
      <c r="BR2770" s="56"/>
      <c r="BS2770" s="56"/>
      <c r="BT2770" s="56"/>
      <c r="BU2770" s="56"/>
      <c r="BV2770" s="56"/>
      <c r="BW2770" s="56"/>
      <c r="BX2770" s="56"/>
      <c r="BY2770" s="56"/>
      <c r="BZ2770" s="56"/>
      <c r="CA2770" s="56"/>
      <c r="CB2770" s="56"/>
      <c r="CC2770" s="56"/>
      <c r="CD2770" s="56"/>
      <c r="CE2770" s="56"/>
      <c r="CF2770" s="56"/>
      <c r="CG2770" s="56"/>
      <c r="CH2770" s="56"/>
      <c r="CI2770" s="56"/>
      <c r="CJ2770" s="56"/>
      <c r="CK2770" s="56"/>
      <c r="CL2770" s="56"/>
      <c r="CM2770" s="56"/>
      <c r="CN2770" s="56"/>
      <c r="CO2770" s="56"/>
      <c r="CP2770" s="56"/>
      <c r="CQ2770" s="56"/>
      <c r="CR2770" s="56"/>
      <c r="CS2770" s="56"/>
      <c r="CT2770" s="56"/>
      <c r="CU2770" s="56"/>
      <c r="CV2770" s="56"/>
      <c r="CW2770" s="56"/>
      <c r="CX2770" s="56"/>
      <c r="CY2770" s="56"/>
      <c r="CZ2770" s="56"/>
    </row>
    <row r="2771" spans="27:104" s="5" customFormat="1" x14ac:dyDescent="0.25">
      <c r="AA2771" s="56"/>
      <c r="AB2771" s="56"/>
      <c r="AC2771" s="56"/>
      <c r="AD2771" s="56"/>
      <c r="AE2771" s="56"/>
      <c r="AF2771" s="56"/>
      <c r="AG2771" s="56"/>
      <c r="AH2771" s="56"/>
      <c r="AI2771" s="56"/>
      <c r="AJ2771" s="56"/>
      <c r="AK2771" s="56"/>
      <c r="AL2771" s="56"/>
      <c r="AM2771" s="56"/>
      <c r="AN2771" s="56"/>
      <c r="AO2771" s="56"/>
      <c r="AP2771" s="56"/>
      <c r="AQ2771" s="56"/>
      <c r="AR2771" s="56"/>
      <c r="AS2771" s="56"/>
      <c r="AT2771" s="56"/>
      <c r="AU2771" s="56"/>
      <c r="AV2771" s="56"/>
      <c r="AW2771" s="56"/>
      <c r="AX2771" s="56"/>
      <c r="AY2771" s="56"/>
      <c r="AZ2771" s="56"/>
      <c r="BA2771" s="56"/>
      <c r="BB2771" s="16"/>
      <c r="BC2771" s="56"/>
      <c r="BD2771" s="56"/>
      <c r="BE2771" s="56"/>
      <c r="BF2771" s="56"/>
      <c r="BG2771" s="56"/>
      <c r="BH2771" s="56"/>
      <c r="BI2771" s="56"/>
      <c r="BJ2771" s="56"/>
      <c r="BK2771" s="56"/>
      <c r="BL2771" s="56"/>
      <c r="BM2771" s="56"/>
      <c r="BN2771" s="56"/>
      <c r="BO2771" s="56"/>
      <c r="BP2771" s="56"/>
      <c r="BQ2771" s="56"/>
      <c r="BR2771" s="56"/>
      <c r="BS2771" s="56"/>
      <c r="BT2771" s="56"/>
      <c r="BU2771" s="56"/>
      <c r="BV2771" s="56"/>
      <c r="BW2771" s="56"/>
      <c r="BX2771" s="56"/>
      <c r="BY2771" s="56"/>
      <c r="BZ2771" s="56"/>
      <c r="CA2771" s="56"/>
      <c r="CB2771" s="56"/>
      <c r="CC2771" s="56"/>
      <c r="CD2771" s="56"/>
      <c r="CE2771" s="56"/>
      <c r="CF2771" s="56"/>
      <c r="CG2771" s="56"/>
      <c r="CH2771" s="56"/>
      <c r="CI2771" s="56"/>
      <c r="CJ2771" s="56"/>
      <c r="CK2771" s="56"/>
      <c r="CL2771" s="56"/>
      <c r="CM2771" s="56"/>
      <c r="CN2771" s="56"/>
      <c r="CO2771" s="56"/>
      <c r="CP2771" s="56"/>
      <c r="CQ2771" s="56"/>
      <c r="CR2771" s="56"/>
      <c r="CS2771" s="56"/>
      <c r="CT2771" s="56"/>
      <c r="CU2771" s="56"/>
      <c r="CV2771" s="56"/>
      <c r="CW2771" s="56"/>
      <c r="CX2771" s="56"/>
      <c r="CY2771" s="56"/>
      <c r="CZ2771" s="56"/>
    </row>
    <row r="2772" spans="27:104" s="5" customFormat="1" x14ac:dyDescent="0.25">
      <c r="AA2772" s="56"/>
      <c r="AB2772" s="56"/>
      <c r="AC2772" s="56"/>
      <c r="AD2772" s="56"/>
      <c r="AE2772" s="56"/>
      <c r="AF2772" s="56"/>
      <c r="AG2772" s="56"/>
      <c r="AH2772" s="56"/>
      <c r="AI2772" s="56"/>
      <c r="AJ2772" s="56"/>
      <c r="AK2772" s="56"/>
      <c r="AL2772" s="56"/>
      <c r="AM2772" s="56"/>
      <c r="AN2772" s="56"/>
      <c r="AO2772" s="56"/>
      <c r="AP2772" s="56"/>
      <c r="AQ2772" s="56"/>
      <c r="AR2772" s="56"/>
      <c r="AS2772" s="56"/>
      <c r="AT2772" s="56"/>
      <c r="AU2772" s="56"/>
      <c r="AV2772" s="56"/>
      <c r="AW2772" s="56"/>
      <c r="AX2772" s="56"/>
      <c r="AY2772" s="56"/>
      <c r="AZ2772" s="56"/>
      <c r="BA2772" s="56"/>
      <c r="BB2772" s="16"/>
      <c r="BC2772" s="56"/>
      <c r="BD2772" s="56"/>
      <c r="BE2772" s="56"/>
      <c r="BF2772" s="56"/>
      <c r="BG2772" s="56"/>
      <c r="BH2772" s="56"/>
      <c r="BI2772" s="56"/>
      <c r="BJ2772" s="56"/>
      <c r="BK2772" s="56"/>
      <c r="BL2772" s="56"/>
      <c r="BM2772" s="56"/>
      <c r="BN2772" s="56"/>
      <c r="BO2772" s="56"/>
      <c r="BP2772" s="56"/>
      <c r="BQ2772" s="56"/>
      <c r="BR2772" s="56"/>
      <c r="BS2772" s="56"/>
      <c r="BT2772" s="56"/>
      <c r="BU2772" s="56"/>
      <c r="BV2772" s="56"/>
      <c r="BW2772" s="56"/>
      <c r="BX2772" s="56"/>
      <c r="BY2772" s="56"/>
      <c r="BZ2772" s="56"/>
      <c r="CA2772" s="56"/>
      <c r="CB2772" s="56"/>
      <c r="CC2772" s="56"/>
      <c r="CD2772" s="56"/>
      <c r="CE2772" s="56"/>
      <c r="CF2772" s="56"/>
      <c r="CG2772" s="56"/>
      <c r="CH2772" s="56"/>
      <c r="CI2772" s="56"/>
      <c r="CJ2772" s="56"/>
      <c r="CK2772" s="56"/>
      <c r="CL2772" s="56"/>
      <c r="CM2772" s="56"/>
      <c r="CN2772" s="56"/>
      <c r="CO2772" s="56"/>
      <c r="CP2772" s="56"/>
      <c r="CQ2772" s="56"/>
      <c r="CR2772" s="56"/>
      <c r="CS2772" s="56"/>
      <c r="CT2772" s="56"/>
      <c r="CU2772" s="56"/>
      <c r="CV2772" s="56"/>
      <c r="CW2772" s="56"/>
      <c r="CX2772" s="56"/>
      <c r="CY2772" s="56"/>
      <c r="CZ2772" s="56"/>
    </row>
    <row r="2773" spans="27:104" s="5" customFormat="1" x14ac:dyDescent="0.25">
      <c r="AA2773" s="56"/>
      <c r="AB2773" s="56"/>
      <c r="AC2773" s="56"/>
      <c r="AD2773" s="56"/>
      <c r="AE2773" s="56"/>
      <c r="AF2773" s="56"/>
      <c r="AG2773" s="56"/>
      <c r="AH2773" s="56"/>
      <c r="AI2773" s="56"/>
      <c r="AJ2773" s="56"/>
      <c r="AK2773" s="56"/>
      <c r="AL2773" s="56"/>
      <c r="AM2773" s="56"/>
      <c r="AN2773" s="56"/>
      <c r="AO2773" s="56"/>
      <c r="AP2773" s="56"/>
      <c r="AQ2773" s="56"/>
      <c r="AR2773" s="56"/>
      <c r="AS2773" s="56"/>
      <c r="AT2773" s="56"/>
      <c r="AU2773" s="56"/>
      <c r="AV2773" s="56"/>
      <c r="AW2773" s="56"/>
      <c r="AX2773" s="56"/>
      <c r="AY2773" s="56"/>
      <c r="AZ2773" s="56"/>
      <c r="BA2773" s="56"/>
      <c r="BB2773" s="16"/>
      <c r="BC2773" s="56"/>
      <c r="BD2773" s="56"/>
      <c r="BE2773" s="56"/>
      <c r="BF2773" s="56"/>
      <c r="BG2773" s="56"/>
      <c r="BH2773" s="56"/>
      <c r="BI2773" s="56"/>
      <c r="BJ2773" s="56"/>
      <c r="BK2773" s="56"/>
      <c r="BL2773" s="56"/>
      <c r="BM2773" s="56"/>
      <c r="BN2773" s="56"/>
      <c r="BO2773" s="56"/>
      <c r="BP2773" s="56"/>
      <c r="BQ2773" s="56"/>
      <c r="BR2773" s="56"/>
      <c r="BS2773" s="56"/>
      <c r="BT2773" s="56"/>
      <c r="BU2773" s="56"/>
      <c r="BV2773" s="56"/>
      <c r="BW2773" s="56"/>
      <c r="BX2773" s="56"/>
      <c r="BY2773" s="56"/>
      <c r="BZ2773" s="56"/>
      <c r="CA2773" s="56"/>
      <c r="CB2773" s="56"/>
      <c r="CC2773" s="56"/>
      <c r="CD2773" s="56"/>
      <c r="CE2773" s="56"/>
      <c r="CF2773" s="56"/>
      <c r="CG2773" s="56"/>
      <c r="CH2773" s="56"/>
      <c r="CI2773" s="56"/>
      <c r="CJ2773" s="56"/>
      <c r="CK2773" s="56"/>
      <c r="CL2773" s="56"/>
      <c r="CM2773" s="56"/>
      <c r="CN2773" s="56"/>
      <c r="CO2773" s="56"/>
      <c r="CP2773" s="56"/>
      <c r="CQ2773" s="56"/>
      <c r="CR2773" s="56"/>
      <c r="CS2773" s="56"/>
      <c r="CT2773" s="56"/>
      <c r="CU2773" s="56"/>
      <c r="CV2773" s="56"/>
      <c r="CW2773" s="56"/>
      <c r="CX2773" s="56"/>
      <c r="CY2773" s="56"/>
      <c r="CZ2773" s="56"/>
    </row>
    <row r="2774" spans="27:104" s="5" customFormat="1" x14ac:dyDescent="0.25">
      <c r="AA2774" s="56"/>
      <c r="AB2774" s="56"/>
      <c r="AC2774" s="56"/>
      <c r="AD2774" s="56"/>
      <c r="AE2774" s="56"/>
      <c r="AF2774" s="56"/>
      <c r="AG2774" s="56"/>
      <c r="AH2774" s="56"/>
      <c r="AI2774" s="56"/>
      <c r="AJ2774" s="56"/>
      <c r="AK2774" s="56"/>
      <c r="AL2774" s="56"/>
      <c r="AM2774" s="56"/>
      <c r="AN2774" s="56"/>
      <c r="AO2774" s="56"/>
      <c r="AP2774" s="56"/>
      <c r="AQ2774" s="56"/>
      <c r="AR2774" s="56"/>
      <c r="AS2774" s="56"/>
      <c r="AT2774" s="56"/>
      <c r="AU2774" s="56"/>
      <c r="AV2774" s="56"/>
      <c r="AW2774" s="56"/>
      <c r="AX2774" s="56"/>
      <c r="AY2774" s="56"/>
      <c r="AZ2774" s="56"/>
      <c r="BA2774" s="56"/>
      <c r="BB2774" s="16"/>
      <c r="BC2774" s="56"/>
      <c r="BD2774" s="56"/>
      <c r="BE2774" s="56"/>
      <c r="BF2774" s="56"/>
      <c r="BG2774" s="56"/>
      <c r="BH2774" s="56"/>
      <c r="BI2774" s="56"/>
      <c r="BJ2774" s="56"/>
      <c r="BK2774" s="56"/>
      <c r="BL2774" s="56"/>
      <c r="BM2774" s="56"/>
      <c r="BN2774" s="56"/>
      <c r="BO2774" s="56"/>
      <c r="BP2774" s="56"/>
      <c r="BQ2774" s="56"/>
      <c r="BR2774" s="56"/>
      <c r="BS2774" s="56"/>
      <c r="BT2774" s="56"/>
      <c r="BU2774" s="56"/>
      <c r="BV2774" s="56"/>
      <c r="BW2774" s="56"/>
      <c r="BX2774" s="56"/>
      <c r="BY2774" s="56"/>
      <c r="BZ2774" s="56"/>
      <c r="CA2774" s="56"/>
      <c r="CB2774" s="56"/>
      <c r="CC2774" s="56"/>
      <c r="CD2774" s="56"/>
      <c r="CE2774" s="56"/>
      <c r="CF2774" s="56"/>
      <c r="CG2774" s="56"/>
      <c r="CH2774" s="56"/>
      <c r="CI2774" s="56"/>
      <c r="CJ2774" s="56"/>
      <c r="CK2774" s="56"/>
      <c r="CL2774" s="56"/>
      <c r="CM2774" s="56"/>
      <c r="CN2774" s="56"/>
      <c r="CO2774" s="56"/>
      <c r="CP2774" s="56"/>
      <c r="CQ2774" s="56"/>
      <c r="CR2774" s="56"/>
      <c r="CS2774" s="56"/>
      <c r="CT2774" s="56"/>
      <c r="CU2774" s="56"/>
      <c r="CV2774" s="56"/>
      <c r="CW2774" s="56"/>
      <c r="CX2774" s="56"/>
      <c r="CY2774" s="56"/>
      <c r="CZ2774" s="56"/>
    </row>
    <row r="2775" spans="27:104" s="5" customFormat="1" x14ac:dyDescent="0.25">
      <c r="AA2775" s="56"/>
      <c r="AB2775" s="56"/>
      <c r="AC2775" s="56"/>
      <c r="AD2775" s="56"/>
      <c r="AE2775" s="56"/>
      <c r="AF2775" s="56"/>
      <c r="AG2775" s="56"/>
      <c r="AH2775" s="56"/>
      <c r="AI2775" s="56"/>
      <c r="AJ2775" s="56"/>
      <c r="AK2775" s="56"/>
      <c r="AL2775" s="56"/>
      <c r="AM2775" s="56"/>
      <c r="AN2775" s="56"/>
      <c r="AO2775" s="56"/>
      <c r="AP2775" s="56"/>
      <c r="AQ2775" s="56"/>
      <c r="AR2775" s="56"/>
      <c r="AS2775" s="56"/>
      <c r="AT2775" s="56"/>
      <c r="AU2775" s="56"/>
      <c r="AV2775" s="56"/>
      <c r="AW2775" s="56"/>
      <c r="AX2775" s="56"/>
      <c r="AY2775" s="56"/>
      <c r="AZ2775" s="56"/>
      <c r="BA2775" s="56"/>
      <c r="BB2775" s="16"/>
      <c r="BC2775" s="56"/>
      <c r="BD2775" s="56"/>
      <c r="BE2775" s="56"/>
      <c r="BF2775" s="56"/>
      <c r="BG2775" s="56"/>
      <c r="BH2775" s="56"/>
      <c r="BI2775" s="56"/>
      <c r="BJ2775" s="56"/>
      <c r="BK2775" s="56"/>
      <c r="BL2775" s="56"/>
      <c r="BM2775" s="56"/>
      <c r="BN2775" s="56"/>
      <c r="BO2775" s="56"/>
      <c r="BP2775" s="56"/>
      <c r="BQ2775" s="56"/>
      <c r="BR2775" s="56"/>
      <c r="BS2775" s="56"/>
      <c r="BT2775" s="56"/>
      <c r="BU2775" s="56"/>
      <c r="BV2775" s="56"/>
      <c r="BW2775" s="56"/>
      <c r="BX2775" s="56"/>
      <c r="BY2775" s="56"/>
      <c r="BZ2775" s="56"/>
      <c r="CA2775" s="56"/>
      <c r="CB2775" s="56"/>
      <c r="CC2775" s="56"/>
      <c r="CD2775" s="56"/>
      <c r="CE2775" s="56"/>
      <c r="CF2775" s="56"/>
      <c r="CG2775" s="56"/>
      <c r="CH2775" s="56"/>
      <c r="CI2775" s="56"/>
      <c r="CJ2775" s="56"/>
      <c r="CK2775" s="56"/>
      <c r="CL2775" s="56"/>
      <c r="CM2775" s="56"/>
      <c r="CN2775" s="56"/>
      <c r="CO2775" s="56"/>
      <c r="CP2775" s="56"/>
      <c r="CQ2775" s="56"/>
      <c r="CR2775" s="56"/>
      <c r="CS2775" s="56"/>
      <c r="CT2775" s="56"/>
      <c r="CU2775" s="56"/>
      <c r="CV2775" s="56"/>
      <c r="CW2775" s="56"/>
      <c r="CX2775" s="56"/>
      <c r="CY2775" s="56"/>
      <c r="CZ2775" s="56"/>
    </row>
    <row r="2776" spans="27:104" s="5" customFormat="1" x14ac:dyDescent="0.25">
      <c r="AA2776" s="56"/>
      <c r="AB2776" s="56"/>
      <c r="AC2776" s="56"/>
      <c r="AD2776" s="56"/>
      <c r="AE2776" s="56"/>
      <c r="AF2776" s="56"/>
      <c r="AG2776" s="56"/>
      <c r="AH2776" s="56"/>
      <c r="AI2776" s="56"/>
      <c r="AJ2776" s="56"/>
      <c r="AK2776" s="56"/>
      <c r="AL2776" s="56"/>
      <c r="AM2776" s="56"/>
      <c r="AN2776" s="56"/>
      <c r="AO2776" s="56"/>
      <c r="AP2776" s="56"/>
      <c r="AQ2776" s="56"/>
      <c r="AR2776" s="56"/>
      <c r="AS2776" s="56"/>
      <c r="AT2776" s="56"/>
      <c r="AU2776" s="56"/>
      <c r="AV2776" s="56"/>
      <c r="AW2776" s="56"/>
      <c r="AX2776" s="56"/>
      <c r="AY2776" s="56"/>
      <c r="AZ2776" s="56"/>
      <c r="BA2776" s="56"/>
      <c r="BB2776" s="16"/>
      <c r="BC2776" s="56"/>
      <c r="BD2776" s="56"/>
      <c r="BE2776" s="56"/>
      <c r="BF2776" s="56"/>
      <c r="BG2776" s="56"/>
      <c r="BH2776" s="56"/>
      <c r="BI2776" s="56"/>
      <c r="BJ2776" s="56"/>
      <c r="BK2776" s="56"/>
      <c r="BL2776" s="56"/>
      <c r="BM2776" s="56"/>
      <c r="BN2776" s="56"/>
      <c r="BO2776" s="56"/>
      <c r="BP2776" s="56"/>
      <c r="BQ2776" s="56"/>
      <c r="BR2776" s="56"/>
      <c r="BS2776" s="56"/>
      <c r="BT2776" s="56"/>
      <c r="BU2776" s="56"/>
      <c r="BV2776" s="56"/>
      <c r="BW2776" s="56"/>
      <c r="BX2776" s="56"/>
      <c r="BY2776" s="56"/>
      <c r="BZ2776" s="56"/>
      <c r="CA2776" s="56"/>
      <c r="CB2776" s="56"/>
      <c r="CC2776" s="56"/>
      <c r="CD2776" s="56"/>
      <c r="CE2776" s="56"/>
      <c r="CF2776" s="56"/>
      <c r="CG2776" s="56"/>
      <c r="CH2776" s="56"/>
      <c r="CI2776" s="56"/>
      <c r="CJ2776" s="56"/>
      <c r="CK2776" s="56"/>
      <c r="CL2776" s="56"/>
      <c r="CM2776" s="56"/>
      <c r="CN2776" s="56"/>
      <c r="CO2776" s="56"/>
      <c r="CP2776" s="56"/>
      <c r="CQ2776" s="56"/>
      <c r="CR2776" s="56"/>
      <c r="CS2776" s="56"/>
      <c r="CT2776" s="56"/>
      <c r="CU2776" s="56"/>
      <c r="CV2776" s="56"/>
      <c r="CW2776" s="56"/>
      <c r="CX2776" s="56"/>
      <c r="CY2776" s="56"/>
      <c r="CZ2776" s="56"/>
    </row>
    <row r="2777" spans="27:104" s="5" customFormat="1" x14ac:dyDescent="0.25">
      <c r="AA2777" s="56"/>
      <c r="AB2777" s="56"/>
      <c r="AC2777" s="56"/>
      <c r="AD2777" s="56"/>
      <c r="AE2777" s="56"/>
      <c r="AF2777" s="56"/>
      <c r="AG2777" s="56"/>
      <c r="AH2777" s="56"/>
      <c r="AI2777" s="56"/>
      <c r="AJ2777" s="56"/>
      <c r="AK2777" s="56"/>
      <c r="AL2777" s="56"/>
      <c r="AM2777" s="56"/>
      <c r="AN2777" s="56"/>
      <c r="AO2777" s="56"/>
      <c r="AP2777" s="56"/>
      <c r="AQ2777" s="56"/>
      <c r="AR2777" s="56"/>
      <c r="AS2777" s="56"/>
      <c r="AT2777" s="56"/>
      <c r="AU2777" s="56"/>
      <c r="AV2777" s="56"/>
      <c r="AW2777" s="56"/>
      <c r="AX2777" s="56"/>
      <c r="AY2777" s="56"/>
      <c r="AZ2777" s="56"/>
      <c r="BA2777" s="56"/>
      <c r="BB2777" s="16"/>
      <c r="BC2777" s="56"/>
      <c r="BD2777" s="56"/>
      <c r="BE2777" s="56"/>
      <c r="BF2777" s="56"/>
      <c r="BG2777" s="56"/>
      <c r="BH2777" s="56"/>
      <c r="BI2777" s="56"/>
      <c r="BJ2777" s="56"/>
      <c r="BK2777" s="56"/>
      <c r="BL2777" s="56"/>
      <c r="BM2777" s="56"/>
      <c r="BN2777" s="56"/>
      <c r="BO2777" s="56"/>
      <c r="BP2777" s="56"/>
      <c r="BQ2777" s="56"/>
      <c r="BR2777" s="56"/>
      <c r="BS2777" s="56"/>
      <c r="BT2777" s="56"/>
      <c r="BU2777" s="56"/>
      <c r="BV2777" s="56"/>
      <c r="BW2777" s="56"/>
      <c r="BX2777" s="56"/>
      <c r="BY2777" s="56"/>
      <c r="BZ2777" s="56"/>
      <c r="CA2777" s="56"/>
      <c r="CB2777" s="56"/>
      <c r="CC2777" s="56"/>
      <c r="CD2777" s="56"/>
      <c r="CE2777" s="56"/>
      <c r="CF2777" s="56"/>
      <c r="CG2777" s="56"/>
      <c r="CH2777" s="56"/>
      <c r="CI2777" s="56"/>
      <c r="CJ2777" s="56"/>
      <c r="CK2777" s="56"/>
      <c r="CL2777" s="56"/>
      <c r="CM2777" s="56"/>
      <c r="CN2777" s="56"/>
      <c r="CO2777" s="56"/>
      <c r="CP2777" s="56"/>
      <c r="CQ2777" s="56"/>
      <c r="CR2777" s="56"/>
      <c r="CS2777" s="56"/>
      <c r="CT2777" s="56"/>
      <c r="CU2777" s="56"/>
      <c r="CV2777" s="56"/>
      <c r="CW2777" s="56"/>
      <c r="CX2777" s="56"/>
      <c r="CY2777" s="56"/>
      <c r="CZ2777" s="56"/>
    </row>
    <row r="2778" spans="27:104" s="5" customFormat="1" x14ac:dyDescent="0.25">
      <c r="AA2778" s="56"/>
      <c r="AB2778" s="56"/>
      <c r="AC2778" s="56"/>
      <c r="AD2778" s="56"/>
      <c r="AE2778" s="56"/>
      <c r="AF2778" s="56"/>
      <c r="AG2778" s="56"/>
      <c r="AH2778" s="56"/>
      <c r="AI2778" s="56"/>
      <c r="AJ2778" s="56"/>
      <c r="AK2778" s="56"/>
      <c r="AL2778" s="56"/>
      <c r="AM2778" s="56"/>
      <c r="AN2778" s="56"/>
      <c r="AO2778" s="56"/>
      <c r="AP2778" s="56"/>
      <c r="AQ2778" s="56"/>
      <c r="AR2778" s="56"/>
      <c r="AS2778" s="56"/>
      <c r="AT2778" s="56"/>
      <c r="AU2778" s="56"/>
      <c r="AV2778" s="56"/>
      <c r="AW2778" s="56"/>
      <c r="AX2778" s="56"/>
      <c r="AY2778" s="56"/>
      <c r="AZ2778" s="56"/>
      <c r="BA2778" s="56"/>
      <c r="BB2778" s="16"/>
      <c r="BC2778" s="56"/>
      <c r="BD2778" s="56"/>
      <c r="BE2778" s="56"/>
      <c r="BF2778" s="56"/>
      <c r="BG2778" s="56"/>
      <c r="BH2778" s="56"/>
      <c r="BI2778" s="56"/>
      <c r="BJ2778" s="56"/>
      <c r="BK2778" s="56"/>
      <c r="BL2778" s="56"/>
      <c r="BM2778" s="56"/>
      <c r="BN2778" s="56"/>
      <c r="BO2778" s="56"/>
      <c r="BP2778" s="56"/>
      <c r="BQ2778" s="56"/>
      <c r="BR2778" s="56"/>
      <c r="BS2778" s="56"/>
      <c r="BT2778" s="56"/>
      <c r="BU2778" s="56"/>
      <c r="BV2778" s="56"/>
      <c r="BW2778" s="56"/>
      <c r="BX2778" s="56"/>
      <c r="BY2778" s="56"/>
      <c r="BZ2778" s="56"/>
      <c r="CA2778" s="56"/>
      <c r="CB2778" s="56"/>
      <c r="CC2778" s="56"/>
      <c r="CD2778" s="56"/>
      <c r="CE2778" s="56"/>
      <c r="CF2778" s="56"/>
      <c r="CG2778" s="56"/>
      <c r="CH2778" s="56"/>
      <c r="CI2778" s="56"/>
      <c r="CJ2778" s="56"/>
      <c r="CK2778" s="56"/>
      <c r="CL2778" s="56"/>
      <c r="CM2778" s="56"/>
      <c r="CN2778" s="56"/>
      <c r="CO2778" s="56"/>
      <c r="CP2778" s="56"/>
      <c r="CQ2778" s="56"/>
      <c r="CR2778" s="56"/>
      <c r="CS2778" s="56"/>
      <c r="CT2778" s="56"/>
      <c r="CU2778" s="56"/>
      <c r="CV2778" s="56"/>
      <c r="CW2778" s="56"/>
      <c r="CX2778" s="56"/>
      <c r="CY2778" s="56"/>
      <c r="CZ2778" s="56"/>
    </row>
    <row r="2779" spans="27:104" s="5" customFormat="1" x14ac:dyDescent="0.25">
      <c r="AA2779" s="56"/>
      <c r="AB2779" s="56"/>
      <c r="AC2779" s="56"/>
      <c r="AD2779" s="56"/>
      <c r="AE2779" s="56"/>
      <c r="AF2779" s="56"/>
      <c r="AG2779" s="56"/>
      <c r="AH2779" s="56"/>
      <c r="AI2779" s="56"/>
      <c r="AJ2779" s="56"/>
      <c r="AK2779" s="56"/>
      <c r="AL2779" s="56"/>
      <c r="AM2779" s="56"/>
      <c r="AN2779" s="56"/>
      <c r="AO2779" s="56"/>
      <c r="AP2779" s="56"/>
      <c r="AQ2779" s="56"/>
      <c r="AR2779" s="56"/>
      <c r="AS2779" s="56"/>
      <c r="AT2779" s="56"/>
      <c r="AU2779" s="56"/>
      <c r="AV2779" s="56"/>
      <c r="AW2779" s="56"/>
      <c r="AX2779" s="56"/>
      <c r="AY2779" s="56"/>
      <c r="AZ2779" s="56"/>
      <c r="BA2779" s="56"/>
      <c r="BB2779" s="16"/>
      <c r="BC2779" s="56"/>
      <c r="BD2779" s="56"/>
      <c r="BE2779" s="56"/>
      <c r="BF2779" s="56"/>
      <c r="BG2779" s="56"/>
      <c r="BH2779" s="56"/>
      <c r="BI2779" s="56"/>
      <c r="BJ2779" s="56"/>
      <c r="BK2779" s="56"/>
      <c r="BL2779" s="56"/>
      <c r="BM2779" s="56"/>
      <c r="BN2779" s="56"/>
      <c r="BO2779" s="56"/>
      <c r="BP2779" s="56"/>
      <c r="BQ2779" s="56"/>
      <c r="BR2779" s="56"/>
      <c r="BS2779" s="56"/>
      <c r="BT2779" s="56"/>
      <c r="BU2779" s="56"/>
      <c r="BV2779" s="56"/>
      <c r="BW2779" s="56"/>
      <c r="BX2779" s="56"/>
      <c r="BY2779" s="56"/>
      <c r="BZ2779" s="56"/>
      <c r="CA2779" s="56"/>
      <c r="CB2779" s="56"/>
      <c r="CC2779" s="56"/>
      <c r="CD2779" s="56"/>
      <c r="CE2779" s="56"/>
      <c r="CF2779" s="56"/>
      <c r="CG2779" s="56"/>
      <c r="CH2779" s="56"/>
      <c r="CI2779" s="56"/>
      <c r="CJ2779" s="56"/>
      <c r="CK2779" s="56"/>
      <c r="CL2779" s="56"/>
      <c r="CM2779" s="56"/>
      <c r="CN2779" s="56"/>
      <c r="CO2779" s="56"/>
      <c r="CP2779" s="56"/>
      <c r="CQ2779" s="56"/>
      <c r="CR2779" s="56"/>
      <c r="CS2779" s="56"/>
      <c r="CT2779" s="56"/>
      <c r="CU2779" s="56"/>
      <c r="CV2779" s="56"/>
      <c r="CW2779" s="56"/>
      <c r="CX2779" s="56"/>
      <c r="CY2779" s="56"/>
      <c r="CZ2779" s="56"/>
    </row>
    <row r="2780" spans="27:104" s="5" customFormat="1" x14ac:dyDescent="0.25">
      <c r="AA2780" s="56"/>
      <c r="AB2780" s="56"/>
      <c r="AC2780" s="56"/>
      <c r="AD2780" s="56"/>
      <c r="AE2780" s="56"/>
      <c r="AF2780" s="56"/>
      <c r="AG2780" s="56"/>
      <c r="AH2780" s="56"/>
      <c r="AI2780" s="56"/>
      <c r="AJ2780" s="56"/>
      <c r="AK2780" s="56"/>
      <c r="AL2780" s="56"/>
      <c r="AM2780" s="56"/>
      <c r="AN2780" s="56"/>
      <c r="AO2780" s="56"/>
      <c r="AP2780" s="56"/>
      <c r="AQ2780" s="56"/>
      <c r="AR2780" s="56"/>
      <c r="AS2780" s="56"/>
      <c r="AT2780" s="56"/>
      <c r="AU2780" s="56"/>
      <c r="AV2780" s="56"/>
      <c r="AW2780" s="56"/>
      <c r="AX2780" s="56"/>
      <c r="AY2780" s="56"/>
      <c r="AZ2780" s="56"/>
      <c r="BA2780" s="56"/>
      <c r="BB2780" s="16"/>
      <c r="BC2780" s="56"/>
      <c r="BD2780" s="56"/>
      <c r="BE2780" s="56"/>
      <c r="BF2780" s="56"/>
      <c r="BG2780" s="56"/>
      <c r="BH2780" s="56"/>
      <c r="BI2780" s="56"/>
      <c r="BJ2780" s="56"/>
      <c r="BK2780" s="56"/>
      <c r="BL2780" s="56"/>
      <c r="BM2780" s="56"/>
      <c r="BN2780" s="56"/>
      <c r="BO2780" s="56"/>
      <c r="BP2780" s="56"/>
      <c r="BQ2780" s="56"/>
      <c r="BR2780" s="56"/>
      <c r="BS2780" s="56"/>
      <c r="BT2780" s="56"/>
      <c r="BU2780" s="56"/>
      <c r="BV2780" s="56"/>
      <c r="BW2780" s="56"/>
      <c r="BX2780" s="56"/>
      <c r="BY2780" s="56"/>
      <c r="BZ2780" s="56"/>
      <c r="CA2780" s="56"/>
      <c r="CB2780" s="56"/>
      <c r="CC2780" s="56"/>
      <c r="CD2780" s="56"/>
      <c r="CE2780" s="56"/>
      <c r="CF2780" s="56"/>
      <c r="CG2780" s="56"/>
      <c r="CH2780" s="56"/>
      <c r="CI2780" s="56"/>
      <c r="CJ2780" s="56"/>
      <c r="CK2780" s="56"/>
      <c r="CL2780" s="56"/>
      <c r="CM2780" s="56"/>
      <c r="CN2780" s="56"/>
      <c r="CO2780" s="56"/>
      <c r="CP2780" s="56"/>
      <c r="CQ2780" s="56"/>
      <c r="CR2780" s="56"/>
      <c r="CS2780" s="56"/>
      <c r="CT2780" s="56"/>
      <c r="CU2780" s="56"/>
      <c r="CV2780" s="56"/>
      <c r="CW2780" s="56"/>
      <c r="CX2780" s="56"/>
      <c r="CY2780" s="56"/>
      <c r="CZ2780" s="56"/>
    </row>
    <row r="2781" spans="27:104" s="5" customFormat="1" x14ac:dyDescent="0.25">
      <c r="AA2781" s="56"/>
      <c r="AB2781" s="56"/>
      <c r="AC2781" s="56"/>
      <c r="AD2781" s="56"/>
      <c r="AE2781" s="56"/>
      <c r="AF2781" s="56"/>
      <c r="AG2781" s="56"/>
      <c r="AH2781" s="56"/>
      <c r="AI2781" s="56"/>
      <c r="AJ2781" s="56"/>
      <c r="AK2781" s="56"/>
      <c r="AL2781" s="56"/>
      <c r="AM2781" s="56"/>
      <c r="AN2781" s="56"/>
      <c r="AO2781" s="56"/>
      <c r="AP2781" s="56"/>
      <c r="AQ2781" s="56"/>
      <c r="AR2781" s="56"/>
      <c r="AS2781" s="56"/>
      <c r="AT2781" s="56"/>
      <c r="AU2781" s="56"/>
      <c r="AV2781" s="56"/>
      <c r="AW2781" s="56"/>
      <c r="AX2781" s="56"/>
      <c r="AY2781" s="56"/>
      <c r="AZ2781" s="56"/>
      <c r="BA2781" s="56"/>
      <c r="BB2781" s="16"/>
      <c r="BC2781" s="56"/>
      <c r="BD2781" s="56"/>
      <c r="BE2781" s="56"/>
      <c r="BF2781" s="56"/>
      <c r="BG2781" s="56"/>
      <c r="BH2781" s="56"/>
      <c r="BI2781" s="56"/>
      <c r="BJ2781" s="56"/>
      <c r="BK2781" s="56"/>
      <c r="BL2781" s="56"/>
      <c r="BM2781" s="56"/>
      <c r="BN2781" s="56"/>
      <c r="BO2781" s="56"/>
      <c r="BP2781" s="56"/>
      <c r="BQ2781" s="56"/>
      <c r="BR2781" s="56"/>
      <c r="BS2781" s="56"/>
      <c r="BT2781" s="56"/>
      <c r="BU2781" s="56"/>
      <c r="BV2781" s="56"/>
      <c r="BW2781" s="56"/>
      <c r="BX2781" s="56"/>
      <c r="BY2781" s="56"/>
      <c r="BZ2781" s="56"/>
      <c r="CA2781" s="56"/>
      <c r="CB2781" s="56"/>
      <c r="CC2781" s="56"/>
      <c r="CD2781" s="56"/>
      <c r="CE2781" s="56"/>
      <c r="CF2781" s="56"/>
      <c r="CG2781" s="56"/>
      <c r="CH2781" s="56"/>
      <c r="CI2781" s="56"/>
      <c r="CJ2781" s="56"/>
      <c r="CK2781" s="56"/>
      <c r="CL2781" s="56"/>
      <c r="CM2781" s="56"/>
      <c r="CN2781" s="56"/>
      <c r="CO2781" s="56"/>
      <c r="CP2781" s="56"/>
      <c r="CQ2781" s="56"/>
      <c r="CR2781" s="56"/>
      <c r="CS2781" s="56"/>
      <c r="CT2781" s="56"/>
      <c r="CU2781" s="56"/>
      <c r="CV2781" s="56"/>
      <c r="CW2781" s="56"/>
      <c r="CX2781" s="56"/>
      <c r="CY2781" s="56"/>
      <c r="CZ2781" s="56"/>
    </row>
    <row r="2782" spans="27:104" s="5" customFormat="1" x14ac:dyDescent="0.25">
      <c r="AA2782" s="56"/>
      <c r="AB2782" s="56"/>
      <c r="AC2782" s="56"/>
      <c r="AD2782" s="56"/>
      <c r="AE2782" s="56"/>
      <c r="AF2782" s="56"/>
      <c r="AG2782" s="56"/>
      <c r="AH2782" s="56"/>
      <c r="AI2782" s="56"/>
      <c r="AJ2782" s="56"/>
      <c r="AK2782" s="56"/>
      <c r="AL2782" s="56"/>
      <c r="AM2782" s="56"/>
      <c r="AN2782" s="56"/>
      <c r="AO2782" s="56"/>
      <c r="AP2782" s="56"/>
      <c r="AQ2782" s="56"/>
      <c r="AR2782" s="56"/>
      <c r="AS2782" s="56"/>
      <c r="AT2782" s="56"/>
      <c r="AU2782" s="56"/>
      <c r="AV2782" s="56"/>
      <c r="AW2782" s="56"/>
      <c r="AX2782" s="56"/>
      <c r="AY2782" s="56"/>
      <c r="AZ2782" s="56"/>
      <c r="BA2782" s="56"/>
      <c r="BB2782" s="16"/>
      <c r="BC2782" s="56"/>
      <c r="BD2782" s="56"/>
      <c r="BE2782" s="56"/>
      <c r="BF2782" s="56"/>
      <c r="BG2782" s="56"/>
      <c r="BH2782" s="56"/>
      <c r="BI2782" s="56"/>
      <c r="BJ2782" s="56"/>
      <c r="BK2782" s="56"/>
      <c r="BL2782" s="56"/>
      <c r="BM2782" s="56"/>
      <c r="BN2782" s="56"/>
      <c r="BO2782" s="56"/>
      <c r="BP2782" s="56"/>
      <c r="BQ2782" s="56"/>
      <c r="BR2782" s="56"/>
      <c r="BS2782" s="56"/>
      <c r="BT2782" s="56"/>
      <c r="BU2782" s="56"/>
      <c r="BV2782" s="56"/>
      <c r="BW2782" s="56"/>
      <c r="BX2782" s="56"/>
      <c r="BY2782" s="56"/>
      <c r="BZ2782" s="56"/>
      <c r="CA2782" s="56"/>
      <c r="CB2782" s="56"/>
      <c r="CC2782" s="56"/>
      <c r="CD2782" s="56"/>
      <c r="CE2782" s="56"/>
      <c r="CF2782" s="56"/>
      <c r="CG2782" s="56"/>
      <c r="CH2782" s="56"/>
      <c r="CI2782" s="56"/>
      <c r="CJ2782" s="56"/>
      <c r="CK2782" s="56"/>
      <c r="CL2782" s="56"/>
      <c r="CM2782" s="56"/>
      <c r="CN2782" s="56"/>
      <c r="CO2782" s="56"/>
      <c r="CP2782" s="56"/>
      <c r="CQ2782" s="56"/>
      <c r="CR2782" s="56"/>
      <c r="CS2782" s="56"/>
      <c r="CT2782" s="56"/>
      <c r="CU2782" s="56"/>
      <c r="CV2782" s="56"/>
      <c r="CW2782" s="56"/>
      <c r="CX2782" s="56"/>
      <c r="CY2782" s="56"/>
      <c r="CZ2782" s="56"/>
    </row>
    <row r="2783" spans="27:104" s="5" customFormat="1" x14ac:dyDescent="0.25">
      <c r="AA2783" s="56"/>
      <c r="AB2783" s="56"/>
      <c r="AC2783" s="56"/>
      <c r="AD2783" s="56"/>
      <c r="AE2783" s="56"/>
      <c r="AF2783" s="56"/>
      <c r="AG2783" s="56"/>
      <c r="AH2783" s="56"/>
      <c r="AI2783" s="56"/>
      <c r="AJ2783" s="56"/>
      <c r="AK2783" s="56"/>
      <c r="AL2783" s="56"/>
      <c r="AM2783" s="56"/>
      <c r="AN2783" s="56"/>
      <c r="AO2783" s="56"/>
      <c r="AP2783" s="56"/>
      <c r="AQ2783" s="56"/>
      <c r="AR2783" s="56"/>
      <c r="AS2783" s="56"/>
      <c r="AT2783" s="56"/>
      <c r="AU2783" s="56"/>
      <c r="AV2783" s="56"/>
      <c r="AW2783" s="56"/>
      <c r="AX2783" s="56"/>
      <c r="AY2783" s="56"/>
      <c r="AZ2783" s="56"/>
      <c r="BA2783" s="56"/>
      <c r="BB2783" s="16"/>
      <c r="BC2783" s="56"/>
      <c r="BD2783" s="56"/>
      <c r="BE2783" s="56"/>
      <c r="BF2783" s="56"/>
      <c r="BG2783" s="56"/>
      <c r="BH2783" s="56"/>
      <c r="BI2783" s="56"/>
      <c r="BJ2783" s="56"/>
      <c r="BK2783" s="56"/>
      <c r="BL2783" s="56"/>
      <c r="BM2783" s="56"/>
      <c r="BN2783" s="56"/>
      <c r="BO2783" s="56"/>
      <c r="BP2783" s="56"/>
      <c r="BQ2783" s="56"/>
      <c r="BR2783" s="56"/>
      <c r="BS2783" s="56"/>
      <c r="BT2783" s="56"/>
      <c r="BU2783" s="56"/>
      <c r="BV2783" s="56"/>
      <c r="BW2783" s="56"/>
      <c r="BX2783" s="56"/>
      <c r="BY2783" s="56"/>
      <c r="BZ2783" s="56"/>
      <c r="CA2783" s="56"/>
      <c r="CB2783" s="56"/>
      <c r="CC2783" s="56"/>
      <c r="CD2783" s="56"/>
      <c r="CE2783" s="56"/>
      <c r="CF2783" s="56"/>
      <c r="CG2783" s="56"/>
      <c r="CH2783" s="56"/>
      <c r="CI2783" s="56"/>
      <c r="CJ2783" s="56"/>
      <c r="CK2783" s="56"/>
      <c r="CL2783" s="56"/>
      <c r="CM2783" s="56"/>
      <c r="CN2783" s="56"/>
      <c r="CO2783" s="56"/>
      <c r="CP2783" s="56"/>
      <c r="CQ2783" s="56"/>
      <c r="CR2783" s="56"/>
      <c r="CS2783" s="56"/>
      <c r="CT2783" s="56"/>
      <c r="CU2783" s="56"/>
      <c r="CV2783" s="56"/>
      <c r="CW2783" s="56"/>
      <c r="CX2783" s="56"/>
      <c r="CY2783" s="56"/>
      <c r="CZ2783" s="56"/>
    </row>
    <row r="2784" spans="27:104" s="5" customFormat="1" x14ac:dyDescent="0.25">
      <c r="AA2784" s="56"/>
      <c r="AB2784" s="56"/>
      <c r="AC2784" s="56"/>
      <c r="AD2784" s="56"/>
      <c r="AE2784" s="56"/>
      <c r="AF2784" s="56"/>
      <c r="AG2784" s="56"/>
      <c r="AH2784" s="56"/>
      <c r="AI2784" s="56"/>
      <c r="AJ2784" s="56"/>
      <c r="AK2784" s="56"/>
      <c r="AL2784" s="56"/>
      <c r="AM2784" s="56"/>
      <c r="AN2784" s="56"/>
      <c r="AO2784" s="56"/>
      <c r="AP2784" s="56"/>
      <c r="AQ2784" s="56"/>
      <c r="AR2784" s="56"/>
      <c r="AS2784" s="56"/>
      <c r="AT2784" s="56"/>
      <c r="AU2784" s="56"/>
      <c r="AV2784" s="56"/>
      <c r="AW2784" s="56"/>
      <c r="AX2784" s="56"/>
      <c r="AY2784" s="56"/>
      <c r="AZ2784" s="56"/>
      <c r="BA2784" s="56"/>
      <c r="BB2784" s="16"/>
      <c r="BC2784" s="56"/>
      <c r="BD2784" s="56"/>
      <c r="BE2784" s="56"/>
      <c r="BF2784" s="56"/>
      <c r="BG2784" s="56"/>
      <c r="BH2784" s="56"/>
      <c r="BI2784" s="56"/>
      <c r="BJ2784" s="56"/>
      <c r="BK2784" s="56"/>
      <c r="BL2784" s="56"/>
      <c r="BM2784" s="56"/>
      <c r="BN2784" s="56"/>
      <c r="BO2784" s="56"/>
      <c r="BP2784" s="56"/>
      <c r="BQ2784" s="56"/>
      <c r="BR2784" s="56"/>
      <c r="BS2784" s="56"/>
      <c r="BT2784" s="56"/>
      <c r="BU2784" s="56"/>
      <c r="BV2784" s="56"/>
      <c r="BW2784" s="56"/>
      <c r="BX2784" s="56"/>
      <c r="BY2784" s="56"/>
      <c r="BZ2784" s="56"/>
      <c r="CA2784" s="56"/>
      <c r="CB2784" s="56"/>
      <c r="CC2784" s="56"/>
      <c r="CD2784" s="56"/>
      <c r="CE2784" s="56"/>
      <c r="CF2784" s="56"/>
      <c r="CG2784" s="56"/>
      <c r="CH2784" s="56"/>
      <c r="CI2784" s="56"/>
      <c r="CJ2784" s="56"/>
      <c r="CK2784" s="56"/>
      <c r="CL2784" s="56"/>
      <c r="CM2784" s="56"/>
      <c r="CN2784" s="56"/>
      <c r="CO2784" s="56"/>
      <c r="CP2784" s="56"/>
      <c r="CQ2784" s="56"/>
      <c r="CR2784" s="56"/>
      <c r="CS2784" s="56"/>
      <c r="CT2784" s="56"/>
      <c r="CU2784" s="56"/>
      <c r="CV2784" s="56"/>
      <c r="CW2784" s="56"/>
      <c r="CX2784" s="56"/>
      <c r="CY2784" s="56"/>
      <c r="CZ2784" s="56"/>
    </row>
    <row r="2785" spans="27:104" s="5" customFormat="1" x14ac:dyDescent="0.25">
      <c r="AA2785" s="56"/>
      <c r="AB2785" s="56"/>
      <c r="AC2785" s="56"/>
      <c r="AD2785" s="56"/>
      <c r="AE2785" s="56"/>
      <c r="AF2785" s="56"/>
      <c r="AG2785" s="56"/>
      <c r="AH2785" s="56"/>
      <c r="AI2785" s="56"/>
      <c r="AJ2785" s="56"/>
      <c r="AK2785" s="56"/>
      <c r="AL2785" s="56"/>
      <c r="AM2785" s="56"/>
      <c r="AN2785" s="56"/>
      <c r="AO2785" s="56"/>
      <c r="AP2785" s="56"/>
      <c r="AQ2785" s="56"/>
      <c r="AR2785" s="56"/>
      <c r="AS2785" s="56"/>
      <c r="AT2785" s="56"/>
      <c r="AU2785" s="56"/>
      <c r="AV2785" s="56"/>
      <c r="AW2785" s="56"/>
      <c r="AX2785" s="56"/>
      <c r="AY2785" s="56"/>
      <c r="AZ2785" s="56"/>
      <c r="BA2785" s="56"/>
      <c r="BB2785" s="16"/>
      <c r="BC2785" s="56"/>
      <c r="BD2785" s="56"/>
      <c r="BE2785" s="56"/>
      <c r="BF2785" s="56"/>
      <c r="BG2785" s="56"/>
      <c r="BH2785" s="56"/>
      <c r="BI2785" s="56"/>
      <c r="BJ2785" s="56"/>
      <c r="BK2785" s="56"/>
      <c r="BL2785" s="56"/>
      <c r="BM2785" s="56"/>
      <c r="BN2785" s="56"/>
      <c r="BO2785" s="56"/>
      <c r="BP2785" s="56"/>
      <c r="BQ2785" s="56"/>
      <c r="BR2785" s="56"/>
      <c r="BS2785" s="56"/>
      <c r="BT2785" s="56"/>
      <c r="BU2785" s="56"/>
      <c r="BV2785" s="56"/>
      <c r="BW2785" s="56"/>
      <c r="BX2785" s="56"/>
      <c r="BY2785" s="56"/>
      <c r="BZ2785" s="56"/>
      <c r="CA2785" s="56"/>
      <c r="CB2785" s="56"/>
      <c r="CC2785" s="56"/>
      <c r="CD2785" s="56"/>
      <c r="CE2785" s="56"/>
      <c r="CF2785" s="56"/>
      <c r="CG2785" s="56"/>
      <c r="CH2785" s="56"/>
      <c r="CI2785" s="56"/>
      <c r="CJ2785" s="56"/>
      <c r="CK2785" s="56"/>
      <c r="CL2785" s="56"/>
      <c r="CM2785" s="56"/>
      <c r="CN2785" s="56"/>
      <c r="CO2785" s="56"/>
      <c r="CP2785" s="56"/>
      <c r="CQ2785" s="56"/>
      <c r="CR2785" s="56"/>
      <c r="CS2785" s="56"/>
      <c r="CT2785" s="56"/>
      <c r="CU2785" s="56"/>
      <c r="CV2785" s="56"/>
      <c r="CW2785" s="56"/>
      <c r="CX2785" s="56"/>
      <c r="CY2785" s="56"/>
      <c r="CZ2785" s="56"/>
    </row>
    <row r="2786" spans="27:104" s="5" customFormat="1" x14ac:dyDescent="0.25">
      <c r="AA2786" s="56"/>
      <c r="AB2786" s="56"/>
      <c r="AC2786" s="56"/>
      <c r="AD2786" s="56"/>
      <c r="AE2786" s="56"/>
      <c r="AF2786" s="56"/>
      <c r="AG2786" s="56"/>
      <c r="AH2786" s="56"/>
      <c r="AI2786" s="56"/>
      <c r="AJ2786" s="56"/>
      <c r="AK2786" s="56"/>
      <c r="AL2786" s="56"/>
      <c r="AM2786" s="56"/>
      <c r="AN2786" s="56"/>
      <c r="AO2786" s="56"/>
      <c r="AP2786" s="56"/>
      <c r="AQ2786" s="56"/>
      <c r="AR2786" s="56"/>
      <c r="AS2786" s="56"/>
      <c r="AT2786" s="56"/>
      <c r="AU2786" s="56"/>
      <c r="AV2786" s="56"/>
      <c r="AW2786" s="56"/>
      <c r="AX2786" s="56"/>
      <c r="AY2786" s="56"/>
      <c r="AZ2786" s="56"/>
      <c r="BA2786" s="56"/>
      <c r="BB2786" s="16"/>
      <c r="BC2786" s="56"/>
      <c r="BD2786" s="56"/>
      <c r="BE2786" s="56"/>
      <c r="BF2786" s="56"/>
      <c r="BG2786" s="56"/>
      <c r="BH2786" s="56"/>
      <c r="BI2786" s="56"/>
      <c r="BJ2786" s="56"/>
      <c r="BK2786" s="56"/>
      <c r="BL2786" s="56"/>
      <c r="BM2786" s="56"/>
      <c r="BN2786" s="56"/>
      <c r="BO2786" s="56"/>
      <c r="BP2786" s="56"/>
      <c r="BQ2786" s="56"/>
      <c r="BR2786" s="56"/>
      <c r="BS2786" s="56"/>
      <c r="BT2786" s="56"/>
      <c r="BU2786" s="56"/>
      <c r="BV2786" s="56"/>
      <c r="BW2786" s="56"/>
      <c r="BX2786" s="56"/>
      <c r="BY2786" s="56"/>
      <c r="BZ2786" s="56"/>
      <c r="CA2786" s="56"/>
      <c r="CB2786" s="56"/>
      <c r="CC2786" s="56"/>
      <c r="CD2786" s="56"/>
      <c r="CE2786" s="56"/>
      <c r="CF2786" s="56"/>
      <c r="CG2786" s="56"/>
      <c r="CH2786" s="56"/>
      <c r="CI2786" s="56"/>
      <c r="CJ2786" s="56"/>
      <c r="CK2786" s="56"/>
      <c r="CL2786" s="56"/>
      <c r="CM2786" s="56"/>
      <c r="CN2786" s="56"/>
      <c r="CO2786" s="56"/>
      <c r="CP2786" s="56"/>
      <c r="CQ2786" s="56"/>
      <c r="CR2786" s="56"/>
      <c r="CS2786" s="56"/>
      <c r="CT2786" s="56"/>
      <c r="CU2786" s="56"/>
      <c r="CV2786" s="56"/>
      <c r="CW2786" s="56"/>
      <c r="CX2786" s="56"/>
      <c r="CY2786" s="56"/>
      <c r="CZ2786" s="56"/>
    </row>
    <row r="2787" spans="27:104" s="5" customFormat="1" x14ac:dyDescent="0.25">
      <c r="AA2787" s="56"/>
      <c r="AB2787" s="56"/>
      <c r="AC2787" s="56"/>
      <c r="AD2787" s="56"/>
      <c r="AE2787" s="56"/>
      <c r="AF2787" s="56"/>
      <c r="AG2787" s="56"/>
      <c r="AH2787" s="56"/>
      <c r="AI2787" s="56"/>
      <c r="AJ2787" s="56"/>
      <c r="AK2787" s="56"/>
      <c r="AL2787" s="56"/>
      <c r="AM2787" s="56"/>
      <c r="AN2787" s="56"/>
      <c r="AO2787" s="56"/>
      <c r="AP2787" s="56"/>
      <c r="AQ2787" s="56"/>
      <c r="AR2787" s="56"/>
      <c r="AS2787" s="56"/>
      <c r="AT2787" s="56"/>
      <c r="AU2787" s="56"/>
      <c r="AV2787" s="56"/>
      <c r="AW2787" s="56"/>
      <c r="AX2787" s="56"/>
      <c r="AY2787" s="56"/>
      <c r="AZ2787" s="56"/>
      <c r="BA2787" s="56"/>
      <c r="BB2787" s="16"/>
      <c r="BC2787" s="56"/>
      <c r="BD2787" s="56"/>
      <c r="BE2787" s="56"/>
      <c r="BF2787" s="56"/>
      <c r="BG2787" s="56"/>
      <c r="BH2787" s="56"/>
      <c r="BI2787" s="56"/>
      <c r="BJ2787" s="56"/>
      <c r="BK2787" s="56"/>
      <c r="BL2787" s="56"/>
      <c r="BM2787" s="56"/>
      <c r="BN2787" s="56"/>
      <c r="BO2787" s="56"/>
      <c r="BP2787" s="56"/>
      <c r="BQ2787" s="56"/>
      <c r="BR2787" s="56"/>
      <c r="BS2787" s="56"/>
      <c r="BT2787" s="56"/>
      <c r="BU2787" s="56"/>
      <c r="BV2787" s="56"/>
      <c r="BW2787" s="56"/>
      <c r="BX2787" s="56"/>
      <c r="BY2787" s="56"/>
      <c r="BZ2787" s="56"/>
      <c r="CA2787" s="56"/>
      <c r="CB2787" s="56"/>
      <c r="CC2787" s="56"/>
      <c r="CD2787" s="56"/>
      <c r="CE2787" s="56"/>
      <c r="CF2787" s="56"/>
      <c r="CG2787" s="56"/>
      <c r="CH2787" s="56"/>
      <c r="CI2787" s="56"/>
      <c r="CJ2787" s="56"/>
      <c r="CK2787" s="56"/>
      <c r="CL2787" s="56"/>
      <c r="CM2787" s="56"/>
      <c r="CN2787" s="56"/>
      <c r="CO2787" s="56"/>
      <c r="CP2787" s="56"/>
      <c r="CQ2787" s="56"/>
      <c r="CR2787" s="56"/>
      <c r="CS2787" s="56"/>
      <c r="CT2787" s="56"/>
      <c r="CU2787" s="56"/>
      <c r="CV2787" s="56"/>
      <c r="CW2787" s="56"/>
      <c r="CX2787" s="56"/>
      <c r="CY2787" s="56"/>
      <c r="CZ2787" s="56"/>
    </row>
    <row r="2788" spans="27:104" s="5" customFormat="1" x14ac:dyDescent="0.25">
      <c r="AA2788" s="56"/>
      <c r="AB2788" s="56"/>
      <c r="AC2788" s="56"/>
      <c r="AD2788" s="56"/>
      <c r="AE2788" s="56"/>
      <c r="AF2788" s="56"/>
      <c r="AG2788" s="56"/>
      <c r="AH2788" s="56"/>
      <c r="AI2788" s="56"/>
      <c r="AJ2788" s="56"/>
      <c r="AK2788" s="56"/>
      <c r="AL2788" s="56"/>
      <c r="AM2788" s="56"/>
      <c r="AN2788" s="56"/>
      <c r="AO2788" s="56"/>
      <c r="AP2788" s="56"/>
      <c r="AQ2788" s="56"/>
      <c r="AR2788" s="56"/>
      <c r="AS2788" s="56"/>
      <c r="AT2788" s="56"/>
      <c r="AU2788" s="56"/>
      <c r="AV2788" s="56"/>
      <c r="AW2788" s="56"/>
      <c r="AX2788" s="56"/>
      <c r="AY2788" s="56"/>
      <c r="AZ2788" s="56"/>
      <c r="BA2788" s="56"/>
      <c r="BB2788" s="16"/>
      <c r="BC2788" s="56"/>
      <c r="BD2788" s="56"/>
      <c r="BE2788" s="56"/>
      <c r="BF2788" s="56"/>
      <c r="BG2788" s="56"/>
      <c r="BH2788" s="56"/>
      <c r="BI2788" s="56"/>
      <c r="BJ2788" s="56"/>
      <c r="BK2788" s="56"/>
      <c r="BL2788" s="56"/>
      <c r="BM2788" s="56"/>
      <c r="BN2788" s="56"/>
      <c r="BO2788" s="56"/>
      <c r="BP2788" s="56"/>
      <c r="BQ2788" s="56"/>
      <c r="BR2788" s="56"/>
      <c r="BS2788" s="56"/>
      <c r="BT2788" s="56"/>
      <c r="BU2788" s="56"/>
      <c r="BV2788" s="56"/>
      <c r="BW2788" s="56"/>
      <c r="BX2788" s="56"/>
      <c r="BY2788" s="56"/>
      <c r="BZ2788" s="56"/>
      <c r="CA2788" s="56"/>
      <c r="CB2788" s="56"/>
      <c r="CC2788" s="56"/>
      <c r="CD2788" s="56"/>
      <c r="CE2788" s="56"/>
      <c r="CF2788" s="56"/>
      <c r="CG2788" s="56"/>
      <c r="CH2788" s="56"/>
      <c r="CI2788" s="56"/>
      <c r="CJ2788" s="56"/>
      <c r="CK2788" s="56"/>
      <c r="CL2788" s="56"/>
      <c r="CM2788" s="56"/>
      <c r="CN2788" s="56"/>
      <c r="CO2788" s="56"/>
      <c r="CP2788" s="56"/>
      <c r="CQ2788" s="56"/>
      <c r="CR2788" s="56"/>
      <c r="CS2788" s="56"/>
      <c r="CT2788" s="56"/>
      <c r="CU2788" s="56"/>
      <c r="CV2788" s="56"/>
      <c r="CW2788" s="56"/>
      <c r="CX2788" s="56"/>
      <c r="CY2788" s="56"/>
      <c r="CZ2788" s="56"/>
    </row>
    <row r="2789" spans="27:104" s="5" customFormat="1" x14ac:dyDescent="0.25">
      <c r="AA2789" s="56"/>
      <c r="AB2789" s="56"/>
      <c r="AC2789" s="56"/>
      <c r="AD2789" s="56"/>
      <c r="AE2789" s="56"/>
      <c r="AF2789" s="56"/>
      <c r="AG2789" s="56"/>
      <c r="AH2789" s="56"/>
      <c r="AI2789" s="56"/>
      <c r="AJ2789" s="56"/>
      <c r="AK2789" s="56"/>
      <c r="AL2789" s="56"/>
      <c r="AM2789" s="56"/>
      <c r="AN2789" s="56"/>
      <c r="AO2789" s="56"/>
      <c r="AP2789" s="56"/>
      <c r="AQ2789" s="56"/>
      <c r="AR2789" s="56"/>
      <c r="AS2789" s="56"/>
      <c r="AT2789" s="56"/>
      <c r="AU2789" s="56"/>
      <c r="AV2789" s="56"/>
      <c r="AW2789" s="56"/>
      <c r="AX2789" s="56"/>
      <c r="AY2789" s="56"/>
      <c r="AZ2789" s="56"/>
      <c r="BA2789" s="56"/>
      <c r="BB2789" s="16"/>
      <c r="BC2789" s="56"/>
      <c r="BD2789" s="56"/>
      <c r="BE2789" s="56"/>
      <c r="BF2789" s="56"/>
      <c r="BG2789" s="56"/>
      <c r="BH2789" s="56"/>
      <c r="BI2789" s="56"/>
      <c r="BJ2789" s="56"/>
      <c r="BK2789" s="56"/>
      <c r="BL2789" s="56"/>
      <c r="BM2789" s="56"/>
      <c r="BN2789" s="56"/>
      <c r="BO2789" s="56"/>
      <c r="BP2789" s="56"/>
      <c r="BQ2789" s="56"/>
      <c r="BR2789" s="56"/>
      <c r="BS2789" s="56"/>
      <c r="BT2789" s="56"/>
      <c r="BU2789" s="56"/>
      <c r="BV2789" s="56"/>
      <c r="BW2789" s="56"/>
      <c r="BX2789" s="56"/>
      <c r="BY2789" s="56"/>
      <c r="BZ2789" s="56"/>
      <c r="CA2789" s="56"/>
      <c r="CB2789" s="56"/>
      <c r="CC2789" s="56"/>
      <c r="CD2789" s="56"/>
      <c r="CE2789" s="56"/>
      <c r="CF2789" s="56"/>
      <c r="CG2789" s="56"/>
      <c r="CH2789" s="56"/>
      <c r="CI2789" s="56"/>
      <c r="CJ2789" s="56"/>
      <c r="CK2789" s="56"/>
      <c r="CL2789" s="56"/>
      <c r="CM2789" s="56"/>
      <c r="CN2789" s="56"/>
      <c r="CO2789" s="56"/>
      <c r="CP2789" s="56"/>
      <c r="CQ2789" s="56"/>
      <c r="CR2789" s="56"/>
      <c r="CS2789" s="56"/>
      <c r="CT2789" s="56"/>
      <c r="CU2789" s="56"/>
      <c r="CV2789" s="56"/>
      <c r="CW2789" s="56"/>
      <c r="CX2789" s="56"/>
      <c r="CY2789" s="56"/>
      <c r="CZ2789" s="56"/>
    </row>
    <row r="2790" spans="27:104" s="5" customFormat="1" x14ac:dyDescent="0.25">
      <c r="AA2790" s="56"/>
      <c r="AB2790" s="56"/>
      <c r="AC2790" s="56"/>
      <c r="AD2790" s="56"/>
      <c r="AE2790" s="56"/>
      <c r="AF2790" s="56"/>
      <c r="AG2790" s="56"/>
      <c r="AH2790" s="56"/>
      <c r="AI2790" s="56"/>
      <c r="AJ2790" s="56"/>
      <c r="AK2790" s="56"/>
      <c r="AL2790" s="56"/>
      <c r="AM2790" s="56"/>
      <c r="AN2790" s="56"/>
      <c r="AO2790" s="56"/>
      <c r="AP2790" s="56"/>
      <c r="AQ2790" s="56"/>
      <c r="AR2790" s="56"/>
      <c r="AS2790" s="56"/>
      <c r="AT2790" s="56"/>
      <c r="AU2790" s="56"/>
      <c r="AV2790" s="56"/>
      <c r="AW2790" s="56"/>
      <c r="AX2790" s="56"/>
      <c r="AY2790" s="56"/>
      <c r="AZ2790" s="56"/>
      <c r="BA2790" s="56"/>
      <c r="BB2790" s="16"/>
      <c r="BC2790" s="56"/>
      <c r="BD2790" s="56"/>
      <c r="BE2790" s="56"/>
      <c r="BF2790" s="56"/>
      <c r="BG2790" s="56"/>
      <c r="BH2790" s="56"/>
      <c r="BI2790" s="56"/>
      <c r="BJ2790" s="56"/>
      <c r="BK2790" s="56"/>
      <c r="BL2790" s="56"/>
      <c r="BM2790" s="56"/>
      <c r="BN2790" s="56"/>
      <c r="BO2790" s="56"/>
      <c r="BP2790" s="56"/>
      <c r="BQ2790" s="56"/>
      <c r="BR2790" s="56"/>
      <c r="BS2790" s="56"/>
      <c r="BT2790" s="56"/>
      <c r="BU2790" s="56"/>
      <c r="BV2790" s="56"/>
      <c r="BW2790" s="56"/>
      <c r="BX2790" s="56"/>
      <c r="BY2790" s="56"/>
      <c r="BZ2790" s="56"/>
      <c r="CA2790" s="56"/>
      <c r="CB2790" s="56"/>
      <c r="CC2790" s="56"/>
      <c r="CD2790" s="56"/>
      <c r="CE2790" s="56"/>
      <c r="CF2790" s="56"/>
      <c r="CG2790" s="56"/>
      <c r="CH2790" s="56"/>
      <c r="CI2790" s="56"/>
      <c r="CJ2790" s="56"/>
      <c r="CK2790" s="56"/>
      <c r="CL2790" s="56"/>
      <c r="CM2790" s="56"/>
      <c r="CN2790" s="56"/>
      <c r="CO2790" s="56"/>
      <c r="CP2790" s="56"/>
      <c r="CQ2790" s="56"/>
      <c r="CR2790" s="56"/>
      <c r="CS2790" s="56"/>
      <c r="CT2790" s="56"/>
      <c r="CU2790" s="56"/>
      <c r="CV2790" s="56"/>
      <c r="CW2790" s="56"/>
      <c r="CX2790" s="56"/>
      <c r="CY2790" s="56"/>
      <c r="CZ2790" s="56"/>
    </row>
    <row r="2791" spans="27:104" s="5" customFormat="1" x14ac:dyDescent="0.25">
      <c r="AA2791" s="56"/>
      <c r="AB2791" s="56"/>
      <c r="AC2791" s="56"/>
      <c r="AD2791" s="56"/>
      <c r="AE2791" s="56"/>
      <c r="AF2791" s="56"/>
      <c r="AG2791" s="56"/>
      <c r="AH2791" s="56"/>
      <c r="AI2791" s="56"/>
      <c r="AJ2791" s="56"/>
      <c r="AK2791" s="56"/>
      <c r="AL2791" s="56"/>
      <c r="AM2791" s="56"/>
      <c r="AN2791" s="56"/>
      <c r="AO2791" s="56"/>
      <c r="AP2791" s="56"/>
      <c r="AQ2791" s="56"/>
      <c r="AR2791" s="56"/>
      <c r="AS2791" s="56"/>
      <c r="AT2791" s="56"/>
      <c r="AU2791" s="56"/>
      <c r="AV2791" s="56"/>
      <c r="AW2791" s="56"/>
      <c r="AX2791" s="56"/>
      <c r="AY2791" s="56"/>
      <c r="AZ2791" s="56"/>
      <c r="BA2791" s="56"/>
      <c r="BB2791" s="16"/>
      <c r="BC2791" s="56"/>
      <c r="BD2791" s="56"/>
      <c r="BE2791" s="56"/>
      <c r="BF2791" s="56"/>
      <c r="BG2791" s="56"/>
      <c r="BH2791" s="56"/>
      <c r="BI2791" s="56"/>
      <c r="BJ2791" s="56"/>
      <c r="BK2791" s="56"/>
      <c r="BL2791" s="56"/>
      <c r="BM2791" s="56"/>
      <c r="BN2791" s="56"/>
      <c r="BO2791" s="56"/>
      <c r="BP2791" s="56"/>
      <c r="BQ2791" s="56"/>
      <c r="BR2791" s="56"/>
      <c r="BS2791" s="56"/>
      <c r="BT2791" s="56"/>
      <c r="BU2791" s="56"/>
      <c r="BV2791" s="56"/>
      <c r="BW2791" s="56"/>
      <c r="BX2791" s="56"/>
      <c r="BY2791" s="56"/>
      <c r="BZ2791" s="56"/>
      <c r="CA2791" s="56"/>
      <c r="CB2791" s="56"/>
      <c r="CC2791" s="56"/>
      <c r="CD2791" s="56"/>
      <c r="CE2791" s="56"/>
      <c r="CF2791" s="56"/>
      <c r="CG2791" s="56"/>
      <c r="CH2791" s="56"/>
      <c r="CI2791" s="56"/>
      <c r="CJ2791" s="56"/>
      <c r="CK2791" s="56"/>
      <c r="CL2791" s="56"/>
      <c r="CM2791" s="56"/>
      <c r="CN2791" s="56"/>
      <c r="CO2791" s="56"/>
      <c r="CP2791" s="56"/>
      <c r="CQ2791" s="56"/>
      <c r="CR2791" s="56"/>
      <c r="CS2791" s="56"/>
      <c r="CT2791" s="56"/>
      <c r="CU2791" s="56"/>
      <c r="CV2791" s="56"/>
      <c r="CW2791" s="56"/>
      <c r="CX2791" s="56"/>
      <c r="CY2791" s="56"/>
      <c r="CZ2791" s="56"/>
    </row>
    <row r="2792" spans="27:104" s="5" customFormat="1" x14ac:dyDescent="0.25">
      <c r="AA2792" s="56"/>
      <c r="AB2792" s="56"/>
      <c r="AC2792" s="56"/>
      <c r="AD2792" s="56"/>
      <c r="AE2792" s="56"/>
      <c r="AF2792" s="56"/>
      <c r="AG2792" s="56"/>
      <c r="AH2792" s="56"/>
      <c r="AI2792" s="56"/>
      <c r="AJ2792" s="56"/>
      <c r="AK2792" s="56"/>
      <c r="AL2792" s="56"/>
      <c r="AM2792" s="56"/>
      <c r="AN2792" s="56"/>
      <c r="AO2792" s="56"/>
      <c r="AP2792" s="56"/>
      <c r="AQ2792" s="56"/>
      <c r="AR2792" s="56"/>
      <c r="AS2792" s="56"/>
      <c r="AT2792" s="56"/>
      <c r="AU2792" s="56"/>
      <c r="AV2792" s="56"/>
      <c r="AW2792" s="56"/>
      <c r="AX2792" s="56"/>
      <c r="AY2792" s="56"/>
      <c r="AZ2792" s="56"/>
      <c r="BA2792" s="56"/>
      <c r="BB2792" s="16"/>
      <c r="BC2792" s="56"/>
      <c r="BD2792" s="56"/>
      <c r="BE2792" s="56"/>
      <c r="BF2792" s="56"/>
      <c r="BG2792" s="56"/>
      <c r="BH2792" s="56"/>
      <c r="BI2792" s="56"/>
      <c r="BJ2792" s="56"/>
      <c r="BK2792" s="56"/>
      <c r="BL2792" s="56"/>
      <c r="BM2792" s="56"/>
      <c r="BN2792" s="56"/>
      <c r="BO2792" s="56"/>
      <c r="BP2792" s="56"/>
      <c r="BQ2792" s="56"/>
      <c r="BR2792" s="56"/>
      <c r="BS2792" s="56"/>
      <c r="BT2792" s="56"/>
      <c r="BU2792" s="56"/>
      <c r="BV2792" s="56"/>
      <c r="BW2792" s="56"/>
      <c r="BX2792" s="56"/>
      <c r="BY2792" s="56"/>
      <c r="BZ2792" s="56"/>
      <c r="CA2792" s="56"/>
      <c r="CB2792" s="56"/>
      <c r="CC2792" s="56"/>
      <c r="CD2792" s="56"/>
      <c r="CE2792" s="56"/>
      <c r="CF2792" s="56"/>
      <c r="CG2792" s="56"/>
      <c r="CH2792" s="56"/>
      <c r="CI2792" s="56"/>
      <c r="CJ2792" s="56"/>
      <c r="CK2792" s="56"/>
      <c r="CL2792" s="56"/>
      <c r="CM2792" s="56"/>
      <c r="CN2792" s="56"/>
      <c r="CO2792" s="56"/>
      <c r="CP2792" s="56"/>
      <c r="CQ2792" s="56"/>
      <c r="CR2792" s="56"/>
      <c r="CS2792" s="56"/>
      <c r="CT2792" s="56"/>
      <c r="CU2792" s="56"/>
      <c r="CV2792" s="56"/>
      <c r="CW2792" s="56"/>
      <c r="CX2792" s="56"/>
      <c r="CY2792" s="56"/>
      <c r="CZ2792" s="56"/>
    </row>
    <row r="2793" spans="27:104" s="5" customFormat="1" x14ac:dyDescent="0.25">
      <c r="AA2793" s="56"/>
      <c r="AB2793" s="56"/>
      <c r="AC2793" s="56"/>
      <c r="AD2793" s="56"/>
      <c r="AE2793" s="56"/>
      <c r="AF2793" s="56"/>
      <c r="AG2793" s="56"/>
      <c r="AH2793" s="56"/>
      <c r="AI2793" s="56"/>
      <c r="AJ2793" s="56"/>
      <c r="AK2793" s="56"/>
      <c r="AL2793" s="56"/>
      <c r="AM2793" s="56"/>
      <c r="AN2793" s="56"/>
      <c r="AO2793" s="56"/>
      <c r="AP2793" s="56"/>
      <c r="AQ2793" s="56"/>
      <c r="AR2793" s="56"/>
      <c r="AS2793" s="56"/>
      <c r="AT2793" s="56"/>
      <c r="AU2793" s="56"/>
      <c r="AV2793" s="56"/>
      <c r="AW2793" s="56"/>
      <c r="AX2793" s="56"/>
      <c r="AY2793" s="56"/>
      <c r="AZ2793" s="56"/>
      <c r="BA2793" s="56"/>
      <c r="BB2793" s="16"/>
      <c r="BC2793" s="56"/>
      <c r="BD2793" s="56"/>
      <c r="BE2793" s="56"/>
      <c r="BF2793" s="56"/>
      <c r="BG2793" s="56"/>
      <c r="BH2793" s="56"/>
      <c r="BI2793" s="56"/>
      <c r="BJ2793" s="56"/>
      <c r="BK2793" s="56"/>
      <c r="BL2793" s="56"/>
      <c r="BM2793" s="56"/>
      <c r="BN2793" s="56"/>
      <c r="BO2793" s="56"/>
      <c r="BP2793" s="56"/>
      <c r="BQ2793" s="56"/>
      <c r="BR2793" s="56"/>
      <c r="BS2793" s="56"/>
      <c r="BT2793" s="56"/>
      <c r="BU2793" s="56"/>
      <c r="BV2793" s="56"/>
      <c r="BW2793" s="56"/>
      <c r="BX2793" s="56"/>
      <c r="BY2793" s="56"/>
      <c r="BZ2793" s="56"/>
      <c r="CA2793" s="56"/>
      <c r="CB2793" s="56"/>
      <c r="CC2793" s="56"/>
      <c r="CD2793" s="56"/>
      <c r="CE2793" s="56"/>
      <c r="CF2793" s="56"/>
      <c r="CG2793" s="56"/>
      <c r="CH2793" s="56"/>
      <c r="CI2793" s="56"/>
      <c r="CJ2793" s="56"/>
      <c r="CK2793" s="56"/>
      <c r="CL2793" s="56"/>
      <c r="CM2793" s="56"/>
      <c r="CN2793" s="56"/>
      <c r="CO2793" s="56"/>
      <c r="CP2793" s="56"/>
      <c r="CQ2793" s="56"/>
      <c r="CR2793" s="56"/>
      <c r="CS2793" s="56"/>
      <c r="CT2793" s="56"/>
      <c r="CU2793" s="56"/>
      <c r="CV2793" s="56"/>
      <c r="CW2793" s="56"/>
      <c r="CX2793" s="56"/>
      <c r="CY2793" s="56"/>
      <c r="CZ2793" s="56"/>
    </row>
    <row r="2794" spans="27:104" s="5" customFormat="1" x14ac:dyDescent="0.25">
      <c r="AA2794" s="56"/>
      <c r="AB2794" s="56"/>
      <c r="AC2794" s="56"/>
      <c r="AD2794" s="56"/>
      <c r="AE2794" s="56"/>
      <c r="AF2794" s="56"/>
      <c r="AG2794" s="56"/>
      <c r="AH2794" s="56"/>
      <c r="AI2794" s="56"/>
      <c r="AJ2794" s="56"/>
      <c r="AK2794" s="56"/>
      <c r="AL2794" s="56"/>
      <c r="AM2794" s="56"/>
      <c r="AN2794" s="56"/>
      <c r="AO2794" s="56"/>
      <c r="AP2794" s="56"/>
      <c r="AQ2794" s="56"/>
      <c r="AR2794" s="56"/>
      <c r="AS2794" s="56"/>
      <c r="AT2794" s="56"/>
      <c r="AU2794" s="56"/>
      <c r="AV2794" s="56"/>
      <c r="AW2794" s="56"/>
      <c r="AX2794" s="56"/>
      <c r="AY2794" s="56"/>
      <c r="AZ2794" s="56"/>
      <c r="BA2794" s="56"/>
      <c r="BB2794" s="16"/>
      <c r="BC2794" s="56"/>
      <c r="BD2794" s="56"/>
      <c r="BE2794" s="56"/>
      <c r="BF2794" s="56"/>
      <c r="BG2794" s="56"/>
      <c r="BH2794" s="56"/>
      <c r="BI2794" s="56"/>
      <c r="BJ2794" s="56"/>
      <c r="BK2794" s="56"/>
      <c r="BL2794" s="56"/>
      <c r="BM2794" s="56"/>
      <c r="BN2794" s="56"/>
      <c r="BO2794" s="56"/>
      <c r="BP2794" s="56"/>
      <c r="BQ2794" s="56"/>
      <c r="BR2794" s="56"/>
      <c r="BS2794" s="56"/>
      <c r="BT2794" s="56"/>
      <c r="BU2794" s="56"/>
      <c r="BV2794" s="56"/>
      <c r="BW2794" s="56"/>
      <c r="BX2794" s="56"/>
      <c r="BY2794" s="56"/>
      <c r="BZ2794" s="56"/>
      <c r="CA2794" s="56"/>
      <c r="CB2794" s="56"/>
      <c r="CC2794" s="56"/>
      <c r="CD2794" s="56"/>
      <c r="CE2794" s="56"/>
      <c r="CF2794" s="56"/>
      <c r="CG2794" s="56"/>
      <c r="CH2794" s="56"/>
      <c r="CI2794" s="56"/>
      <c r="CJ2794" s="56"/>
      <c r="CK2794" s="56"/>
      <c r="CL2794" s="56"/>
      <c r="CM2794" s="56"/>
      <c r="CN2794" s="56"/>
      <c r="CO2794" s="56"/>
      <c r="CP2794" s="56"/>
      <c r="CQ2794" s="56"/>
      <c r="CR2794" s="56"/>
      <c r="CS2794" s="56"/>
      <c r="CT2794" s="56"/>
      <c r="CU2794" s="56"/>
      <c r="CV2794" s="56"/>
      <c r="CW2794" s="56"/>
      <c r="CX2794" s="56"/>
      <c r="CY2794" s="56"/>
      <c r="CZ2794" s="56"/>
    </row>
    <row r="2795" spans="27:104" s="5" customFormat="1" x14ac:dyDescent="0.25">
      <c r="AA2795" s="56"/>
      <c r="AB2795" s="56"/>
      <c r="AC2795" s="56"/>
      <c r="AD2795" s="56"/>
      <c r="AE2795" s="56"/>
      <c r="AF2795" s="56"/>
      <c r="AG2795" s="56"/>
      <c r="AH2795" s="56"/>
      <c r="AI2795" s="56"/>
      <c r="AJ2795" s="56"/>
      <c r="AK2795" s="56"/>
      <c r="AL2795" s="56"/>
      <c r="AM2795" s="56"/>
      <c r="AN2795" s="56"/>
      <c r="AO2795" s="56"/>
      <c r="AP2795" s="56"/>
      <c r="AQ2795" s="56"/>
      <c r="AR2795" s="56"/>
      <c r="AS2795" s="56"/>
      <c r="AT2795" s="56"/>
      <c r="AU2795" s="56"/>
      <c r="AV2795" s="56"/>
      <c r="AW2795" s="56"/>
      <c r="AX2795" s="56"/>
      <c r="AY2795" s="56"/>
      <c r="AZ2795" s="56"/>
      <c r="BA2795" s="56"/>
      <c r="BB2795" s="16"/>
      <c r="BC2795" s="56"/>
      <c r="BD2795" s="56"/>
      <c r="BE2795" s="56"/>
      <c r="BF2795" s="56"/>
      <c r="BG2795" s="56"/>
      <c r="BH2795" s="56"/>
      <c r="BI2795" s="56"/>
      <c r="BJ2795" s="56"/>
      <c r="BK2795" s="56"/>
      <c r="BL2795" s="56"/>
      <c r="BM2795" s="56"/>
      <c r="BN2795" s="56"/>
      <c r="BO2795" s="56"/>
      <c r="BP2795" s="56"/>
      <c r="BQ2795" s="56"/>
      <c r="BR2795" s="56"/>
      <c r="BS2795" s="56"/>
      <c r="BT2795" s="56"/>
      <c r="BU2795" s="56"/>
      <c r="BV2795" s="56"/>
      <c r="BW2795" s="56"/>
      <c r="BX2795" s="56"/>
      <c r="BY2795" s="56"/>
      <c r="BZ2795" s="56"/>
      <c r="CA2795" s="56"/>
      <c r="CB2795" s="56"/>
      <c r="CC2795" s="56"/>
      <c r="CD2795" s="56"/>
      <c r="CE2795" s="56"/>
      <c r="CF2795" s="56"/>
      <c r="CG2795" s="56"/>
      <c r="CH2795" s="56"/>
      <c r="CI2795" s="56"/>
      <c r="CJ2795" s="56"/>
      <c r="CK2795" s="56"/>
      <c r="CL2795" s="56"/>
      <c r="CM2795" s="56"/>
      <c r="CN2795" s="56"/>
      <c r="CO2795" s="56"/>
      <c r="CP2795" s="56"/>
      <c r="CQ2795" s="56"/>
      <c r="CR2795" s="56"/>
      <c r="CS2795" s="56"/>
      <c r="CT2795" s="56"/>
      <c r="CU2795" s="56"/>
      <c r="CV2795" s="56"/>
      <c r="CW2795" s="56"/>
      <c r="CX2795" s="56"/>
      <c r="CY2795" s="56"/>
      <c r="CZ2795" s="56"/>
    </row>
    <row r="2796" spans="27:104" s="5" customFormat="1" x14ac:dyDescent="0.25">
      <c r="AA2796" s="56"/>
      <c r="AB2796" s="56"/>
      <c r="AC2796" s="56"/>
      <c r="AD2796" s="56"/>
      <c r="AE2796" s="56"/>
      <c r="AF2796" s="56"/>
      <c r="AG2796" s="56"/>
      <c r="AH2796" s="56"/>
      <c r="AI2796" s="56"/>
      <c r="AJ2796" s="56"/>
      <c r="AK2796" s="56"/>
      <c r="AL2796" s="56"/>
      <c r="AM2796" s="56"/>
      <c r="AN2796" s="56"/>
      <c r="AO2796" s="56"/>
      <c r="AP2796" s="56"/>
      <c r="AQ2796" s="56"/>
      <c r="AR2796" s="56"/>
      <c r="AS2796" s="56"/>
      <c r="AT2796" s="56"/>
      <c r="AU2796" s="56"/>
      <c r="AV2796" s="56"/>
      <c r="AW2796" s="56"/>
      <c r="AX2796" s="56"/>
      <c r="AY2796" s="56"/>
      <c r="AZ2796" s="56"/>
      <c r="BA2796" s="56"/>
      <c r="BB2796" s="16"/>
      <c r="BC2796" s="56"/>
      <c r="BD2796" s="56"/>
      <c r="BE2796" s="56"/>
      <c r="BF2796" s="56"/>
      <c r="BG2796" s="56"/>
      <c r="BH2796" s="56"/>
      <c r="BI2796" s="56"/>
      <c r="BJ2796" s="56"/>
      <c r="BK2796" s="56"/>
      <c r="BL2796" s="56"/>
      <c r="BM2796" s="56"/>
      <c r="BN2796" s="56"/>
      <c r="BO2796" s="56"/>
      <c r="BP2796" s="56"/>
      <c r="BQ2796" s="56"/>
      <c r="BR2796" s="56"/>
      <c r="BS2796" s="56"/>
      <c r="BT2796" s="56"/>
      <c r="BU2796" s="56"/>
      <c r="BV2796" s="56"/>
      <c r="BW2796" s="56"/>
      <c r="BX2796" s="56"/>
      <c r="BY2796" s="56"/>
      <c r="BZ2796" s="56"/>
      <c r="CA2796" s="56"/>
      <c r="CB2796" s="56"/>
      <c r="CC2796" s="56"/>
      <c r="CD2796" s="56"/>
      <c r="CE2796" s="56"/>
      <c r="CF2796" s="56"/>
      <c r="CG2796" s="56"/>
      <c r="CH2796" s="56"/>
      <c r="CI2796" s="56"/>
      <c r="CJ2796" s="56"/>
      <c r="CK2796" s="56"/>
      <c r="CL2796" s="56"/>
      <c r="CM2796" s="56"/>
      <c r="CN2796" s="56"/>
      <c r="CO2796" s="56"/>
      <c r="CP2796" s="56"/>
      <c r="CQ2796" s="56"/>
      <c r="CR2796" s="56"/>
      <c r="CS2796" s="56"/>
      <c r="CT2796" s="56"/>
      <c r="CU2796" s="56"/>
      <c r="CV2796" s="56"/>
      <c r="CW2796" s="56"/>
      <c r="CX2796" s="56"/>
      <c r="CY2796" s="56"/>
      <c r="CZ2796" s="56"/>
    </row>
    <row r="2797" spans="27:104" s="5" customFormat="1" x14ac:dyDescent="0.25">
      <c r="AA2797" s="56"/>
      <c r="AB2797" s="56"/>
      <c r="AC2797" s="56"/>
      <c r="AD2797" s="56"/>
      <c r="AE2797" s="56"/>
      <c r="AF2797" s="56"/>
      <c r="AG2797" s="56"/>
      <c r="AH2797" s="56"/>
      <c r="AI2797" s="56"/>
      <c r="AJ2797" s="56"/>
      <c r="AK2797" s="56"/>
      <c r="AL2797" s="56"/>
      <c r="AM2797" s="56"/>
      <c r="AN2797" s="56"/>
      <c r="AO2797" s="56"/>
      <c r="AP2797" s="56"/>
      <c r="AQ2797" s="56"/>
      <c r="AR2797" s="56"/>
      <c r="AS2797" s="56"/>
      <c r="AT2797" s="56"/>
      <c r="AU2797" s="56"/>
      <c r="AV2797" s="56"/>
      <c r="AW2797" s="56"/>
      <c r="AX2797" s="56"/>
      <c r="AY2797" s="56"/>
      <c r="AZ2797" s="56"/>
      <c r="BA2797" s="56"/>
      <c r="BB2797" s="16"/>
      <c r="BC2797" s="56"/>
      <c r="BD2797" s="56"/>
      <c r="BE2797" s="56"/>
      <c r="BF2797" s="56"/>
      <c r="BG2797" s="56"/>
      <c r="BH2797" s="56"/>
      <c r="BI2797" s="56"/>
      <c r="BJ2797" s="56"/>
      <c r="BK2797" s="56"/>
      <c r="BL2797" s="56"/>
      <c r="BM2797" s="56"/>
      <c r="BN2797" s="56"/>
      <c r="BO2797" s="56"/>
      <c r="BP2797" s="56"/>
      <c r="BQ2797" s="56"/>
      <c r="BR2797" s="56"/>
      <c r="BS2797" s="56"/>
      <c r="BT2797" s="56"/>
      <c r="BU2797" s="56"/>
      <c r="BV2797" s="56"/>
      <c r="BW2797" s="56"/>
      <c r="BX2797" s="56"/>
      <c r="BY2797" s="56"/>
      <c r="BZ2797" s="56"/>
      <c r="CA2797" s="56"/>
      <c r="CB2797" s="56"/>
      <c r="CC2797" s="56"/>
      <c r="CD2797" s="56"/>
      <c r="CE2797" s="56"/>
      <c r="CF2797" s="56"/>
      <c r="CG2797" s="56"/>
      <c r="CH2797" s="56"/>
      <c r="CI2797" s="56"/>
      <c r="CJ2797" s="56"/>
      <c r="CK2797" s="56"/>
      <c r="CL2797" s="56"/>
      <c r="CM2797" s="56"/>
      <c r="CN2797" s="56"/>
      <c r="CO2797" s="56"/>
      <c r="CP2797" s="56"/>
      <c r="CQ2797" s="56"/>
      <c r="CR2797" s="56"/>
      <c r="CS2797" s="56"/>
      <c r="CT2797" s="56"/>
      <c r="CU2797" s="56"/>
      <c r="CV2797" s="56"/>
      <c r="CW2797" s="56"/>
      <c r="CX2797" s="56"/>
      <c r="CY2797" s="56"/>
      <c r="CZ2797" s="56"/>
    </row>
    <row r="2798" spans="27:104" s="5" customFormat="1" x14ac:dyDescent="0.25">
      <c r="AA2798" s="56"/>
      <c r="AB2798" s="56"/>
      <c r="AC2798" s="56"/>
      <c r="AD2798" s="56"/>
      <c r="AE2798" s="56"/>
      <c r="AF2798" s="56"/>
      <c r="AG2798" s="56"/>
      <c r="AH2798" s="56"/>
      <c r="AI2798" s="56"/>
      <c r="AJ2798" s="56"/>
      <c r="AK2798" s="56"/>
      <c r="AL2798" s="56"/>
      <c r="AM2798" s="56"/>
      <c r="AN2798" s="56"/>
      <c r="AO2798" s="56"/>
      <c r="AP2798" s="56"/>
      <c r="AQ2798" s="56"/>
      <c r="AR2798" s="56"/>
      <c r="AS2798" s="56"/>
      <c r="AT2798" s="56"/>
      <c r="AU2798" s="56"/>
      <c r="AV2798" s="56"/>
      <c r="AW2798" s="56"/>
      <c r="AX2798" s="56"/>
      <c r="AY2798" s="56"/>
      <c r="AZ2798" s="56"/>
      <c r="BA2798" s="56"/>
      <c r="BB2798" s="16"/>
      <c r="BC2798" s="56"/>
      <c r="BD2798" s="56"/>
      <c r="BE2798" s="56"/>
      <c r="BF2798" s="56"/>
      <c r="BG2798" s="56"/>
      <c r="BH2798" s="56"/>
      <c r="BI2798" s="56"/>
      <c r="BJ2798" s="56"/>
      <c r="BK2798" s="56"/>
      <c r="BL2798" s="56"/>
      <c r="BM2798" s="56"/>
      <c r="BN2798" s="56"/>
      <c r="BO2798" s="56"/>
      <c r="BP2798" s="56"/>
      <c r="BQ2798" s="56"/>
      <c r="BR2798" s="56"/>
      <c r="BS2798" s="56"/>
      <c r="BT2798" s="56"/>
      <c r="BU2798" s="56"/>
      <c r="BV2798" s="56"/>
      <c r="BW2798" s="56"/>
      <c r="BX2798" s="56"/>
      <c r="BY2798" s="56"/>
      <c r="BZ2798" s="56"/>
      <c r="CA2798" s="56"/>
      <c r="CB2798" s="56"/>
      <c r="CC2798" s="56"/>
      <c r="CD2798" s="56"/>
      <c r="CE2798" s="56"/>
      <c r="CF2798" s="56"/>
      <c r="CG2798" s="56"/>
      <c r="CH2798" s="56"/>
      <c r="CI2798" s="56"/>
      <c r="CJ2798" s="56"/>
      <c r="CK2798" s="56"/>
      <c r="CL2798" s="56"/>
      <c r="CM2798" s="56"/>
      <c r="CN2798" s="56"/>
      <c r="CO2798" s="56"/>
      <c r="CP2798" s="56"/>
      <c r="CQ2798" s="56"/>
      <c r="CR2798" s="56"/>
      <c r="CS2798" s="56"/>
      <c r="CT2798" s="56"/>
      <c r="CU2798" s="56"/>
      <c r="CV2798" s="56"/>
      <c r="CW2798" s="56"/>
      <c r="CX2798" s="56"/>
      <c r="CY2798" s="56"/>
      <c r="CZ2798" s="56"/>
    </row>
    <row r="2799" spans="27:104" s="5" customFormat="1" x14ac:dyDescent="0.25">
      <c r="AA2799" s="56"/>
      <c r="AB2799" s="56"/>
      <c r="AC2799" s="56"/>
      <c r="AD2799" s="56"/>
      <c r="AE2799" s="56"/>
      <c r="AF2799" s="56"/>
      <c r="AG2799" s="56"/>
      <c r="AH2799" s="56"/>
      <c r="AI2799" s="56"/>
      <c r="AJ2799" s="56"/>
      <c r="AK2799" s="56"/>
      <c r="AL2799" s="56"/>
      <c r="AM2799" s="56"/>
      <c r="AN2799" s="56"/>
      <c r="AO2799" s="56"/>
      <c r="AP2799" s="56"/>
      <c r="AQ2799" s="56"/>
      <c r="AR2799" s="56"/>
      <c r="AS2799" s="56"/>
      <c r="AT2799" s="56"/>
      <c r="AU2799" s="56"/>
      <c r="AV2799" s="56"/>
      <c r="AW2799" s="56"/>
      <c r="AX2799" s="56"/>
      <c r="AY2799" s="56"/>
      <c r="AZ2799" s="56"/>
      <c r="BA2799" s="56"/>
      <c r="BB2799" s="16"/>
      <c r="BC2799" s="56"/>
      <c r="BD2799" s="56"/>
      <c r="BE2799" s="56"/>
      <c r="BF2799" s="56"/>
      <c r="BG2799" s="56"/>
      <c r="BH2799" s="56"/>
      <c r="BI2799" s="56"/>
      <c r="BJ2799" s="56"/>
      <c r="BK2799" s="56"/>
      <c r="BL2799" s="56"/>
      <c r="BM2799" s="56"/>
      <c r="BN2799" s="56"/>
      <c r="BO2799" s="56"/>
      <c r="BP2799" s="56"/>
      <c r="BQ2799" s="56"/>
      <c r="BR2799" s="56"/>
      <c r="BS2799" s="56"/>
      <c r="BT2799" s="56"/>
      <c r="BU2799" s="56"/>
      <c r="BV2799" s="56"/>
      <c r="BW2799" s="56"/>
      <c r="BX2799" s="56"/>
      <c r="BY2799" s="56"/>
      <c r="BZ2799" s="56"/>
      <c r="CA2799" s="56"/>
      <c r="CB2799" s="56"/>
      <c r="CC2799" s="56"/>
      <c r="CD2799" s="56"/>
      <c r="CE2799" s="56"/>
      <c r="CF2799" s="56"/>
      <c r="CG2799" s="56"/>
      <c r="CH2799" s="56"/>
      <c r="CI2799" s="56"/>
      <c r="CJ2799" s="56"/>
      <c r="CK2799" s="56"/>
      <c r="CL2799" s="56"/>
      <c r="CM2799" s="56"/>
      <c r="CN2799" s="56"/>
      <c r="CO2799" s="56"/>
      <c r="CP2799" s="56"/>
      <c r="CQ2799" s="56"/>
      <c r="CR2799" s="56"/>
      <c r="CS2799" s="56"/>
      <c r="CT2799" s="56"/>
      <c r="CU2799" s="56"/>
      <c r="CV2799" s="56"/>
      <c r="CW2799" s="56"/>
      <c r="CX2799" s="56"/>
      <c r="CY2799" s="56"/>
      <c r="CZ2799" s="56"/>
    </row>
    <row r="2800" spans="27:104" s="5" customFormat="1" x14ac:dyDescent="0.25">
      <c r="AA2800" s="56"/>
      <c r="AB2800" s="56"/>
      <c r="AC2800" s="56"/>
      <c r="AD2800" s="56"/>
      <c r="AE2800" s="56"/>
      <c r="AF2800" s="56"/>
      <c r="AG2800" s="56"/>
      <c r="AH2800" s="56"/>
      <c r="AI2800" s="56"/>
      <c r="AJ2800" s="56"/>
      <c r="AK2800" s="56"/>
      <c r="AL2800" s="56"/>
      <c r="AM2800" s="56"/>
      <c r="AN2800" s="56"/>
      <c r="AO2800" s="56"/>
      <c r="AP2800" s="56"/>
      <c r="AQ2800" s="56"/>
      <c r="AR2800" s="56"/>
      <c r="AS2800" s="56"/>
      <c r="AT2800" s="56"/>
      <c r="AU2800" s="56"/>
      <c r="AV2800" s="56"/>
      <c r="AW2800" s="56"/>
      <c r="AX2800" s="56"/>
      <c r="AY2800" s="56"/>
      <c r="AZ2800" s="56"/>
      <c r="BA2800" s="56"/>
      <c r="BB2800" s="16"/>
      <c r="BC2800" s="56"/>
      <c r="BD2800" s="56"/>
      <c r="BE2800" s="56"/>
      <c r="BF2800" s="56"/>
      <c r="BG2800" s="56"/>
      <c r="BH2800" s="56"/>
      <c r="BI2800" s="56"/>
      <c r="BJ2800" s="56"/>
      <c r="BK2800" s="56"/>
      <c r="BL2800" s="56"/>
      <c r="BM2800" s="56"/>
      <c r="BN2800" s="56"/>
      <c r="BO2800" s="56"/>
      <c r="BP2800" s="56"/>
      <c r="BQ2800" s="56"/>
      <c r="BR2800" s="56"/>
      <c r="BS2800" s="56"/>
      <c r="BT2800" s="56"/>
      <c r="BU2800" s="56"/>
      <c r="BV2800" s="56"/>
      <c r="BW2800" s="56"/>
      <c r="BX2800" s="56"/>
      <c r="BY2800" s="56"/>
      <c r="BZ2800" s="56"/>
      <c r="CA2800" s="56"/>
      <c r="CB2800" s="56"/>
      <c r="CC2800" s="56"/>
      <c r="CD2800" s="56"/>
      <c r="CE2800" s="56"/>
      <c r="CF2800" s="56"/>
      <c r="CG2800" s="56"/>
      <c r="CH2800" s="56"/>
      <c r="CI2800" s="56"/>
      <c r="CJ2800" s="56"/>
      <c r="CK2800" s="56"/>
      <c r="CL2800" s="56"/>
      <c r="CM2800" s="56"/>
      <c r="CN2800" s="56"/>
      <c r="CO2800" s="56"/>
      <c r="CP2800" s="56"/>
      <c r="CQ2800" s="56"/>
      <c r="CR2800" s="56"/>
      <c r="CS2800" s="56"/>
      <c r="CT2800" s="56"/>
      <c r="CU2800" s="56"/>
      <c r="CV2800" s="56"/>
      <c r="CW2800" s="56"/>
      <c r="CX2800" s="56"/>
      <c r="CY2800" s="56"/>
      <c r="CZ2800" s="56"/>
    </row>
    <row r="2801" spans="27:104" s="5" customFormat="1" x14ac:dyDescent="0.25">
      <c r="AA2801" s="56"/>
      <c r="AB2801" s="56"/>
      <c r="AC2801" s="56"/>
      <c r="AD2801" s="56"/>
      <c r="AE2801" s="56"/>
      <c r="AF2801" s="56"/>
      <c r="AG2801" s="56"/>
      <c r="AH2801" s="56"/>
      <c r="AI2801" s="56"/>
      <c r="AJ2801" s="56"/>
      <c r="AK2801" s="56"/>
      <c r="AL2801" s="56"/>
      <c r="AM2801" s="56"/>
      <c r="AN2801" s="56"/>
      <c r="AO2801" s="56"/>
      <c r="AP2801" s="56"/>
      <c r="AQ2801" s="56"/>
      <c r="AR2801" s="56"/>
      <c r="AS2801" s="56"/>
      <c r="AT2801" s="56"/>
      <c r="AU2801" s="56"/>
      <c r="AV2801" s="56"/>
      <c r="AW2801" s="56"/>
      <c r="AX2801" s="56"/>
      <c r="AY2801" s="56"/>
      <c r="AZ2801" s="56"/>
      <c r="BA2801" s="56"/>
      <c r="BB2801" s="16"/>
      <c r="BC2801" s="56"/>
      <c r="BD2801" s="56"/>
      <c r="BE2801" s="56"/>
      <c r="BF2801" s="56"/>
      <c r="BG2801" s="56"/>
      <c r="BH2801" s="56"/>
      <c r="BI2801" s="56"/>
      <c r="BJ2801" s="56"/>
      <c r="BK2801" s="56"/>
      <c r="BL2801" s="56"/>
      <c r="BM2801" s="56"/>
      <c r="BN2801" s="56"/>
      <c r="BO2801" s="56"/>
      <c r="BP2801" s="56"/>
      <c r="BQ2801" s="56"/>
      <c r="BR2801" s="56"/>
      <c r="BS2801" s="56"/>
      <c r="BT2801" s="56"/>
      <c r="BU2801" s="56"/>
      <c r="BV2801" s="56"/>
      <c r="BW2801" s="56"/>
      <c r="BX2801" s="56"/>
      <c r="BY2801" s="56"/>
      <c r="BZ2801" s="56"/>
      <c r="CA2801" s="56"/>
      <c r="CB2801" s="56"/>
      <c r="CC2801" s="56"/>
      <c r="CD2801" s="56"/>
      <c r="CE2801" s="56"/>
      <c r="CF2801" s="56"/>
      <c r="CG2801" s="56"/>
      <c r="CH2801" s="56"/>
      <c r="CI2801" s="56"/>
      <c r="CJ2801" s="56"/>
      <c r="CK2801" s="56"/>
      <c r="CL2801" s="56"/>
      <c r="CM2801" s="56"/>
      <c r="CN2801" s="56"/>
      <c r="CO2801" s="56"/>
      <c r="CP2801" s="56"/>
      <c r="CQ2801" s="56"/>
      <c r="CR2801" s="56"/>
      <c r="CS2801" s="56"/>
      <c r="CT2801" s="56"/>
      <c r="CU2801" s="56"/>
      <c r="CV2801" s="56"/>
      <c r="CW2801" s="56"/>
      <c r="CX2801" s="56"/>
      <c r="CY2801" s="56"/>
      <c r="CZ2801" s="56"/>
    </row>
    <row r="2802" spans="27:104" s="5" customFormat="1" x14ac:dyDescent="0.25">
      <c r="AA2802" s="56"/>
      <c r="AB2802" s="56"/>
      <c r="AC2802" s="56"/>
      <c r="AD2802" s="56"/>
      <c r="AE2802" s="56"/>
      <c r="AF2802" s="56"/>
      <c r="AG2802" s="56"/>
      <c r="AH2802" s="56"/>
      <c r="AI2802" s="56"/>
      <c r="AJ2802" s="56"/>
      <c r="AK2802" s="56"/>
      <c r="AL2802" s="56"/>
      <c r="AM2802" s="56"/>
      <c r="AN2802" s="56"/>
      <c r="AO2802" s="56"/>
      <c r="AP2802" s="56"/>
      <c r="AQ2802" s="56"/>
      <c r="AR2802" s="56"/>
      <c r="AS2802" s="56"/>
      <c r="AT2802" s="56"/>
      <c r="AU2802" s="56"/>
      <c r="AV2802" s="56"/>
      <c r="AW2802" s="56"/>
      <c r="AX2802" s="56"/>
      <c r="AY2802" s="56"/>
      <c r="AZ2802" s="56"/>
      <c r="BA2802" s="56"/>
      <c r="BB2802" s="16"/>
      <c r="BC2802" s="56"/>
      <c r="BD2802" s="56"/>
      <c r="BE2802" s="56"/>
      <c r="BF2802" s="56"/>
      <c r="BG2802" s="56"/>
      <c r="BH2802" s="56"/>
      <c r="BI2802" s="56"/>
      <c r="BJ2802" s="56"/>
      <c r="BK2802" s="56"/>
      <c r="BL2802" s="56"/>
      <c r="BM2802" s="56"/>
      <c r="BN2802" s="56"/>
      <c r="BO2802" s="56"/>
      <c r="BP2802" s="56"/>
      <c r="BQ2802" s="56"/>
      <c r="BR2802" s="56"/>
      <c r="BS2802" s="56"/>
      <c r="BT2802" s="56"/>
      <c r="BU2802" s="56"/>
      <c r="BV2802" s="56"/>
      <c r="BW2802" s="56"/>
      <c r="BX2802" s="56"/>
      <c r="BY2802" s="56"/>
      <c r="BZ2802" s="56"/>
      <c r="CA2802" s="56"/>
      <c r="CB2802" s="56"/>
      <c r="CC2802" s="56"/>
      <c r="CD2802" s="56"/>
      <c r="CE2802" s="56"/>
      <c r="CF2802" s="56"/>
      <c r="CG2802" s="56"/>
      <c r="CH2802" s="56"/>
      <c r="CI2802" s="56"/>
      <c r="CJ2802" s="56"/>
      <c r="CK2802" s="56"/>
      <c r="CL2802" s="56"/>
      <c r="CM2802" s="56"/>
      <c r="CN2802" s="56"/>
      <c r="CO2802" s="56"/>
      <c r="CP2802" s="56"/>
      <c r="CQ2802" s="56"/>
      <c r="CR2802" s="56"/>
      <c r="CS2802" s="56"/>
      <c r="CT2802" s="56"/>
      <c r="CU2802" s="56"/>
      <c r="CV2802" s="56"/>
      <c r="CW2802" s="56"/>
      <c r="CX2802" s="56"/>
      <c r="CY2802" s="56"/>
      <c r="CZ2802" s="56"/>
    </row>
    <row r="2803" spans="27:104" s="5" customFormat="1" x14ac:dyDescent="0.25">
      <c r="AA2803" s="56"/>
      <c r="AB2803" s="56"/>
      <c r="AC2803" s="56"/>
      <c r="AD2803" s="56"/>
      <c r="AE2803" s="56"/>
      <c r="AF2803" s="56"/>
      <c r="AG2803" s="56"/>
      <c r="AH2803" s="56"/>
      <c r="AI2803" s="56"/>
      <c r="AJ2803" s="56"/>
      <c r="AK2803" s="56"/>
      <c r="AL2803" s="56"/>
      <c r="AM2803" s="56"/>
      <c r="AN2803" s="56"/>
      <c r="AO2803" s="56"/>
      <c r="AP2803" s="56"/>
      <c r="AQ2803" s="56"/>
      <c r="AR2803" s="56"/>
      <c r="AS2803" s="56"/>
      <c r="AT2803" s="56"/>
      <c r="AU2803" s="56"/>
      <c r="AV2803" s="56"/>
      <c r="AW2803" s="56"/>
      <c r="AX2803" s="56"/>
      <c r="AY2803" s="56"/>
      <c r="AZ2803" s="56"/>
      <c r="BA2803" s="56"/>
      <c r="BB2803" s="16"/>
      <c r="BC2803" s="56"/>
      <c r="BD2803" s="56"/>
      <c r="BE2803" s="56"/>
      <c r="BF2803" s="56"/>
      <c r="BG2803" s="56"/>
      <c r="BH2803" s="56"/>
      <c r="BI2803" s="56"/>
      <c r="BJ2803" s="56"/>
      <c r="BK2803" s="56"/>
      <c r="BL2803" s="56"/>
      <c r="BM2803" s="56"/>
      <c r="BN2803" s="56"/>
      <c r="BO2803" s="56"/>
      <c r="BP2803" s="56"/>
      <c r="BQ2803" s="56"/>
      <c r="BR2803" s="56"/>
      <c r="BS2803" s="56"/>
      <c r="BT2803" s="56"/>
      <c r="BU2803" s="56"/>
      <c r="BV2803" s="56"/>
      <c r="BW2803" s="56"/>
      <c r="BX2803" s="56"/>
      <c r="BY2803" s="56"/>
      <c r="BZ2803" s="56"/>
      <c r="CA2803" s="56"/>
      <c r="CB2803" s="56"/>
      <c r="CC2803" s="56"/>
      <c r="CD2803" s="56"/>
      <c r="CE2803" s="56"/>
      <c r="CF2803" s="56"/>
      <c r="CG2803" s="56"/>
      <c r="CH2803" s="56"/>
      <c r="CI2803" s="56"/>
      <c r="CJ2803" s="56"/>
      <c r="CK2803" s="56"/>
      <c r="CL2803" s="56"/>
      <c r="CM2803" s="56"/>
      <c r="CN2803" s="56"/>
      <c r="CO2803" s="56"/>
      <c r="CP2803" s="56"/>
      <c r="CQ2803" s="56"/>
      <c r="CR2803" s="56"/>
      <c r="CS2803" s="56"/>
      <c r="CT2803" s="56"/>
      <c r="CU2803" s="56"/>
      <c r="CV2803" s="56"/>
      <c r="CW2803" s="56"/>
      <c r="CX2803" s="56"/>
      <c r="CY2803" s="56"/>
      <c r="CZ2803" s="56"/>
    </row>
    <row r="2804" spans="27:104" s="5" customFormat="1" x14ac:dyDescent="0.25">
      <c r="AA2804" s="56"/>
      <c r="AB2804" s="56"/>
      <c r="AC2804" s="56"/>
      <c r="AD2804" s="56"/>
      <c r="AE2804" s="56"/>
      <c r="AF2804" s="56"/>
      <c r="AG2804" s="56"/>
      <c r="AH2804" s="56"/>
      <c r="AI2804" s="56"/>
      <c r="AJ2804" s="56"/>
      <c r="AK2804" s="56"/>
      <c r="AL2804" s="56"/>
      <c r="AM2804" s="56"/>
      <c r="AN2804" s="56"/>
      <c r="AO2804" s="56"/>
      <c r="AP2804" s="56"/>
      <c r="AQ2804" s="56"/>
      <c r="AR2804" s="56"/>
      <c r="AS2804" s="56"/>
      <c r="AT2804" s="56"/>
      <c r="AU2804" s="56"/>
      <c r="AV2804" s="56"/>
      <c r="AW2804" s="56"/>
      <c r="AX2804" s="56"/>
      <c r="AY2804" s="56"/>
      <c r="AZ2804" s="56"/>
      <c r="BA2804" s="56"/>
      <c r="BB2804" s="16"/>
      <c r="BC2804" s="56"/>
      <c r="BD2804" s="56"/>
      <c r="BE2804" s="56"/>
      <c r="BF2804" s="56"/>
      <c r="BG2804" s="56"/>
      <c r="BH2804" s="56"/>
      <c r="BI2804" s="56"/>
      <c r="BJ2804" s="56"/>
      <c r="BK2804" s="56"/>
      <c r="BL2804" s="56"/>
      <c r="BM2804" s="56"/>
      <c r="BN2804" s="56"/>
      <c r="BO2804" s="56"/>
      <c r="BP2804" s="56"/>
      <c r="BQ2804" s="56"/>
      <c r="BR2804" s="56"/>
      <c r="BS2804" s="56"/>
      <c r="BT2804" s="56"/>
      <c r="BU2804" s="56"/>
      <c r="BV2804" s="56"/>
      <c r="BW2804" s="56"/>
      <c r="BX2804" s="56"/>
      <c r="BY2804" s="56"/>
      <c r="BZ2804" s="56"/>
      <c r="CA2804" s="56"/>
      <c r="CB2804" s="56"/>
      <c r="CC2804" s="56"/>
      <c r="CD2804" s="56"/>
      <c r="CE2804" s="56"/>
      <c r="CF2804" s="56"/>
      <c r="CG2804" s="56"/>
      <c r="CH2804" s="56"/>
      <c r="CI2804" s="56"/>
      <c r="CJ2804" s="56"/>
      <c r="CK2804" s="56"/>
      <c r="CL2804" s="56"/>
      <c r="CM2804" s="56"/>
      <c r="CN2804" s="56"/>
      <c r="CO2804" s="56"/>
      <c r="CP2804" s="56"/>
      <c r="CQ2804" s="56"/>
      <c r="CR2804" s="56"/>
      <c r="CS2804" s="56"/>
      <c r="CT2804" s="56"/>
      <c r="CU2804" s="56"/>
      <c r="CV2804" s="56"/>
      <c r="CW2804" s="56"/>
      <c r="CX2804" s="56"/>
      <c r="CY2804" s="56"/>
      <c r="CZ2804" s="56"/>
    </row>
    <row r="2805" spans="27:104" s="5" customFormat="1" x14ac:dyDescent="0.25">
      <c r="AA2805" s="56"/>
      <c r="AB2805" s="56"/>
      <c r="AC2805" s="56"/>
      <c r="AD2805" s="56"/>
      <c r="AE2805" s="56"/>
      <c r="AF2805" s="56"/>
      <c r="AG2805" s="56"/>
      <c r="AH2805" s="56"/>
      <c r="AI2805" s="56"/>
      <c r="AJ2805" s="56"/>
      <c r="AK2805" s="56"/>
      <c r="AL2805" s="56"/>
      <c r="AM2805" s="56"/>
      <c r="AN2805" s="56"/>
      <c r="AO2805" s="56"/>
      <c r="AP2805" s="56"/>
      <c r="AQ2805" s="56"/>
      <c r="AR2805" s="56"/>
      <c r="AS2805" s="56"/>
      <c r="AT2805" s="56"/>
      <c r="AU2805" s="56"/>
      <c r="AV2805" s="56"/>
      <c r="AW2805" s="56"/>
      <c r="AX2805" s="56"/>
      <c r="AY2805" s="56"/>
      <c r="AZ2805" s="56"/>
      <c r="BA2805" s="56"/>
      <c r="BB2805" s="16"/>
      <c r="BC2805" s="56"/>
      <c r="BD2805" s="56"/>
      <c r="BE2805" s="56"/>
      <c r="BF2805" s="56"/>
      <c r="BG2805" s="56"/>
      <c r="BH2805" s="56"/>
      <c r="BI2805" s="56"/>
      <c r="BJ2805" s="56"/>
      <c r="BK2805" s="56"/>
      <c r="BL2805" s="56"/>
      <c r="BM2805" s="56"/>
      <c r="BN2805" s="56"/>
      <c r="BO2805" s="56"/>
      <c r="BP2805" s="56"/>
      <c r="BQ2805" s="56"/>
      <c r="BR2805" s="56"/>
      <c r="BS2805" s="56"/>
      <c r="BT2805" s="56"/>
      <c r="BU2805" s="56"/>
      <c r="BV2805" s="56"/>
      <c r="BW2805" s="56"/>
      <c r="BX2805" s="56"/>
      <c r="BY2805" s="56"/>
      <c r="BZ2805" s="56"/>
      <c r="CA2805" s="56"/>
      <c r="CB2805" s="56"/>
      <c r="CC2805" s="56"/>
      <c r="CD2805" s="56"/>
      <c r="CE2805" s="56"/>
      <c r="CF2805" s="56"/>
      <c r="CG2805" s="56"/>
      <c r="CH2805" s="56"/>
      <c r="CI2805" s="56"/>
      <c r="CJ2805" s="56"/>
      <c r="CK2805" s="56"/>
      <c r="CL2805" s="56"/>
      <c r="CM2805" s="56"/>
      <c r="CN2805" s="56"/>
      <c r="CO2805" s="56"/>
      <c r="CP2805" s="56"/>
      <c r="CQ2805" s="56"/>
      <c r="CR2805" s="56"/>
      <c r="CS2805" s="56"/>
      <c r="CT2805" s="56"/>
      <c r="CU2805" s="56"/>
      <c r="CV2805" s="56"/>
      <c r="CW2805" s="56"/>
      <c r="CX2805" s="56"/>
      <c r="CY2805" s="56"/>
      <c r="CZ2805" s="56"/>
    </row>
    <row r="2806" spans="27:104" s="5" customFormat="1" x14ac:dyDescent="0.25">
      <c r="AA2806" s="56"/>
      <c r="AB2806" s="56"/>
      <c r="AC2806" s="56"/>
      <c r="AD2806" s="56"/>
      <c r="AE2806" s="56"/>
      <c r="AF2806" s="56"/>
      <c r="AG2806" s="56"/>
      <c r="AH2806" s="56"/>
      <c r="AI2806" s="56"/>
      <c r="AJ2806" s="56"/>
      <c r="AK2806" s="56"/>
      <c r="AL2806" s="56"/>
      <c r="AM2806" s="56"/>
      <c r="AN2806" s="56"/>
      <c r="AO2806" s="56"/>
      <c r="AP2806" s="56"/>
      <c r="AQ2806" s="56"/>
      <c r="AR2806" s="56"/>
      <c r="AS2806" s="56"/>
      <c r="AT2806" s="56"/>
      <c r="AU2806" s="56"/>
      <c r="AV2806" s="56"/>
      <c r="AW2806" s="56"/>
      <c r="AX2806" s="56"/>
      <c r="AY2806" s="56"/>
      <c r="AZ2806" s="56"/>
      <c r="BA2806" s="56"/>
      <c r="BB2806" s="16"/>
      <c r="BC2806" s="56"/>
      <c r="BD2806" s="56"/>
      <c r="BE2806" s="56"/>
      <c r="BF2806" s="56"/>
      <c r="BG2806" s="56"/>
      <c r="BH2806" s="56"/>
      <c r="BI2806" s="56"/>
      <c r="BJ2806" s="56"/>
      <c r="BK2806" s="56"/>
      <c r="BL2806" s="56"/>
      <c r="BM2806" s="56"/>
      <c r="BN2806" s="56"/>
      <c r="BO2806" s="56"/>
      <c r="BP2806" s="56"/>
      <c r="BQ2806" s="56"/>
      <c r="BR2806" s="56"/>
      <c r="BS2806" s="56"/>
      <c r="BT2806" s="56"/>
      <c r="BU2806" s="56"/>
      <c r="BV2806" s="56"/>
      <c r="BW2806" s="56"/>
      <c r="BX2806" s="56"/>
      <c r="BY2806" s="56"/>
      <c r="BZ2806" s="56"/>
      <c r="CA2806" s="56"/>
      <c r="CB2806" s="56"/>
      <c r="CC2806" s="56"/>
      <c r="CD2806" s="56"/>
      <c r="CE2806" s="56"/>
      <c r="CF2806" s="56"/>
      <c r="CG2806" s="56"/>
      <c r="CH2806" s="56"/>
      <c r="CI2806" s="56"/>
      <c r="CJ2806" s="56"/>
      <c r="CK2806" s="56"/>
      <c r="CL2806" s="56"/>
      <c r="CM2806" s="56"/>
      <c r="CN2806" s="56"/>
      <c r="CO2806" s="56"/>
      <c r="CP2806" s="56"/>
      <c r="CQ2806" s="56"/>
      <c r="CR2806" s="56"/>
      <c r="CS2806" s="56"/>
      <c r="CT2806" s="56"/>
      <c r="CU2806" s="56"/>
      <c r="CV2806" s="56"/>
      <c r="CW2806" s="56"/>
      <c r="CX2806" s="56"/>
      <c r="CY2806" s="56"/>
      <c r="CZ2806" s="56"/>
    </row>
    <row r="2807" spans="27:104" s="5" customFormat="1" x14ac:dyDescent="0.25">
      <c r="AA2807" s="56"/>
      <c r="AB2807" s="56"/>
      <c r="AC2807" s="56"/>
      <c r="AD2807" s="56"/>
      <c r="AE2807" s="56"/>
      <c r="AF2807" s="56"/>
      <c r="AG2807" s="56"/>
      <c r="AH2807" s="56"/>
      <c r="AI2807" s="56"/>
      <c r="AJ2807" s="56"/>
      <c r="AK2807" s="56"/>
      <c r="AL2807" s="56"/>
      <c r="AM2807" s="56"/>
      <c r="AN2807" s="56"/>
      <c r="AO2807" s="56"/>
      <c r="AP2807" s="56"/>
      <c r="AQ2807" s="56"/>
      <c r="AR2807" s="56"/>
      <c r="AS2807" s="56"/>
      <c r="AT2807" s="56"/>
      <c r="AU2807" s="56"/>
      <c r="AV2807" s="56"/>
      <c r="AW2807" s="56"/>
      <c r="AX2807" s="56"/>
      <c r="AY2807" s="56"/>
      <c r="AZ2807" s="56"/>
      <c r="BA2807" s="56"/>
      <c r="BB2807" s="16"/>
      <c r="BC2807" s="56"/>
      <c r="BD2807" s="56"/>
      <c r="BE2807" s="56"/>
      <c r="BF2807" s="56"/>
      <c r="BG2807" s="56"/>
      <c r="BH2807" s="56"/>
      <c r="BI2807" s="56"/>
      <c r="BJ2807" s="56"/>
      <c r="BK2807" s="56"/>
      <c r="BL2807" s="56"/>
      <c r="BM2807" s="56"/>
      <c r="BN2807" s="56"/>
      <c r="BO2807" s="56"/>
      <c r="BP2807" s="56"/>
      <c r="BQ2807" s="56"/>
      <c r="BR2807" s="56"/>
      <c r="BS2807" s="56"/>
      <c r="BT2807" s="56"/>
      <c r="BU2807" s="56"/>
      <c r="BV2807" s="56"/>
      <c r="BW2807" s="56"/>
      <c r="BX2807" s="56"/>
      <c r="BY2807" s="56"/>
      <c r="BZ2807" s="56"/>
      <c r="CA2807" s="56"/>
      <c r="CB2807" s="56"/>
      <c r="CC2807" s="56"/>
      <c r="CD2807" s="56"/>
      <c r="CE2807" s="56"/>
      <c r="CF2807" s="56"/>
      <c r="CG2807" s="56"/>
      <c r="CH2807" s="56"/>
      <c r="CI2807" s="56"/>
      <c r="CJ2807" s="56"/>
      <c r="CK2807" s="56"/>
      <c r="CL2807" s="56"/>
      <c r="CM2807" s="56"/>
      <c r="CN2807" s="56"/>
      <c r="CO2807" s="56"/>
      <c r="CP2807" s="56"/>
      <c r="CQ2807" s="56"/>
      <c r="CR2807" s="56"/>
      <c r="CS2807" s="56"/>
      <c r="CT2807" s="56"/>
      <c r="CU2807" s="56"/>
      <c r="CV2807" s="56"/>
      <c r="CW2807" s="56"/>
      <c r="CX2807" s="56"/>
      <c r="CY2807" s="56"/>
      <c r="CZ2807" s="56"/>
    </row>
    <row r="2808" spans="27:104" s="5" customFormat="1" x14ac:dyDescent="0.25">
      <c r="AA2808" s="56"/>
      <c r="AB2808" s="56"/>
      <c r="AC2808" s="56"/>
      <c r="AD2808" s="56"/>
      <c r="AE2808" s="56"/>
      <c r="AF2808" s="56"/>
      <c r="AG2808" s="56"/>
      <c r="AH2808" s="56"/>
      <c r="AI2808" s="56"/>
      <c r="AJ2808" s="56"/>
      <c r="AK2808" s="56"/>
      <c r="AL2808" s="56"/>
      <c r="AM2808" s="56"/>
      <c r="AN2808" s="56"/>
      <c r="AO2808" s="56"/>
      <c r="AP2808" s="56"/>
      <c r="AQ2808" s="56"/>
      <c r="AR2808" s="56"/>
      <c r="AS2808" s="56"/>
      <c r="AT2808" s="56"/>
      <c r="AU2808" s="56"/>
      <c r="AV2808" s="56"/>
      <c r="AW2808" s="56"/>
      <c r="AX2808" s="56"/>
      <c r="AY2808" s="56"/>
      <c r="AZ2808" s="56"/>
      <c r="BA2808" s="56"/>
      <c r="BB2808" s="16"/>
      <c r="BC2808" s="56"/>
      <c r="BD2808" s="56"/>
      <c r="BE2808" s="56"/>
      <c r="BF2808" s="56"/>
      <c r="BG2808" s="56"/>
      <c r="BH2808" s="56"/>
      <c r="BI2808" s="56"/>
      <c r="BJ2808" s="56"/>
      <c r="BK2808" s="56"/>
      <c r="BL2808" s="56"/>
      <c r="BM2808" s="56"/>
      <c r="BN2808" s="56"/>
      <c r="BO2808" s="56"/>
      <c r="BP2808" s="56"/>
      <c r="BQ2808" s="56"/>
      <c r="BR2808" s="56"/>
      <c r="BS2808" s="56"/>
      <c r="BT2808" s="56"/>
      <c r="BU2808" s="56"/>
      <c r="BV2808" s="56"/>
      <c r="BW2808" s="56"/>
      <c r="BX2808" s="56"/>
      <c r="BY2808" s="56"/>
      <c r="BZ2808" s="56"/>
      <c r="CA2808" s="56"/>
      <c r="CB2808" s="56"/>
      <c r="CC2808" s="56"/>
      <c r="CD2808" s="56"/>
      <c r="CE2808" s="56"/>
      <c r="CF2808" s="56"/>
      <c r="CG2808" s="56"/>
      <c r="CH2808" s="56"/>
      <c r="CI2808" s="56"/>
      <c r="CJ2808" s="56"/>
      <c r="CK2808" s="56"/>
      <c r="CL2808" s="56"/>
      <c r="CM2808" s="56"/>
      <c r="CN2808" s="56"/>
      <c r="CO2808" s="56"/>
      <c r="CP2808" s="56"/>
      <c r="CQ2808" s="56"/>
      <c r="CR2808" s="56"/>
      <c r="CS2808" s="56"/>
      <c r="CT2808" s="56"/>
      <c r="CU2808" s="56"/>
      <c r="CV2808" s="56"/>
      <c r="CW2808" s="56"/>
      <c r="CX2808" s="56"/>
      <c r="CY2808" s="56"/>
      <c r="CZ2808" s="56"/>
    </row>
    <row r="2809" spans="27:104" s="5" customFormat="1" x14ac:dyDescent="0.25">
      <c r="AA2809" s="56"/>
      <c r="AB2809" s="56"/>
      <c r="AC2809" s="56"/>
      <c r="AD2809" s="56"/>
      <c r="AE2809" s="56"/>
      <c r="AF2809" s="56"/>
      <c r="AG2809" s="56"/>
      <c r="AH2809" s="56"/>
      <c r="AI2809" s="56"/>
      <c r="AJ2809" s="56"/>
      <c r="AK2809" s="56"/>
      <c r="AL2809" s="56"/>
      <c r="AM2809" s="56"/>
      <c r="AN2809" s="56"/>
      <c r="AO2809" s="56"/>
      <c r="AP2809" s="56"/>
      <c r="AQ2809" s="56"/>
      <c r="AR2809" s="56"/>
      <c r="AS2809" s="56"/>
      <c r="AT2809" s="56"/>
      <c r="AU2809" s="56"/>
      <c r="AV2809" s="56"/>
      <c r="AW2809" s="56"/>
      <c r="AX2809" s="56"/>
      <c r="AY2809" s="56"/>
      <c r="AZ2809" s="56"/>
      <c r="BA2809" s="56"/>
      <c r="BB2809" s="16"/>
      <c r="BC2809" s="56"/>
      <c r="BD2809" s="56"/>
      <c r="BE2809" s="56"/>
      <c r="BF2809" s="56"/>
      <c r="BG2809" s="56"/>
      <c r="BH2809" s="56"/>
      <c r="BI2809" s="56"/>
      <c r="BJ2809" s="56"/>
      <c r="BK2809" s="56"/>
      <c r="BL2809" s="56"/>
      <c r="BM2809" s="56"/>
      <c r="BN2809" s="56"/>
      <c r="BO2809" s="56"/>
      <c r="BP2809" s="56"/>
      <c r="BQ2809" s="56"/>
      <c r="BR2809" s="56"/>
      <c r="BS2809" s="56"/>
      <c r="BT2809" s="56"/>
      <c r="BU2809" s="56"/>
      <c r="BV2809" s="56"/>
      <c r="BW2809" s="56"/>
      <c r="BX2809" s="56"/>
      <c r="BY2809" s="56"/>
      <c r="BZ2809" s="56"/>
      <c r="CA2809" s="56"/>
      <c r="CB2809" s="56"/>
      <c r="CC2809" s="56"/>
      <c r="CD2809" s="56"/>
      <c r="CE2809" s="56"/>
      <c r="CF2809" s="56"/>
      <c r="CG2809" s="56"/>
      <c r="CH2809" s="56"/>
      <c r="CI2809" s="56"/>
      <c r="CJ2809" s="56"/>
      <c r="CK2809" s="56"/>
      <c r="CL2809" s="56"/>
      <c r="CM2809" s="56"/>
      <c r="CN2809" s="56"/>
      <c r="CO2809" s="56"/>
      <c r="CP2809" s="56"/>
      <c r="CQ2809" s="56"/>
      <c r="CR2809" s="56"/>
      <c r="CS2809" s="56"/>
      <c r="CT2809" s="56"/>
      <c r="CU2809" s="56"/>
      <c r="CV2809" s="56"/>
      <c r="CW2809" s="56"/>
      <c r="CX2809" s="56"/>
      <c r="CY2809" s="56"/>
      <c r="CZ2809" s="56"/>
    </row>
    <row r="2810" spans="27:104" s="5" customFormat="1" x14ac:dyDescent="0.25">
      <c r="AA2810" s="56"/>
      <c r="AB2810" s="56"/>
      <c r="AC2810" s="56"/>
      <c r="AD2810" s="56"/>
      <c r="AE2810" s="56"/>
      <c r="AF2810" s="56"/>
      <c r="AG2810" s="56"/>
      <c r="AH2810" s="56"/>
      <c r="AI2810" s="56"/>
      <c r="AJ2810" s="56"/>
      <c r="AK2810" s="56"/>
      <c r="AL2810" s="56"/>
      <c r="AM2810" s="56"/>
      <c r="AN2810" s="56"/>
      <c r="AO2810" s="56"/>
      <c r="AP2810" s="56"/>
      <c r="AQ2810" s="56"/>
      <c r="AR2810" s="56"/>
      <c r="AS2810" s="56"/>
      <c r="AT2810" s="56"/>
      <c r="AU2810" s="56"/>
      <c r="AV2810" s="56"/>
      <c r="AW2810" s="56"/>
      <c r="AX2810" s="56"/>
      <c r="AY2810" s="56"/>
      <c r="AZ2810" s="56"/>
      <c r="BA2810" s="56"/>
      <c r="BB2810" s="16"/>
      <c r="BC2810" s="56"/>
      <c r="BD2810" s="56"/>
      <c r="BE2810" s="56"/>
      <c r="BF2810" s="56"/>
      <c r="BG2810" s="56"/>
      <c r="BH2810" s="56"/>
      <c r="BI2810" s="56"/>
      <c r="BJ2810" s="56"/>
      <c r="BK2810" s="56"/>
      <c r="BL2810" s="56"/>
      <c r="BM2810" s="56"/>
      <c r="BN2810" s="56"/>
      <c r="BO2810" s="56"/>
      <c r="BP2810" s="56"/>
      <c r="BQ2810" s="56"/>
      <c r="BR2810" s="56"/>
      <c r="BS2810" s="56"/>
      <c r="BT2810" s="56"/>
      <c r="BU2810" s="56"/>
      <c r="BV2810" s="56"/>
      <c r="BW2810" s="56"/>
      <c r="BX2810" s="56"/>
      <c r="BY2810" s="56"/>
      <c r="BZ2810" s="56"/>
      <c r="CA2810" s="56"/>
      <c r="CB2810" s="56"/>
      <c r="CC2810" s="56"/>
      <c r="CD2810" s="56"/>
      <c r="CE2810" s="56"/>
      <c r="CF2810" s="56"/>
      <c r="CG2810" s="56"/>
      <c r="CH2810" s="56"/>
      <c r="CI2810" s="56"/>
      <c r="CJ2810" s="56"/>
      <c r="CK2810" s="56"/>
      <c r="CL2810" s="56"/>
      <c r="CM2810" s="56"/>
      <c r="CN2810" s="56"/>
      <c r="CO2810" s="56"/>
      <c r="CP2810" s="56"/>
      <c r="CQ2810" s="56"/>
      <c r="CR2810" s="56"/>
      <c r="CS2810" s="56"/>
      <c r="CT2810" s="56"/>
      <c r="CU2810" s="56"/>
      <c r="CV2810" s="56"/>
      <c r="CW2810" s="56"/>
      <c r="CX2810" s="56"/>
      <c r="CY2810" s="56"/>
      <c r="CZ2810" s="56"/>
    </row>
    <row r="2811" spans="27:104" s="5" customFormat="1" x14ac:dyDescent="0.25">
      <c r="AA2811" s="56"/>
      <c r="AB2811" s="56"/>
      <c r="AC2811" s="56"/>
      <c r="AD2811" s="56"/>
      <c r="AE2811" s="56"/>
      <c r="AF2811" s="56"/>
      <c r="AG2811" s="56"/>
      <c r="AH2811" s="56"/>
      <c r="AI2811" s="56"/>
      <c r="AJ2811" s="56"/>
      <c r="AK2811" s="56"/>
      <c r="AL2811" s="56"/>
      <c r="AM2811" s="56"/>
      <c r="AN2811" s="56"/>
      <c r="AO2811" s="56"/>
      <c r="AP2811" s="56"/>
      <c r="AQ2811" s="56"/>
      <c r="AR2811" s="56"/>
      <c r="AS2811" s="56"/>
      <c r="AT2811" s="56"/>
      <c r="AU2811" s="56"/>
      <c r="AV2811" s="56"/>
      <c r="AW2811" s="56"/>
      <c r="AX2811" s="56"/>
      <c r="AY2811" s="56"/>
      <c r="AZ2811" s="56"/>
      <c r="BA2811" s="56"/>
      <c r="BB2811" s="16"/>
      <c r="BC2811" s="56"/>
      <c r="BD2811" s="56"/>
      <c r="BE2811" s="56"/>
      <c r="BF2811" s="56"/>
      <c r="BG2811" s="56"/>
      <c r="BH2811" s="56"/>
      <c r="BI2811" s="56"/>
      <c r="BJ2811" s="56"/>
      <c r="BK2811" s="56"/>
      <c r="BL2811" s="56"/>
      <c r="BM2811" s="56"/>
      <c r="BN2811" s="56"/>
      <c r="BO2811" s="56"/>
      <c r="BP2811" s="56"/>
      <c r="BQ2811" s="56"/>
      <c r="BR2811" s="56"/>
      <c r="BS2811" s="56"/>
      <c r="BT2811" s="56"/>
      <c r="BU2811" s="56"/>
      <c r="BV2811" s="56"/>
      <c r="BW2811" s="56"/>
      <c r="BX2811" s="56"/>
      <c r="BY2811" s="56"/>
      <c r="BZ2811" s="56"/>
      <c r="CA2811" s="56"/>
      <c r="CB2811" s="56"/>
      <c r="CC2811" s="56"/>
      <c r="CD2811" s="56"/>
      <c r="CE2811" s="56"/>
      <c r="CF2811" s="56"/>
      <c r="CG2811" s="56"/>
      <c r="CH2811" s="56"/>
      <c r="CI2811" s="56"/>
      <c r="CJ2811" s="56"/>
      <c r="CK2811" s="56"/>
      <c r="CL2811" s="56"/>
      <c r="CM2811" s="56"/>
      <c r="CN2811" s="56"/>
      <c r="CO2811" s="56"/>
      <c r="CP2811" s="56"/>
      <c r="CQ2811" s="56"/>
      <c r="CR2811" s="56"/>
      <c r="CS2811" s="56"/>
      <c r="CT2811" s="56"/>
      <c r="CU2811" s="56"/>
      <c r="CV2811" s="56"/>
      <c r="CW2811" s="56"/>
      <c r="CX2811" s="56"/>
      <c r="CY2811" s="56"/>
      <c r="CZ2811" s="56"/>
    </row>
    <row r="2812" spans="27:104" s="5" customFormat="1" x14ac:dyDescent="0.25">
      <c r="AA2812" s="56"/>
      <c r="AB2812" s="56"/>
      <c r="AC2812" s="56"/>
      <c r="AD2812" s="56"/>
      <c r="AE2812" s="56"/>
      <c r="AF2812" s="56"/>
      <c r="AG2812" s="56"/>
      <c r="AH2812" s="56"/>
      <c r="AI2812" s="56"/>
      <c r="AJ2812" s="56"/>
      <c r="AK2812" s="56"/>
      <c r="AL2812" s="56"/>
      <c r="AM2812" s="56"/>
      <c r="AN2812" s="56"/>
      <c r="AO2812" s="56"/>
      <c r="AP2812" s="56"/>
      <c r="AQ2812" s="56"/>
      <c r="AR2812" s="56"/>
      <c r="AS2812" s="56"/>
      <c r="AT2812" s="56"/>
      <c r="AU2812" s="56"/>
      <c r="AV2812" s="56"/>
      <c r="AW2812" s="56"/>
      <c r="AX2812" s="56"/>
      <c r="AY2812" s="56"/>
      <c r="AZ2812" s="56"/>
      <c r="BA2812" s="56"/>
      <c r="BB2812" s="16"/>
      <c r="BC2812" s="56"/>
      <c r="BD2812" s="56"/>
      <c r="BE2812" s="56"/>
      <c r="BF2812" s="56"/>
      <c r="BG2812" s="56"/>
      <c r="BH2812" s="56"/>
      <c r="BI2812" s="56"/>
      <c r="BJ2812" s="56"/>
      <c r="BK2812" s="56"/>
      <c r="BL2812" s="56"/>
      <c r="BM2812" s="56"/>
      <c r="BN2812" s="56"/>
      <c r="BO2812" s="56"/>
      <c r="BP2812" s="56"/>
      <c r="BQ2812" s="56"/>
      <c r="BR2812" s="56"/>
      <c r="BS2812" s="56"/>
      <c r="BT2812" s="56"/>
      <c r="BU2812" s="56"/>
      <c r="BV2812" s="56"/>
      <c r="BW2812" s="56"/>
      <c r="BX2812" s="56"/>
      <c r="BY2812" s="56"/>
      <c r="BZ2812" s="56"/>
      <c r="CA2812" s="56"/>
      <c r="CB2812" s="56"/>
      <c r="CC2812" s="56"/>
      <c r="CD2812" s="56"/>
      <c r="CE2812" s="56"/>
      <c r="CF2812" s="56"/>
      <c r="CG2812" s="56"/>
      <c r="CH2812" s="56"/>
      <c r="CI2812" s="56"/>
      <c r="CJ2812" s="56"/>
      <c r="CK2812" s="56"/>
      <c r="CL2812" s="56"/>
      <c r="CM2812" s="56"/>
      <c r="CN2812" s="56"/>
      <c r="CO2812" s="56"/>
      <c r="CP2812" s="56"/>
      <c r="CQ2812" s="56"/>
      <c r="CR2812" s="56"/>
      <c r="CS2812" s="56"/>
      <c r="CT2812" s="56"/>
      <c r="CU2812" s="56"/>
      <c r="CV2812" s="56"/>
      <c r="CW2812" s="56"/>
      <c r="CX2812" s="56"/>
      <c r="CY2812" s="56"/>
      <c r="CZ2812" s="56"/>
    </row>
    <row r="2813" spans="27:104" s="5" customFormat="1" x14ac:dyDescent="0.25">
      <c r="AA2813" s="56"/>
      <c r="AB2813" s="56"/>
      <c r="AC2813" s="56"/>
      <c r="AD2813" s="56"/>
      <c r="AE2813" s="56"/>
      <c r="AF2813" s="56"/>
      <c r="AG2813" s="56"/>
      <c r="AH2813" s="56"/>
      <c r="AI2813" s="56"/>
      <c r="AJ2813" s="56"/>
      <c r="AK2813" s="56"/>
      <c r="AL2813" s="56"/>
      <c r="AM2813" s="56"/>
      <c r="AN2813" s="56"/>
      <c r="AO2813" s="56"/>
      <c r="AP2813" s="56"/>
      <c r="AQ2813" s="56"/>
      <c r="AR2813" s="56"/>
      <c r="AS2813" s="56"/>
      <c r="AT2813" s="56"/>
      <c r="AU2813" s="56"/>
      <c r="AV2813" s="56"/>
      <c r="AW2813" s="56"/>
      <c r="AX2813" s="56"/>
      <c r="AY2813" s="56"/>
      <c r="AZ2813" s="56"/>
      <c r="BA2813" s="56"/>
      <c r="BB2813" s="16"/>
      <c r="BC2813" s="56"/>
      <c r="BD2813" s="56"/>
      <c r="BE2813" s="56"/>
      <c r="BF2813" s="56"/>
      <c r="BG2813" s="56"/>
      <c r="BH2813" s="56"/>
      <c r="BI2813" s="56"/>
      <c r="BJ2813" s="56"/>
      <c r="BK2813" s="56"/>
      <c r="BL2813" s="56"/>
      <c r="BM2813" s="56"/>
      <c r="BN2813" s="56"/>
      <c r="BO2813" s="56"/>
      <c r="BP2813" s="56"/>
      <c r="BQ2813" s="56"/>
      <c r="BR2813" s="56"/>
      <c r="BS2813" s="56"/>
      <c r="BT2813" s="56"/>
      <c r="BU2813" s="56"/>
      <c r="BV2813" s="56"/>
      <c r="BW2813" s="56"/>
      <c r="BX2813" s="56"/>
      <c r="BY2813" s="56"/>
      <c r="BZ2813" s="56"/>
      <c r="CA2813" s="56"/>
      <c r="CB2813" s="56"/>
      <c r="CC2813" s="56"/>
      <c r="CD2813" s="56"/>
      <c r="CE2813" s="56"/>
      <c r="CF2813" s="56"/>
      <c r="CG2813" s="56"/>
      <c r="CH2813" s="56"/>
      <c r="CI2813" s="56"/>
      <c r="CJ2813" s="56"/>
      <c r="CK2813" s="56"/>
      <c r="CL2813" s="56"/>
      <c r="CM2813" s="56"/>
      <c r="CN2813" s="56"/>
      <c r="CO2813" s="56"/>
      <c r="CP2813" s="56"/>
      <c r="CQ2813" s="56"/>
      <c r="CR2813" s="56"/>
      <c r="CS2813" s="56"/>
      <c r="CT2813" s="56"/>
      <c r="CU2813" s="56"/>
      <c r="CV2813" s="56"/>
      <c r="CW2813" s="56"/>
      <c r="CX2813" s="56"/>
      <c r="CY2813" s="56"/>
      <c r="CZ2813" s="56"/>
    </row>
    <row r="2814" spans="27:104" s="5" customFormat="1" x14ac:dyDescent="0.25">
      <c r="AA2814" s="56"/>
      <c r="AB2814" s="56"/>
      <c r="AC2814" s="56"/>
      <c r="AD2814" s="56"/>
      <c r="AE2814" s="56"/>
      <c r="AF2814" s="56"/>
      <c r="AG2814" s="56"/>
      <c r="AH2814" s="56"/>
      <c r="AI2814" s="56"/>
      <c r="AJ2814" s="56"/>
      <c r="AK2814" s="56"/>
      <c r="AL2814" s="56"/>
      <c r="AM2814" s="56"/>
      <c r="AN2814" s="56"/>
      <c r="AO2814" s="56"/>
      <c r="AP2814" s="56"/>
      <c r="AQ2814" s="56"/>
      <c r="AR2814" s="56"/>
      <c r="AS2814" s="56"/>
      <c r="AT2814" s="56"/>
      <c r="AU2814" s="56"/>
      <c r="AV2814" s="56"/>
      <c r="AW2814" s="56"/>
      <c r="AX2814" s="56"/>
      <c r="AY2814" s="56"/>
      <c r="AZ2814" s="56"/>
      <c r="BA2814" s="56"/>
      <c r="BB2814" s="16"/>
      <c r="BC2814" s="56"/>
      <c r="BD2814" s="56"/>
      <c r="BE2814" s="56"/>
      <c r="BF2814" s="56"/>
      <c r="BG2814" s="56"/>
      <c r="BH2814" s="56"/>
      <c r="BI2814" s="56"/>
      <c r="BJ2814" s="56"/>
      <c r="BK2814" s="56"/>
      <c r="BL2814" s="56"/>
      <c r="BM2814" s="56"/>
      <c r="BN2814" s="56"/>
      <c r="BO2814" s="56"/>
      <c r="BP2814" s="56"/>
      <c r="BQ2814" s="56"/>
      <c r="BR2814" s="56"/>
      <c r="BS2814" s="56"/>
      <c r="BT2814" s="56"/>
      <c r="BU2814" s="56"/>
      <c r="BV2814" s="56"/>
      <c r="BW2814" s="56"/>
      <c r="BX2814" s="56"/>
      <c r="BY2814" s="56"/>
      <c r="BZ2814" s="56"/>
      <c r="CA2814" s="56"/>
      <c r="CB2814" s="56"/>
      <c r="CC2814" s="56"/>
      <c r="CD2814" s="56"/>
      <c r="CE2814" s="56"/>
      <c r="CF2814" s="56"/>
      <c r="CG2814" s="56"/>
      <c r="CH2814" s="56"/>
      <c r="CI2814" s="56"/>
      <c r="CJ2814" s="56"/>
      <c r="CK2814" s="56"/>
      <c r="CL2814" s="56"/>
      <c r="CM2814" s="56"/>
      <c r="CN2814" s="56"/>
      <c r="CO2814" s="56"/>
      <c r="CP2814" s="56"/>
      <c r="CQ2814" s="56"/>
      <c r="CR2814" s="56"/>
      <c r="CS2814" s="56"/>
      <c r="CT2814" s="56"/>
      <c r="CU2814" s="56"/>
      <c r="CV2814" s="56"/>
      <c r="CW2814" s="56"/>
      <c r="CX2814" s="56"/>
      <c r="CY2814" s="56"/>
      <c r="CZ2814" s="56"/>
    </row>
    <row r="2815" spans="27:104" s="5" customFormat="1" x14ac:dyDescent="0.25">
      <c r="AA2815" s="56"/>
      <c r="AB2815" s="56"/>
      <c r="AC2815" s="56"/>
      <c r="AD2815" s="56"/>
      <c r="AE2815" s="56"/>
      <c r="AF2815" s="56"/>
      <c r="AG2815" s="56"/>
      <c r="AH2815" s="56"/>
      <c r="AI2815" s="56"/>
      <c r="AJ2815" s="56"/>
      <c r="AK2815" s="56"/>
      <c r="AL2815" s="56"/>
      <c r="AM2815" s="56"/>
      <c r="AN2815" s="56"/>
      <c r="AO2815" s="56"/>
      <c r="AP2815" s="56"/>
      <c r="AQ2815" s="56"/>
      <c r="AR2815" s="56"/>
      <c r="AS2815" s="56"/>
      <c r="AT2815" s="56"/>
      <c r="AU2815" s="56"/>
      <c r="AV2815" s="56"/>
      <c r="AW2815" s="56"/>
      <c r="AX2815" s="56"/>
      <c r="AY2815" s="56"/>
      <c r="AZ2815" s="56"/>
      <c r="BA2815" s="56"/>
      <c r="BB2815" s="16"/>
      <c r="BC2815" s="56"/>
      <c r="BD2815" s="56"/>
      <c r="BE2815" s="56"/>
      <c r="BF2815" s="56"/>
      <c r="BG2815" s="56"/>
      <c r="BH2815" s="56"/>
      <c r="BI2815" s="56"/>
      <c r="BJ2815" s="56"/>
      <c r="BK2815" s="56"/>
      <c r="BL2815" s="56"/>
      <c r="BM2815" s="56"/>
      <c r="BN2815" s="56"/>
      <c r="BO2815" s="56"/>
      <c r="BP2815" s="56"/>
      <c r="BQ2815" s="56"/>
      <c r="BR2815" s="56"/>
      <c r="BS2815" s="56"/>
      <c r="BT2815" s="56"/>
      <c r="BU2815" s="56"/>
      <c r="BV2815" s="56"/>
      <c r="BW2815" s="56"/>
      <c r="BX2815" s="56"/>
      <c r="BY2815" s="56"/>
      <c r="BZ2815" s="56"/>
      <c r="CA2815" s="56"/>
      <c r="CB2815" s="56"/>
      <c r="CC2815" s="56"/>
      <c r="CD2815" s="56"/>
      <c r="CE2815" s="56"/>
      <c r="CF2815" s="56"/>
      <c r="CG2815" s="56"/>
      <c r="CH2815" s="56"/>
      <c r="CI2815" s="56"/>
      <c r="CJ2815" s="56"/>
      <c r="CK2815" s="56"/>
      <c r="CL2815" s="56"/>
      <c r="CM2815" s="56"/>
      <c r="CN2815" s="56"/>
      <c r="CO2815" s="56"/>
      <c r="CP2815" s="56"/>
      <c r="CQ2815" s="56"/>
      <c r="CR2815" s="56"/>
      <c r="CS2815" s="56"/>
      <c r="CT2815" s="56"/>
      <c r="CU2815" s="56"/>
      <c r="CV2815" s="56"/>
      <c r="CW2815" s="56"/>
      <c r="CX2815" s="56"/>
      <c r="CY2815" s="56"/>
      <c r="CZ2815" s="56"/>
    </row>
    <row r="2816" spans="27:104" s="5" customFormat="1" x14ac:dyDescent="0.25">
      <c r="AA2816" s="56"/>
      <c r="AB2816" s="56"/>
      <c r="AC2816" s="56"/>
      <c r="AD2816" s="56"/>
      <c r="AE2816" s="56"/>
      <c r="AF2816" s="56"/>
      <c r="AG2816" s="56"/>
      <c r="AH2816" s="56"/>
      <c r="AI2816" s="56"/>
      <c r="AJ2816" s="56"/>
      <c r="AK2816" s="56"/>
      <c r="AL2816" s="56"/>
      <c r="AM2816" s="56"/>
      <c r="AN2816" s="56"/>
      <c r="AO2816" s="56"/>
      <c r="AP2816" s="56"/>
      <c r="AQ2816" s="56"/>
      <c r="AR2816" s="56"/>
      <c r="AS2816" s="56"/>
      <c r="AT2816" s="56"/>
      <c r="AU2816" s="56"/>
      <c r="AV2816" s="56"/>
      <c r="AW2816" s="56"/>
      <c r="AX2816" s="56"/>
      <c r="AY2816" s="56"/>
      <c r="AZ2816" s="56"/>
      <c r="BA2816" s="56"/>
      <c r="BB2816" s="16"/>
      <c r="BC2816" s="56"/>
      <c r="BD2816" s="56"/>
      <c r="BE2816" s="56"/>
      <c r="BF2816" s="56"/>
      <c r="BG2816" s="56"/>
      <c r="BH2816" s="56"/>
      <c r="BI2816" s="56"/>
      <c r="BJ2816" s="56"/>
      <c r="BK2816" s="56"/>
      <c r="BL2816" s="56"/>
      <c r="BM2816" s="56"/>
      <c r="BN2816" s="56"/>
      <c r="BO2816" s="56"/>
      <c r="BP2816" s="56"/>
      <c r="BQ2816" s="56"/>
      <c r="BR2816" s="56"/>
      <c r="BS2816" s="56"/>
      <c r="BT2816" s="56"/>
      <c r="BU2816" s="56"/>
      <c r="BV2816" s="56"/>
      <c r="BW2816" s="56"/>
      <c r="BX2816" s="56"/>
      <c r="BY2816" s="56"/>
      <c r="BZ2816" s="56"/>
      <c r="CA2816" s="56"/>
      <c r="CB2816" s="56"/>
      <c r="CC2816" s="56"/>
      <c r="CD2816" s="56"/>
      <c r="CE2816" s="56"/>
      <c r="CF2816" s="56"/>
      <c r="CG2816" s="56"/>
      <c r="CH2816" s="56"/>
      <c r="CI2816" s="56"/>
      <c r="CJ2816" s="56"/>
      <c r="CK2816" s="56"/>
      <c r="CL2816" s="56"/>
      <c r="CM2816" s="56"/>
      <c r="CN2816" s="56"/>
      <c r="CO2816" s="56"/>
      <c r="CP2816" s="56"/>
      <c r="CQ2816" s="56"/>
      <c r="CR2816" s="56"/>
      <c r="CS2816" s="56"/>
      <c r="CT2816" s="56"/>
      <c r="CU2816" s="56"/>
      <c r="CV2816" s="56"/>
      <c r="CW2816" s="56"/>
      <c r="CX2816" s="56"/>
      <c r="CY2816" s="56"/>
      <c r="CZ2816" s="56"/>
    </row>
    <row r="2817" spans="27:104" s="5" customFormat="1" x14ac:dyDescent="0.25">
      <c r="AA2817" s="56"/>
      <c r="AB2817" s="56"/>
      <c r="AC2817" s="56"/>
      <c r="AD2817" s="56"/>
      <c r="AE2817" s="56"/>
      <c r="AF2817" s="56"/>
      <c r="AG2817" s="56"/>
      <c r="AH2817" s="56"/>
      <c r="AI2817" s="56"/>
      <c r="AJ2817" s="56"/>
      <c r="AK2817" s="56"/>
      <c r="AL2817" s="56"/>
      <c r="AM2817" s="56"/>
      <c r="AN2817" s="56"/>
      <c r="AO2817" s="56"/>
      <c r="AP2817" s="56"/>
      <c r="AQ2817" s="56"/>
      <c r="AR2817" s="56"/>
      <c r="AS2817" s="56"/>
      <c r="AT2817" s="56"/>
      <c r="AU2817" s="56"/>
      <c r="AV2817" s="56"/>
      <c r="AW2817" s="56"/>
      <c r="AX2817" s="56"/>
      <c r="AY2817" s="56"/>
      <c r="AZ2817" s="56"/>
      <c r="BA2817" s="56"/>
      <c r="BB2817" s="16"/>
      <c r="BC2817" s="56"/>
      <c r="BD2817" s="56"/>
      <c r="BE2817" s="56"/>
      <c r="BF2817" s="56"/>
      <c r="BG2817" s="56"/>
      <c r="BH2817" s="56"/>
      <c r="BI2817" s="56"/>
      <c r="BJ2817" s="56"/>
      <c r="BK2817" s="56"/>
      <c r="BL2817" s="56"/>
      <c r="BM2817" s="56"/>
      <c r="BN2817" s="56"/>
      <c r="BO2817" s="56"/>
      <c r="BP2817" s="56"/>
      <c r="BQ2817" s="56"/>
      <c r="BR2817" s="56"/>
      <c r="BS2817" s="56"/>
      <c r="BT2817" s="56"/>
      <c r="BU2817" s="56"/>
      <c r="BV2817" s="56"/>
      <c r="BW2817" s="56"/>
      <c r="BX2817" s="56"/>
      <c r="BY2817" s="56"/>
      <c r="BZ2817" s="56"/>
      <c r="CA2817" s="56"/>
      <c r="CB2817" s="56"/>
      <c r="CC2817" s="56"/>
      <c r="CD2817" s="56"/>
      <c r="CE2817" s="56"/>
      <c r="CF2817" s="56"/>
      <c r="CG2817" s="56"/>
      <c r="CH2817" s="56"/>
      <c r="CI2817" s="56"/>
      <c r="CJ2817" s="56"/>
      <c r="CK2817" s="56"/>
      <c r="CL2817" s="56"/>
      <c r="CM2817" s="56"/>
      <c r="CN2817" s="56"/>
      <c r="CO2817" s="56"/>
      <c r="CP2817" s="56"/>
      <c r="CQ2817" s="56"/>
      <c r="CR2817" s="56"/>
      <c r="CS2817" s="56"/>
      <c r="CT2817" s="56"/>
      <c r="CU2817" s="56"/>
      <c r="CV2817" s="56"/>
      <c r="CW2817" s="56"/>
      <c r="CX2817" s="56"/>
      <c r="CY2817" s="56"/>
      <c r="CZ2817" s="56"/>
    </row>
    <row r="2818" spans="27:104" s="5" customFormat="1" x14ac:dyDescent="0.25">
      <c r="AA2818" s="56"/>
      <c r="AB2818" s="56"/>
      <c r="AC2818" s="56"/>
      <c r="AD2818" s="56"/>
      <c r="AE2818" s="56"/>
      <c r="AF2818" s="56"/>
      <c r="AG2818" s="56"/>
      <c r="AH2818" s="56"/>
      <c r="AI2818" s="56"/>
      <c r="AJ2818" s="56"/>
      <c r="AK2818" s="56"/>
      <c r="AL2818" s="56"/>
      <c r="AM2818" s="56"/>
      <c r="AN2818" s="56"/>
      <c r="AO2818" s="56"/>
      <c r="AP2818" s="56"/>
      <c r="AQ2818" s="56"/>
      <c r="AR2818" s="56"/>
      <c r="AS2818" s="56"/>
      <c r="AT2818" s="56"/>
      <c r="AU2818" s="56"/>
      <c r="AV2818" s="56"/>
      <c r="AW2818" s="56"/>
      <c r="AX2818" s="56"/>
      <c r="AY2818" s="56"/>
      <c r="AZ2818" s="56"/>
      <c r="BA2818" s="56"/>
      <c r="BB2818" s="16"/>
      <c r="BC2818" s="56"/>
      <c r="BD2818" s="56"/>
      <c r="BE2818" s="56"/>
      <c r="BF2818" s="56"/>
      <c r="BG2818" s="56"/>
      <c r="BH2818" s="56"/>
      <c r="BI2818" s="56"/>
      <c r="BJ2818" s="56"/>
      <c r="BK2818" s="56"/>
      <c r="BL2818" s="56"/>
      <c r="BM2818" s="56"/>
      <c r="BN2818" s="56"/>
      <c r="BO2818" s="56"/>
      <c r="BP2818" s="56"/>
      <c r="BQ2818" s="56"/>
      <c r="BR2818" s="56"/>
      <c r="BS2818" s="56"/>
      <c r="BT2818" s="56"/>
      <c r="BU2818" s="56"/>
      <c r="BV2818" s="56"/>
      <c r="BW2818" s="56"/>
      <c r="BX2818" s="56"/>
      <c r="BY2818" s="56"/>
      <c r="BZ2818" s="56"/>
      <c r="CA2818" s="56"/>
      <c r="CB2818" s="56"/>
      <c r="CC2818" s="56"/>
      <c r="CD2818" s="56"/>
      <c r="CE2818" s="56"/>
      <c r="CF2818" s="56"/>
      <c r="CG2818" s="56"/>
      <c r="CH2818" s="56"/>
      <c r="CI2818" s="56"/>
      <c r="CJ2818" s="56"/>
      <c r="CK2818" s="56"/>
      <c r="CL2818" s="56"/>
      <c r="CM2818" s="56"/>
      <c r="CN2818" s="56"/>
      <c r="CO2818" s="56"/>
      <c r="CP2818" s="56"/>
      <c r="CQ2818" s="56"/>
      <c r="CR2818" s="56"/>
      <c r="CS2818" s="56"/>
      <c r="CT2818" s="56"/>
      <c r="CU2818" s="56"/>
      <c r="CV2818" s="56"/>
      <c r="CW2818" s="56"/>
      <c r="CX2818" s="56"/>
      <c r="CY2818" s="56"/>
      <c r="CZ2818" s="56"/>
    </row>
    <row r="2819" spans="27:104" s="5" customFormat="1" x14ac:dyDescent="0.25">
      <c r="AA2819" s="56"/>
      <c r="AB2819" s="56"/>
      <c r="AC2819" s="56"/>
      <c r="AD2819" s="56"/>
      <c r="AE2819" s="56"/>
      <c r="AF2819" s="56"/>
      <c r="AG2819" s="56"/>
      <c r="AH2819" s="56"/>
      <c r="AI2819" s="56"/>
      <c r="AJ2819" s="56"/>
      <c r="AK2819" s="56"/>
      <c r="AL2819" s="56"/>
      <c r="AM2819" s="56"/>
      <c r="AN2819" s="56"/>
      <c r="AO2819" s="56"/>
      <c r="AP2819" s="56"/>
      <c r="AQ2819" s="56"/>
      <c r="AR2819" s="56"/>
      <c r="AS2819" s="56"/>
      <c r="AT2819" s="56"/>
      <c r="AU2819" s="56"/>
      <c r="AV2819" s="56"/>
      <c r="AW2819" s="56"/>
      <c r="AX2819" s="56"/>
      <c r="AY2819" s="56"/>
      <c r="AZ2819" s="56"/>
      <c r="BA2819" s="56"/>
      <c r="BB2819" s="16"/>
      <c r="BC2819" s="56"/>
      <c r="BD2819" s="56"/>
      <c r="BE2819" s="56"/>
      <c r="BF2819" s="56"/>
      <c r="BG2819" s="56"/>
      <c r="BH2819" s="56"/>
      <c r="BI2819" s="56"/>
      <c r="BJ2819" s="56"/>
      <c r="BK2819" s="56"/>
      <c r="BL2819" s="56"/>
      <c r="BM2819" s="56"/>
      <c r="BN2819" s="56"/>
      <c r="BO2819" s="56"/>
      <c r="BP2819" s="56"/>
      <c r="BQ2819" s="56"/>
      <c r="BR2819" s="56"/>
      <c r="BS2819" s="56"/>
      <c r="BT2819" s="56"/>
      <c r="BU2819" s="56"/>
      <c r="BV2819" s="56"/>
      <c r="BW2819" s="56"/>
      <c r="BX2819" s="56"/>
      <c r="BY2819" s="56"/>
      <c r="BZ2819" s="56"/>
      <c r="CA2819" s="56"/>
      <c r="CB2819" s="56"/>
      <c r="CC2819" s="56"/>
      <c r="CD2819" s="56"/>
      <c r="CE2819" s="56"/>
      <c r="CF2819" s="56"/>
      <c r="CG2819" s="56"/>
      <c r="CH2819" s="56"/>
      <c r="CI2819" s="56"/>
      <c r="CJ2819" s="56"/>
      <c r="CK2819" s="56"/>
      <c r="CL2819" s="56"/>
      <c r="CM2819" s="56"/>
      <c r="CN2819" s="56"/>
      <c r="CO2819" s="56"/>
      <c r="CP2819" s="56"/>
      <c r="CQ2819" s="56"/>
      <c r="CR2819" s="56"/>
      <c r="CS2819" s="56"/>
      <c r="CT2819" s="56"/>
      <c r="CU2819" s="56"/>
      <c r="CV2819" s="56"/>
      <c r="CW2819" s="56"/>
      <c r="CX2819" s="56"/>
      <c r="CY2819" s="56"/>
      <c r="CZ2819" s="56"/>
    </row>
    <row r="2820" spans="27:104" s="5" customFormat="1" x14ac:dyDescent="0.25">
      <c r="AA2820" s="56"/>
      <c r="AB2820" s="56"/>
      <c r="AC2820" s="56"/>
      <c r="AD2820" s="56"/>
      <c r="AE2820" s="56"/>
      <c r="AF2820" s="56"/>
      <c r="AG2820" s="56"/>
      <c r="AH2820" s="56"/>
      <c r="AI2820" s="56"/>
      <c r="AJ2820" s="56"/>
      <c r="AK2820" s="56"/>
      <c r="AL2820" s="56"/>
      <c r="AM2820" s="56"/>
      <c r="AN2820" s="56"/>
      <c r="AO2820" s="56"/>
      <c r="AP2820" s="56"/>
      <c r="AQ2820" s="56"/>
      <c r="AR2820" s="56"/>
      <c r="AS2820" s="56"/>
      <c r="AT2820" s="56"/>
      <c r="AU2820" s="56"/>
      <c r="AV2820" s="56"/>
      <c r="AW2820" s="56"/>
      <c r="AX2820" s="56"/>
      <c r="AY2820" s="56"/>
      <c r="AZ2820" s="56"/>
      <c r="BA2820" s="56"/>
      <c r="BB2820" s="16"/>
      <c r="BC2820" s="56"/>
      <c r="BD2820" s="56"/>
      <c r="BE2820" s="56"/>
      <c r="BF2820" s="56"/>
      <c r="BG2820" s="56"/>
      <c r="BH2820" s="56"/>
      <c r="BI2820" s="56"/>
      <c r="BJ2820" s="56"/>
      <c r="BK2820" s="56"/>
      <c r="BL2820" s="56"/>
      <c r="BM2820" s="56"/>
      <c r="BN2820" s="56"/>
      <c r="BO2820" s="56"/>
      <c r="BP2820" s="56"/>
      <c r="BQ2820" s="56"/>
      <c r="BR2820" s="56"/>
      <c r="BS2820" s="56"/>
      <c r="BT2820" s="56"/>
      <c r="BU2820" s="56"/>
      <c r="BV2820" s="56"/>
      <c r="BW2820" s="56"/>
      <c r="BX2820" s="56"/>
      <c r="BY2820" s="56"/>
      <c r="BZ2820" s="56"/>
      <c r="CA2820" s="56"/>
      <c r="CB2820" s="56"/>
      <c r="CC2820" s="56"/>
      <c r="CD2820" s="56"/>
      <c r="CE2820" s="56"/>
      <c r="CF2820" s="56"/>
      <c r="CG2820" s="56"/>
      <c r="CH2820" s="56"/>
      <c r="CI2820" s="56"/>
      <c r="CJ2820" s="56"/>
      <c r="CK2820" s="56"/>
      <c r="CL2820" s="56"/>
      <c r="CM2820" s="56"/>
      <c r="CN2820" s="56"/>
      <c r="CO2820" s="56"/>
      <c r="CP2820" s="56"/>
      <c r="CQ2820" s="56"/>
      <c r="CR2820" s="56"/>
      <c r="CS2820" s="56"/>
      <c r="CT2820" s="56"/>
      <c r="CU2820" s="56"/>
      <c r="CV2820" s="56"/>
      <c r="CW2820" s="56"/>
      <c r="CX2820" s="56"/>
      <c r="CY2820" s="56"/>
      <c r="CZ2820" s="56"/>
    </row>
    <row r="2821" spans="27:104" s="5" customFormat="1" x14ac:dyDescent="0.25">
      <c r="AA2821" s="56"/>
      <c r="AB2821" s="56"/>
      <c r="AC2821" s="56"/>
      <c r="AD2821" s="56"/>
      <c r="AE2821" s="56"/>
      <c r="AF2821" s="56"/>
      <c r="AG2821" s="56"/>
      <c r="AH2821" s="56"/>
      <c r="AI2821" s="56"/>
      <c r="AJ2821" s="56"/>
      <c r="AK2821" s="56"/>
      <c r="AL2821" s="56"/>
      <c r="AM2821" s="56"/>
      <c r="AN2821" s="56"/>
      <c r="AO2821" s="56"/>
      <c r="AP2821" s="56"/>
      <c r="AQ2821" s="56"/>
      <c r="AR2821" s="56"/>
      <c r="AS2821" s="56"/>
      <c r="AT2821" s="56"/>
      <c r="AU2821" s="56"/>
      <c r="AV2821" s="56"/>
      <c r="AW2821" s="56"/>
      <c r="AX2821" s="56"/>
      <c r="AY2821" s="56"/>
      <c r="AZ2821" s="56"/>
      <c r="BA2821" s="56"/>
      <c r="BB2821" s="16"/>
      <c r="BC2821" s="56"/>
      <c r="BD2821" s="56"/>
      <c r="BE2821" s="56"/>
      <c r="BF2821" s="56"/>
      <c r="BG2821" s="56"/>
      <c r="BH2821" s="56"/>
      <c r="BI2821" s="56"/>
      <c r="BJ2821" s="56"/>
      <c r="BK2821" s="56"/>
      <c r="BL2821" s="56"/>
      <c r="BM2821" s="56"/>
      <c r="BN2821" s="56"/>
      <c r="BO2821" s="56"/>
      <c r="BP2821" s="56"/>
      <c r="BQ2821" s="56"/>
      <c r="BR2821" s="56"/>
      <c r="BS2821" s="56"/>
      <c r="BT2821" s="56"/>
      <c r="BU2821" s="56"/>
      <c r="BV2821" s="56"/>
      <c r="BW2821" s="56"/>
      <c r="BX2821" s="56"/>
      <c r="BY2821" s="56"/>
      <c r="BZ2821" s="56"/>
      <c r="CA2821" s="56"/>
      <c r="CB2821" s="56"/>
      <c r="CC2821" s="56"/>
      <c r="CD2821" s="56"/>
      <c r="CE2821" s="56"/>
      <c r="CF2821" s="56"/>
      <c r="CG2821" s="56"/>
      <c r="CH2821" s="56"/>
      <c r="CI2821" s="56"/>
      <c r="CJ2821" s="56"/>
      <c r="CK2821" s="56"/>
      <c r="CL2821" s="56"/>
      <c r="CM2821" s="56"/>
      <c r="CN2821" s="56"/>
      <c r="CO2821" s="56"/>
      <c r="CP2821" s="56"/>
      <c r="CQ2821" s="56"/>
      <c r="CR2821" s="56"/>
      <c r="CS2821" s="56"/>
      <c r="CT2821" s="56"/>
      <c r="CU2821" s="56"/>
      <c r="CV2821" s="56"/>
      <c r="CW2821" s="56"/>
      <c r="CX2821" s="56"/>
      <c r="CY2821" s="56"/>
      <c r="CZ2821" s="56"/>
    </row>
    <row r="2822" spans="27:104" s="5" customFormat="1" x14ac:dyDescent="0.25">
      <c r="AA2822" s="56"/>
      <c r="AB2822" s="56"/>
      <c r="AC2822" s="56"/>
      <c r="AD2822" s="56"/>
      <c r="AE2822" s="56"/>
      <c r="AF2822" s="56"/>
      <c r="AG2822" s="56"/>
      <c r="AH2822" s="56"/>
      <c r="AI2822" s="56"/>
      <c r="AJ2822" s="56"/>
      <c r="AK2822" s="56"/>
      <c r="AL2822" s="56"/>
      <c r="AM2822" s="56"/>
      <c r="AN2822" s="56"/>
      <c r="AO2822" s="56"/>
      <c r="AP2822" s="56"/>
      <c r="AQ2822" s="56"/>
      <c r="AR2822" s="56"/>
      <c r="AS2822" s="56"/>
      <c r="AT2822" s="56"/>
      <c r="AU2822" s="56"/>
      <c r="AV2822" s="56"/>
      <c r="AW2822" s="56"/>
      <c r="AX2822" s="56"/>
      <c r="AY2822" s="56"/>
      <c r="AZ2822" s="56"/>
      <c r="BA2822" s="56"/>
      <c r="BB2822" s="16"/>
      <c r="BC2822" s="56"/>
      <c r="BD2822" s="56"/>
      <c r="BE2822" s="56"/>
      <c r="BF2822" s="56"/>
      <c r="BG2822" s="56"/>
      <c r="BH2822" s="56"/>
      <c r="BI2822" s="56"/>
      <c r="BJ2822" s="56"/>
      <c r="BK2822" s="56"/>
      <c r="BL2822" s="56"/>
      <c r="BM2822" s="56"/>
      <c r="BN2822" s="56"/>
      <c r="BO2822" s="56"/>
      <c r="BP2822" s="56"/>
      <c r="BQ2822" s="56"/>
      <c r="BR2822" s="56"/>
      <c r="BS2822" s="56"/>
      <c r="BT2822" s="56"/>
      <c r="BU2822" s="56"/>
      <c r="BV2822" s="56"/>
      <c r="BW2822" s="56"/>
      <c r="BX2822" s="56"/>
      <c r="BY2822" s="56"/>
      <c r="BZ2822" s="56"/>
      <c r="CA2822" s="56"/>
      <c r="CB2822" s="56"/>
      <c r="CC2822" s="56"/>
      <c r="CD2822" s="56"/>
      <c r="CE2822" s="56"/>
      <c r="CF2822" s="56"/>
      <c r="CG2822" s="56"/>
      <c r="CH2822" s="56"/>
      <c r="CI2822" s="56"/>
      <c r="CJ2822" s="56"/>
      <c r="CK2822" s="56"/>
      <c r="CL2822" s="56"/>
      <c r="CM2822" s="56"/>
      <c r="CN2822" s="56"/>
      <c r="CO2822" s="56"/>
      <c r="CP2822" s="56"/>
      <c r="CQ2822" s="56"/>
      <c r="CR2822" s="56"/>
      <c r="CS2822" s="56"/>
      <c r="CT2822" s="56"/>
      <c r="CU2822" s="56"/>
      <c r="CV2822" s="56"/>
      <c r="CW2822" s="56"/>
      <c r="CX2822" s="56"/>
      <c r="CY2822" s="56"/>
      <c r="CZ2822" s="56"/>
    </row>
    <row r="2823" spans="27:104" s="5" customFormat="1" x14ac:dyDescent="0.25">
      <c r="AA2823" s="56"/>
      <c r="AB2823" s="56"/>
      <c r="AC2823" s="56"/>
      <c r="AD2823" s="56"/>
      <c r="AE2823" s="56"/>
      <c r="AF2823" s="56"/>
      <c r="AG2823" s="56"/>
      <c r="AH2823" s="56"/>
      <c r="AI2823" s="56"/>
      <c r="AJ2823" s="56"/>
      <c r="AK2823" s="56"/>
      <c r="AL2823" s="56"/>
      <c r="AM2823" s="56"/>
      <c r="AN2823" s="56"/>
      <c r="AO2823" s="56"/>
      <c r="AP2823" s="56"/>
      <c r="AQ2823" s="56"/>
      <c r="AR2823" s="56"/>
      <c r="AS2823" s="56"/>
      <c r="AT2823" s="56"/>
      <c r="AU2823" s="56"/>
      <c r="AV2823" s="56"/>
      <c r="AW2823" s="56"/>
      <c r="AX2823" s="56"/>
      <c r="AY2823" s="56"/>
      <c r="AZ2823" s="56"/>
      <c r="BA2823" s="56"/>
      <c r="BB2823" s="16"/>
      <c r="BC2823" s="56"/>
      <c r="BD2823" s="56"/>
      <c r="BE2823" s="56"/>
      <c r="BF2823" s="56"/>
      <c r="BG2823" s="56"/>
      <c r="BH2823" s="56"/>
      <c r="BI2823" s="56"/>
      <c r="BJ2823" s="56"/>
      <c r="BK2823" s="56"/>
      <c r="BL2823" s="56"/>
      <c r="BM2823" s="56"/>
      <c r="BN2823" s="56"/>
      <c r="BO2823" s="56"/>
      <c r="BP2823" s="56"/>
      <c r="BQ2823" s="56"/>
      <c r="BR2823" s="56"/>
      <c r="BS2823" s="56"/>
      <c r="BT2823" s="56"/>
      <c r="BU2823" s="56"/>
      <c r="BV2823" s="56"/>
      <c r="BW2823" s="56"/>
      <c r="BX2823" s="56"/>
      <c r="BY2823" s="56"/>
      <c r="BZ2823" s="56"/>
      <c r="CA2823" s="56"/>
      <c r="CB2823" s="56"/>
      <c r="CC2823" s="56"/>
      <c r="CD2823" s="56"/>
      <c r="CE2823" s="56"/>
      <c r="CF2823" s="56"/>
      <c r="CG2823" s="56"/>
      <c r="CH2823" s="56"/>
      <c r="CI2823" s="56"/>
      <c r="CJ2823" s="56"/>
      <c r="CK2823" s="56"/>
      <c r="CL2823" s="56"/>
      <c r="CM2823" s="56"/>
      <c r="CN2823" s="56"/>
      <c r="CO2823" s="56"/>
      <c r="CP2823" s="56"/>
      <c r="CQ2823" s="56"/>
      <c r="CR2823" s="56"/>
      <c r="CS2823" s="56"/>
      <c r="CT2823" s="56"/>
      <c r="CU2823" s="56"/>
      <c r="CV2823" s="56"/>
      <c r="CW2823" s="56"/>
      <c r="CX2823" s="56"/>
      <c r="CY2823" s="56"/>
      <c r="CZ2823" s="56"/>
    </row>
    <row r="2824" spans="27:104" s="5" customFormat="1" x14ac:dyDescent="0.25">
      <c r="AA2824" s="56"/>
      <c r="AB2824" s="56"/>
      <c r="AC2824" s="56"/>
      <c r="AD2824" s="56"/>
      <c r="AE2824" s="56"/>
      <c r="AF2824" s="56"/>
      <c r="AG2824" s="56"/>
      <c r="AH2824" s="56"/>
      <c r="AI2824" s="56"/>
      <c r="AJ2824" s="56"/>
      <c r="AK2824" s="56"/>
      <c r="AL2824" s="56"/>
      <c r="AM2824" s="56"/>
      <c r="AN2824" s="56"/>
      <c r="AO2824" s="56"/>
      <c r="AP2824" s="56"/>
      <c r="AQ2824" s="56"/>
      <c r="AR2824" s="56"/>
      <c r="AS2824" s="56"/>
      <c r="AT2824" s="56"/>
      <c r="AU2824" s="56"/>
      <c r="AV2824" s="56"/>
      <c r="AW2824" s="56"/>
      <c r="AX2824" s="56"/>
      <c r="AY2824" s="56"/>
      <c r="AZ2824" s="56"/>
      <c r="BA2824" s="56"/>
      <c r="BB2824" s="16"/>
      <c r="BC2824" s="56"/>
      <c r="BD2824" s="56"/>
      <c r="BE2824" s="56"/>
      <c r="BF2824" s="56"/>
      <c r="BG2824" s="56"/>
      <c r="BH2824" s="56"/>
      <c r="BI2824" s="56"/>
      <c r="BJ2824" s="56"/>
      <c r="BK2824" s="56"/>
      <c r="BL2824" s="56"/>
      <c r="BM2824" s="56"/>
      <c r="BN2824" s="56"/>
      <c r="BO2824" s="56"/>
      <c r="BP2824" s="56"/>
      <c r="BQ2824" s="56"/>
      <c r="BR2824" s="56"/>
      <c r="BS2824" s="56"/>
      <c r="BT2824" s="56"/>
      <c r="BU2824" s="56"/>
      <c r="BV2824" s="56"/>
      <c r="BW2824" s="56"/>
      <c r="BX2824" s="56"/>
      <c r="BY2824" s="56"/>
      <c r="BZ2824" s="56"/>
      <c r="CA2824" s="56"/>
      <c r="CB2824" s="56"/>
      <c r="CC2824" s="56"/>
      <c r="CD2824" s="56"/>
      <c r="CE2824" s="56"/>
      <c r="CF2824" s="56"/>
      <c r="CG2824" s="56"/>
      <c r="CH2824" s="56"/>
      <c r="CI2824" s="56"/>
      <c r="CJ2824" s="56"/>
      <c r="CK2824" s="56"/>
      <c r="CL2824" s="56"/>
      <c r="CM2824" s="56"/>
      <c r="CN2824" s="56"/>
      <c r="CO2824" s="56"/>
      <c r="CP2824" s="56"/>
      <c r="CQ2824" s="56"/>
      <c r="CR2824" s="56"/>
      <c r="CS2824" s="56"/>
      <c r="CT2824" s="56"/>
      <c r="CU2824" s="56"/>
      <c r="CV2824" s="56"/>
      <c r="CW2824" s="56"/>
      <c r="CX2824" s="56"/>
      <c r="CY2824" s="56"/>
      <c r="CZ2824" s="56"/>
    </row>
    <row r="2825" spans="27:104" s="5" customFormat="1" x14ac:dyDescent="0.25">
      <c r="AA2825" s="56"/>
      <c r="AB2825" s="56"/>
      <c r="AC2825" s="56"/>
      <c r="AD2825" s="56"/>
      <c r="AE2825" s="56"/>
      <c r="AF2825" s="56"/>
      <c r="AG2825" s="56"/>
      <c r="AH2825" s="56"/>
      <c r="AI2825" s="56"/>
      <c r="AJ2825" s="56"/>
      <c r="AK2825" s="56"/>
      <c r="AL2825" s="56"/>
      <c r="AM2825" s="56"/>
      <c r="AN2825" s="56"/>
      <c r="AO2825" s="56"/>
      <c r="AP2825" s="56"/>
      <c r="AQ2825" s="56"/>
      <c r="AR2825" s="56"/>
      <c r="AS2825" s="56"/>
      <c r="AT2825" s="56"/>
      <c r="AU2825" s="56"/>
      <c r="AV2825" s="56"/>
      <c r="AW2825" s="56"/>
      <c r="AX2825" s="56"/>
      <c r="AY2825" s="56"/>
      <c r="AZ2825" s="56"/>
      <c r="BA2825" s="56"/>
      <c r="BB2825" s="16"/>
      <c r="BC2825" s="56"/>
      <c r="BD2825" s="56"/>
      <c r="BE2825" s="56"/>
      <c r="BF2825" s="56"/>
      <c r="BG2825" s="56"/>
      <c r="BH2825" s="56"/>
      <c r="BI2825" s="56"/>
      <c r="BJ2825" s="56"/>
      <c r="BK2825" s="56"/>
      <c r="BL2825" s="56"/>
      <c r="BM2825" s="56"/>
      <c r="BN2825" s="56"/>
      <c r="BO2825" s="56"/>
      <c r="BP2825" s="56"/>
      <c r="BQ2825" s="56"/>
      <c r="BR2825" s="56"/>
      <c r="BS2825" s="56"/>
      <c r="BT2825" s="56"/>
      <c r="BU2825" s="56"/>
      <c r="BV2825" s="56"/>
      <c r="BW2825" s="56"/>
      <c r="BX2825" s="56"/>
      <c r="BY2825" s="56"/>
      <c r="BZ2825" s="56"/>
      <c r="CA2825" s="56"/>
      <c r="CB2825" s="56"/>
      <c r="CC2825" s="56"/>
      <c r="CD2825" s="56"/>
      <c r="CE2825" s="56"/>
      <c r="CF2825" s="56"/>
      <c r="CG2825" s="56"/>
      <c r="CH2825" s="56"/>
      <c r="CI2825" s="56"/>
      <c r="CJ2825" s="56"/>
      <c r="CK2825" s="56"/>
      <c r="CL2825" s="56"/>
      <c r="CM2825" s="56"/>
      <c r="CN2825" s="56"/>
      <c r="CO2825" s="56"/>
      <c r="CP2825" s="56"/>
      <c r="CQ2825" s="56"/>
      <c r="CR2825" s="56"/>
      <c r="CS2825" s="56"/>
      <c r="CT2825" s="56"/>
      <c r="CU2825" s="56"/>
      <c r="CV2825" s="56"/>
      <c r="CW2825" s="56"/>
      <c r="CX2825" s="56"/>
      <c r="CY2825" s="56"/>
      <c r="CZ2825" s="56"/>
    </row>
    <row r="2826" spans="27:104" s="5" customFormat="1" x14ac:dyDescent="0.25">
      <c r="AA2826" s="56"/>
      <c r="AB2826" s="56"/>
      <c r="AC2826" s="56"/>
      <c r="AD2826" s="56"/>
      <c r="AE2826" s="56"/>
      <c r="AF2826" s="56"/>
      <c r="AG2826" s="56"/>
      <c r="AH2826" s="56"/>
      <c r="AI2826" s="56"/>
      <c r="AJ2826" s="56"/>
      <c r="AK2826" s="56"/>
      <c r="AL2826" s="56"/>
      <c r="AM2826" s="56"/>
      <c r="AN2826" s="56"/>
      <c r="AO2826" s="56"/>
      <c r="AP2826" s="56"/>
      <c r="AQ2826" s="56"/>
      <c r="AR2826" s="56"/>
      <c r="AS2826" s="56"/>
      <c r="AT2826" s="56"/>
      <c r="AU2826" s="56"/>
      <c r="AV2826" s="56"/>
      <c r="AW2826" s="56"/>
      <c r="AX2826" s="56"/>
      <c r="AY2826" s="56"/>
      <c r="AZ2826" s="56"/>
      <c r="BA2826" s="56"/>
      <c r="BB2826" s="16"/>
      <c r="BC2826" s="56"/>
      <c r="BD2826" s="56"/>
      <c r="BE2826" s="56"/>
      <c r="BF2826" s="56"/>
      <c r="BG2826" s="56"/>
      <c r="BH2826" s="56"/>
      <c r="BI2826" s="56"/>
      <c r="BJ2826" s="56"/>
      <c r="BK2826" s="56"/>
      <c r="BL2826" s="56"/>
      <c r="BM2826" s="56"/>
      <c r="BN2826" s="56"/>
      <c r="BO2826" s="56"/>
      <c r="BP2826" s="56"/>
      <c r="BQ2826" s="56"/>
      <c r="BR2826" s="56"/>
      <c r="BS2826" s="56"/>
      <c r="BT2826" s="56"/>
      <c r="BU2826" s="56"/>
      <c r="BV2826" s="56"/>
      <c r="BW2826" s="56"/>
      <c r="BX2826" s="56"/>
      <c r="BY2826" s="56"/>
      <c r="BZ2826" s="56"/>
      <c r="CA2826" s="56"/>
      <c r="CB2826" s="56"/>
      <c r="CC2826" s="56"/>
      <c r="CD2826" s="56"/>
      <c r="CE2826" s="56"/>
      <c r="CF2826" s="56"/>
      <c r="CG2826" s="56"/>
      <c r="CH2826" s="56"/>
      <c r="CI2826" s="56"/>
      <c r="CJ2826" s="56"/>
      <c r="CK2826" s="56"/>
      <c r="CL2826" s="56"/>
      <c r="CM2826" s="56"/>
      <c r="CN2826" s="56"/>
      <c r="CO2826" s="56"/>
      <c r="CP2826" s="56"/>
      <c r="CQ2826" s="56"/>
      <c r="CR2826" s="56"/>
      <c r="CS2826" s="56"/>
      <c r="CT2826" s="56"/>
      <c r="CU2826" s="56"/>
      <c r="CV2826" s="56"/>
      <c r="CW2826" s="56"/>
      <c r="CX2826" s="56"/>
      <c r="CY2826" s="56"/>
      <c r="CZ2826" s="56"/>
    </row>
    <row r="2827" spans="27:104" s="5" customFormat="1" x14ac:dyDescent="0.25">
      <c r="AA2827" s="56"/>
      <c r="AB2827" s="56"/>
      <c r="AC2827" s="56"/>
      <c r="AD2827" s="56"/>
      <c r="AE2827" s="56"/>
      <c r="AF2827" s="56"/>
      <c r="AG2827" s="56"/>
      <c r="AH2827" s="56"/>
      <c r="AI2827" s="56"/>
      <c r="AJ2827" s="56"/>
      <c r="AK2827" s="56"/>
      <c r="AL2827" s="56"/>
      <c r="AM2827" s="56"/>
      <c r="AN2827" s="56"/>
      <c r="AO2827" s="56"/>
      <c r="AP2827" s="56"/>
      <c r="AQ2827" s="56"/>
      <c r="AR2827" s="56"/>
      <c r="AS2827" s="56"/>
      <c r="AT2827" s="56"/>
      <c r="AU2827" s="56"/>
      <c r="AV2827" s="56"/>
      <c r="AW2827" s="56"/>
      <c r="AX2827" s="56"/>
      <c r="AY2827" s="56"/>
      <c r="AZ2827" s="56"/>
      <c r="BA2827" s="56"/>
      <c r="BB2827" s="16"/>
      <c r="BC2827" s="56"/>
      <c r="BD2827" s="56"/>
      <c r="BE2827" s="56"/>
      <c r="BF2827" s="56"/>
      <c r="BG2827" s="56"/>
      <c r="BH2827" s="56"/>
      <c r="BI2827" s="56"/>
      <c r="BJ2827" s="56"/>
      <c r="BK2827" s="56"/>
      <c r="BL2827" s="56"/>
      <c r="BM2827" s="56"/>
      <c r="BN2827" s="56"/>
      <c r="BO2827" s="56"/>
      <c r="BP2827" s="56"/>
      <c r="BQ2827" s="56"/>
      <c r="BR2827" s="56"/>
      <c r="BS2827" s="56"/>
      <c r="BT2827" s="56"/>
      <c r="BU2827" s="56"/>
      <c r="BV2827" s="56"/>
      <c r="BW2827" s="56"/>
      <c r="BX2827" s="56"/>
      <c r="BY2827" s="56"/>
      <c r="BZ2827" s="56"/>
      <c r="CA2827" s="56"/>
      <c r="CB2827" s="56"/>
      <c r="CC2827" s="56"/>
      <c r="CD2827" s="56"/>
      <c r="CE2827" s="56"/>
      <c r="CF2827" s="56"/>
      <c r="CG2827" s="56"/>
      <c r="CH2827" s="56"/>
      <c r="CI2827" s="56"/>
      <c r="CJ2827" s="56"/>
      <c r="CK2827" s="56"/>
      <c r="CL2827" s="56"/>
      <c r="CM2827" s="56"/>
      <c r="CN2827" s="56"/>
      <c r="CO2827" s="56"/>
      <c r="CP2827" s="56"/>
      <c r="CQ2827" s="56"/>
      <c r="CR2827" s="56"/>
      <c r="CS2827" s="56"/>
      <c r="CT2827" s="56"/>
      <c r="CU2827" s="56"/>
      <c r="CV2827" s="56"/>
      <c r="CW2827" s="56"/>
      <c r="CX2827" s="56"/>
      <c r="CY2827" s="56"/>
      <c r="CZ2827" s="56"/>
    </row>
    <row r="2828" spans="27:104" s="5" customFormat="1" x14ac:dyDescent="0.25">
      <c r="AA2828" s="56"/>
      <c r="AB2828" s="56"/>
      <c r="AC2828" s="56"/>
      <c r="AD2828" s="56"/>
      <c r="AE2828" s="56"/>
      <c r="AF2828" s="56"/>
      <c r="AG2828" s="56"/>
      <c r="AH2828" s="56"/>
      <c r="AI2828" s="56"/>
      <c r="AJ2828" s="56"/>
      <c r="AK2828" s="56"/>
      <c r="AL2828" s="56"/>
      <c r="AM2828" s="56"/>
      <c r="AN2828" s="56"/>
      <c r="AO2828" s="56"/>
      <c r="AP2828" s="56"/>
      <c r="AQ2828" s="56"/>
      <c r="AR2828" s="56"/>
      <c r="AS2828" s="56"/>
      <c r="AT2828" s="56"/>
      <c r="AU2828" s="56"/>
      <c r="AV2828" s="56"/>
      <c r="AW2828" s="56"/>
      <c r="AX2828" s="56"/>
      <c r="AY2828" s="56"/>
      <c r="AZ2828" s="56"/>
      <c r="BA2828" s="56"/>
      <c r="BB2828" s="16"/>
      <c r="BC2828" s="56"/>
      <c r="BD2828" s="56"/>
      <c r="BE2828" s="56"/>
      <c r="BF2828" s="56"/>
      <c r="BG2828" s="56"/>
      <c r="BH2828" s="56"/>
      <c r="BI2828" s="56"/>
      <c r="BJ2828" s="56"/>
      <c r="BK2828" s="56"/>
      <c r="BL2828" s="56"/>
      <c r="BM2828" s="56"/>
      <c r="BN2828" s="56"/>
      <c r="BO2828" s="56"/>
      <c r="BP2828" s="56"/>
      <c r="BQ2828" s="56"/>
      <c r="BR2828" s="56"/>
      <c r="BS2828" s="56"/>
      <c r="BT2828" s="56"/>
      <c r="BU2828" s="56"/>
      <c r="BV2828" s="56"/>
      <c r="BW2828" s="56"/>
      <c r="BX2828" s="56"/>
      <c r="BY2828" s="56"/>
      <c r="BZ2828" s="56"/>
      <c r="CA2828" s="56"/>
      <c r="CB2828" s="56"/>
      <c r="CC2828" s="56"/>
      <c r="CD2828" s="56"/>
      <c r="CE2828" s="56"/>
      <c r="CF2828" s="56"/>
      <c r="CG2828" s="56"/>
      <c r="CH2828" s="56"/>
      <c r="CI2828" s="56"/>
      <c r="CJ2828" s="56"/>
      <c r="CK2828" s="56"/>
      <c r="CL2828" s="56"/>
      <c r="CM2828" s="56"/>
      <c r="CN2828" s="56"/>
      <c r="CO2828" s="56"/>
      <c r="CP2828" s="56"/>
      <c r="CQ2828" s="56"/>
      <c r="CR2828" s="56"/>
      <c r="CS2828" s="56"/>
      <c r="CT2828" s="56"/>
      <c r="CU2828" s="56"/>
      <c r="CV2828" s="56"/>
      <c r="CW2828" s="56"/>
      <c r="CX2828" s="56"/>
      <c r="CY2828" s="56"/>
      <c r="CZ2828" s="56"/>
    </row>
    <row r="2829" spans="27:104" s="5" customFormat="1" x14ac:dyDescent="0.25">
      <c r="AA2829" s="56"/>
      <c r="AB2829" s="56"/>
      <c r="AC2829" s="56"/>
      <c r="AD2829" s="56"/>
      <c r="AE2829" s="56"/>
      <c r="AF2829" s="56"/>
      <c r="AG2829" s="56"/>
      <c r="AH2829" s="56"/>
      <c r="AI2829" s="56"/>
      <c r="AJ2829" s="56"/>
      <c r="AK2829" s="56"/>
      <c r="AL2829" s="56"/>
      <c r="AM2829" s="56"/>
      <c r="AN2829" s="56"/>
      <c r="AO2829" s="56"/>
      <c r="AP2829" s="56"/>
      <c r="AQ2829" s="56"/>
      <c r="AR2829" s="56"/>
      <c r="AS2829" s="56"/>
      <c r="AT2829" s="56"/>
      <c r="AU2829" s="56"/>
      <c r="AV2829" s="56"/>
      <c r="AW2829" s="56"/>
      <c r="AX2829" s="56"/>
      <c r="AY2829" s="56"/>
      <c r="AZ2829" s="56"/>
      <c r="BA2829" s="56"/>
      <c r="BB2829" s="16"/>
      <c r="BC2829" s="56"/>
      <c r="BD2829" s="56"/>
      <c r="BE2829" s="56"/>
      <c r="BF2829" s="56"/>
      <c r="BG2829" s="56"/>
      <c r="BH2829" s="56"/>
      <c r="BI2829" s="56"/>
      <c r="BJ2829" s="56"/>
      <c r="BK2829" s="56"/>
      <c r="BL2829" s="56"/>
      <c r="BM2829" s="56"/>
      <c r="BN2829" s="56"/>
      <c r="BO2829" s="56"/>
      <c r="BP2829" s="56"/>
      <c r="BQ2829" s="56"/>
      <c r="BR2829" s="56"/>
      <c r="BS2829" s="56"/>
      <c r="BT2829" s="56"/>
      <c r="BU2829" s="56"/>
      <c r="BV2829" s="56"/>
      <c r="BW2829" s="56"/>
      <c r="BX2829" s="56"/>
      <c r="BY2829" s="56"/>
      <c r="BZ2829" s="56"/>
      <c r="CA2829" s="56"/>
      <c r="CB2829" s="56"/>
      <c r="CC2829" s="56"/>
      <c r="CD2829" s="56"/>
      <c r="CE2829" s="56"/>
      <c r="CF2829" s="56"/>
      <c r="CG2829" s="56"/>
      <c r="CH2829" s="56"/>
      <c r="CI2829" s="56"/>
      <c r="CJ2829" s="56"/>
      <c r="CK2829" s="56"/>
      <c r="CL2829" s="56"/>
      <c r="CM2829" s="56"/>
      <c r="CN2829" s="56"/>
      <c r="CO2829" s="56"/>
      <c r="CP2829" s="56"/>
      <c r="CQ2829" s="56"/>
      <c r="CR2829" s="56"/>
      <c r="CS2829" s="56"/>
      <c r="CT2829" s="56"/>
      <c r="CU2829" s="56"/>
      <c r="CV2829" s="56"/>
      <c r="CW2829" s="56"/>
      <c r="CX2829" s="56"/>
      <c r="CY2829" s="56"/>
      <c r="CZ2829" s="56"/>
    </row>
    <row r="2830" spans="27:104" s="5" customFormat="1" x14ac:dyDescent="0.25">
      <c r="AA2830" s="56"/>
      <c r="AB2830" s="56"/>
      <c r="AC2830" s="56"/>
      <c r="AD2830" s="56"/>
      <c r="AE2830" s="56"/>
      <c r="AF2830" s="56"/>
      <c r="AG2830" s="56"/>
      <c r="AH2830" s="56"/>
      <c r="AI2830" s="56"/>
      <c r="AJ2830" s="56"/>
      <c r="AK2830" s="56"/>
      <c r="AL2830" s="56"/>
      <c r="AM2830" s="56"/>
      <c r="AN2830" s="56"/>
      <c r="AO2830" s="56"/>
      <c r="AP2830" s="56"/>
      <c r="AQ2830" s="56"/>
      <c r="AR2830" s="56"/>
      <c r="AS2830" s="56"/>
      <c r="AT2830" s="56"/>
      <c r="AU2830" s="56"/>
      <c r="AV2830" s="56"/>
      <c r="AW2830" s="56"/>
      <c r="AX2830" s="56"/>
      <c r="AY2830" s="56"/>
      <c r="AZ2830" s="56"/>
      <c r="BA2830" s="56"/>
      <c r="BB2830" s="16"/>
      <c r="BC2830" s="56"/>
      <c r="BD2830" s="56"/>
      <c r="BE2830" s="56"/>
      <c r="BF2830" s="56"/>
      <c r="BG2830" s="56"/>
      <c r="BH2830" s="56"/>
      <c r="BI2830" s="56"/>
      <c r="BJ2830" s="56"/>
      <c r="BK2830" s="56"/>
      <c r="BL2830" s="56"/>
      <c r="BM2830" s="56"/>
      <c r="BN2830" s="56"/>
      <c r="BO2830" s="56"/>
      <c r="BP2830" s="56"/>
      <c r="BQ2830" s="56"/>
      <c r="BR2830" s="56"/>
      <c r="BS2830" s="56"/>
      <c r="BT2830" s="56"/>
      <c r="BU2830" s="56"/>
      <c r="BV2830" s="56"/>
      <c r="BW2830" s="56"/>
      <c r="BX2830" s="56"/>
      <c r="BY2830" s="56"/>
      <c r="BZ2830" s="56"/>
      <c r="CA2830" s="56"/>
      <c r="CB2830" s="56"/>
      <c r="CC2830" s="56"/>
      <c r="CD2830" s="56"/>
      <c r="CE2830" s="56"/>
      <c r="CF2830" s="56"/>
      <c r="CG2830" s="56"/>
      <c r="CH2830" s="56"/>
      <c r="CI2830" s="56"/>
      <c r="CJ2830" s="56"/>
      <c r="CK2830" s="56"/>
      <c r="CL2830" s="56"/>
      <c r="CM2830" s="56"/>
      <c r="CN2830" s="56"/>
      <c r="CO2830" s="56"/>
      <c r="CP2830" s="56"/>
      <c r="CQ2830" s="56"/>
      <c r="CR2830" s="56"/>
      <c r="CS2830" s="56"/>
      <c r="CT2830" s="56"/>
      <c r="CU2830" s="56"/>
      <c r="CV2830" s="56"/>
      <c r="CW2830" s="56"/>
      <c r="CX2830" s="56"/>
      <c r="CY2830" s="56"/>
      <c r="CZ2830" s="56"/>
    </row>
    <row r="2831" spans="27:104" s="5" customFormat="1" x14ac:dyDescent="0.25">
      <c r="AA2831" s="56"/>
      <c r="AB2831" s="56"/>
      <c r="AC2831" s="56"/>
      <c r="AD2831" s="56"/>
      <c r="AE2831" s="56"/>
      <c r="AF2831" s="56"/>
      <c r="AG2831" s="56"/>
      <c r="AH2831" s="56"/>
      <c r="AI2831" s="56"/>
      <c r="AJ2831" s="56"/>
      <c r="AK2831" s="56"/>
      <c r="AL2831" s="56"/>
      <c r="AM2831" s="56"/>
      <c r="AN2831" s="56"/>
      <c r="AO2831" s="56"/>
      <c r="AP2831" s="56"/>
      <c r="AQ2831" s="56"/>
      <c r="AR2831" s="56"/>
      <c r="AS2831" s="56"/>
      <c r="AT2831" s="56"/>
      <c r="AU2831" s="56"/>
      <c r="AV2831" s="56"/>
      <c r="AW2831" s="56"/>
      <c r="AX2831" s="56"/>
      <c r="AY2831" s="56"/>
      <c r="AZ2831" s="56"/>
      <c r="BA2831" s="56"/>
      <c r="BB2831" s="16"/>
      <c r="BC2831" s="56"/>
      <c r="BD2831" s="56"/>
      <c r="BE2831" s="56"/>
      <c r="BF2831" s="56"/>
      <c r="BG2831" s="56"/>
      <c r="BH2831" s="56"/>
      <c r="BI2831" s="56"/>
      <c r="BJ2831" s="56"/>
      <c r="BK2831" s="56"/>
      <c r="BL2831" s="56"/>
      <c r="BM2831" s="56"/>
      <c r="BN2831" s="56"/>
      <c r="BO2831" s="56"/>
      <c r="BP2831" s="56"/>
      <c r="BQ2831" s="56"/>
      <c r="BR2831" s="56"/>
      <c r="BS2831" s="56"/>
      <c r="BT2831" s="56"/>
      <c r="BU2831" s="56"/>
      <c r="BV2831" s="56"/>
      <c r="BW2831" s="56"/>
      <c r="BX2831" s="56"/>
      <c r="BY2831" s="56"/>
      <c r="BZ2831" s="56"/>
      <c r="CA2831" s="56"/>
      <c r="CB2831" s="56"/>
      <c r="CC2831" s="56"/>
      <c r="CD2831" s="56"/>
      <c r="CE2831" s="56"/>
      <c r="CF2831" s="56"/>
      <c r="CG2831" s="56"/>
      <c r="CH2831" s="56"/>
      <c r="CI2831" s="56"/>
      <c r="CJ2831" s="56"/>
      <c r="CK2831" s="56"/>
      <c r="CL2831" s="56"/>
      <c r="CM2831" s="56"/>
      <c r="CN2831" s="56"/>
      <c r="CO2831" s="56"/>
      <c r="CP2831" s="56"/>
      <c r="CQ2831" s="56"/>
      <c r="CR2831" s="56"/>
      <c r="CS2831" s="56"/>
      <c r="CT2831" s="56"/>
      <c r="CU2831" s="56"/>
      <c r="CV2831" s="56"/>
      <c r="CW2831" s="56"/>
      <c r="CX2831" s="56"/>
      <c r="CY2831" s="56"/>
      <c r="CZ2831" s="56"/>
    </row>
    <row r="2832" spans="27:104" s="5" customFormat="1" x14ac:dyDescent="0.25">
      <c r="AA2832" s="56"/>
      <c r="AB2832" s="56"/>
      <c r="AC2832" s="56"/>
      <c r="AD2832" s="56"/>
      <c r="AE2832" s="56"/>
      <c r="AF2832" s="56"/>
      <c r="AG2832" s="56"/>
      <c r="AH2832" s="56"/>
      <c r="AI2832" s="56"/>
      <c r="AJ2832" s="56"/>
      <c r="AK2832" s="56"/>
      <c r="AL2832" s="56"/>
      <c r="AM2832" s="56"/>
      <c r="AN2832" s="56"/>
      <c r="AO2832" s="56"/>
      <c r="AP2832" s="56"/>
      <c r="AQ2832" s="56"/>
      <c r="AR2832" s="56"/>
      <c r="AS2832" s="56"/>
      <c r="AT2832" s="56"/>
      <c r="AU2832" s="56"/>
      <c r="AV2832" s="56"/>
      <c r="AW2832" s="56"/>
      <c r="AX2832" s="56"/>
      <c r="AY2832" s="56"/>
      <c r="AZ2832" s="56"/>
      <c r="BA2832" s="56"/>
      <c r="BB2832" s="16"/>
      <c r="BC2832" s="56"/>
      <c r="BD2832" s="56"/>
      <c r="BE2832" s="56"/>
      <c r="BF2832" s="56"/>
      <c r="BG2832" s="56"/>
      <c r="BH2832" s="56"/>
      <c r="BI2832" s="56"/>
      <c r="BJ2832" s="56"/>
      <c r="BK2832" s="56"/>
      <c r="BL2832" s="56"/>
      <c r="BM2832" s="56"/>
      <c r="BN2832" s="56"/>
      <c r="BO2832" s="56"/>
      <c r="BP2832" s="56"/>
      <c r="BQ2832" s="56"/>
      <c r="BR2832" s="56"/>
      <c r="BS2832" s="56"/>
      <c r="BT2832" s="56"/>
      <c r="BU2832" s="56"/>
      <c r="BV2832" s="56"/>
      <c r="BW2832" s="56"/>
      <c r="BX2832" s="56"/>
      <c r="BY2832" s="56"/>
      <c r="BZ2832" s="56"/>
      <c r="CA2832" s="56"/>
      <c r="CB2832" s="56"/>
      <c r="CC2832" s="56"/>
      <c r="CD2832" s="56"/>
      <c r="CE2832" s="56"/>
      <c r="CF2832" s="56"/>
      <c r="CG2832" s="56"/>
      <c r="CH2832" s="56"/>
      <c r="CI2832" s="56"/>
      <c r="CJ2832" s="56"/>
      <c r="CK2832" s="56"/>
      <c r="CL2832" s="56"/>
      <c r="CM2832" s="56"/>
      <c r="CN2832" s="56"/>
      <c r="CO2832" s="56"/>
      <c r="CP2832" s="56"/>
      <c r="CQ2832" s="56"/>
      <c r="CR2832" s="56"/>
      <c r="CS2832" s="56"/>
      <c r="CT2832" s="56"/>
      <c r="CU2832" s="56"/>
      <c r="CV2832" s="56"/>
      <c r="CW2832" s="56"/>
      <c r="CX2832" s="56"/>
      <c r="CY2832" s="56"/>
      <c r="CZ2832" s="56"/>
    </row>
    <row r="2833" spans="27:104" s="5" customFormat="1" x14ac:dyDescent="0.25">
      <c r="AA2833" s="56"/>
      <c r="AB2833" s="56"/>
      <c r="AC2833" s="56"/>
      <c r="AD2833" s="56"/>
      <c r="AE2833" s="56"/>
      <c r="AF2833" s="56"/>
      <c r="AG2833" s="56"/>
      <c r="AH2833" s="56"/>
      <c r="AI2833" s="56"/>
      <c r="AJ2833" s="56"/>
      <c r="AK2833" s="56"/>
      <c r="AL2833" s="56"/>
      <c r="AM2833" s="56"/>
      <c r="AN2833" s="56"/>
      <c r="AO2833" s="56"/>
      <c r="AP2833" s="56"/>
      <c r="AQ2833" s="56"/>
      <c r="AR2833" s="56"/>
      <c r="AS2833" s="56"/>
      <c r="AT2833" s="56"/>
      <c r="AU2833" s="56"/>
      <c r="AV2833" s="56"/>
      <c r="AW2833" s="56"/>
      <c r="AX2833" s="56"/>
      <c r="AY2833" s="56"/>
      <c r="AZ2833" s="56"/>
      <c r="BA2833" s="56"/>
      <c r="BB2833" s="16"/>
      <c r="BC2833" s="56"/>
      <c r="BD2833" s="56"/>
      <c r="BE2833" s="56"/>
      <c r="BF2833" s="56"/>
      <c r="BG2833" s="56"/>
      <c r="BH2833" s="56"/>
      <c r="BI2833" s="56"/>
      <c r="BJ2833" s="56"/>
      <c r="BK2833" s="56"/>
      <c r="BL2833" s="56"/>
      <c r="BM2833" s="56"/>
      <c r="BN2833" s="56"/>
      <c r="BO2833" s="56"/>
      <c r="BP2833" s="56"/>
      <c r="BQ2833" s="56"/>
      <c r="BR2833" s="56"/>
      <c r="BS2833" s="56"/>
      <c r="BT2833" s="56"/>
      <c r="BU2833" s="56"/>
      <c r="BV2833" s="56"/>
      <c r="BW2833" s="56"/>
      <c r="BX2833" s="56"/>
      <c r="BY2833" s="56"/>
      <c r="BZ2833" s="56"/>
      <c r="CA2833" s="56"/>
      <c r="CB2833" s="56"/>
      <c r="CC2833" s="56"/>
      <c r="CD2833" s="56"/>
      <c r="CE2833" s="56"/>
      <c r="CF2833" s="56"/>
      <c r="CG2833" s="56"/>
      <c r="CH2833" s="56"/>
      <c r="CI2833" s="56"/>
      <c r="CJ2833" s="56"/>
      <c r="CK2833" s="56"/>
      <c r="CL2833" s="56"/>
      <c r="CM2833" s="56"/>
      <c r="CN2833" s="56"/>
      <c r="CO2833" s="56"/>
      <c r="CP2833" s="56"/>
      <c r="CQ2833" s="56"/>
      <c r="CR2833" s="56"/>
      <c r="CS2833" s="56"/>
      <c r="CT2833" s="56"/>
      <c r="CU2833" s="56"/>
      <c r="CV2833" s="56"/>
      <c r="CW2833" s="56"/>
      <c r="CX2833" s="56"/>
      <c r="CY2833" s="56"/>
      <c r="CZ2833" s="56"/>
    </row>
    <row r="2834" spans="27:104" s="5" customFormat="1" x14ac:dyDescent="0.25">
      <c r="AA2834" s="56"/>
      <c r="AB2834" s="56"/>
      <c r="AC2834" s="56"/>
      <c r="AD2834" s="56"/>
      <c r="AE2834" s="56"/>
      <c r="AF2834" s="56"/>
      <c r="AG2834" s="56"/>
      <c r="AH2834" s="56"/>
      <c r="AI2834" s="56"/>
      <c r="AJ2834" s="56"/>
      <c r="AK2834" s="56"/>
      <c r="AL2834" s="56"/>
      <c r="AM2834" s="56"/>
      <c r="AN2834" s="56"/>
      <c r="AO2834" s="56"/>
      <c r="AP2834" s="56"/>
      <c r="AQ2834" s="56"/>
      <c r="AR2834" s="56"/>
      <c r="AS2834" s="56"/>
      <c r="AT2834" s="56"/>
      <c r="AU2834" s="56"/>
      <c r="AV2834" s="56"/>
      <c r="AW2834" s="56"/>
      <c r="AX2834" s="56"/>
      <c r="AY2834" s="56"/>
      <c r="AZ2834" s="56"/>
      <c r="BA2834" s="56"/>
      <c r="BB2834" s="16"/>
      <c r="BC2834" s="56"/>
      <c r="BD2834" s="56"/>
      <c r="BE2834" s="56"/>
      <c r="BF2834" s="56"/>
      <c r="BG2834" s="56"/>
      <c r="BH2834" s="56"/>
      <c r="BI2834" s="56"/>
      <c r="BJ2834" s="56"/>
      <c r="BK2834" s="56"/>
      <c r="BL2834" s="56"/>
      <c r="BM2834" s="56"/>
      <c r="BN2834" s="56"/>
      <c r="BO2834" s="56"/>
      <c r="BP2834" s="56"/>
      <c r="BQ2834" s="56"/>
      <c r="BR2834" s="56"/>
      <c r="BS2834" s="56"/>
      <c r="BT2834" s="56"/>
      <c r="BU2834" s="56"/>
      <c r="BV2834" s="56"/>
      <c r="BW2834" s="56"/>
      <c r="BX2834" s="56"/>
      <c r="BY2834" s="56"/>
      <c r="BZ2834" s="56"/>
      <c r="CA2834" s="56"/>
      <c r="CB2834" s="56"/>
      <c r="CC2834" s="56"/>
      <c r="CD2834" s="56"/>
      <c r="CE2834" s="56"/>
      <c r="CF2834" s="56"/>
      <c r="CG2834" s="56"/>
      <c r="CH2834" s="56"/>
      <c r="CI2834" s="56"/>
      <c r="CJ2834" s="56"/>
      <c r="CK2834" s="56"/>
      <c r="CL2834" s="56"/>
      <c r="CM2834" s="56"/>
      <c r="CN2834" s="56"/>
      <c r="CO2834" s="56"/>
      <c r="CP2834" s="56"/>
      <c r="CQ2834" s="56"/>
      <c r="CR2834" s="56"/>
      <c r="CS2834" s="56"/>
      <c r="CT2834" s="56"/>
      <c r="CU2834" s="56"/>
      <c r="CV2834" s="56"/>
      <c r="CW2834" s="56"/>
      <c r="CX2834" s="56"/>
      <c r="CY2834" s="56"/>
      <c r="CZ2834" s="56"/>
    </row>
    <row r="2835" spans="27:104" s="5" customFormat="1" x14ac:dyDescent="0.25">
      <c r="AA2835" s="56"/>
      <c r="AB2835" s="56"/>
      <c r="AC2835" s="56"/>
      <c r="AD2835" s="56"/>
      <c r="AE2835" s="56"/>
      <c r="AF2835" s="56"/>
      <c r="AG2835" s="56"/>
      <c r="AH2835" s="56"/>
      <c r="AI2835" s="56"/>
      <c r="AJ2835" s="56"/>
      <c r="AK2835" s="56"/>
      <c r="AL2835" s="56"/>
      <c r="AM2835" s="56"/>
      <c r="AN2835" s="56"/>
      <c r="AO2835" s="56"/>
      <c r="AP2835" s="56"/>
      <c r="AQ2835" s="56"/>
      <c r="AR2835" s="56"/>
      <c r="AS2835" s="56"/>
      <c r="AT2835" s="56"/>
      <c r="AU2835" s="56"/>
      <c r="AV2835" s="56"/>
      <c r="AW2835" s="56"/>
      <c r="AX2835" s="56"/>
      <c r="AY2835" s="56"/>
      <c r="AZ2835" s="56"/>
      <c r="BA2835" s="56"/>
      <c r="BB2835" s="16"/>
      <c r="BC2835" s="56"/>
      <c r="BD2835" s="56"/>
      <c r="BE2835" s="56"/>
      <c r="BF2835" s="56"/>
      <c r="BG2835" s="56"/>
      <c r="BH2835" s="56"/>
      <c r="BI2835" s="56"/>
      <c r="BJ2835" s="56"/>
      <c r="BK2835" s="56"/>
      <c r="BL2835" s="56"/>
      <c r="BM2835" s="56"/>
      <c r="BN2835" s="56"/>
      <c r="BO2835" s="56"/>
      <c r="BP2835" s="56"/>
      <c r="BQ2835" s="56"/>
      <c r="BR2835" s="56"/>
      <c r="BS2835" s="56"/>
      <c r="BT2835" s="56"/>
      <c r="BU2835" s="56"/>
      <c r="BV2835" s="56"/>
      <c r="BW2835" s="56"/>
      <c r="BX2835" s="56"/>
      <c r="BY2835" s="56"/>
      <c r="BZ2835" s="56"/>
      <c r="CA2835" s="56"/>
      <c r="CB2835" s="56"/>
      <c r="CC2835" s="56"/>
      <c r="CD2835" s="56"/>
      <c r="CE2835" s="56"/>
      <c r="CF2835" s="56"/>
      <c r="CG2835" s="56"/>
      <c r="CH2835" s="56"/>
      <c r="CI2835" s="56"/>
      <c r="CJ2835" s="56"/>
      <c r="CK2835" s="56"/>
      <c r="CL2835" s="56"/>
      <c r="CM2835" s="56"/>
      <c r="CN2835" s="56"/>
      <c r="CO2835" s="56"/>
      <c r="CP2835" s="56"/>
      <c r="CQ2835" s="56"/>
      <c r="CR2835" s="56"/>
      <c r="CS2835" s="56"/>
      <c r="CT2835" s="56"/>
      <c r="CU2835" s="56"/>
      <c r="CV2835" s="56"/>
      <c r="CW2835" s="56"/>
      <c r="CX2835" s="56"/>
      <c r="CY2835" s="56"/>
      <c r="CZ2835" s="56"/>
    </row>
    <row r="2836" spans="27:104" s="5" customFormat="1" x14ac:dyDescent="0.25">
      <c r="AA2836" s="56"/>
      <c r="AB2836" s="56"/>
      <c r="AC2836" s="56"/>
      <c r="AD2836" s="56"/>
      <c r="AE2836" s="56"/>
      <c r="AF2836" s="56"/>
      <c r="AG2836" s="56"/>
      <c r="AH2836" s="56"/>
      <c r="AI2836" s="56"/>
      <c r="AJ2836" s="56"/>
      <c r="AK2836" s="56"/>
      <c r="AL2836" s="56"/>
      <c r="AM2836" s="56"/>
      <c r="AN2836" s="56"/>
      <c r="AO2836" s="56"/>
      <c r="AP2836" s="56"/>
      <c r="AQ2836" s="56"/>
      <c r="AR2836" s="56"/>
      <c r="AS2836" s="56"/>
      <c r="AT2836" s="56"/>
      <c r="AU2836" s="56"/>
      <c r="AV2836" s="56"/>
      <c r="AW2836" s="56"/>
      <c r="AX2836" s="56"/>
      <c r="AY2836" s="56"/>
      <c r="AZ2836" s="56"/>
      <c r="BA2836" s="56"/>
      <c r="BB2836" s="16"/>
      <c r="BC2836" s="56"/>
      <c r="BD2836" s="56"/>
      <c r="BE2836" s="56"/>
      <c r="BF2836" s="56"/>
      <c r="BG2836" s="56"/>
      <c r="BH2836" s="56"/>
      <c r="BI2836" s="56"/>
      <c r="BJ2836" s="56"/>
      <c r="BK2836" s="56"/>
      <c r="BL2836" s="56"/>
      <c r="BM2836" s="56"/>
      <c r="BN2836" s="56"/>
      <c r="BO2836" s="56"/>
      <c r="BP2836" s="56"/>
      <c r="BQ2836" s="56"/>
      <c r="BR2836" s="56"/>
      <c r="BS2836" s="56"/>
      <c r="BT2836" s="56"/>
      <c r="BU2836" s="56"/>
      <c r="BV2836" s="56"/>
      <c r="BW2836" s="56"/>
      <c r="BX2836" s="56"/>
      <c r="BY2836" s="56"/>
      <c r="BZ2836" s="56"/>
      <c r="CA2836" s="56"/>
      <c r="CB2836" s="56"/>
      <c r="CC2836" s="56"/>
      <c r="CD2836" s="56"/>
      <c r="CE2836" s="56"/>
      <c r="CF2836" s="56"/>
      <c r="CG2836" s="56"/>
      <c r="CH2836" s="56"/>
      <c r="CI2836" s="56"/>
      <c r="CJ2836" s="56"/>
      <c r="CK2836" s="56"/>
      <c r="CL2836" s="56"/>
      <c r="CM2836" s="56"/>
      <c r="CN2836" s="56"/>
      <c r="CO2836" s="56"/>
      <c r="CP2836" s="56"/>
      <c r="CQ2836" s="56"/>
      <c r="CR2836" s="56"/>
      <c r="CS2836" s="56"/>
      <c r="CT2836" s="56"/>
      <c r="CU2836" s="56"/>
      <c r="CV2836" s="56"/>
      <c r="CW2836" s="56"/>
      <c r="CX2836" s="56"/>
      <c r="CY2836" s="56"/>
      <c r="CZ2836" s="56"/>
    </row>
    <row r="2837" spans="27:104" s="5" customFormat="1" x14ac:dyDescent="0.25">
      <c r="AA2837" s="56"/>
      <c r="AB2837" s="56"/>
      <c r="AC2837" s="56"/>
      <c r="AD2837" s="56"/>
      <c r="AE2837" s="56"/>
      <c r="AF2837" s="56"/>
      <c r="AG2837" s="56"/>
      <c r="AH2837" s="56"/>
      <c r="AI2837" s="56"/>
      <c r="AJ2837" s="56"/>
      <c r="AK2837" s="56"/>
      <c r="AL2837" s="56"/>
      <c r="AM2837" s="56"/>
      <c r="AN2837" s="56"/>
      <c r="AO2837" s="56"/>
      <c r="AP2837" s="56"/>
      <c r="AQ2837" s="56"/>
      <c r="AR2837" s="56"/>
      <c r="AS2837" s="56"/>
      <c r="AT2837" s="56"/>
      <c r="AU2837" s="56"/>
      <c r="AV2837" s="56"/>
      <c r="AW2837" s="56"/>
      <c r="AX2837" s="56"/>
      <c r="AY2837" s="56"/>
      <c r="AZ2837" s="56"/>
      <c r="BA2837" s="56"/>
      <c r="BB2837" s="16"/>
      <c r="BC2837" s="56"/>
      <c r="BD2837" s="56"/>
      <c r="BE2837" s="56"/>
      <c r="BF2837" s="56"/>
      <c r="BG2837" s="56"/>
      <c r="BH2837" s="56"/>
      <c r="BI2837" s="56"/>
      <c r="BJ2837" s="56"/>
      <c r="BK2837" s="56"/>
      <c r="BL2837" s="56"/>
      <c r="BM2837" s="56"/>
      <c r="BN2837" s="56"/>
      <c r="BO2837" s="56"/>
      <c r="BP2837" s="56"/>
      <c r="BQ2837" s="56"/>
      <c r="BR2837" s="56"/>
      <c r="BS2837" s="56"/>
      <c r="BT2837" s="56"/>
      <c r="BU2837" s="56"/>
      <c r="BV2837" s="56"/>
      <c r="BW2837" s="56"/>
      <c r="BX2837" s="56"/>
      <c r="BY2837" s="56"/>
      <c r="BZ2837" s="56"/>
      <c r="CA2837" s="56"/>
      <c r="CB2837" s="56"/>
      <c r="CC2837" s="56"/>
      <c r="CD2837" s="56"/>
      <c r="CE2837" s="56"/>
      <c r="CF2837" s="56"/>
      <c r="CG2837" s="56"/>
      <c r="CH2837" s="56"/>
      <c r="CI2837" s="56"/>
      <c r="CJ2837" s="56"/>
      <c r="CK2837" s="56"/>
      <c r="CL2837" s="56"/>
      <c r="CM2837" s="56"/>
      <c r="CN2837" s="56"/>
      <c r="CO2837" s="56"/>
      <c r="CP2837" s="56"/>
      <c r="CQ2837" s="56"/>
      <c r="CR2837" s="56"/>
      <c r="CS2837" s="56"/>
      <c r="CT2837" s="56"/>
      <c r="CU2837" s="56"/>
      <c r="CV2837" s="56"/>
      <c r="CW2837" s="56"/>
      <c r="CX2837" s="56"/>
      <c r="CY2837" s="56"/>
      <c r="CZ2837" s="56"/>
    </row>
    <row r="2838" spans="27:104" s="5" customFormat="1" x14ac:dyDescent="0.25">
      <c r="AA2838" s="56"/>
      <c r="AB2838" s="56"/>
      <c r="AC2838" s="56"/>
      <c r="AD2838" s="56"/>
      <c r="AE2838" s="56"/>
      <c r="AF2838" s="56"/>
      <c r="AG2838" s="56"/>
      <c r="AH2838" s="56"/>
      <c r="AI2838" s="56"/>
      <c r="AJ2838" s="56"/>
      <c r="AK2838" s="56"/>
      <c r="AL2838" s="56"/>
      <c r="AM2838" s="56"/>
      <c r="AN2838" s="56"/>
      <c r="AO2838" s="56"/>
      <c r="AP2838" s="56"/>
      <c r="AQ2838" s="56"/>
      <c r="AR2838" s="56"/>
      <c r="AS2838" s="56"/>
      <c r="AT2838" s="56"/>
      <c r="AU2838" s="56"/>
      <c r="AV2838" s="56"/>
      <c r="AW2838" s="56"/>
      <c r="AX2838" s="56"/>
      <c r="AY2838" s="56"/>
      <c r="AZ2838" s="56"/>
      <c r="BA2838" s="56"/>
      <c r="BB2838" s="16"/>
      <c r="BC2838" s="56"/>
      <c r="BD2838" s="56"/>
      <c r="BE2838" s="56"/>
      <c r="BF2838" s="56"/>
      <c r="BG2838" s="56"/>
      <c r="BH2838" s="56"/>
      <c r="BI2838" s="56"/>
      <c r="BJ2838" s="56"/>
      <c r="BK2838" s="56"/>
      <c r="BL2838" s="56"/>
      <c r="BM2838" s="56"/>
      <c r="BN2838" s="56"/>
      <c r="BO2838" s="56"/>
      <c r="BP2838" s="56"/>
      <c r="BQ2838" s="56"/>
      <c r="BR2838" s="56"/>
      <c r="BS2838" s="56"/>
      <c r="BT2838" s="56"/>
      <c r="BU2838" s="56"/>
      <c r="BV2838" s="56"/>
      <c r="BW2838" s="56"/>
      <c r="BX2838" s="56"/>
      <c r="BY2838" s="56"/>
      <c r="BZ2838" s="56"/>
      <c r="CA2838" s="56"/>
      <c r="CB2838" s="56"/>
      <c r="CC2838" s="56"/>
      <c r="CD2838" s="56"/>
      <c r="CE2838" s="56"/>
      <c r="CF2838" s="56"/>
      <c r="CG2838" s="56"/>
      <c r="CH2838" s="56"/>
      <c r="CI2838" s="56"/>
      <c r="CJ2838" s="56"/>
      <c r="CK2838" s="56"/>
      <c r="CL2838" s="56"/>
      <c r="CM2838" s="56"/>
      <c r="CN2838" s="56"/>
      <c r="CO2838" s="56"/>
      <c r="CP2838" s="56"/>
      <c r="CQ2838" s="56"/>
      <c r="CR2838" s="56"/>
      <c r="CS2838" s="56"/>
      <c r="CT2838" s="56"/>
      <c r="CU2838" s="56"/>
      <c r="CV2838" s="56"/>
      <c r="CW2838" s="56"/>
      <c r="CX2838" s="56"/>
      <c r="CY2838" s="56"/>
      <c r="CZ2838" s="56"/>
    </row>
    <row r="2839" spans="27:104" s="5" customFormat="1" x14ac:dyDescent="0.25">
      <c r="AA2839" s="56"/>
      <c r="AB2839" s="56"/>
      <c r="AC2839" s="56"/>
      <c r="AD2839" s="56"/>
      <c r="AE2839" s="56"/>
      <c r="AF2839" s="56"/>
      <c r="AG2839" s="56"/>
      <c r="AH2839" s="56"/>
      <c r="AI2839" s="56"/>
      <c r="AJ2839" s="56"/>
      <c r="AK2839" s="56"/>
      <c r="AL2839" s="56"/>
      <c r="AM2839" s="56"/>
      <c r="AN2839" s="56"/>
      <c r="AO2839" s="56"/>
      <c r="AP2839" s="56"/>
      <c r="AQ2839" s="56"/>
      <c r="AR2839" s="56"/>
      <c r="AS2839" s="56"/>
      <c r="AT2839" s="56"/>
      <c r="AU2839" s="56"/>
      <c r="AV2839" s="56"/>
      <c r="AW2839" s="56"/>
      <c r="AX2839" s="56"/>
      <c r="AY2839" s="56"/>
      <c r="AZ2839" s="56"/>
      <c r="BA2839" s="56"/>
      <c r="BB2839" s="16"/>
      <c r="BC2839" s="56"/>
      <c r="BD2839" s="56"/>
      <c r="BE2839" s="56"/>
      <c r="BF2839" s="56"/>
      <c r="BG2839" s="56"/>
      <c r="BH2839" s="56"/>
      <c r="BI2839" s="56"/>
      <c r="BJ2839" s="56"/>
      <c r="BK2839" s="56"/>
      <c r="BL2839" s="56"/>
      <c r="BM2839" s="56"/>
      <c r="BN2839" s="56"/>
      <c r="BO2839" s="56"/>
      <c r="BP2839" s="56"/>
      <c r="BQ2839" s="56"/>
      <c r="BR2839" s="56"/>
      <c r="BS2839" s="56"/>
      <c r="BT2839" s="56"/>
      <c r="BU2839" s="56"/>
      <c r="BV2839" s="56"/>
      <c r="BW2839" s="56"/>
      <c r="BX2839" s="56"/>
      <c r="BY2839" s="56"/>
      <c r="BZ2839" s="56"/>
      <c r="CA2839" s="56"/>
      <c r="CB2839" s="56"/>
      <c r="CC2839" s="56"/>
      <c r="CD2839" s="56"/>
      <c r="CE2839" s="56"/>
      <c r="CF2839" s="56"/>
      <c r="CG2839" s="56"/>
      <c r="CH2839" s="56"/>
      <c r="CI2839" s="56"/>
      <c r="CJ2839" s="56"/>
      <c r="CK2839" s="56"/>
      <c r="CL2839" s="56"/>
      <c r="CM2839" s="56"/>
      <c r="CN2839" s="56"/>
      <c r="CO2839" s="56"/>
      <c r="CP2839" s="56"/>
      <c r="CQ2839" s="56"/>
      <c r="CR2839" s="56"/>
      <c r="CS2839" s="56"/>
      <c r="CT2839" s="56"/>
      <c r="CU2839" s="56"/>
      <c r="CV2839" s="56"/>
      <c r="CW2839" s="56"/>
      <c r="CX2839" s="56"/>
      <c r="CY2839" s="56"/>
      <c r="CZ2839" s="56"/>
    </row>
    <row r="2840" spans="27:104" s="5" customFormat="1" x14ac:dyDescent="0.25">
      <c r="AA2840" s="56"/>
      <c r="AB2840" s="56"/>
      <c r="AC2840" s="56"/>
      <c r="AD2840" s="56"/>
      <c r="AE2840" s="56"/>
      <c r="AF2840" s="56"/>
      <c r="AG2840" s="56"/>
      <c r="AH2840" s="56"/>
      <c r="AI2840" s="56"/>
      <c r="AJ2840" s="56"/>
      <c r="AK2840" s="56"/>
      <c r="AL2840" s="56"/>
      <c r="AM2840" s="56"/>
      <c r="AN2840" s="56"/>
      <c r="AO2840" s="56"/>
      <c r="AP2840" s="56"/>
      <c r="AQ2840" s="56"/>
      <c r="AR2840" s="56"/>
      <c r="AS2840" s="56"/>
      <c r="AT2840" s="56"/>
      <c r="AU2840" s="56"/>
      <c r="AV2840" s="56"/>
      <c r="AW2840" s="56"/>
      <c r="AX2840" s="56"/>
      <c r="AY2840" s="56"/>
      <c r="AZ2840" s="56"/>
      <c r="BA2840" s="56"/>
      <c r="BB2840" s="16"/>
      <c r="BC2840" s="56"/>
      <c r="BD2840" s="56"/>
      <c r="BE2840" s="56"/>
      <c r="BF2840" s="56"/>
      <c r="BG2840" s="56"/>
      <c r="BH2840" s="56"/>
      <c r="BI2840" s="56"/>
      <c r="BJ2840" s="56"/>
      <c r="BK2840" s="56"/>
      <c r="BL2840" s="56"/>
      <c r="BM2840" s="56"/>
      <c r="BN2840" s="56"/>
      <c r="BO2840" s="56"/>
      <c r="BP2840" s="56"/>
      <c r="BQ2840" s="56"/>
      <c r="BR2840" s="56"/>
      <c r="BS2840" s="56"/>
      <c r="BT2840" s="56"/>
      <c r="BU2840" s="56"/>
      <c r="BV2840" s="56"/>
      <c r="BW2840" s="56"/>
      <c r="BX2840" s="56"/>
      <c r="BY2840" s="56"/>
      <c r="BZ2840" s="56"/>
      <c r="CA2840" s="56"/>
      <c r="CB2840" s="56"/>
      <c r="CC2840" s="56"/>
      <c r="CD2840" s="56"/>
      <c r="CE2840" s="56"/>
      <c r="CF2840" s="56"/>
      <c r="CG2840" s="56"/>
      <c r="CH2840" s="56"/>
      <c r="CI2840" s="56"/>
      <c r="CJ2840" s="56"/>
      <c r="CK2840" s="56"/>
      <c r="CL2840" s="56"/>
      <c r="CM2840" s="56"/>
      <c r="CN2840" s="56"/>
      <c r="CO2840" s="56"/>
      <c r="CP2840" s="56"/>
      <c r="CQ2840" s="56"/>
      <c r="CR2840" s="56"/>
      <c r="CS2840" s="56"/>
      <c r="CT2840" s="56"/>
      <c r="CU2840" s="56"/>
      <c r="CV2840" s="56"/>
      <c r="CW2840" s="56"/>
      <c r="CX2840" s="56"/>
      <c r="CY2840" s="56"/>
      <c r="CZ2840" s="56"/>
    </row>
    <row r="2841" spans="27:104" s="5" customFormat="1" x14ac:dyDescent="0.25">
      <c r="AA2841" s="56"/>
      <c r="AB2841" s="56"/>
      <c r="AC2841" s="56"/>
      <c r="AD2841" s="56"/>
      <c r="AE2841" s="56"/>
      <c r="AF2841" s="56"/>
      <c r="AG2841" s="56"/>
      <c r="AH2841" s="56"/>
      <c r="AI2841" s="56"/>
      <c r="AJ2841" s="56"/>
      <c r="AK2841" s="56"/>
      <c r="AL2841" s="56"/>
      <c r="AM2841" s="56"/>
      <c r="AN2841" s="56"/>
      <c r="AO2841" s="56"/>
      <c r="AP2841" s="56"/>
      <c r="AQ2841" s="56"/>
      <c r="AR2841" s="56"/>
      <c r="AS2841" s="56"/>
      <c r="AT2841" s="56"/>
      <c r="AU2841" s="56"/>
      <c r="AV2841" s="56"/>
      <c r="AW2841" s="56"/>
      <c r="AX2841" s="56"/>
      <c r="AY2841" s="56"/>
      <c r="AZ2841" s="56"/>
      <c r="BA2841" s="56"/>
      <c r="BB2841" s="16"/>
      <c r="BC2841" s="56"/>
      <c r="BD2841" s="56"/>
      <c r="BE2841" s="56"/>
      <c r="BF2841" s="56"/>
      <c r="BG2841" s="56"/>
      <c r="BH2841" s="56"/>
      <c r="BI2841" s="56"/>
      <c r="BJ2841" s="56"/>
      <c r="BK2841" s="56"/>
      <c r="BL2841" s="56"/>
      <c r="BM2841" s="56"/>
      <c r="BN2841" s="56"/>
      <c r="BO2841" s="56"/>
      <c r="BP2841" s="56"/>
      <c r="BQ2841" s="56"/>
      <c r="BR2841" s="56"/>
      <c r="BS2841" s="56"/>
      <c r="BT2841" s="56"/>
      <c r="BU2841" s="56"/>
      <c r="BV2841" s="56"/>
      <c r="BW2841" s="56"/>
      <c r="BX2841" s="56"/>
      <c r="BY2841" s="56"/>
      <c r="BZ2841" s="56"/>
      <c r="CA2841" s="56"/>
      <c r="CB2841" s="56"/>
      <c r="CC2841" s="56"/>
      <c r="CD2841" s="56"/>
      <c r="CE2841" s="56"/>
      <c r="CF2841" s="56"/>
      <c r="CG2841" s="56"/>
      <c r="CH2841" s="56"/>
      <c r="CI2841" s="56"/>
      <c r="CJ2841" s="56"/>
      <c r="CK2841" s="56"/>
      <c r="CL2841" s="56"/>
      <c r="CM2841" s="56"/>
      <c r="CN2841" s="56"/>
      <c r="CO2841" s="56"/>
      <c r="CP2841" s="56"/>
      <c r="CQ2841" s="56"/>
      <c r="CR2841" s="56"/>
      <c r="CS2841" s="56"/>
      <c r="CT2841" s="56"/>
      <c r="CU2841" s="56"/>
      <c r="CV2841" s="56"/>
      <c r="CW2841" s="56"/>
      <c r="CX2841" s="56"/>
      <c r="CY2841" s="56"/>
      <c r="CZ2841" s="56"/>
    </row>
    <row r="2842" spans="27:104" s="5" customFormat="1" x14ac:dyDescent="0.25">
      <c r="AA2842" s="56"/>
      <c r="AB2842" s="56"/>
      <c r="AC2842" s="56"/>
      <c r="AD2842" s="56"/>
      <c r="AE2842" s="56"/>
      <c r="AF2842" s="56"/>
      <c r="AG2842" s="56"/>
      <c r="AH2842" s="56"/>
      <c r="AI2842" s="56"/>
      <c r="AJ2842" s="56"/>
      <c r="AK2842" s="56"/>
      <c r="AL2842" s="56"/>
      <c r="AM2842" s="56"/>
      <c r="AN2842" s="56"/>
      <c r="AO2842" s="56"/>
      <c r="AP2842" s="56"/>
      <c r="AQ2842" s="56"/>
      <c r="AR2842" s="56"/>
      <c r="AS2842" s="56"/>
      <c r="AT2842" s="56"/>
      <c r="AU2842" s="56"/>
      <c r="AV2842" s="56"/>
      <c r="AW2842" s="56"/>
      <c r="AX2842" s="56"/>
      <c r="AY2842" s="56"/>
      <c r="AZ2842" s="56"/>
      <c r="BA2842" s="56"/>
      <c r="BB2842" s="16"/>
      <c r="BC2842" s="56"/>
      <c r="BD2842" s="56"/>
      <c r="BE2842" s="56"/>
      <c r="BF2842" s="56"/>
      <c r="BG2842" s="56"/>
      <c r="BH2842" s="56"/>
      <c r="BI2842" s="56"/>
      <c r="BJ2842" s="56"/>
      <c r="BK2842" s="56"/>
      <c r="BL2842" s="56"/>
      <c r="BM2842" s="56"/>
      <c r="BN2842" s="56"/>
      <c r="BO2842" s="56"/>
      <c r="BP2842" s="56"/>
      <c r="BQ2842" s="56"/>
      <c r="BR2842" s="56"/>
      <c r="BS2842" s="56"/>
      <c r="BT2842" s="56"/>
      <c r="BU2842" s="56"/>
      <c r="BV2842" s="56"/>
      <c r="BW2842" s="56"/>
      <c r="BX2842" s="56"/>
      <c r="BY2842" s="56"/>
      <c r="BZ2842" s="56"/>
      <c r="CA2842" s="56"/>
      <c r="CB2842" s="56"/>
      <c r="CC2842" s="56"/>
      <c r="CD2842" s="56"/>
      <c r="CE2842" s="56"/>
      <c r="CF2842" s="56"/>
      <c r="CG2842" s="56"/>
      <c r="CH2842" s="56"/>
      <c r="CI2842" s="56"/>
      <c r="CJ2842" s="56"/>
      <c r="CK2842" s="56"/>
      <c r="CL2842" s="56"/>
      <c r="CM2842" s="56"/>
      <c r="CN2842" s="56"/>
      <c r="CO2842" s="56"/>
      <c r="CP2842" s="56"/>
      <c r="CQ2842" s="56"/>
      <c r="CR2842" s="56"/>
      <c r="CS2842" s="56"/>
      <c r="CT2842" s="56"/>
      <c r="CU2842" s="56"/>
      <c r="CV2842" s="56"/>
      <c r="CW2842" s="56"/>
      <c r="CX2842" s="56"/>
      <c r="CY2842" s="56"/>
      <c r="CZ2842" s="56"/>
    </row>
    <row r="2843" spans="27:104" s="5" customFormat="1" x14ac:dyDescent="0.25">
      <c r="AA2843" s="56"/>
      <c r="AB2843" s="56"/>
      <c r="AC2843" s="56"/>
      <c r="AD2843" s="56"/>
      <c r="AE2843" s="56"/>
      <c r="AF2843" s="56"/>
      <c r="AG2843" s="56"/>
      <c r="AH2843" s="56"/>
      <c r="AI2843" s="56"/>
      <c r="AJ2843" s="56"/>
      <c r="AK2843" s="56"/>
      <c r="AL2843" s="56"/>
      <c r="AM2843" s="56"/>
      <c r="AN2843" s="56"/>
      <c r="AO2843" s="56"/>
      <c r="AP2843" s="56"/>
      <c r="AQ2843" s="56"/>
      <c r="AR2843" s="56"/>
      <c r="AS2843" s="56"/>
      <c r="AT2843" s="56"/>
      <c r="AU2843" s="56"/>
      <c r="AV2843" s="56"/>
      <c r="AW2843" s="56"/>
      <c r="AX2843" s="56"/>
      <c r="AY2843" s="56"/>
      <c r="AZ2843" s="56"/>
      <c r="BA2843" s="56"/>
      <c r="BB2843" s="16"/>
      <c r="BC2843" s="56"/>
      <c r="BD2843" s="56"/>
      <c r="BE2843" s="56"/>
      <c r="BF2843" s="56"/>
      <c r="BG2843" s="56"/>
      <c r="BH2843" s="56"/>
      <c r="BI2843" s="56"/>
      <c r="BJ2843" s="56"/>
      <c r="BK2843" s="56"/>
      <c r="BL2843" s="56"/>
      <c r="BM2843" s="56"/>
      <c r="BN2843" s="56"/>
      <c r="BO2843" s="56"/>
      <c r="BP2843" s="56"/>
      <c r="BQ2843" s="56"/>
      <c r="BR2843" s="56"/>
      <c r="BS2843" s="56"/>
      <c r="BT2843" s="56"/>
      <c r="BU2843" s="56"/>
      <c r="BV2843" s="56"/>
      <c r="BW2843" s="56"/>
      <c r="BX2843" s="56"/>
      <c r="BY2843" s="56"/>
      <c r="BZ2843" s="56"/>
      <c r="CA2843" s="56"/>
      <c r="CB2843" s="56"/>
      <c r="CC2843" s="56"/>
      <c r="CD2843" s="56"/>
      <c r="CE2843" s="56"/>
      <c r="CF2843" s="56"/>
      <c r="CG2843" s="56"/>
      <c r="CH2843" s="56"/>
      <c r="CI2843" s="56"/>
      <c r="CJ2843" s="56"/>
      <c r="CK2843" s="56"/>
      <c r="CL2843" s="56"/>
      <c r="CM2843" s="56"/>
      <c r="CN2843" s="56"/>
      <c r="CO2843" s="56"/>
      <c r="CP2843" s="56"/>
      <c r="CQ2843" s="56"/>
      <c r="CR2843" s="56"/>
      <c r="CS2843" s="56"/>
      <c r="CT2843" s="56"/>
      <c r="CU2843" s="56"/>
      <c r="CV2843" s="56"/>
      <c r="CW2843" s="56"/>
      <c r="CX2843" s="56"/>
      <c r="CY2843" s="56"/>
      <c r="CZ2843" s="56"/>
    </row>
    <row r="2844" spans="27:104" s="5" customFormat="1" x14ac:dyDescent="0.25">
      <c r="AA2844" s="56"/>
      <c r="AB2844" s="56"/>
      <c r="AC2844" s="56"/>
      <c r="AD2844" s="56"/>
      <c r="AE2844" s="56"/>
      <c r="AF2844" s="56"/>
      <c r="AG2844" s="56"/>
      <c r="AH2844" s="56"/>
      <c r="AI2844" s="56"/>
      <c r="AJ2844" s="56"/>
      <c r="AK2844" s="56"/>
      <c r="AL2844" s="56"/>
      <c r="AM2844" s="56"/>
      <c r="AN2844" s="56"/>
      <c r="AO2844" s="56"/>
      <c r="AP2844" s="56"/>
      <c r="AQ2844" s="56"/>
      <c r="AR2844" s="56"/>
      <c r="AS2844" s="56"/>
      <c r="AT2844" s="56"/>
      <c r="AU2844" s="56"/>
      <c r="AV2844" s="56"/>
      <c r="AW2844" s="56"/>
      <c r="AX2844" s="56"/>
      <c r="AY2844" s="56"/>
      <c r="AZ2844" s="56"/>
      <c r="BA2844" s="56"/>
      <c r="BB2844" s="16"/>
      <c r="BC2844" s="56"/>
      <c r="BD2844" s="56"/>
      <c r="BE2844" s="56"/>
      <c r="BF2844" s="56"/>
      <c r="BG2844" s="56"/>
      <c r="BH2844" s="56"/>
      <c r="BI2844" s="56"/>
      <c r="BJ2844" s="56"/>
      <c r="BK2844" s="56"/>
      <c r="BL2844" s="56"/>
      <c r="BM2844" s="56"/>
      <c r="BN2844" s="56"/>
      <c r="BO2844" s="56"/>
      <c r="BP2844" s="56"/>
      <c r="BQ2844" s="56"/>
      <c r="BR2844" s="56"/>
      <c r="BS2844" s="56"/>
      <c r="BT2844" s="56"/>
      <c r="BU2844" s="56"/>
      <c r="BV2844" s="56"/>
      <c r="BW2844" s="56"/>
      <c r="BX2844" s="56"/>
      <c r="BY2844" s="56"/>
      <c r="BZ2844" s="56"/>
      <c r="CA2844" s="56"/>
      <c r="CB2844" s="56"/>
      <c r="CC2844" s="56"/>
      <c r="CD2844" s="56"/>
      <c r="CE2844" s="56"/>
      <c r="CF2844" s="56"/>
      <c r="CG2844" s="56"/>
      <c r="CH2844" s="56"/>
      <c r="CI2844" s="56"/>
      <c r="CJ2844" s="56"/>
      <c r="CK2844" s="56"/>
      <c r="CL2844" s="56"/>
      <c r="CM2844" s="56"/>
      <c r="CN2844" s="56"/>
      <c r="CO2844" s="56"/>
      <c r="CP2844" s="56"/>
      <c r="CQ2844" s="56"/>
      <c r="CR2844" s="56"/>
      <c r="CS2844" s="56"/>
      <c r="CT2844" s="56"/>
      <c r="CU2844" s="56"/>
      <c r="CV2844" s="56"/>
      <c r="CW2844" s="56"/>
      <c r="CX2844" s="56"/>
      <c r="CY2844" s="56"/>
      <c r="CZ2844" s="56"/>
    </row>
    <row r="2845" spans="27:104" s="5" customFormat="1" x14ac:dyDescent="0.25">
      <c r="AA2845" s="56"/>
      <c r="AB2845" s="56"/>
      <c r="AC2845" s="56"/>
      <c r="AD2845" s="56"/>
      <c r="AE2845" s="56"/>
      <c r="AF2845" s="56"/>
      <c r="AG2845" s="56"/>
      <c r="AH2845" s="56"/>
      <c r="AI2845" s="56"/>
      <c r="AJ2845" s="56"/>
      <c r="AK2845" s="56"/>
      <c r="AL2845" s="56"/>
      <c r="AM2845" s="56"/>
      <c r="AN2845" s="56"/>
      <c r="AO2845" s="56"/>
      <c r="AP2845" s="56"/>
      <c r="AQ2845" s="56"/>
      <c r="AR2845" s="56"/>
      <c r="AS2845" s="56"/>
      <c r="AT2845" s="56"/>
      <c r="AU2845" s="56"/>
      <c r="AV2845" s="56"/>
      <c r="AW2845" s="56"/>
      <c r="AX2845" s="56"/>
      <c r="AY2845" s="56"/>
      <c r="AZ2845" s="56"/>
      <c r="BA2845" s="56"/>
      <c r="BB2845" s="16"/>
      <c r="BC2845" s="56"/>
      <c r="BD2845" s="56"/>
      <c r="BE2845" s="56"/>
      <c r="BF2845" s="56"/>
      <c r="BG2845" s="56"/>
      <c r="BH2845" s="56"/>
      <c r="BI2845" s="56"/>
      <c r="BJ2845" s="56"/>
      <c r="BK2845" s="56"/>
      <c r="BL2845" s="56"/>
      <c r="BM2845" s="56"/>
      <c r="BN2845" s="56"/>
      <c r="BO2845" s="56"/>
      <c r="BP2845" s="56"/>
      <c r="BQ2845" s="56"/>
      <c r="BR2845" s="56"/>
      <c r="BS2845" s="56"/>
      <c r="BT2845" s="56"/>
      <c r="BU2845" s="56"/>
      <c r="BV2845" s="56"/>
      <c r="BW2845" s="56"/>
      <c r="BX2845" s="56"/>
      <c r="BY2845" s="56"/>
      <c r="BZ2845" s="56"/>
      <c r="CA2845" s="56"/>
      <c r="CB2845" s="56"/>
      <c r="CC2845" s="56"/>
      <c r="CD2845" s="56"/>
      <c r="CE2845" s="56"/>
      <c r="CF2845" s="56"/>
      <c r="CG2845" s="56"/>
      <c r="CH2845" s="56"/>
      <c r="CI2845" s="56"/>
      <c r="CJ2845" s="56"/>
      <c r="CK2845" s="56"/>
      <c r="CL2845" s="56"/>
      <c r="CM2845" s="56"/>
      <c r="CN2845" s="56"/>
      <c r="CO2845" s="56"/>
      <c r="CP2845" s="56"/>
      <c r="CQ2845" s="56"/>
      <c r="CR2845" s="56"/>
      <c r="CS2845" s="56"/>
      <c r="CT2845" s="56"/>
      <c r="CU2845" s="56"/>
      <c r="CV2845" s="56"/>
      <c r="CW2845" s="56"/>
      <c r="CX2845" s="56"/>
      <c r="CY2845" s="56"/>
      <c r="CZ2845" s="56"/>
    </row>
    <row r="2846" spans="27:104" s="5" customFormat="1" x14ac:dyDescent="0.25">
      <c r="AA2846" s="56"/>
      <c r="AB2846" s="56"/>
      <c r="AC2846" s="56"/>
      <c r="AD2846" s="56"/>
      <c r="AE2846" s="56"/>
      <c r="AF2846" s="56"/>
      <c r="AG2846" s="56"/>
      <c r="AH2846" s="56"/>
      <c r="AI2846" s="56"/>
      <c r="AJ2846" s="56"/>
      <c r="AK2846" s="56"/>
      <c r="AL2846" s="56"/>
      <c r="AM2846" s="56"/>
      <c r="AN2846" s="56"/>
      <c r="AO2846" s="56"/>
      <c r="AP2846" s="56"/>
      <c r="AQ2846" s="56"/>
      <c r="AR2846" s="56"/>
      <c r="AS2846" s="56"/>
      <c r="AT2846" s="56"/>
      <c r="AU2846" s="56"/>
      <c r="AV2846" s="56"/>
      <c r="AW2846" s="56"/>
      <c r="AX2846" s="56"/>
      <c r="AY2846" s="56"/>
      <c r="AZ2846" s="56"/>
      <c r="BA2846" s="56"/>
      <c r="BB2846" s="16"/>
      <c r="BC2846" s="56"/>
      <c r="BD2846" s="56"/>
      <c r="BE2846" s="56"/>
      <c r="BF2846" s="56"/>
      <c r="BG2846" s="56"/>
      <c r="BH2846" s="56"/>
      <c r="BI2846" s="56"/>
      <c r="BJ2846" s="56"/>
      <c r="BK2846" s="56"/>
      <c r="BL2846" s="56"/>
      <c r="BM2846" s="56"/>
      <c r="BN2846" s="56"/>
      <c r="BO2846" s="56"/>
      <c r="BP2846" s="56"/>
      <c r="BQ2846" s="56"/>
      <c r="BR2846" s="56"/>
      <c r="BS2846" s="56"/>
      <c r="BT2846" s="56"/>
      <c r="BU2846" s="56"/>
      <c r="BV2846" s="56"/>
      <c r="BW2846" s="56"/>
      <c r="BX2846" s="56"/>
      <c r="BY2846" s="56"/>
      <c r="BZ2846" s="56"/>
      <c r="CA2846" s="56"/>
      <c r="CB2846" s="56"/>
      <c r="CC2846" s="56"/>
      <c r="CD2846" s="56"/>
      <c r="CE2846" s="56"/>
      <c r="CF2846" s="56"/>
      <c r="CG2846" s="56"/>
      <c r="CH2846" s="56"/>
      <c r="CI2846" s="56"/>
      <c r="CJ2846" s="56"/>
      <c r="CK2846" s="56"/>
      <c r="CL2846" s="56"/>
      <c r="CM2846" s="56"/>
      <c r="CN2846" s="56"/>
      <c r="CO2846" s="56"/>
      <c r="CP2846" s="56"/>
      <c r="CQ2846" s="56"/>
      <c r="CR2846" s="56"/>
      <c r="CS2846" s="56"/>
      <c r="CT2846" s="56"/>
      <c r="CU2846" s="56"/>
      <c r="CV2846" s="56"/>
      <c r="CW2846" s="56"/>
      <c r="CX2846" s="56"/>
      <c r="CY2846" s="56"/>
      <c r="CZ2846" s="56"/>
    </row>
    <row r="2847" spans="27:104" s="5" customFormat="1" x14ac:dyDescent="0.25">
      <c r="AA2847" s="56"/>
      <c r="AB2847" s="56"/>
      <c r="AC2847" s="56"/>
      <c r="AD2847" s="56"/>
      <c r="AE2847" s="56"/>
      <c r="AF2847" s="56"/>
      <c r="AG2847" s="56"/>
      <c r="AH2847" s="56"/>
      <c r="AI2847" s="56"/>
      <c r="AJ2847" s="56"/>
      <c r="AK2847" s="56"/>
      <c r="AL2847" s="56"/>
      <c r="AM2847" s="56"/>
      <c r="AN2847" s="56"/>
      <c r="AO2847" s="56"/>
      <c r="AP2847" s="56"/>
      <c r="AQ2847" s="56"/>
      <c r="AR2847" s="56"/>
      <c r="AS2847" s="56"/>
      <c r="AT2847" s="56"/>
      <c r="AU2847" s="56"/>
      <c r="AV2847" s="56"/>
      <c r="AW2847" s="56"/>
      <c r="AX2847" s="56"/>
      <c r="AY2847" s="56"/>
      <c r="AZ2847" s="56"/>
      <c r="BA2847" s="56"/>
      <c r="BB2847" s="16"/>
      <c r="BC2847" s="56"/>
      <c r="BD2847" s="56"/>
      <c r="BE2847" s="56"/>
      <c r="BF2847" s="56"/>
      <c r="BG2847" s="56"/>
      <c r="BH2847" s="56"/>
      <c r="BI2847" s="56"/>
      <c r="BJ2847" s="56"/>
      <c r="BK2847" s="56"/>
      <c r="BL2847" s="56"/>
      <c r="BM2847" s="56"/>
      <c r="BN2847" s="56"/>
      <c r="BO2847" s="56"/>
      <c r="BP2847" s="56"/>
      <c r="BQ2847" s="56"/>
      <c r="BR2847" s="56"/>
      <c r="BS2847" s="56"/>
      <c r="BT2847" s="56"/>
      <c r="BU2847" s="56"/>
      <c r="BV2847" s="56"/>
      <c r="BW2847" s="56"/>
      <c r="BX2847" s="56"/>
      <c r="BY2847" s="56"/>
      <c r="BZ2847" s="56"/>
      <c r="CA2847" s="56"/>
      <c r="CB2847" s="56"/>
      <c r="CC2847" s="56"/>
      <c r="CD2847" s="56"/>
      <c r="CE2847" s="56"/>
      <c r="CF2847" s="56"/>
      <c r="CG2847" s="56"/>
      <c r="CH2847" s="56"/>
      <c r="CI2847" s="56"/>
      <c r="CJ2847" s="56"/>
      <c r="CK2847" s="56"/>
      <c r="CL2847" s="56"/>
      <c r="CM2847" s="56"/>
      <c r="CN2847" s="56"/>
      <c r="CO2847" s="56"/>
      <c r="CP2847" s="56"/>
      <c r="CQ2847" s="56"/>
      <c r="CR2847" s="56"/>
      <c r="CS2847" s="56"/>
      <c r="CT2847" s="56"/>
      <c r="CU2847" s="56"/>
      <c r="CV2847" s="56"/>
      <c r="CW2847" s="56"/>
      <c r="CX2847" s="56"/>
      <c r="CY2847" s="56"/>
      <c r="CZ2847" s="56"/>
    </row>
    <row r="2848" spans="27:104" s="5" customFormat="1" x14ac:dyDescent="0.25">
      <c r="AA2848" s="56"/>
      <c r="AB2848" s="56"/>
      <c r="AC2848" s="56"/>
      <c r="AD2848" s="56"/>
      <c r="AE2848" s="56"/>
      <c r="AF2848" s="56"/>
      <c r="AG2848" s="56"/>
      <c r="AH2848" s="56"/>
      <c r="AI2848" s="56"/>
      <c r="AJ2848" s="56"/>
      <c r="AK2848" s="56"/>
      <c r="AL2848" s="56"/>
      <c r="AM2848" s="56"/>
      <c r="AN2848" s="56"/>
      <c r="AO2848" s="56"/>
      <c r="AP2848" s="56"/>
      <c r="AQ2848" s="56"/>
      <c r="AR2848" s="56"/>
      <c r="AS2848" s="56"/>
      <c r="AT2848" s="56"/>
      <c r="AU2848" s="56"/>
      <c r="AV2848" s="56"/>
      <c r="AW2848" s="56"/>
      <c r="AX2848" s="56"/>
      <c r="AY2848" s="56"/>
      <c r="AZ2848" s="56"/>
      <c r="BA2848" s="56"/>
      <c r="BB2848" s="16"/>
      <c r="BC2848" s="56"/>
      <c r="BD2848" s="56"/>
      <c r="BE2848" s="56"/>
      <c r="BF2848" s="56"/>
      <c r="BG2848" s="56"/>
      <c r="BH2848" s="56"/>
      <c r="BI2848" s="56"/>
      <c r="BJ2848" s="56"/>
      <c r="BK2848" s="56"/>
      <c r="BL2848" s="56"/>
      <c r="BM2848" s="56"/>
      <c r="BN2848" s="56"/>
      <c r="BO2848" s="56"/>
      <c r="BP2848" s="56"/>
      <c r="BQ2848" s="56"/>
      <c r="BR2848" s="56"/>
      <c r="BS2848" s="56"/>
      <c r="BT2848" s="56"/>
      <c r="BU2848" s="56"/>
      <c r="BV2848" s="56"/>
      <c r="BW2848" s="56"/>
      <c r="BX2848" s="56"/>
      <c r="BY2848" s="56"/>
      <c r="BZ2848" s="56"/>
      <c r="CA2848" s="56"/>
      <c r="CB2848" s="56"/>
      <c r="CC2848" s="56"/>
      <c r="CD2848" s="56"/>
      <c r="CE2848" s="56"/>
      <c r="CF2848" s="56"/>
      <c r="CG2848" s="56"/>
      <c r="CH2848" s="56"/>
      <c r="CI2848" s="56"/>
      <c r="CJ2848" s="56"/>
      <c r="CK2848" s="56"/>
      <c r="CL2848" s="56"/>
      <c r="CM2848" s="56"/>
      <c r="CN2848" s="56"/>
      <c r="CO2848" s="56"/>
      <c r="CP2848" s="56"/>
      <c r="CQ2848" s="56"/>
      <c r="CR2848" s="56"/>
      <c r="CS2848" s="56"/>
      <c r="CT2848" s="56"/>
      <c r="CU2848" s="56"/>
      <c r="CV2848" s="56"/>
      <c r="CW2848" s="56"/>
      <c r="CX2848" s="56"/>
      <c r="CY2848" s="56"/>
      <c r="CZ2848" s="56"/>
    </row>
    <row r="2849" spans="27:104" s="5" customFormat="1" x14ac:dyDescent="0.25">
      <c r="AA2849" s="56"/>
      <c r="AB2849" s="56"/>
      <c r="AC2849" s="56"/>
      <c r="AD2849" s="56"/>
      <c r="AE2849" s="56"/>
      <c r="AF2849" s="56"/>
      <c r="AG2849" s="56"/>
      <c r="AH2849" s="56"/>
      <c r="AI2849" s="56"/>
      <c r="AJ2849" s="56"/>
      <c r="AK2849" s="56"/>
      <c r="AL2849" s="56"/>
      <c r="AM2849" s="56"/>
      <c r="AN2849" s="56"/>
      <c r="AO2849" s="56"/>
      <c r="AP2849" s="56"/>
      <c r="AQ2849" s="56"/>
      <c r="AR2849" s="56"/>
      <c r="AS2849" s="56"/>
      <c r="AT2849" s="56"/>
      <c r="AU2849" s="56"/>
      <c r="AV2849" s="56"/>
      <c r="AW2849" s="56"/>
      <c r="AX2849" s="56"/>
      <c r="AY2849" s="56"/>
      <c r="AZ2849" s="56"/>
      <c r="BA2849" s="56"/>
      <c r="BB2849" s="16"/>
      <c r="BC2849" s="56"/>
      <c r="BD2849" s="56"/>
      <c r="BE2849" s="56"/>
      <c r="BF2849" s="56"/>
      <c r="BG2849" s="56"/>
      <c r="BH2849" s="56"/>
      <c r="BI2849" s="56"/>
      <c r="BJ2849" s="56"/>
      <c r="BK2849" s="56"/>
      <c r="BL2849" s="56"/>
      <c r="BM2849" s="56"/>
      <c r="BN2849" s="56"/>
      <c r="BO2849" s="56"/>
      <c r="BP2849" s="56"/>
      <c r="BQ2849" s="56"/>
      <c r="BR2849" s="56"/>
      <c r="BS2849" s="56"/>
      <c r="BT2849" s="56"/>
      <c r="BU2849" s="56"/>
      <c r="BV2849" s="56"/>
      <c r="BW2849" s="56"/>
      <c r="BX2849" s="56"/>
      <c r="BY2849" s="56"/>
      <c r="BZ2849" s="56"/>
      <c r="CA2849" s="56"/>
      <c r="CB2849" s="56"/>
      <c r="CC2849" s="56"/>
      <c r="CD2849" s="56"/>
      <c r="CE2849" s="56"/>
      <c r="CF2849" s="56"/>
      <c r="CG2849" s="56"/>
      <c r="CH2849" s="56"/>
      <c r="CI2849" s="56"/>
      <c r="CJ2849" s="56"/>
      <c r="CK2849" s="56"/>
      <c r="CL2849" s="56"/>
      <c r="CM2849" s="56"/>
      <c r="CN2849" s="56"/>
      <c r="CO2849" s="56"/>
      <c r="CP2849" s="56"/>
      <c r="CQ2849" s="56"/>
      <c r="CR2849" s="56"/>
      <c r="CS2849" s="56"/>
      <c r="CT2849" s="56"/>
      <c r="CU2849" s="56"/>
      <c r="CV2849" s="56"/>
      <c r="CW2849" s="56"/>
      <c r="CX2849" s="56"/>
      <c r="CY2849" s="56"/>
      <c r="CZ2849" s="56"/>
    </row>
    <row r="2850" spans="27:104" s="5" customFormat="1" x14ac:dyDescent="0.25">
      <c r="AA2850" s="56"/>
      <c r="AB2850" s="56"/>
      <c r="AC2850" s="56"/>
      <c r="AD2850" s="56"/>
      <c r="AE2850" s="56"/>
      <c r="AF2850" s="56"/>
      <c r="AG2850" s="56"/>
      <c r="AH2850" s="56"/>
      <c r="AI2850" s="56"/>
      <c r="AJ2850" s="56"/>
      <c r="AK2850" s="56"/>
      <c r="AL2850" s="56"/>
      <c r="AM2850" s="56"/>
      <c r="AN2850" s="56"/>
      <c r="AO2850" s="56"/>
      <c r="AP2850" s="56"/>
      <c r="AQ2850" s="56"/>
      <c r="AR2850" s="56"/>
      <c r="AS2850" s="56"/>
      <c r="AT2850" s="56"/>
      <c r="AU2850" s="56"/>
      <c r="AV2850" s="56"/>
      <c r="AW2850" s="56"/>
      <c r="AX2850" s="56"/>
      <c r="AY2850" s="56"/>
      <c r="AZ2850" s="56"/>
      <c r="BA2850" s="56"/>
      <c r="BB2850" s="16"/>
      <c r="BC2850" s="56"/>
      <c r="BD2850" s="56"/>
      <c r="BE2850" s="56"/>
      <c r="BF2850" s="56"/>
      <c r="BG2850" s="56"/>
      <c r="BH2850" s="56"/>
      <c r="BI2850" s="56"/>
      <c r="BJ2850" s="56"/>
      <c r="BK2850" s="56"/>
      <c r="BL2850" s="56"/>
      <c r="BM2850" s="56"/>
      <c r="BN2850" s="56"/>
      <c r="BO2850" s="56"/>
      <c r="BP2850" s="56"/>
      <c r="BQ2850" s="56"/>
      <c r="BR2850" s="56"/>
      <c r="BS2850" s="56"/>
      <c r="BT2850" s="56"/>
      <c r="BU2850" s="56"/>
      <c r="BV2850" s="56"/>
      <c r="BW2850" s="56"/>
      <c r="BX2850" s="56"/>
      <c r="BY2850" s="56"/>
      <c r="BZ2850" s="56"/>
      <c r="CA2850" s="56"/>
      <c r="CB2850" s="56"/>
      <c r="CC2850" s="56"/>
      <c r="CD2850" s="56"/>
      <c r="CE2850" s="56"/>
      <c r="CF2850" s="56"/>
      <c r="CG2850" s="56"/>
      <c r="CH2850" s="56"/>
      <c r="CI2850" s="56"/>
      <c r="CJ2850" s="56"/>
      <c r="CK2850" s="56"/>
      <c r="CL2850" s="56"/>
      <c r="CM2850" s="56"/>
      <c r="CN2850" s="56"/>
      <c r="CO2850" s="56"/>
      <c r="CP2850" s="56"/>
      <c r="CQ2850" s="56"/>
      <c r="CR2850" s="56"/>
      <c r="CS2850" s="56"/>
      <c r="CT2850" s="56"/>
      <c r="CU2850" s="56"/>
      <c r="CV2850" s="56"/>
      <c r="CW2850" s="56"/>
      <c r="CX2850" s="56"/>
      <c r="CY2850" s="56"/>
      <c r="CZ2850" s="56"/>
    </row>
    <row r="2851" spans="27:104" s="5" customFormat="1" x14ac:dyDescent="0.25">
      <c r="AA2851" s="56"/>
      <c r="AB2851" s="56"/>
      <c r="AC2851" s="56"/>
      <c r="AD2851" s="56"/>
      <c r="AE2851" s="56"/>
      <c r="AF2851" s="56"/>
      <c r="AG2851" s="56"/>
      <c r="AH2851" s="56"/>
      <c r="AI2851" s="56"/>
      <c r="AJ2851" s="56"/>
      <c r="AK2851" s="56"/>
      <c r="AL2851" s="56"/>
      <c r="AM2851" s="56"/>
      <c r="AN2851" s="56"/>
      <c r="AO2851" s="56"/>
      <c r="AP2851" s="56"/>
      <c r="AQ2851" s="56"/>
      <c r="AR2851" s="56"/>
      <c r="AS2851" s="56"/>
      <c r="AT2851" s="56"/>
      <c r="AU2851" s="56"/>
      <c r="AV2851" s="56"/>
      <c r="AW2851" s="56"/>
      <c r="AX2851" s="56"/>
      <c r="AY2851" s="56"/>
      <c r="AZ2851" s="56"/>
      <c r="BA2851" s="56"/>
      <c r="BB2851" s="16"/>
      <c r="BC2851" s="56"/>
      <c r="BD2851" s="56"/>
      <c r="BE2851" s="56"/>
      <c r="BF2851" s="56"/>
      <c r="BG2851" s="56"/>
      <c r="BH2851" s="56"/>
      <c r="BI2851" s="56"/>
      <c r="BJ2851" s="56"/>
      <c r="BK2851" s="56"/>
      <c r="BL2851" s="56"/>
      <c r="BM2851" s="56"/>
      <c r="BN2851" s="56"/>
      <c r="BO2851" s="56"/>
      <c r="BP2851" s="56"/>
      <c r="BQ2851" s="56"/>
      <c r="BR2851" s="56"/>
      <c r="BS2851" s="56"/>
      <c r="BT2851" s="56"/>
      <c r="BU2851" s="56"/>
      <c r="BV2851" s="56"/>
      <c r="BW2851" s="56"/>
      <c r="BX2851" s="56"/>
      <c r="BY2851" s="56"/>
      <c r="BZ2851" s="56"/>
      <c r="CA2851" s="56"/>
      <c r="CB2851" s="56"/>
      <c r="CC2851" s="56"/>
      <c r="CD2851" s="56"/>
      <c r="CE2851" s="56"/>
      <c r="CF2851" s="56"/>
      <c r="CG2851" s="56"/>
      <c r="CH2851" s="56"/>
      <c r="CI2851" s="56"/>
      <c r="CJ2851" s="56"/>
      <c r="CK2851" s="56"/>
      <c r="CL2851" s="56"/>
      <c r="CM2851" s="56"/>
      <c r="CN2851" s="56"/>
      <c r="CO2851" s="56"/>
      <c r="CP2851" s="56"/>
      <c r="CQ2851" s="56"/>
      <c r="CR2851" s="56"/>
      <c r="CS2851" s="56"/>
      <c r="CT2851" s="56"/>
      <c r="CU2851" s="56"/>
      <c r="CV2851" s="56"/>
      <c r="CW2851" s="56"/>
      <c r="CX2851" s="56"/>
      <c r="CY2851" s="56"/>
      <c r="CZ2851" s="56"/>
    </row>
    <row r="2852" spans="27:104" s="5" customFormat="1" x14ac:dyDescent="0.25">
      <c r="AA2852" s="56"/>
      <c r="AB2852" s="56"/>
      <c r="AC2852" s="56"/>
      <c r="AD2852" s="56"/>
      <c r="AE2852" s="56"/>
      <c r="AF2852" s="56"/>
      <c r="AG2852" s="56"/>
      <c r="AH2852" s="56"/>
      <c r="AI2852" s="56"/>
      <c r="AJ2852" s="56"/>
      <c r="AK2852" s="56"/>
      <c r="AL2852" s="56"/>
      <c r="AM2852" s="56"/>
      <c r="AN2852" s="56"/>
      <c r="AO2852" s="56"/>
      <c r="AP2852" s="56"/>
      <c r="AQ2852" s="56"/>
      <c r="AR2852" s="56"/>
      <c r="AS2852" s="56"/>
      <c r="AT2852" s="56"/>
      <c r="AU2852" s="56"/>
      <c r="AV2852" s="56"/>
      <c r="AW2852" s="56"/>
      <c r="AX2852" s="56"/>
      <c r="AY2852" s="56"/>
      <c r="AZ2852" s="56"/>
      <c r="BA2852" s="56"/>
      <c r="BB2852" s="16"/>
      <c r="BC2852" s="56"/>
      <c r="BD2852" s="56"/>
      <c r="BE2852" s="56"/>
      <c r="BF2852" s="56"/>
      <c r="BG2852" s="56"/>
      <c r="BH2852" s="56"/>
      <c r="BI2852" s="56"/>
      <c r="BJ2852" s="56"/>
      <c r="BK2852" s="56"/>
      <c r="BL2852" s="56"/>
      <c r="BM2852" s="56"/>
      <c r="BN2852" s="56"/>
      <c r="BO2852" s="56"/>
      <c r="BP2852" s="56"/>
      <c r="BQ2852" s="56"/>
      <c r="BR2852" s="56"/>
      <c r="BS2852" s="56"/>
      <c r="BT2852" s="56"/>
      <c r="BU2852" s="56"/>
      <c r="BV2852" s="56"/>
      <c r="BW2852" s="56"/>
      <c r="BX2852" s="56"/>
      <c r="BY2852" s="56"/>
      <c r="BZ2852" s="56"/>
      <c r="CA2852" s="56"/>
      <c r="CB2852" s="56"/>
      <c r="CC2852" s="56"/>
      <c r="CD2852" s="56"/>
      <c r="CE2852" s="56"/>
      <c r="CF2852" s="56"/>
      <c r="CG2852" s="56"/>
      <c r="CH2852" s="56"/>
      <c r="CI2852" s="56"/>
      <c r="CJ2852" s="56"/>
      <c r="CK2852" s="56"/>
      <c r="CL2852" s="56"/>
      <c r="CM2852" s="56"/>
      <c r="CN2852" s="56"/>
      <c r="CO2852" s="56"/>
      <c r="CP2852" s="56"/>
      <c r="CQ2852" s="56"/>
      <c r="CR2852" s="56"/>
      <c r="CS2852" s="56"/>
      <c r="CT2852" s="56"/>
      <c r="CU2852" s="56"/>
      <c r="CV2852" s="56"/>
      <c r="CW2852" s="56"/>
      <c r="CX2852" s="56"/>
      <c r="CY2852" s="56"/>
      <c r="CZ2852" s="56"/>
    </row>
    <row r="2853" spans="27:104" s="5" customFormat="1" x14ac:dyDescent="0.25">
      <c r="AA2853" s="56"/>
      <c r="AB2853" s="56"/>
      <c r="AC2853" s="56"/>
      <c r="AD2853" s="56"/>
      <c r="AE2853" s="56"/>
      <c r="AF2853" s="56"/>
      <c r="AG2853" s="56"/>
      <c r="AH2853" s="56"/>
      <c r="AI2853" s="56"/>
      <c r="AJ2853" s="56"/>
      <c r="AK2853" s="56"/>
      <c r="AL2853" s="56"/>
      <c r="AM2853" s="56"/>
      <c r="AN2853" s="56"/>
      <c r="AO2853" s="56"/>
      <c r="AP2853" s="56"/>
      <c r="AQ2853" s="56"/>
      <c r="AR2853" s="56"/>
      <c r="AS2853" s="56"/>
      <c r="AT2853" s="56"/>
      <c r="AU2853" s="56"/>
      <c r="AV2853" s="56"/>
      <c r="AW2853" s="56"/>
      <c r="AX2853" s="56"/>
      <c r="AY2853" s="56"/>
      <c r="AZ2853" s="56"/>
      <c r="BA2853" s="56"/>
      <c r="BB2853" s="16"/>
      <c r="BC2853" s="56"/>
      <c r="BD2853" s="56"/>
      <c r="BE2853" s="56"/>
      <c r="BF2853" s="56"/>
      <c r="BG2853" s="56"/>
      <c r="BH2853" s="56"/>
      <c r="BI2853" s="56"/>
      <c r="BJ2853" s="56"/>
      <c r="BK2853" s="56"/>
      <c r="BL2853" s="56"/>
      <c r="BM2853" s="56"/>
      <c r="BN2853" s="56"/>
      <c r="BO2853" s="56"/>
      <c r="BP2853" s="56"/>
      <c r="BQ2853" s="56"/>
      <c r="BR2853" s="56"/>
      <c r="BS2853" s="56"/>
      <c r="BT2853" s="56"/>
      <c r="BU2853" s="56"/>
      <c r="BV2853" s="56"/>
      <c r="BW2853" s="56"/>
      <c r="BX2853" s="56"/>
      <c r="BY2853" s="56"/>
      <c r="BZ2853" s="56"/>
      <c r="CA2853" s="56"/>
      <c r="CB2853" s="56"/>
      <c r="CC2853" s="56"/>
      <c r="CD2853" s="56"/>
      <c r="CE2853" s="56"/>
      <c r="CF2853" s="56"/>
      <c r="CG2853" s="56"/>
      <c r="CH2853" s="56"/>
      <c r="CI2853" s="56"/>
      <c r="CJ2853" s="56"/>
      <c r="CK2853" s="56"/>
      <c r="CL2853" s="56"/>
      <c r="CM2853" s="56"/>
      <c r="CN2853" s="56"/>
      <c r="CO2853" s="56"/>
      <c r="CP2853" s="56"/>
      <c r="CQ2853" s="56"/>
      <c r="CR2853" s="56"/>
      <c r="CS2853" s="56"/>
      <c r="CT2853" s="56"/>
      <c r="CU2853" s="56"/>
      <c r="CV2853" s="56"/>
      <c r="CW2853" s="56"/>
      <c r="CX2853" s="56"/>
      <c r="CY2853" s="56"/>
      <c r="CZ2853" s="56"/>
    </row>
    <row r="2854" spans="27:104" s="5" customFormat="1" x14ac:dyDescent="0.25">
      <c r="AA2854" s="56"/>
      <c r="AB2854" s="56"/>
      <c r="AC2854" s="56"/>
      <c r="AD2854" s="56"/>
      <c r="AE2854" s="56"/>
      <c r="AF2854" s="56"/>
      <c r="AG2854" s="56"/>
      <c r="AH2854" s="56"/>
      <c r="AI2854" s="56"/>
      <c r="AJ2854" s="56"/>
      <c r="AK2854" s="56"/>
      <c r="AL2854" s="56"/>
      <c r="AM2854" s="56"/>
      <c r="AN2854" s="56"/>
      <c r="AO2854" s="56"/>
      <c r="AP2854" s="56"/>
      <c r="AQ2854" s="56"/>
      <c r="AR2854" s="56"/>
      <c r="AS2854" s="56"/>
      <c r="AT2854" s="56"/>
      <c r="AU2854" s="56"/>
      <c r="AV2854" s="56"/>
      <c r="AW2854" s="56"/>
      <c r="AX2854" s="56"/>
      <c r="AY2854" s="56"/>
      <c r="AZ2854" s="56"/>
      <c r="BA2854" s="56"/>
      <c r="BB2854" s="16"/>
      <c r="BC2854" s="56"/>
      <c r="BD2854" s="56"/>
      <c r="BE2854" s="56"/>
      <c r="BF2854" s="56"/>
      <c r="BG2854" s="56"/>
      <c r="BH2854" s="56"/>
      <c r="BI2854" s="56"/>
      <c r="BJ2854" s="56"/>
      <c r="BK2854" s="56"/>
      <c r="BL2854" s="56"/>
      <c r="BM2854" s="56"/>
      <c r="BN2854" s="56"/>
      <c r="BO2854" s="56"/>
      <c r="BP2854" s="56"/>
      <c r="BQ2854" s="56"/>
      <c r="BR2854" s="56"/>
      <c r="BS2854" s="56"/>
      <c r="BT2854" s="56"/>
      <c r="BU2854" s="56"/>
      <c r="BV2854" s="56"/>
      <c r="BW2854" s="56"/>
      <c r="BX2854" s="56"/>
      <c r="BY2854" s="56"/>
      <c r="BZ2854" s="56"/>
      <c r="CA2854" s="56"/>
      <c r="CB2854" s="56"/>
      <c r="CC2854" s="56"/>
      <c r="CD2854" s="56"/>
      <c r="CE2854" s="56"/>
      <c r="CF2854" s="56"/>
      <c r="CG2854" s="56"/>
      <c r="CH2854" s="56"/>
      <c r="CI2854" s="56"/>
      <c r="CJ2854" s="56"/>
      <c r="CK2854" s="56"/>
      <c r="CL2854" s="56"/>
      <c r="CM2854" s="56"/>
      <c r="CN2854" s="56"/>
      <c r="CO2854" s="56"/>
      <c r="CP2854" s="56"/>
      <c r="CQ2854" s="56"/>
      <c r="CR2854" s="56"/>
      <c r="CS2854" s="56"/>
      <c r="CT2854" s="56"/>
      <c r="CU2854" s="56"/>
      <c r="CV2854" s="56"/>
      <c r="CW2854" s="56"/>
      <c r="CX2854" s="56"/>
      <c r="CY2854" s="56"/>
      <c r="CZ2854" s="56"/>
    </row>
    <row r="2855" spans="27:104" s="5" customFormat="1" x14ac:dyDescent="0.25">
      <c r="AA2855" s="56"/>
      <c r="AB2855" s="56"/>
      <c r="AC2855" s="56"/>
      <c r="AD2855" s="56"/>
      <c r="AE2855" s="56"/>
      <c r="AF2855" s="56"/>
      <c r="AG2855" s="56"/>
      <c r="AH2855" s="56"/>
      <c r="AI2855" s="56"/>
      <c r="AJ2855" s="56"/>
      <c r="AK2855" s="56"/>
      <c r="AL2855" s="56"/>
      <c r="AM2855" s="56"/>
      <c r="AN2855" s="56"/>
      <c r="AO2855" s="56"/>
      <c r="AP2855" s="56"/>
      <c r="AQ2855" s="56"/>
      <c r="AR2855" s="56"/>
      <c r="AS2855" s="56"/>
      <c r="AT2855" s="56"/>
      <c r="AU2855" s="56"/>
      <c r="AV2855" s="56"/>
      <c r="AW2855" s="56"/>
      <c r="AX2855" s="56"/>
      <c r="AY2855" s="56"/>
      <c r="AZ2855" s="56"/>
      <c r="BA2855" s="56"/>
      <c r="BB2855" s="16"/>
      <c r="BC2855" s="56"/>
      <c r="BD2855" s="56"/>
      <c r="BE2855" s="56"/>
      <c r="BF2855" s="56"/>
      <c r="BG2855" s="56"/>
      <c r="BH2855" s="56"/>
      <c r="BI2855" s="56"/>
      <c r="BJ2855" s="56"/>
      <c r="BK2855" s="56"/>
      <c r="BL2855" s="56"/>
      <c r="BM2855" s="56"/>
      <c r="BN2855" s="56"/>
      <c r="BO2855" s="56"/>
      <c r="BP2855" s="56"/>
      <c r="BQ2855" s="56"/>
      <c r="BR2855" s="56"/>
      <c r="BS2855" s="56"/>
      <c r="BT2855" s="56"/>
      <c r="BU2855" s="56"/>
      <c r="BV2855" s="56"/>
      <c r="BW2855" s="56"/>
      <c r="BX2855" s="56"/>
      <c r="BY2855" s="56"/>
      <c r="BZ2855" s="56"/>
      <c r="CA2855" s="56"/>
      <c r="CB2855" s="56"/>
      <c r="CC2855" s="56"/>
      <c r="CD2855" s="56"/>
      <c r="CE2855" s="56"/>
      <c r="CF2855" s="56"/>
      <c r="CG2855" s="56"/>
      <c r="CH2855" s="56"/>
      <c r="CI2855" s="56"/>
      <c r="CJ2855" s="56"/>
      <c r="CK2855" s="56"/>
      <c r="CL2855" s="56"/>
      <c r="CM2855" s="56"/>
      <c r="CN2855" s="56"/>
      <c r="CO2855" s="56"/>
      <c r="CP2855" s="56"/>
      <c r="CQ2855" s="56"/>
      <c r="CR2855" s="56"/>
      <c r="CS2855" s="56"/>
      <c r="CT2855" s="56"/>
      <c r="CU2855" s="56"/>
      <c r="CV2855" s="56"/>
      <c r="CW2855" s="56"/>
      <c r="CX2855" s="56"/>
      <c r="CY2855" s="56"/>
      <c r="CZ2855" s="56"/>
    </row>
    <row r="2856" spans="27:104" s="5" customFormat="1" x14ac:dyDescent="0.25">
      <c r="AA2856" s="56"/>
      <c r="AB2856" s="56"/>
      <c r="AC2856" s="56"/>
      <c r="AD2856" s="56"/>
      <c r="AE2856" s="56"/>
      <c r="AF2856" s="56"/>
      <c r="AG2856" s="56"/>
      <c r="AH2856" s="56"/>
      <c r="AI2856" s="56"/>
      <c r="AJ2856" s="56"/>
      <c r="AK2856" s="56"/>
      <c r="AL2856" s="56"/>
      <c r="AM2856" s="56"/>
      <c r="AN2856" s="56"/>
      <c r="AO2856" s="56"/>
      <c r="AP2856" s="56"/>
      <c r="AQ2856" s="56"/>
      <c r="AR2856" s="56"/>
      <c r="AS2856" s="56"/>
      <c r="AT2856" s="56"/>
      <c r="AU2856" s="56"/>
      <c r="AV2856" s="56"/>
      <c r="AW2856" s="56"/>
      <c r="AX2856" s="56"/>
      <c r="AY2856" s="56"/>
      <c r="AZ2856" s="56"/>
      <c r="BA2856" s="56"/>
      <c r="BB2856" s="16"/>
      <c r="BC2856" s="56"/>
      <c r="BD2856" s="56"/>
      <c r="BE2856" s="56"/>
      <c r="BF2856" s="56"/>
      <c r="BG2856" s="56"/>
      <c r="BH2856" s="56"/>
      <c r="BI2856" s="56"/>
      <c r="BJ2856" s="56"/>
      <c r="BK2856" s="56"/>
      <c r="BL2856" s="56"/>
      <c r="BM2856" s="56"/>
      <c r="BN2856" s="56"/>
      <c r="BO2856" s="56"/>
      <c r="BP2856" s="56"/>
      <c r="BQ2856" s="56"/>
      <c r="BR2856" s="56"/>
      <c r="BS2856" s="56"/>
      <c r="BT2856" s="56"/>
      <c r="BU2856" s="56"/>
      <c r="BV2856" s="56"/>
      <c r="BW2856" s="56"/>
      <c r="BX2856" s="56"/>
      <c r="BY2856" s="56"/>
      <c r="BZ2856" s="56"/>
      <c r="CA2856" s="56"/>
      <c r="CB2856" s="56"/>
      <c r="CC2856" s="56"/>
      <c r="CD2856" s="56"/>
      <c r="CE2856" s="56"/>
      <c r="CF2856" s="56"/>
      <c r="CG2856" s="56"/>
      <c r="CH2856" s="56"/>
      <c r="CI2856" s="56"/>
      <c r="CJ2856" s="56"/>
      <c r="CK2856" s="56"/>
      <c r="CL2856" s="56"/>
      <c r="CM2856" s="56"/>
      <c r="CN2856" s="56"/>
      <c r="CO2856" s="56"/>
      <c r="CP2856" s="56"/>
      <c r="CQ2856" s="56"/>
      <c r="CR2856" s="56"/>
      <c r="CS2856" s="56"/>
      <c r="CT2856" s="56"/>
      <c r="CU2856" s="56"/>
      <c r="CV2856" s="56"/>
      <c r="CW2856" s="56"/>
      <c r="CX2856" s="56"/>
      <c r="CY2856" s="56"/>
      <c r="CZ2856" s="56"/>
    </row>
    <row r="2857" spans="27:104" s="5" customFormat="1" x14ac:dyDescent="0.25">
      <c r="AA2857" s="56"/>
      <c r="AB2857" s="56"/>
      <c r="AC2857" s="56"/>
      <c r="AD2857" s="56"/>
      <c r="AE2857" s="56"/>
      <c r="AF2857" s="56"/>
      <c r="AG2857" s="56"/>
      <c r="AH2857" s="56"/>
      <c r="AI2857" s="56"/>
      <c r="AJ2857" s="56"/>
      <c r="AK2857" s="56"/>
      <c r="AL2857" s="56"/>
      <c r="AM2857" s="56"/>
      <c r="AN2857" s="56"/>
      <c r="AO2857" s="56"/>
      <c r="AP2857" s="56"/>
      <c r="AQ2857" s="56"/>
      <c r="AR2857" s="56"/>
      <c r="AS2857" s="56"/>
      <c r="AT2857" s="56"/>
      <c r="AU2857" s="56"/>
      <c r="AV2857" s="56"/>
      <c r="AW2857" s="56"/>
      <c r="AX2857" s="56"/>
      <c r="AY2857" s="56"/>
      <c r="AZ2857" s="56"/>
      <c r="BA2857" s="56"/>
      <c r="BB2857" s="16"/>
      <c r="BC2857" s="56"/>
      <c r="BD2857" s="56"/>
      <c r="BE2857" s="56"/>
      <c r="BF2857" s="56"/>
      <c r="BG2857" s="56"/>
      <c r="BH2857" s="56"/>
      <c r="BI2857" s="56"/>
      <c r="BJ2857" s="56"/>
      <c r="BK2857" s="56"/>
      <c r="BL2857" s="56"/>
      <c r="BM2857" s="56"/>
      <c r="BN2857" s="56"/>
      <c r="BO2857" s="56"/>
      <c r="BP2857" s="56"/>
      <c r="BQ2857" s="56"/>
      <c r="BR2857" s="56"/>
      <c r="BS2857" s="56"/>
      <c r="BT2857" s="56"/>
      <c r="BU2857" s="56"/>
      <c r="BV2857" s="56"/>
      <c r="BW2857" s="56"/>
      <c r="BX2857" s="56"/>
      <c r="BY2857" s="56"/>
      <c r="BZ2857" s="56"/>
      <c r="CA2857" s="56"/>
      <c r="CB2857" s="56"/>
      <c r="CC2857" s="56"/>
      <c r="CD2857" s="56"/>
      <c r="CE2857" s="56"/>
      <c r="CF2857" s="56"/>
      <c r="CG2857" s="56"/>
      <c r="CH2857" s="56"/>
      <c r="CI2857" s="56"/>
      <c r="CJ2857" s="56"/>
      <c r="CK2857" s="56"/>
      <c r="CL2857" s="56"/>
      <c r="CM2857" s="56"/>
      <c r="CN2857" s="56"/>
      <c r="CO2857" s="56"/>
      <c r="CP2857" s="56"/>
      <c r="CQ2857" s="56"/>
      <c r="CR2857" s="56"/>
      <c r="CS2857" s="56"/>
      <c r="CT2857" s="56"/>
      <c r="CU2857" s="56"/>
      <c r="CV2857" s="56"/>
      <c r="CW2857" s="56"/>
      <c r="CX2857" s="56"/>
      <c r="CY2857" s="56"/>
      <c r="CZ2857" s="56"/>
    </row>
    <row r="2858" spans="27:104" s="5" customFormat="1" x14ac:dyDescent="0.25">
      <c r="AA2858" s="56"/>
      <c r="AB2858" s="56"/>
      <c r="AC2858" s="56"/>
      <c r="AD2858" s="56"/>
      <c r="AE2858" s="56"/>
      <c r="AF2858" s="56"/>
      <c r="AG2858" s="56"/>
      <c r="AH2858" s="56"/>
      <c r="AI2858" s="56"/>
      <c r="AJ2858" s="56"/>
      <c r="AK2858" s="56"/>
      <c r="AL2858" s="56"/>
      <c r="AM2858" s="56"/>
      <c r="AN2858" s="56"/>
      <c r="AO2858" s="56"/>
      <c r="AP2858" s="56"/>
      <c r="AQ2858" s="56"/>
      <c r="AR2858" s="56"/>
      <c r="AS2858" s="56"/>
      <c r="AT2858" s="56"/>
      <c r="AU2858" s="56"/>
      <c r="AV2858" s="56"/>
      <c r="AW2858" s="56"/>
      <c r="AX2858" s="56"/>
      <c r="AY2858" s="56"/>
      <c r="AZ2858" s="56"/>
      <c r="BA2858" s="56"/>
      <c r="BB2858" s="16"/>
      <c r="BC2858" s="56"/>
      <c r="BD2858" s="56"/>
      <c r="BE2858" s="56"/>
      <c r="BF2858" s="56"/>
      <c r="BG2858" s="56"/>
      <c r="BH2858" s="56"/>
      <c r="BI2858" s="56"/>
      <c r="BJ2858" s="56"/>
      <c r="BK2858" s="56"/>
      <c r="BL2858" s="56"/>
      <c r="BM2858" s="56"/>
      <c r="BN2858" s="56"/>
      <c r="BO2858" s="56"/>
      <c r="BP2858" s="56"/>
      <c r="BQ2858" s="56"/>
      <c r="BR2858" s="56"/>
      <c r="BS2858" s="56"/>
      <c r="BT2858" s="56"/>
      <c r="BU2858" s="56"/>
      <c r="BV2858" s="56"/>
      <c r="BW2858" s="56"/>
      <c r="BX2858" s="56"/>
      <c r="BY2858" s="56"/>
      <c r="BZ2858" s="56"/>
      <c r="CA2858" s="56"/>
      <c r="CB2858" s="56"/>
      <c r="CC2858" s="56"/>
      <c r="CD2858" s="56"/>
      <c r="CE2858" s="56"/>
      <c r="CF2858" s="56"/>
      <c r="CG2858" s="56"/>
      <c r="CH2858" s="56"/>
      <c r="CI2858" s="56"/>
      <c r="CJ2858" s="56"/>
      <c r="CK2858" s="56"/>
      <c r="CL2858" s="56"/>
      <c r="CM2858" s="56"/>
      <c r="CN2858" s="56"/>
      <c r="CO2858" s="56"/>
      <c r="CP2858" s="56"/>
      <c r="CQ2858" s="56"/>
      <c r="CR2858" s="56"/>
      <c r="CS2858" s="56"/>
      <c r="CT2858" s="56"/>
      <c r="CU2858" s="56"/>
      <c r="CV2858" s="56"/>
      <c r="CW2858" s="56"/>
      <c r="CX2858" s="56"/>
      <c r="CY2858" s="56"/>
      <c r="CZ2858" s="56"/>
    </row>
    <row r="2859" spans="27:104" s="5" customFormat="1" x14ac:dyDescent="0.25">
      <c r="AA2859" s="56"/>
      <c r="AB2859" s="56"/>
      <c r="AC2859" s="56"/>
      <c r="AD2859" s="56"/>
      <c r="AE2859" s="56"/>
      <c r="AF2859" s="56"/>
      <c r="AG2859" s="56"/>
      <c r="AH2859" s="56"/>
      <c r="AI2859" s="56"/>
      <c r="AJ2859" s="56"/>
      <c r="AK2859" s="56"/>
      <c r="AL2859" s="56"/>
      <c r="AM2859" s="56"/>
      <c r="AN2859" s="56"/>
      <c r="AO2859" s="56"/>
      <c r="AP2859" s="56"/>
      <c r="AQ2859" s="56"/>
      <c r="AR2859" s="56"/>
      <c r="AS2859" s="56"/>
      <c r="AT2859" s="56"/>
      <c r="AU2859" s="56"/>
      <c r="AV2859" s="56"/>
      <c r="AW2859" s="56"/>
      <c r="AX2859" s="56"/>
      <c r="AY2859" s="56"/>
      <c r="AZ2859" s="56"/>
      <c r="BA2859" s="56"/>
      <c r="BB2859" s="16"/>
      <c r="BC2859" s="56"/>
      <c r="BD2859" s="56"/>
      <c r="BE2859" s="56"/>
      <c r="BF2859" s="56"/>
      <c r="BG2859" s="56"/>
      <c r="BH2859" s="56"/>
      <c r="BI2859" s="56"/>
      <c r="BJ2859" s="56"/>
      <c r="BK2859" s="56"/>
      <c r="BL2859" s="56"/>
      <c r="BM2859" s="56"/>
      <c r="BN2859" s="56"/>
      <c r="BO2859" s="56"/>
      <c r="BP2859" s="56"/>
      <c r="BQ2859" s="56"/>
      <c r="BR2859" s="56"/>
      <c r="BS2859" s="56"/>
      <c r="BT2859" s="56"/>
      <c r="BU2859" s="56"/>
      <c r="BV2859" s="56"/>
      <c r="BW2859" s="56"/>
      <c r="BX2859" s="56"/>
      <c r="BY2859" s="56"/>
      <c r="BZ2859" s="56"/>
      <c r="CA2859" s="56"/>
      <c r="CB2859" s="56"/>
      <c r="CC2859" s="56"/>
      <c r="CD2859" s="56"/>
      <c r="CE2859" s="56"/>
      <c r="CF2859" s="56"/>
      <c r="CG2859" s="56"/>
      <c r="CH2859" s="56"/>
      <c r="CI2859" s="56"/>
      <c r="CJ2859" s="56"/>
      <c r="CK2859" s="56"/>
      <c r="CL2859" s="56"/>
      <c r="CM2859" s="56"/>
      <c r="CN2859" s="56"/>
      <c r="CO2859" s="56"/>
      <c r="CP2859" s="56"/>
      <c r="CQ2859" s="56"/>
      <c r="CR2859" s="56"/>
      <c r="CS2859" s="56"/>
      <c r="CT2859" s="56"/>
      <c r="CU2859" s="56"/>
      <c r="CV2859" s="56"/>
      <c r="CW2859" s="56"/>
      <c r="CX2859" s="56"/>
      <c r="CY2859" s="56"/>
      <c r="CZ2859" s="56"/>
    </row>
    <row r="2860" spans="27:104" s="5" customFormat="1" x14ac:dyDescent="0.25">
      <c r="AA2860" s="56"/>
      <c r="AB2860" s="56"/>
      <c r="AC2860" s="56"/>
      <c r="AD2860" s="56"/>
      <c r="AE2860" s="56"/>
      <c r="AF2860" s="56"/>
      <c r="AG2860" s="56"/>
      <c r="AH2860" s="56"/>
      <c r="AI2860" s="56"/>
      <c r="AJ2860" s="56"/>
      <c r="AK2860" s="56"/>
      <c r="AL2860" s="56"/>
      <c r="AM2860" s="56"/>
      <c r="AN2860" s="56"/>
      <c r="AO2860" s="56"/>
      <c r="AP2860" s="56"/>
      <c r="AQ2860" s="56"/>
      <c r="AR2860" s="56"/>
      <c r="AS2860" s="56"/>
      <c r="AT2860" s="56"/>
      <c r="AU2860" s="56"/>
      <c r="AV2860" s="56"/>
      <c r="AW2860" s="56"/>
      <c r="AX2860" s="56"/>
      <c r="AY2860" s="56"/>
      <c r="AZ2860" s="56"/>
      <c r="BA2860" s="56"/>
      <c r="BB2860" s="16"/>
      <c r="BC2860" s="56"/>
      <c r="BD2860" s="56"/>
      <c r="BE2860" s="56"/>
      <c r="BF2860" s="56"/>
      <c r="BG2860" s="56"/>
      <c r="BH2860" s="56"/>
      <c r="BI2860" s="56"/>
      <c r="BJ2860" s="56"/>
      <c r="BK2860" s="56"/>
      <c r="BL2860" s="56"/>
      <c r="BM2860" s="56"/>
      <c r="BN2860" s="56"/>
      <c r="BO2860" s="56"/>
      <c r="BP2860" s="56"/>
      <c r="BQ2860" s="56"/>
      <c r="BR2860" s="56"/>
      <c r="BS2860" s="56"/>
      <c r="BT2860" s="56"/>
      <c r="BU2860" s="56"/>
      <c r="BV2860" s="56"/>
      <c r="BW2860" s="56"/>
      <c r="BX2860" s="56"/>
      <c r="BY2860" s="56"/>
      <c r="BZ2860" s="56"/>
      <c r="CA2860" s="56"/>
      <c r="CB2860" s="56"/>
      <c r="CC2860" s="56"/>
      <c r="CD2860" s="56"/>
      <c r="CE2860" s="56"/>
      <c r="CF2860" s="56"/>
      <c r="CG2860" s="56"/>
      <c r="CH2860" s="56"/>
      <c r="CI2860" s="56"/>
      <c r="CJ2860" s="56"/>
      <c r="CK2860" s="56"/>
      <c r="CL2860" s="56"/>
      <c r="CM2860" s="56"/>
      <c r="CN2860" s="56"/>
      <c r="CO2860" s="56"/>
      <c r="CP2860" s="56"/>
      <c r="CQ2860" s="56"/>
      <c r="CR2860" s="56"/>
      <c r="CS2860" s="56"/>
      <c r="CT2860" s="56"/>
      <c r="CU2860" s="56"/>
      <c r="CV2860" s="56"/>
      <c r="CW2860" s="56"/>
      <c r="CX2860" s="56"/>
      <c r="CY2860" s="56"/>
      <c r="CZ2860" s="56"/>
    </row>
    <row r="2861" spans="27:104" s="5" customFormat="1" x14ac:dyDescent="0.25">
      <c r="AA2861" s="56"/>
      <c r="AB2861" s="56"/>
      <c r="AC2861" s="56"/>
      <c r="AD2861" s="56"/>
      <c r="AE2861" s="56"/>
      <c r="AF2861" s="56"/>
      <c r="AG2861" s="56"/>
      <c r="AH2861" s="56"/>
      <c r="AI2861" s="56"/>
      <c r="AJ2861" s="56"/>
      <c r="AK2861" s="56"/>
      <c r="AL2861" s="56"/>
      <c r="AM2861" s="56"/>
      <c r="AN2861" s="56"/>
      <c r="AO2861" s="56"/>
      <c r="AP2861" s="56"/>
      <c r="AQ2861" s="56"/>
      <c r="AR2861" s="56"/>
      <c r="AS2861" s="56"/>
      <c r="AT2861" s="56"/>
      <c r="AU2861" s="56"/>
      <c r="AV2861" s="56"/>
      <c r="AW2861" s="56"/>
      <c r="AX2861" s="56"/>
      <c r="AY2861" s="56"/>
      <c r="AZ2861" s="56"/>
      <c r="BA2861" s="56"/>
      <c r="BB2861" s="16"/>
      <c r="BC2861" s="56"/>
      <c r="BD2861" s="56"/>
      <c r="BE2861" s="56"/>
      <c r="BF2861" s="56"/>
      <c r="BG2861" s="56"/>
      <c r="BH2861" s="56"/>
      <c r="BI2861" s="56"/>
      <c r="BJ2861" s="56"/>
      <c r="BK2861" s="56"/>
      <c r="BL2861" s="56"/>
      <c r="BM2861" s="56"/>
      <c r="BN2861" s="56"/>
      <c r="BO2861" s="56"/>
      <c r="BP2861" s="56"/>
      <c r="BQ2861" s="56"/>
      <c r="BR2861" s="56"/>
      <c r="BS2861" s="56"/>
      <c r="BT2861" s="56"/>
      <c r="BU2861" s="56"/>
      <c r="BV2861" s="56"/>
      <c r="BW2861" s="56"/>
      <c r="BX2861" s="56"/>
      <c r="BY2861" s="56"/>
      <c r="BZ2861" s="56"/>
      <c r="CA2861" s="56"/>
      <c r="CB2861" s="56"/>
      <c r="CC2861" s="56"/>
      <c r="CD2861" s="56"/>
      <c r="CE2861" s="56"/>
      <c r="CF2861" s="56"/>
      <c r="CG2861" s="56"/>
      <c r="CH2861" s="56"/>
      <c r="CI2861" s="56"/>
      <c r="CJ2861" s="56"/>
      <c r="CK2861" s="56"/>
      <c r="CL2861" s="56"/>
      <c r="CM2861" s="56"/>
      <c r="CN2861" s="56"/>
      <c r="CO2861" s="56"/>
      <c r="CP2861" s="56"/>
      <c r="CQ2861" s="56"/>
      <c r="CR2861" s="56"/>
      <c r="CS2861" s="56"/>
      <c r="CT2861" s="56"/>
      <c r="CU2861" s="56"/>
      <c r="CV2861" s="56"/>
      <c r="CW2861" s="56"/>
      <c r="CX2861" s="56"/>
      <c r="CY2861" s="56"/>
      <c r="CZ2861" s="56"/>
    </row>
    <row r="2862" spans="27:104" s="5" customFormat="1" x14ac:dyDescent="0.25">
      <c r="AA2862" s="56"/>
      <c r="AB2862" s="56"/>
      <c r="AC2862" s="56"/>
      <c r="AD2862" s="56"/>
      <c r="AE2862" s="56"/>
      <c r="AF2862" s="56"/>
      <c r="AG2862" s="56"/>
      <c r="AH2862" s="56"/>
      <c r="AI2862" s="56"/>
      <c r="AJ2862" s="56"/>
      <c r="AK2862" s="56"/>
      <c r="AL2862" s="56"/>
      <c r="AM2862" s="56"/>
      <c r="AN2862" s="56"/>
      <c r="AO2862" s="56"/>
      <c r="AP2862" s="56"/>
      <c r="AQ2862" s="56"/>
      <c r="AR2862" s="56"/>
      <c r="AS2862" s="56"/>
      <c r="AT2862" s="56"/>
      <c r="AU2862" s="56"/>
      <c r="AV2862" s="56"/>
      <c r="AW2862" s="56"/>
      <c r="AX2862" s="56"/>
      <c r="AY2862" s="56"/>
      <c r="AZ2862" s="56"/>
      <c r="BA2862" s="56"/>
      <c r="BB2862" s="16"/>
      <c r="BC2862" s="56"/>
      <c r="BD2862" s="56"/>
      <c r="BE2862" s="56"/>
      <c r="BF2862" s="56"/>
      <c r="BG2862" s="56"/>
      <c r="BH2862" s="56"/>
      <c r="BI2862" s="56"/>
      <c r="BJ2862" s="56"/>
      <c r="BK2862" s="56"/>
      <c r="BL2862" s="56"/>
      <c r="BM2862" s="56"/>
      <c r="BN2862" s="56"/>
      <c r="BO2862" s="56"/>
      <c r="BP2862" s="56"/>
      <c r="BQ2862" s="56"/>
      <c r="BR2862" s="56"/>
      <c r="BS2862" s="56"/>
      <c r="BT2862" s="56"/>
      <c r="BU2862" s="56"/>
      <c r="BV2862" s="56"/>
      <c r="BW2862" s="56"/>
      <c r="BX2862" s="56"/>
      <c r="BY2862" s="56"/>
      <c r="BZ2862" s="56"/>
      <c r="CA2862" s="56"/>
      <c r="CB2862" s="56"/>
      <c r="CC2862" s="56"/>
      <c r="CD2862" s="56"/>
      <c r="CE2862" s="56"/>
      <c r="CF2862" s="56"/>
      <c r="CG2862" s="56"/>
      <c r="CH2862" s="56"/>
      <c r="CI2862" s="56"/>
      <c r="CJ2862" s="56"/>
      <c r="CK2862" s="56"/>
      <c r="CL2862" s="56"/>
      <c r="CM2862" s="56"/>
      <c r="CN2862" s="56"/>
      <c r="CO2862" s="56"/>
      <c r="CP2862" s="56"/>
      <c r="CQ2862" s="56"/>
      <c r="CR2862" s="56"/>
      <c r="CS2862" s="56"/>
      <c r="CT2862" s="56"/>
      <c r="CU2862" s="56"/>
      <c r="CV2862" s="56"/>
      <c r="CW2862" s="56"/>
      <c r="CX2862" s="56"/>
      <c r="CY2862" s="56"/>
      <c r="CZ2862" s="56"/>
    </row>
    <row r="2863" spans="27:104" s="5" customFormat="1" x14ac:dyDescent="0.25">
      <c r="AA2863" s="56"/>
      <c r="AB2863" s="56"/>
      <c r="AC2863" s="56"/>
      <c r="AD2863" s="56"/>
      <c r="AE2863" s="56"/>
      <c r="AF2863" s="56"/>
      <c r="AG2863" s="56"/>
      <c r="AH2863" s="56"/>
      <c r="AI2863" s="56"/>
      <c r="AJ2863" s="56"/>
      <c r="AK2863" s="56"/>
      <c r="AL2863" s="56"/>
      <c r="AM2863" s="56"/>
      <c r="AN2863" s="56"/>
      <c r="AO2863" s="56"/>
      <c r="AP2863" s="56"/>
      <c r="AQ2863" s="56"/>
      <c r="AR2863" s="56"/>
      <c r="AS2863" s="56"/>
      <c r="AT2863" s="56"/>
      <c r="AU2863" s="56"/>
      <c r="AV2863" s="56"/>
      <c r="AW2863" s="56"/>
      <c r="AX2863" s="56"/>
      <c r="AY2863" s="56"/>
      <c r="AZ2863" s="56"/>
      <c r="BA2863" s="56"/>
      <c r="BB2863" s="16"/>
      <c r="BC2863" s="56"/>
      <c r="BD2863" s="56"/>
      <c r="BE2863" s="56"/>
      <c r="BF2863" s="56"/>
      <c r="BG2863" s="56"/>
      <c r="BH2863" s="56"/>
      <c r="BI2863" s="56"/>
      <c r="BJ2863" s="56"/>
      <c r="BK2863" s="56"/>
      <c r="BL2863" s="56"/>
      <c r="BM2863" s="56"/>
      <c r="BN2863" s="56"/>
      <c r="BO2863" s="56"/>
      <c r="BP2863" s="56"/>
      <c r="BQ2863" s="56"/>
      <c r="BR2863" s="56"/>
      <c r="BS2863" s="56"/>
      <c r="BT2863" s="56"/>
      <c r="BU2863" s="56"/>
      <c r="BV2863" s="56"/>
      <c r="BW2863" s="56"/>
      <c r="BX2863" s="56"/>
      <c r="BY2863" s="56"/>
      <c r="BZ2863" s="56"/>
      <c r="CA2863" s="56"/>
      <c r="CB2863" s="56"/>
      <c r="CC2863" s="56"/>
      <c r="CD2863" s="56"/>
      <c r="CE2863" s="56"/>
      <c r="CF2863" s="56"/>
      <c r="CG2863" s="56"/>
      <c r="CH2863" s="56"/>
      <c r="CI2863" s="56"/>
      <c r="CJ2863" s="56"/>
      <c r="CK2863" s="56"/>
      <c r="CL2863" s="56"/>
      <c r="CM2863" s="56"/>
      <c r="CN2863" s="56"/>
      <c r="CO2863" s="56"/>
      <c r="CP2863" s="56"/>
      <c r="CQ2863" s="56"/>
      <c r="CR2863" s="56"/>
      <c r="CS2863" s="56"/>
      <c r="CT2863" s="56"/>
      <c r="CU2863" s="56"/>
      <c r="CV2863" s="56"/>
      <c r="CW2863" s="56"/>
      <c r="CX2863" s="56"/>
      <c r="CY2863" s="56"/>
      <c r="CZ2863" s="56"/>
    </row>
    <row r="2864" spans="27:104" s="5" customFormat="1" x14ac:dyDescent="0.25">
      <c r="AA2864" s="56"/>
      <c r="AB2864" s="56"/>
      <c r="AC2864" s="56"/>
      <c r="AD2864" s="56"/>
      <c r="AE2864" s="56"/>
      <c r="AF2864" s="56"/>
      <c r="AG2864" s="56"/>
      <c r="AH2864" s="56"/>
      <c r="AI2864" s="56"/>
      <c r="AJ2864" s="56"/>
      <c r="AK2864" s="56"/>
      <c r="AL2864" s="56"/>
      <c r="AM2864" s="56"/>
      <c r="AN2864" s="56"/>
      <c r="AO2864" s="56"/>
      <c r="AP2864" s="56"/>
      <c r="AQ2864" s="56"/>
      <c r="AR2864" s="56"/>
      <c r="AS2864" s="56"/>
      <c r="AT2864" s="56"/>
      <c r="AU2864" s="56"/>
      <c r="AV2864" s="56"/>
      <c r="AW2864" s="56"/>
      <c r="AX2864" s="56"/>
      <c r="AY2864" s="56"/>
      <c r="AZ2864" s="56"/>
      <c r="BA2864" s="56"/>
      <c r="BB2864" s="16"/>
      <c r="BC2864" s="56"/>
      <c r="BD2864" s="56"/>
      <c r="BE2864" s="56"/>
      <c r="BF2864" s="56"/>
      <c r="BG2864" s="56"/>
      <c r="BH2864" s="56"/>
      <c r="BI2864" s="56"/>
      <c r="BJ2864" s="56"/>
      <c r="BK2864" s="56"/>
      <c r="BL2864" s="56"/>
      <c r="BM2864" s="56"/>
      <c r="BN2864" s="56"/>
      <c r="BO2864" s="56"/>
      <c r="BP2864" s="56"/>
      <c r="BQ2864" s="56"/>
      <c r="BR2864" s="56"/>
      <c r="BS2864" s="56"/>
      <c r="BT2864" s="56"/>
      <c r="BU2864" s="56"/>
      <c r="BV2864" s="56"/>
      <c r="BW2864" s="56"/>
      <c r="BX2864" s="56"/>
      <c r="BY2864" s="56"/>
      <c r="BZ2864" s="56"/>
      <c r="CA2864" s="56"/>
      <c r="CB2864" s="56"/>
      <c r="CC2864" s="56"/>
      <c r="CD2864" s="56"/>
      <c r="CE2864" s="56"/>
      <c r="CF2864" s="56"/>
      <c r="CG2864" s="56"/>
      <c r="CH2864" s="56"/>
      <c r="CI2864" s="56"/>
      <c r="CJ2864" s="56"/>
      <c r="CK2864" s="56"/>
      <c r="CL2864" s="56"/>
      <c r="CM2864" s="56"/>
      <c r="CN2864" s="56"/>
      <c r="CO2864" s="56"/>
      <c r="CP2864" s="56"/>
      <c r="CQ2864" s="56"/>
      <c r="CR2864" s="56"/>
      <c r="CS2864" s="56"/>
      <c r="CT2864" s="56"/>
      <c r="CU2864" s="56"/>
      <c r="CV2864" s="56"/>
      <c r="CW2864" s="56"/>
      <c r="CX2864" s="56"/>
      <c r="CY2864" s="56"/>
      <c r="CZ2864" s="56"/>
    </row>
    <row r="2865" spans="27:104" s="5" customFormat="1" x14ac:dyDescent="0.25">
      <c r="AA2865" s="56"/>
      <c r="AB2865" s="56"/>
      <c r="AC2865" s="56"/>
      <c r="AD2865" s="56"/>
      <c r="AE2865" s="56"/>
      <c r="AF2865" s="56"/>
      <c r="AG2865" s="56"/>
      <c r="AH2865" s="56"/>
      <c r="AI2865" s="56"/>
      <c r="AJ2865" s="56"/>
      <c r="AK2865" s="56"/>
      <c r="AL2865" s="56"/>
      <c r="AM2865" s="56"/>
      <c r="AN2865" s="56"/>
      <c r="AO2865" s="56"/>
      <c r="AP2865" s="56"/>
      <c r="AQ2865" s="56"/>
      <c r="AR2865" s="56"/>
      <c r="AS2865" s="56"/>
      <c r="AT2865" s="56"/>
      <c r="AU2865" s="56"/>
      <c r="AV2865" s="56"/>
      <c r="AW2865" s="56"/>
      <c r="AX2865" s="56"/>
      <c r="AY2865" s="56"/>
      <c r="AZ2865" s="56"/>
      <c r="BA2865" s="56"/>
      <c r="BB2865" s="16"/>
      <c r="BC2865" s="56"/>
      <c r="BD2865" s="56"/>
      <c r="BE2865" s="56"/>
      <c r="BF2865" s="56"/>
      <c r="BG2865" s="56"/>
      <c r="BH2865" s="56"/>
      <c r="BI2865" s="56"/>
      <c r="BJ2865" s="56"/>
      <c r="BK2865" s="56"/>
      <c r="BL2865" s="56"/>
      <c r="BM2865" s="56"/>
      <c r="BN2865" s="56"/>
      <c r="BO2865" s="56"/>
      <c r="BP2865" s="56"/>
      <c r="BQ2865" s="56"/>
      <c r="BR2865" s="56"/>
      <c r="BS2865" s="56"/>
      <c r="BT2865" s="56"/>
      <c r="BU2865" s="56"/>
      <c r="BV2865" s="56"/>
      <c r="BW2865" s="56"/>
      <c r="BX2865" s="56"/>
      <c r="BY2865" s="56"/>
      <c r="BZ2865" s="56"/>
      <c r="CA2865" s="56"/>
      <c r="CB2865" s="56"/>
      <c r="CC2865" s="56"/>
      <c r="CD2865" s="56"/>
      <c r="CE2865" s="56"/>
      <c r="CF2865" s="56"/>
      <c r="CG2865" s="56"/>
      <c r="CH2865" s="56"/>
      <c r="CI2865" s="56"/>
      <c r="CJ2865" s="56"/>
      <c r="CK2865" s="56"/>
      <c r="CL2865" s="56"/>
      <c r="CM2865" s="56"/>
      <c r="CN2865" s="56"/>
      <c r="CO2865" s="56"/>
      <c r="CP2865" s="56"/>
      <c r="CQ2865" s="56"/>
      <c r="CR2865" s="56"/>
      <c r="CS2865" s="56"/>
      <c r="CT2865" s="56"/>
      <c r="CU2865" s="56"/>
      <c r="CV2865" s="56"/>
      <c r="CW2865" s="56"/>
      <c r="CX2865" s="56"/>
      <c r="CY2865" s="56"/>
      <c r="CZ2865" s="56"/>
    </row>
    <row r="2866" spans="27:104" s="5" customFormat="1" x14ac:dyDescent="0.25">
      <c r="AA2866" s="56"/>
      <c r="AB2866" s="56"/>
      <c r="AC2866" s="56"/>
      <c r="AD2866" s="56"/>
      <c r="AE2866" s="56"/>
      <c r="AF2866" s="56"/>
      <c r="AG2866" s="56"/>
      <c r="AH2866" s="56"/>
      <c r="AI2866" s="56"/>
      <c r="AJ2866" s="56"/>
      <c r="AK2866" s="56"/>
      <c r="AL2866" s="56"/>
      <c r="AM2866" s="56"/>
      <c r="AN2866" s="56"/>
      <c r="AO2866" s="56"/>
      <c r="AP2866" s="56"/>
      <c r="AQ2866" s="56"/>
      <c r="AR2866" s="56"/>
      <c r="AS2866" s="56"/>
      <c r="AT2866" s="56"/>
      <c r="AU2866" s="56"/>
      <c r="AV2866" s="56"/>
      <c r="AW2866" s="56"/>
      <c r="AX2866" s="56"/>
      <c r="AY2866" s="56"/>
      <c r="AZ2866" s="56"/>
      <c r="BA2866" s="56"/>
      <c r="BB2866" s="16"/>
      <c r="BC2866" s="56"/>
      <c r="BD2866" s="56"/>
      <c r="BE2866" s="56"/>
      <c r="BF2866" s="56"/>
      <c r="BG2866" s="56"/>
      <c r="BH2866" s="56"/>
      <c r="BI2866" s="56"/>
      <c r="BJ2866" s="56"/>
      <c r="BK2866" s="56"/>
      <c r="BL2866" s="56"/>
      <c r="BM2866" s="56"/>
      <c r="BN2866" s="56"/>
      <c r="BO2866" s="56"/>
      <c r="BP2866" s="56"/>
      <c r="BQ2866" s="56"/>
      <c r="BR2866" s="56"/>
      <c r="BS2866" s="56"/>
      <c r="BT2866" s="56"/>
      <c r="BU2866" s="56"/>
      <c r="BV2866" s="56"/>
      <c r="BW2866" s="56"/>
      <c r="BX2866" s="56"/>
      <c r="BY2866" s="56"/>
      <c r="BZ2866" s="56"/>
      <c r="CA2866" s="56"/>
      <c r="CB2866" s="56"/>
      <c r="CC2866" s="56"/>
      <c r="CD2866" s="56"/>
      <c r="CE2866" s="56"/>
      <c r="CF2866" s="56"/>
      <c r="CG2866" s="56"/>
      <c r="CH2866" s="56"/>
      <c r="CI2866" s="56"/>
      <c r="CJ2866" s="56"/>
      <c r="CK2866" s="56"/>
      <c r="CL2866" s="56"/>
      <c r="CM2866" s="56"/>
      <c r="CN2866" s="56"/>
      <c r="CO2866" s="56"/>
      <c r="CP2866" s="56"/>
      <c r="CQ2866" s="56"/>
      <c r="CR2866" s="56"/>
      <c r="CS2866" s="56"/>
      <c r="CT2866" s="56"/>
      <c r="CU2866" s="56"/>
      <c r="CV2866" s="56"/>
      <c r="CW2866" s="56"/>
      <c r="CX2866" s="56"/>
      <c r="CY2866" s="56"/>
      <c r="CZ2866" s="56"/>
    </row>
    <row r="2867" spans="27:104" s="5" customFormat="1" x14ac:dyDescent="0.25">
      <c r="AA2867" s="56"/>
      <c r="AB2867" s="56"/>
      <c r="AC2867" s="56"/>
      <c r="AD2867" s="56"/>
      <c r="AE2867" s="56"/>
      <c r="AF2867" s="56"/>
      <c r="AG2867" s="56"/>
      <c r="AH2867" s="56"/>
      <c r="AI2867" s="56"/>
      <c r="AJ2867" s="56"/>
      <c r="AK2867" s="56"/>
      <c r="AL2867" s="56"/>
      <c r="AM2867" s="56"/>
      <c r="AN2867" s="56"/>
      <c r="AO2867" s="56"/>
      <c r="AP2867" s="56"/>
      <c r="AQ2867" s="56"/>
      <c r="AR2867" s="56"/>
      <c r="AS2867" s="56"/>
      <c r="AT2867" s="56"/>
      <c r="AU2867" s="56"/>
      <c r="AV2867" s="56"/>
      <c r="AW2867" s="56"/>
      <c r="AX2867" s="56"/>
      <c r="AY2867" s="56"/>
      <c r="AZ2867" s="56"/>
      <c r="BA2867" s="56"/>
      <c r="BB2867" s="16"/>
      <c r="BC2867" s="56"/>
      <c r="BD2867" s="56"/>
      <c r="BE2867" s="56"/>
      <c r="BF2867" s="56"/>
      <c r="BG2867" s="56"/>
      <c r="BH2867" s="56"/>
      <c r="BI2867" s="56"/>
      <c r="BJ2867" s="56"/>
      <c r="BK2867" s="56"/>
      <c r="BL2867" s="56"/>
      <c r="BM2867" s="56"/>
      <c r="BN2867" s="56"/>
      <c r="BO2867" s="56"/>
      <c r="BP2867" s="56"/>
      <c r="BQ2867" s="56"/>
      <c r="BR2867" s="56"/>
      <c r="BS2867" s="56"/>
      <c r="BT2867" s="56"/>
      <c r="BU2867" s="56"/>
      <c r="BV2867" s="56"/>
      <c r="BW2867" s="56"/>
      <c r="BX2867" s="56"/>
      <c r="BY2867" s="56"/>
      <c r="BZ2867" s="56"/>
      <c r="CA2867" s="56"/>
      <c r="CB2867" s="56"/>
      <c r="CC2867" s="56"/>
      <c r="CD2867" s="56"/>
      <c r="CE2867" s="56"/>
      <c r="CF2867" s="56"/>
      <c r="CG2867" s="56"/>
      <c r="CH2867" s="56"/>
      <c r="CI2867" s="56"/>
      <c r="CJ2867" s="56"/>
      <c r="CK2867" s="56"/>
      <c r="CL2867" s="56"/>
      <c r="CM2867" s="56"/>
      <c r="CN2867" s="56"/>
      <c r="CO2867" s="56"/>
      <c r="CP2867" s="56"/>
      <c r="CQ2867" s="56"/>
      <c r="CR2867" s="56"/>
      <c r="CS2867" s="56"/>
      <c r="CT2867" s="56"/>
      <c r="CU2867" s="56"/>
      <c r="CV2867" s="56"/>
      <c r="CW2867" s="56"/>
      <c r="CX2867" s="56"/>
      <c r="CY2867" s="56"/>
      <c r="CZ2867" s="56"/>
    </row>
    <row r="2868" spans="27:104" s="5" customFormat="1" x14ac:dyDescent="0.25">
      <c r="AA2868" s="56"/>
      <c r="AB2868" s="56"/>
      <c r="AC2868" s="56"/>
      <c r="AD2868" s="56"/>
      <c r="AE2868" s="56"/>
      <c r="AF2868" s="56"/>
      <c r="AG2868" s="56"/>
      <c r="AH2868" s="56"/>
      <c r="AI2868" s="56"/>
      <c r="AJ2868" s="56"/>
      <c r="AK2868" s="56"/>
      <c r="AL2868" s="56"/>
      <c r="AM2868" s="56"/>
      <c r="AN2868" s="56"/>
      <c r="AO2868" s="56"/>
      <c r="AP2868" s="56"/>
      <c r="AQ2868" s="56"/>
      <c r="AR2868" s="56"/>
      <c r="AS2868" s="56"/>
      <c r="AT2868" s="56"/>
      <c r="AU2868" s="56"/>
      <c r="AV2868" s="56"/>
      <c r="AW2868" s="56"/>
      <c r="AX2868" s="56"/>
      <c r="AY2868" s="56"/>
      <c r="AZ2868" s="56"/>
      <c r="BA2868" s="56"/>
      <c r="BB2868" s="16"/>
      <c r="BC2868" s="56"/>
      <c r="BD2868" s="56"/>
      <c r="BE2868" s="56"/>
      <c r="BF2868" s="56"/>
      <c r="BG2868" s="56"/>
      <c r="BH2868" s="56"/>
      <c r="BI2868" s="56"/>
      <c r="BJ2868" s="56"/>
      <c r="BK2868" s="56"/>
      <c r="BL2868" s="56"/>
      <c r="BM2868" s="56"/>
      <c r="BN2868" s="56"/>
      <c r="BO2868" s="56"/>
      <c r="BP2868" s="56"/>
      <c r="BQ2868" s="56"/>
      <c r="BR2868" s="56"/>
      <c r="BS2868" s="56"/>
      <c r="BT2868" s="56"/>
      <c r="BU2868" s="56"/>
      <c r="BV2868" s="56"/>
      <c r="BW2868" s="56"/>
      <c r="BX2868" s="56"/>
      <c r="BY2868" s="56"/>
      <c r="BZ2868" s="56"/>
      <c r="CA2868" s="56"/>
      <c r="CB2868" s="56"/>
      <c r="CC2868" s="56"/>
      <c r="CD2868" s="56"/>
      <c r="CE2868" s="56"/>
      <c r="CF2868" s="56"/>
      <c r="CG2868" s="56"/>
      <c r="CH2868" s="56"/>
      <c r="CI2868" s="56"/>
      <c r="CJ2868" s="56"/>
      <c r="CK2868" s="56"/>
      <c r="CL2868" s="56"/>
      <c r="CM2868" s="56"/>
      <c r="CN2868" s="56"/>
      <c r="CO2868" s="56"/>
      <c r="CP2868" s="56"/>
      <c r="CQ2868" s="56"/>
      <c r="CR2868" s="56"/>
      <c r="CS2868" s="56"/>
      <c r="CT2868" s="56"/>
      <c r="CU2868" s="56"/>
      <c r="CV2868" s="56"/>
      <c r="CW2868" s="56"/>
      <c r="CX2868" s="56"/>
      <c r="CY2868" s="56"/>
      <c r="CZ2868" s="56"/>
    </row>
    <row r="2869" spans="27:104" s="5" customFormat="1" x14ac:dyDescent="0.25">
      <c r="AA2869" s="56"/>
      <c r="AB2869" s="56"/>
      <c r="AC2869" s="56"/>
      <c r="AD2869" s="56"/>
      <c r="AE2869" s="56"/>
      <c r="AF2869" s="56"/>
      <c r="AG2869" s="56"/>
      <c r="AH2869" s="56"/>
      <c r="AI2869" s="56"/>
      <c r="AJ2869" s="56"/>
      <c r="AK2869" s="56"/>
      <c r="AL2869" s="56"/>
      <c r="AM2869" s="56"/>
      <c r="AN2869" s="56"/>
      <c r="AO2869" s="56"/>
      <c r="AP2869" s="56"/>
      <c r="AQ2869" s="56"/>
      <c r="AR2869" s="56"/>
      <c r="AS2869" s="56"/>
      <c r="AT2869" s="56"/>
      <c r="AU2869" s="56"/>
      <c r="AV2869" s="56"/>
      <c r="AW2869" s="56"/>
      <c r="AX2869" s="56"/>
      <c r="AY2869" s="56"/>
      <c r="AZ2869" s="56"/>
      <c r="BA2869" s="56"/>
      <c r="BB2869" s="16"/>
      <c r="BC2869" s="56"/>
      <c r="BD2869" s="56"/>
      <c r="BE2869" s="56"/>
      <c r="BF2869" s="56"/>
      <c r="BG2869" s="56"/>
      <c r="BH2869" s="56"/>
      <c r="BI2869" s="56"/>
      <c r="BJ2869" s="56"/>
      <c r="BK2869" s="56"/>
      <c r="BL2869" s="56"/>
      <c r="BM2869" s="56"/>
      <c r="BN2869" s="56"/>
      <c r="BO2869" s="56"/>
      <c r="BP2869" s="56"/>
      <c r="BQ2869" s="56"/>
      <c r="BR2869" s="56"/>
      <c r="BS2869" s="56"/>
      <c r="BT2869" s="56"/>
      <c r="BU2869" s="56"/>
      <c r="BV2869" s="56"/>
      <c r="BW2869" s="56"/>
      <c r="BX2869" s="56"/>
      <c r="BY2869" s="56"/>
      <c r="BZ2869" s="56"/>
      <c r="CA2869" s="56"/>
      <c r="CB2869" s="56"/>
      <c r="CC2869" s="56"/>
      <c r="CD2869" s="56"/>
      <c r="CE2869" s="56"/>
      <c r="CF2869" s="56"/>
      <c r="CG2869" s="56"/>
      <c r="CH2869" s="56"/>
      <c r="CI2869" s="56"/>
      <c r="CJ2869" s="56"/>
      <c r="CK2869" s="56"/>
      <c r="CL2869" s="56"/>
      <c r="CM2869" s="56"/>
      <c r="CN2869" s="56"/>
      <c r="CO2869" s="56"/>
      <c r="CP2869" s="56"/>
      <c r="CQ2869" s="56"/>
      <c r="CR2869" s="56"/>
      <c r="CS2869" s="56"/>
      <c r="CT2869" s="56"/>
      <c r="CU2869" s="56"/>
      <c r="CV2869" s="56"/>
      <c r="CW2869" s="56"/>
      <c r="CX2869" s="56"/>
      <c r="CY2869" s="56"/>
      <c r="CZ2869" s="56"/>
    </row>
    <row r="2870" spans="27:104" s="5" customFormat="1" x14ac:dyDescent="0.25">
      <c r="AA2870" s="56"/>
      <c r="AB2870" s="56"/>
      <c r="AC2870" s="56"/>
      <c r="AD2870" s="56"/>
      <c r="AE2870" s="56"/>
      <c r="AF2870" s="56"/>
      <c r="AG2870" s="56"/>
      <c r="AH2870" s="56"/>
      <c r="AI2870" s="56"/>
      <c r="AJ2870" s="56"/>
      <c r="AK2870" s="56"/>
      <c r="AL2870" s="56"/>
      <c r="AM2870" s="56"/>
      <c r="AN2870" s="56"/>
      <c r="AO2870" s="56"/>
      <c r="AP2870" s="56"/>
      <c r="AQ2870" s="56"/>
      <c r="AR2870" s="56"/>
      <c r="AS2870" s="56"/>
      <c r="AT2870" s="56"/>
      <c r="AU2870" s="56"/>
      <c r="AV2870" s="56"/>
      <c r="AW2870" s="56"/>
      <c r="AX2870" s="56"/>
      <c r="AY2870" s="56"/>
      <c r="AZ2870" s="56"/>
      <c r="BA2870" s="56"/>
      <c r="BB2870" s="16"/>
      <c r="BC2870" s="56"/>
      <c r="BD2870" s="56"/>
      <c r="BE2870" s="56"/>
      <c r="BF2870" s="56"/>
      <c r="BG2870" s="56"/>
      <c r="BH2870" s="56"/>
      <c r="BI2870" s="56"/>
      <c r="BJ2870" s="56"/>
      <c r="BK2870" s="56"/>
      <c r="BL2870" s="56"/>
      <c r="BM2870" s="56"/>
      <c r="BN2870" s="56"/>
      <c r="BO2870" s="56"/>
      <c r="BP2870" s="56"/>
      <c r="BQ2870" s="56"/>
      <c r="BR2870" s="56"/>
      <c r="BS2870" s="56"/>
      <c r="BT2870" s="56"/>
      <c r="BU2870" s="56"/>
      <c r="BV2870" s="56"/>
      <c r="BW2870" s="56"/>
      <c r="BX2870" s="56"/>
      <c r="BY2870" s="56"/>
      <c r="BZ2870" s="56"/>
      <c r="CA2870" s="56"/>
      <c r="CB2870" s="56"/>
      <c r="CC2870" s="56"/>
      <c r="CD2870" s="56"/>
      <c r="CE2870" s="56"/>
      <c r="CF2870" s="56"/>
      <c r="CG2870" s="56"/>
      <c r="CH2870" s="56"/>
      <c r="CI2870" s="56"/>
      <c r="CJ2870" s="56"/>
      <c r="CK2870" s="56"/>
      <c r="CL2870" s="56"/>
      <c r="CM2870" s="56"/>
      <c r="CN2870" s="56"/>
      <c r="CO2870" s="56"/>
      <c r="CP2870" s="56"/>
      <c r="CQ2870" s="56"/>
      <c r="CR2870" s="56"/>
      <c r="CS2870" s="56"/>
      <c r="CT2870" s="56"/>
      <c r="CU2870" s="56"/>
      <c r="CV2870" s="56"/>
      <c r="CW2870" s="56"/>
      <c r="CX2870" s="56"/>
      <c r="CY2870" s="56"/>
      <c r="CZ2870" s="56"/>
    </row>
    <row r="2871" spans="27:104" s="5" customFormat="1" x14ac:dyDescent="0.25">
      <c r="AA2871" s="56"/>
      <c r="AB2871" s="56"/>
      <c r="AC2871" s="56"/>
      <c r="AD2871" s="56"/>
      <c r="AE2871" s="56"/>
      <c r="AF2871" s="56"/>
      <c r="AG2871" s="56"/>
      <c r="AH2871" s="56"/>
      <c r="AI2871" s="56"/>
      <c r="AJ2871" s="56"/>
      <c r="AK2871" s="56"/>
      <c r="AL2871" s="56"/>
      <c r="AM2871" s="56"/>
      <c r="AN2871" s="56"/>
      <c r="AO2871" s="56"/>
      <c r="AP2871" s="56"/>
      <c r="AQ2871" s="56"/>
      <c r="AR2871" s="56"/>
      <c r="AS2871" s="56"/>
      <c r="AT2871" s="56"/>
      <c r="AU2871" s="56"/>
      <c r="AV2871" s="56"/>
      <c r="AW2871" s="56"/>
      <c r="AX2871" s="56"/>
      <c r="AY2871" s="56"/>
      <c r="AZ2871" s="56"/>
      <c r="BA2871" s="56"/>
      <c r="BB2871" s="16"/>
      <c r="BC2871" s="56"/>
      <c r="BD2871" s="56"/>
      <c r="BE2871" s="56"/>
      <c r="BF2871" s="56"/>
      <c r="BG2871" s="56"/>
      <c r="BH2871" s="56"/>
      <c r="BI2871" s="56"/>
      <c r="BJ2871" s="56"/>
      <c r="BK2871" s="56"/>
      <c r="BL2871" s="56"/>
      <c r="BM2871" s="56"/>
      <c r="BN2871" s="56"/>
      <c r="BO2871" s="56"/>
      <c r="BP2871" s="56"/>
      <c r="BQ2871" s="56"/>
      <c r="BR2871" s="56"/>
      <c r="BS2871" s="56"/>
      <c r="BT2871" s="56"/>
      <c r="BU2871" s="56"/>
      <c r="BV2871" s="56"/>
      <c r="BW2871" s="56"/>
      <c r="BX2871" s="56"/>
      <c r="BY2871" s="56"/>
      <c r="BZ2871" s="56"/>
      <c r="CA2871" s="56"/>
      <c r="CB2871" s="56"/>
      <c r="CC2871" s="56"/>
      <c r="CD2871" s="56"/>
      <c r="CE2871" s="56"/>
      <c r="CF2871" s="56"/>
      <c r="CG2871" s="56"/>
      <c r="CH2871" s="56"/>
      <c r="CI2871" s="56"/>
      <c r="CJ2871" s="56"/>
      <c r="CK2871" s="56"/>
      <c r="CL2871" s="56"/>
      <c r="CM2871" s="56"/>
      <c r="CN2871" s="56"/>
      <c r="CO2871" s="56"/>
      <c r="CP2871" s="56"/>
      <c r="CQ2871" s="56"/>
      <c r="CR2871" s="56"/>
      <c r="CS2871" s="56"/>
      <c r="CT2871" s="56"/>
      <c r="CU2871" s="56"/>
      <c r="CV2871" s="56"/>
      <c r="CW2871" s="56"/>
      <c r="CX2871" s="56"/>
      <c r="CY2871" s="56"/>
      <c r="CZ2871" s="56"/>
    </row>
    <row r="2872" spans="27:104" s="5" customFormat="1" x14ac:dyDescent="0.25">
      <c r="AA2872" s="56"/>
      <c r="AB2872" s="56"/>
      <c r="AC2872" s="56"/>
      <c r="AD2872" s="56"/>
      <c r="AE2872" s="56"/>
      <c r="AF2872" s="56"/>
      <c r="AG2872" s="56"/>
      <c r="AH2872" s="56"/>
      <c r="AI2872" s="56"/>
      <c r="AJ2872" s="56"/>
      <c r="AK2872" s="56"/>
      <c r="AL2872" s="56"/>
      <c r="AM2872" s="56"/>
      <c r="AN2872" s="56"/>
      <c r="AO2872" s="56"/>
      <c r="AP2872" s="56"/>
      <c r="AQ2872" s="56"/>
      <c r="AR2872" s="56"/>
      <c r="AS2872" s="56"/>
      <c r="AT2872" s="56"/>
      <c r="AU2872" s="56"/>
      <c r="AV2872" s="56"/>
      <c r="AW2872" s="56"/>
      <c r="AX2872" s="56"/>
      <c r="AY2872" s="56"/>
      <c r="AZ2872" s="56"/>
      <c r="BA2872" s="56"/>
      <c r="BB2872" s="16"/>
      <c r="BC2872" s="56"/>
      <c r="BD2872" s="56"/>
      <c r="BE2872" s="56"/>
      <c r="BF2872" s="56"/>
      <c r="BG2872" s="56"/>
      <c r="BH2872" s="56"/>
      <c r="BI2872" s="56"/>
      <c r="BJ2872" s="56"/>
      <c r="BK2872" s="56"/>
      <c r="BL2872" s="56"/>
      <c r="BM2872" s="56"/>
      <c r="BN2872" s="56"/>
      <c r="BO2872" s="56"/>
      <c r="BP2872" s="56"/>
      <c r="BQ2872" s="56"/>
      <c r="BR2872" s="56"/>
      <c r="BS2872" s="56"/>
      <c r="BT2872" s="56"/>
      <c r="BU2872" s="56"/>
      <c r="BV2872" s="56"/>
      <c r="BW2872" s="56"/>
      <c r="BX2872" s="56"/>
      <c r="BY2872" s="56"/>
      <c r="BZ2872" s="56"/>
      <c r="CA2872" s="56"/>
      <c r="CB2872" s="56"/>
      <c r="CC2872" s="56"/>
      <c r="CD2872" s="56"/>
      <c r="CE2872" s="56"/>
      <c r="CF2872" s="56"/>
      <c r="CG2872" s="56"/>
      <c r="CH2872" s="56"/>
      <c r="CI2872" s="56"/>
      <c r="CJ2872" s="56"/>
      <c r="CK2872" s="56"/>
      <c r="CL2872" s="56"/>
      <c r="CM2872" s="56"/>
      <c r="CN2872" s="56"/>
      <c r="CO2872" s="56"/>
      <c r="CP2872" s="56"/>
      <c r="CQ2872" s="56"/>
      <c r="CR2872" s="56"/>
      <c r="CS2872" s="56"/>
      <c r="CT2872" s="56"/>
      <c r="CU2872" s="56"/>
      <c r="CV2872" s="56"/>
      <c r="CW2872" s="56"/>
      <c r="CX2872" s="56"/>
      <c r="CY2872" s="56"/>
      <c r="CZ2872" s="56"/>
    </row>
    <row r="2873" spans="27:104" s="5" customFormat="1" x14ac:dyDescent="0.25">
      <c r="AA2873" s="56"/>
      <c r="AB2873" s="56"/>
      <c r="AC2873" s="56"/>
      <c r="AD2873" s="56"/>
      <c r="AE2873" s="56"/>
      <c r="AF2873" s="56"/>
      <c r="AG2873" s="56"/>
      <c r="AH2873" s="56"/>
      <c r="AI2873" s="56"/>
      <c r="AJ2873" s="56"/>
      <c r="AK2873" s="56"/>
      <c r="AL2873" s="56"/>
      <c r="AM2873" s="56"/>
      <c r="AN2873" s="56"/>
      <c r="AO2873" s="56"/>
      <c r="AP2873" s="56"/>
      <c r="AQ2873" s="56"/>
      <c r="AR2873" s="56"/>
      <c r="AS2873" s="56"/>
      <c r="AT2873" s="56"/>
      <c r="AU2873" s="56"/>
      <c r="AV2873" s="56"/>
      <c r="AW2873" s="56"/>
      <c r="AX2873" s="56"/>
      <c r="AY2873" s="56"/>
      <c r="AZ2873" s="56"/>
      <c r="BA2873" s="56"/>
      <c r="BB2873" s="16"/>
      <c r="BC2873" s="56"/>
      <c r="BD2873" s="56"/>
      <c r="BE2873" s="56"/>
      <c r="BF2873" s="56"/>
      <c r="BG2873" s="56"/>
      <c r="BH2873" s="56"/>
      <c r="BI2873" s="56"/>
      <c r="BJ2873" s="56"/>
      <c r="BK2873" s="56"/>
      <c r="BL2873" s="56"/>
      <c r="BM2873" s="56"/>
      <c r="BN2873" s="56"/>
      <c r="BO2873" s="56"/>
      <c r="BP2873" s="56"/>
      <c r="BQ2873" s="56"/>
      <c r="BR2873" s="56"/>
      <c r="BS2873" s="56"/>
      <c r="BT2873" s="56"/>
      <c r="BU2873" s="56"/>
      <c r="BV2873" s="56"/>
      <c r="BW2873" s="56"/>
      <c r="BX2873" s="56"/>
      <c r="BY2873" s="56"/>
      <c r="BZ2873" s="56"/>
      <c r="CA2873" s="56"/>
      <c r="CB2873" s="56"/>
      <c r="CC2873" s="56"/>
      <c r="CD2873" s="56"/>
      <c r="CE2873" s="56"/>
      <c r="CF2873" s="56"/>
      <c r="CG2873" s="56"/>
      <c r="CH2873" s="56"/>
      <c r="CI2873" s="56"/>
      <c r="CJ2873" s="56"/>
      <c r="CK2873" s="56"/>
      <c r="CL2873" s="56"/>
      <c r="CM2873" s="56"/>
      <c r="CN2873" s="56"/>
      <c r="CO2873" s="56"/>
      <c r="CP2873" s="56"/>
      <c r="CQ2873" s="56"/>
      <c r="CR2873" s="56"/>
      <c r="CS2873" s="56"/>
      <c r="CT2873" s="56"/>
      <c r="CU2873" s="56"/>
      <c r="CV2873" s="56"/>
      <c r="CW2873" s="56"/>
      <c r="CX2873" s="56"/>
      <c r="CY2873" s="56"/>
      <c r="CZ2873" s="56"/>
    </row>
    <row r="2874" spans="27:104" s="5" customFormat="1" x14ac:dyDescent="0.25">
      <c r="AA2874" s="56"/>
      <c r="AB2874" s="56"/>
      <c r="AC2874" s="56"/>
      <c r="AD2874" s="56"/>
      <c r="AE2874" s="56"/>
      <c r="AF2874" s="56"/>
      <c r="AG2874" s="56"/>
      <c r="AH2874" s="56"/>
      <c r="AI2874" s="56"/>
      <c r="AJ2874" s="56"/>
      <c r="AK2874" s="56"/>
      <c r="AL2874" s="56"/>
      <c r="AM2874" s="56"/>
      <c r="AN2874" s="56"/>
      <c r="AO2874" s="56"/>
      <c r="AP2874" s="56"/>
      <c r="AQ2874" s="56"/>
      <c r="AR2874" s="56"/>
      <c r="AS2874" s="56"/>
      <c r="AT2874" s="56"/>
      <c r="AU2874" s="56"/>
      <c r="AV2874" s="56"/>
      <c r="AW2874" s="56"/>
      <c r="AX2874" s="56"/>
      <c r="AY2874" s="56"/>
      <c r="AZ2874" s="56"/>
      <c r="BA2874" s="56"/>
      <c r="BB2874" s="16"/>
      <c r="BC2874" s="56"/>
      <c r="BD2874" s="56"/>
      <c r="BE2874" s="56"/>
      <c r="BF2874" s="56"/>
      <c r="BG2874" s="56"/>
      <c r="BH2874" s="56"/>
      <c r="BI2874" s="56"/>
      <c r="BJ2874" s="56"/>
      <c r="BK2874" s="56"/>
      <c r="BL2874" s="56"/>
      <c r="BM2874" s="56"/>
      <c r="BN2874" s="56"/>
      <c r="BO2874" s="56"/>
      <c r="BP2874" s="56"/>
      <c r="BQ2874" s="56"/>
      <c r="BR2874" s="56"/>
      <c r="BS2874" s="56"/>
      <c r="BT2874" s="56"/>
      <c r="BU2874" s="56"/>
      <c r="BV2874" s="56"/>
      <c r="BW2874" s="56"/>
      <c r="BX2874" s="56"/>
      <c r="BY2874" s="56"/>
      <c r="BZ2874" s="56"/>
      <c r="CA2874" s="56"/>
      <c r="CB2874" s="56"/>
      <c r="CC2874" s="56"/>
      <c r="CD2874" s="56"/>
      <c r="CE2874" s="56"/>
      <c r="CF2874" s="56"/>
      <c r="CG2874" s="56"/>
      <c r="CH2874" s="56"/>
      <c r="CI2874" s="56"/>
      <c r="CJ2874" s="56"/>
      <c r="CK2874" s="56"/>
      <c r="CL2874" s="56"/>
      <c r="CM2874" s="56"/>
      <c r="CN2874" s="56"/>
      <c r="CO2874" s="56"/>
      <c r="CP2874" s="56"/>
      <c r="CQ2874" s="56"/>
      <c r="CR2874" s="56"/>
      <c r="CS2874" s="56"/>
      <c r="CT2874" s="56"/>
      <c r="CU2874" s="56"/>
      <c r="CV2874" s="56"/>
      <c r="CW2874" s="56"/>
      <c r="CX2874" s="56"/>
      <c r="CY2874" s="56"/>
      <c r="CZ2874" s="56"/>
    </row>
    <row r="2875" spans="27:104" s="5" customFormat="1" x14ac:dyDescent="0.25">
      <c r="AA2875" s="56"/>
      <c r="AB2875" s="56"/>
      <c r="AC2875" s="56"/>
      <c r="AD2875" s="56"/>
      <c r="AE2875" s="56"/>
      <c r="AF2875" s="56"/>
      <c r="AG2875" s="56"/>
      <c r="AH2875" s="56"/>
      <c r="AI2875" s="56"/>
      <c r="AJ2875" s="56"/>
      <c r="AK2875" s="56"/>
      <c r="AL2875" s="56"/>
      <c r="AM2875" s="56"/>
      <c r="AN2875" s="56"/>
      <c r="AO2875" s="56"/>
      <c r="AP2875" s="56"/>
      <c r="AQ2875" s="56"/>
      <c r="AR2875" s="56"/>
      <c r="AS2875" s="56"/>
      <c r="AT2875" s="56"/>
      <c r="AU2875" s="56"/>
      <c r="AV2875" s="56"/>
      <c r="AW2875" s="56"/>
      <c r="AX2875" s="56"/>
      <c r="AY2875" s="56"/>
      <c r="AZ2875" s="56"/>
      <c r="BA2875" s="56"/>
      <c r="BB2875" s="16"/>
      <c r="BC2875" s="56"/>
      <c r="BD2875" s="56"/>
      <c r="BE2875" s="56"/>
      <c r="BF2875" s="56"/>
      <c r="BG2875" s="56"/>
      <c r="BH2875" s="56"/>
      <c r="BI2875" s="56"/>
      <c r="BJ2875" s="56"/>
      <c r="BK2875" s="56"/>
      <c r="BL2875" s="56"/>
      <c r="BM2875" s="56"/>
      <c r="BN2875" s="56"/>
      <c r="BO2875" s="56"/>
      <c r="BP2875" s="56"/>
      <c r="BQ2875" s="56"/>
      <c r="BR2875" s="56"/>
      <c r="BS2875" s="56"/>
      <c r="BT2875" s="56"/>
      <c r="BU2875" s="56"/>
      <c r="BV2875" s="56"/>
      <c r="BW2875" s="56"/>
      <c r="BX2875" s="56"/>
      <c r="BY2875" s="56"/>
      <c r="BZ2875" s="56"/>
      <c r="CA2875" s="56"/>
      <c r="CB2875" s="56"/>
      <c r="CC2875" s="56"/>
      <c r="CD2875" s="56"/>
      <c r="CE2875" s="56"/>
      <c r="CF2875" s="56"/>
      <c r="CG2875" s="56"/>
      <c r="CH2875" s="56"/>
      <c r="CI2875" s="56"/>
      <c r="CJ2875" s="56"/>
      <c r="CK2875" s="56"/>
      <c r="CL2875" s="56"/>
      <c r="CM2875" s="56"/>
      <c r="CN2875" s="56"/>
      <c r="CO2875" s="56"/>
      <c r="CP2875" s="56"/>
      <c r="CQ2875" s="56"/>
      <c r="CR2875" s="56"/>
      <c r="CS2875" s="56"/>
      <c r="CT2875" s="56"/>
      <c r="CU2875" s="56"/>
      <c r="CV2875" s="56"/>
      <c r="CW2875" s="56"/>
      <c r="CX2875" s="56"/>
      <c r="CY2875" s="56"/>
      <c r="CZ2875" s="56"/>
    </row>
    <row r="2876" spans="27:104" s="5" customFormat="1" x14ac:dyDescent="0.25">
      <c r="AA2876" s="56"/>
      <c r="AB2876" s="56"/>
      <c r="AC2876" s="56"/>
      <c r="AD2876" s="56"/>
      <c r="AE2876" s="56"/>
      <c r="AF2876" s="56"/>
      <c r="AG2876" s="56"/>
      <c r="AH2876" s="56"/>
      <c r="AI2876" s="56"/>
      <c r="AJ2876" s="56"/>
      <c r="AK2876" s="56"/>
      <c r="AL2876" s="56"/>
      <c r="AM2876" s="56"/>
      <c r="AN2876" s="56"/>
      <c r="AO2876" s="56"/>
      <c r="AP2876" s="56"/>
      <c r="AQ2876" s="56"/>
      <c r="AR2876" s="56"/>
      <c r="AS2876" s="56"/>
      <c r="AT2876" s="56"/>
      <c r="AU2876" s="56"/>
      <c r="AV2876" s="56"/>
      <c r="AW2876" s="56"/>
      <c r="AX2876" s="56"/>
      <c r="AY2876" s="56"/>
      <c r="AZ2876" s="56"/>
      <c r="BA2876" s="56"/>
      <c r="BB2876" s="16"/>
      <c r="BC2876" s="56"/>
      <c r="BD2876" s="56"/>
      <c r="BE2876" s="56"/>
      <c r="BF2876" s="56"/>
      <c r="BG2876" s="56"/>
      <c r="BH2876" s="56"/>
      <c r="BI2876" s="56"/>
      <c r="BJ2876" s="56"/>
      <c r="BK2876" s="56"/>
      <c r="BL2876" s="56"/>
      <c r="BM2876" s="56"/>
      <c r="BN2876" s="56"/>
      <c r="BO2876" s="56"/>
      <c r="BP2876" s="56"/>
      <c r="BQ2876" s="56"/>
      <c r="BR2876" s="56"/>
      <c r="BS2876" s="56"/>
      <c r="BT2876" s="56"/>
      <c r="BU2876" s="56"/>
      <c r="BV2876" s="56"/>
      <c r="BW2876" s="56"/>
      <c r="BX2876" s="56"/>
      <c r="BY2876" s="56"/>
      <c r="BZ2876" s="56"/>
      <c r="CA2876" s="56"/>
      <c r="CB2876" s="56"/>
      <c r="CC2876" s="56"/>
      <c r="CD2876" s="56"/>
      <c r="CE2876" s="56"/>
      <c r="CF2876" s="56"/>
      <c r="CG2876" s="56"/>
      <c r="CH2876" s="56"/>
      <c r="CI2876" s="56"/>
      <c r="CJ2876" s="56"/>
      <c r="CK2876" s="56"/>
      <c r="CL2876" s="56"/>
      <c r="CM2876" s="56"/>
      <c r="CN2876" s="56"/>
      <c r="CO2876" s="56"/>
      <c r="CP2876" s="56"/>
      <c r="CQ2876" s="56"/>
      <c r="CR2876" s="56"/>
      <c r="CS2876" s="56"/>
      <c r="CT2876" s="56"/>
      <c r="CU2876" s="56"/>
      <c r="CV2876" s="56"/>
      <c r="CW2876" s="56"/>
      <c r="CX2876" s="56"/>
      <c r="CY2876" s="56"/>
      <c r="CZ2876" s="56"/>
    </row>
    <row r="2877" spans="27:104" s="5" customFormat="1" x14ac:dyDescent="0.25">
      <c r="AA2877" s="56"/>
      <c r="AB2877" s="56"/>
      <c r="AC2877" s="56"/>
      <c r="AD2877" s="56"/>
      <c r="AE2877" s="56"/>
      <c r="AF2877" s="56"/>
      <c r="AG2877" s="56"/>
      <c r="AH2877" s="56"/>
      <c r="AI2877" s="56"/>
      <c r="AJ2877" s="56"/>
      <c r="AK2877" s="56"/>
      <c r="AL2877" s="56"/>
      <c r="AM2877" s="56"/>
      <c r="AN2877" s="56"/>
      <c r="AO2877" s="56"/>
      <c r="AP2877" s="56"/>
      <c r="AQ2877" s="56"/>
      <c r="AR2877" s="56"/>
      <c r="AS2877" s="56"/>
      <c r="AT2877" s="56"/>
      <c r="AU2877" s="56"/>
      <c r="AV2877" s="56"/>
      <c r="AW2877" s="56"/>
      <c r="AX2877" s="56"/>
      <c r="AY2877" s="56"/>
      <c r="AZ2877" s="56"/>
      <c r="BA2877" s="56"/>
      <c r="BB2877" s="16"/>
      <c r="BC2877" s="56"/>
      <c r="BD2877" s="56"/>
      <c r="BE2877" s="56"/>
      <c r="BF2877" s="56"/>
      <c r="BG2877" s="56"/>
      <c r="BH2877" s="56"/>
      <c r="BI2877" s="56"/>
      <c r="BJ2877" s="56"/>
      <c r="BK2877" s="56"/>
      <c r="BL2877" s="56"/>
      <c r="BM2877" s="56"/>
      <c r="BN2877" s="56"/>
      <c r="BO2877" s="56"/>
      <c r="BP2877" s="56"/>
      <c r="BQ2877" s="56"/>
      <c r="BR2877" s="56"/>
      <c r="BS2877" s="56"/>
      <c r="BT2877" s="56"/>
      <c r="BU2877" s="56"/>
      <c r="BV2877" s="56"/>
      <c r="BW2877" s="56"/>
      <c r="BX2877" s="56"/>
      <c r="BY2877" s="56"/>
      <c r="BZ2877" s="56"/>
      <c r="CA2877" s="56"/>
      <c r="CB2877" s="56"/>
      <c r="CC2877" s="56"/>
      <c r="CD2877" s="56"/>
      <c r="CE2877" s="56"/>
      <c r="CF2877" s="56"/>
      <c r="CG2877" s="56"/>
      <c r="CH2877" s="56"/>
      <c r="CI2877" s="56"/>
      <c r="CJ2877" s="56"/>
      <c r="CK2877" s="56"/>
      <c r="CL2877" s="56"/>
      <c r="CM2877" s="56"/>
      <c r="CN2877" s="56"/>
      <c r="CO2877" s="56"/>
      <c r="CP2877" s="56"/>
      <c r="CQ2877" s="56"/>
      <c r="CR2877" s="56"/>
      <c r="CS2877" s="56"/>
      <c r="CT2877" s="56"/>
      <c r="CU2877" s="56"/>
      <c r="CV2877" s="56"/>
      <c r="CW2877" s="56"/>
      <c r="CX2877" s="56"/>
      <c r="CY2877" s="56"/>
      <c r="CZ2877" s="56"/>
    </row>
    <row r="2878" spans="27:104" s="5" customFormat="1" x14ac:dyDescent="0.25">
      <c r="AA2878" s="56"/>
      <c r="AB2878" s="56"/>
      <c r="AC2878" s="56"/>
      <c r="AD2878" s="56"/>
      <c r="AE2878" s="56"/>
      <c r="AF2878" s="56"/>
      <c r="AG2878" s="56"/>
      <c r="AH2878" s="56"/>
      <c r="AI2878" s="56"/>
      <c r="AJ2878" s="56"/>
      <c r="AK2878" s="56"/>
      <c r="AL2878" s="56"/>
      <c r="AM2878" s="56"/>
      <c r="AN2878" s="56"/>
      <c r="AO2878" s="56"/>
      <c r="AP2878" s="56"/>
      <c r="AQ2878" s="56"/>
      <c r="AR2878" s="56"/>
      <c r="AS2878" s="56"/>
      <c r="AT2878" s="56"/>
      <c r="AU2878" s="56"/>
      <c r="AV2878" s="56"/>
      <c r="AW2878" s="56"/>
      <c r="AX2878" s="56"/>
      <c r="AY2878" s="56"/>
      <c r="AZ2878" s="56"/>
      <c r="BA2878" s="56"/>
      <c r="BB2878" s="16"/>
      <c r="BC2878" s="56"/>
      <c r="BD2878" s="56"/>
      <c r="BE2878" s="56"/>
      <c r="BF2878" s="56"/>
      <c r="BG2878" s="56"/>
      <c r="BH2878" s="56"/>
      <c r="BI2878" s="56"/>
      <c r="BJ2878" s="56"/>
      <c r="BK2878" s="56"/>
      <c r="BL2878" s="56"/>
      <c r="BM2878" s="56"/>
      <c r="BN2878" s="56"/>
      <c r="BO2878" s="56"/>
      <c r="BP2878" s="56"/>
      <c r="BQ2878" s="56"/>
      <c r="BR2878" s="56"/>
      <c r="BS2878" s="56"/>
      <c r="BT2878" s="56"/>
      <c r="BU2878" s="56"/>
      <c r="BV2878" s="56"/>
      <c r="BW2878" s="56"/>
      <c r="BX2878" s="56"/>
      <c r="BY2878" s="56"/>
      <c r="BZ2878" s="56"/>
      <c r="CA2878" s="56"/>
      <c r="CB2878" s="56"/>
      <c r="CC2878" s="56"/>
      <c r="CD2878" s="56"/>
      <c r="CE2878" s="56"/>
      <c r="CF2878" s="56"/>
      <c r="CG2878" s="56"/>
      <c r="CH2878" s="56"/>
      <c r="CI2878" s="56"/>
      <c r="CJ2878" s="56"/>
      <c r="CK2878" s="56"/>
      <c r="CL2878" s="56"/>
      <c r="CM2878" s="56"/>
      <c r="CN2878" s="56"/>
      <c r="CO2878" s="56"/>
      <c r="CP2878" s="56"/>
      <c r="CQ2878" s="56"/>
      <c r="CR2878" s="56"/>
      <c r="CS2878" s="56"/>
      <c r="CT2878" s="56"/>
      <c r="CU2878" s="56"/>
      <c r="CV2878" s="56"/>
      <c r="CW2878" s="56"/>
      <c r="CX2878" s="56"/>
      <c r="CY2878" s="56"/>
      <c r="CZ2878" s="56"/>
    </row>
    <row r="2879" spans="27:104" s="5" customFormat="1" x14ac:dyDescent="0.25">
      <c r="AA2879" s="56"/>
      <c r="AB2879" s="56"/>
      <c r="AC2879" s="56"/>
      <c r="AD2879" s="56"/>
      <c r="AE2879" s="56"/>
      <c r="AF2879" s="56"/>
      <c r="AG2879" s="56"/>
      <c r="AH2879" s="56"/>
      <c r="AI2879" s="56"/>
      <c r="AJ2879" s="56"/>
      <c r="AK2879" s="56"/>
      <c r="AL2879" s="56"/>
      <c r="AM2879" s="56"/>
      <c r="AN2879" s="56"/>
      <c r="AO2879" s="56"/>
      <c r="AP2879" s="56"/>
      <c r="AQ2879" s="56"/>
      <c r="AR2879" s="56"/>
      <c r="AS2879" s="56"/>
      <c r="AT2879" s="56"/>
      <c r="AU2879" s="56"/>
      <c r="AV2879" s="56"/>
      <c r="AW2879" s="56"/>
      <c r="AX2879" s="56"/>
      <c r="AY2879" s="56"/>
      <c r="AZ2879" s="56"/>
      <c r="BA2879" s="56"/>
      <c r="BB2879" s="16"/>
      <c r="BC2879" s="56"/>
      <c r="BD2879" s="56"/>
      <c r="BE2879" s="56"/>
      <c r="BF2879" s="56"/>
      <c r="BG2879" s="56"/>
      <c r="BH2879" s="56"/>
      <c r="BI2879" s="56"/>
      <c r="BJ2879" s="56"/>
      <c r="BK2879" s="56"/>
      <c r="BL2879" s="56"/>
      <c r="BM2879" s="56"/>
      <c r="BN2879" s="56"/>
      <c r="BO2879" s="56"/>
      <c r="BP2879" s="56"/>
      <c r="BQ2879" s="56"/>
      <c r="BR2879" s="56"/>
      <c r="BS2879" s="56"/>
      <c r="BT2879" s="56"/>
      <c r="BU2879" s="56"/>
      <c r="BV2879" s="56"/>
      <c r="BW2879" s="56"/>
      <c r="BX2879" s="56"/>
      <c r="BY2879" s="56"/>
      <c r="BZ2879" s="56"/>
      <c r="CA2879" s="56"/>
      <c r="CB2879" s="56"/>
      <c r="CC2879" s="56"/>
      <c r="CD2879" s="56"/>
      <c r="CE2879" s="56"/>
      <c r="CF2879" s="56"/>
      <c r="CG2879" s="56"/>
      <c r="CH2879" s="56"/>
      <c r="CI2879" s="56"/>
      <c r="CJ2879" s="56"/>
      <c r="CK2879" s="56"/>
      <c r="CL2879" s="56"/>
      <c r="CM2879" s="56"/>
      <c r="CN2879" s="56"/>
      <c r="CO2879" s="56"/>
      <c r="CP2879" s="56"/>
      <c r="CQ2879" s="56"/>
      <c r="CR2879" s="56"/>
      <c r="CS2879" s="56"/>
      <c r="CT2879" s="56"/>
      <c r="CU2879" s="56"/>
      <c r="CV2879" s="56"/>
      <c r="CW2879" s="56"/>
      <c r="CX2879" s="56"/>
      <c r="CY2879" s="56"/>
      <c r="CZ2879" s="56"/>
    </row>
    <row r="2880" spans="27:104" s="5" customFormat="1" x14ac:dyDescent="0.25">
      <c r="AA2880" s="56"/>
      <c r="AB2880" s="56"/>
      <c r="AC2880" s="56"/>
      <c r="AD2880" s="56"/>
      <c r="AE2880" s="56"/>
      <c r="AF2880" s="56"/>
      <c r="AG2880" s="56"/>
      <c r="AH2880" s="56"/>
      <c r="AI2880" s="56"/>
      <c r="AJ2880" s="56"/>
      <c r="AK2880" s="56"/>
      <c r="AL2880" s="56"/>
      <c r="AM2880" s="56"/>
      <c r="AN2880" s="56"/>
      <c r="AO2880" s="56"/>
      <c r="AP2880" s="56"/>
      <c r="AQ2880" s="56"/>
      <c r="AR2880" s="56"/>
      <c r="AS2880" s="56"/>
      <c r="AT2880" s="56"/>
      <c r="AU2880" s="56"/>
      <c r="AV2880" s="56"/>
      <c r="AW2880" s="56"/>
      <c r="AX2880" s="56"/>
      <c r="AY2880" s="56"/>
      <c r="AZ2880" s="56"/>
      <c r="BA2880" s="56"/>
      <c r="BB2880" s="16"/>
      <c r="BC2880" s="56"/>
      <c r="BD2880" s="56"/>
      <c r="BE2880" s="56"/>
      <c r="BF2880" s="56"/>
      <c r="BG2880" s="56"/>
      <c r="BH2880" s="56"/>
      <c r="BI2880" s="56"/>
      <c r="BJ2880" s="56"/>
      <c r="BK2880" s="56"/>
      <c r="BL2880" s="56"/>
      <c r="BM2880" s="56"/>
      <c r="BN2880" s="56"/>
      <c r="BO2880" s="56"/>
      <c r="BP2880" s="56"/>
      <c r="BQ2880" s="56"/>
      <c r="BR2880" s="56"/>
      <c r="BS2880" s="56"/>
      <c r="BT2880" s="56"/>
      <c r="BU2880" s="56"/>
      <c r="BV2880" s="56"/>
      <c r="BW2880" s="56"/>
      <c r="BX2880" s="56"/>
      <c r="BY2880" s="56"/>
      <c r="BZ2880" s="56"/>
      <c r="CA2880" s="56"/>
      <c r="CB2880" s="56"/>
      <c r="CC2880" s="56"/>
      <c r="CD2880" s="56"/>
      <c r="CE2880" s="56"/>
      <c r="CF2880" s="56"/>
      <c r="CG2880" s="56"/>
      <c r="CH2880" s="56"/>
      <c r="CI2880" s="56"/>
      <c r="CJ2880" s="56"/>
      <c r="CK2880" s="56"/>
      <c r="CL2880" s="56"/>
      <c r="CM2880" s="56"/>
      <c r="CN2880" s="56"/>
      <c r="CO2880" s="56"/>
      <c r="CP2880" s="56"/>
      <c r="CQ2880" s="56"/>
      <c r="CR2880" s="56"/>
      <c r="CS2880" s="56"/>
      <c r="CT2880" s="56"/>
      <c r="CU2880" s="56"/>
      <c r="CV2880" s="56"/>
      <c r="CW2880" s="56"/>
      <c r="CX2880" s="56"/>
      <c r="CY2880" s="56"/>
      <c r="CZ2880" s="56"/>
    </row>
    <row r="2881" spans="27:104" s="5" customFormat="1" x14ac:dyDescent="0.25">
      <c r="AA2881" s="56"/>
      <c r="AB2881" s="56"/>
      <c r="AC2881" s="56"/>
      <c r="AD2881" s="56"/>
      <c r="AE2881" s="56"/>
      <c r="AF2881" s="56"/>
      <c r="AG2881" s="56"/>
      <c r="AH2881" s="56"/>
      <c r="AI2881" s="56"/>
      <c r="AJ2881" s="56"/>
      <c r="AK2881" s="56"/>
      <c r="AL2881" s="56"/>
      <c r="AM2881" s="56"/>
      <c r="AN2881" s="56"/>
      <c r="AO2881" s="56"/>
      <c r="AP2881" s="56"/>
      <c r="AQ2881" s="56"/>
      <c r="AR2881" s="56"/>
      <c r="AS2881" s="56"/>
      <c r="AT2881" s="56"/>
      <c r="AU2881" s="56"/>
      <c r="AV2881" s="56"/>
      <c r="AW2881" s="56"/>
      <c r="AX2881" s="56"/>
      <c r="AY2881" s="56"/>
      <c r="AZ2881" s="56"/>
      <c r="BA2881" s="56"/>
      <c r="BB2881" s="16"/>
      <c r="BC2881" s="56"/>
      <c r="BD2881" s="56"/>
      <c r="BE2881" s="56"/>
      <c r="BF2881" s="56"/>
      <c r="BG2881" s="56"/>
      <c r="BH2881" s="56"/>
      <c r="BI2881" s="56"/>
      <c r="BJ2881" s="56"/>
      <c r="BK2881" s="56"/>
      <c r="BL2881" s="56"/>
      <c r="BM2881" s="56"/>
      <c r="BN2881" s="56"/>
      <c r="BO2881" s="56"/>
      <c r="BP2881" s="56"/>
      <c r="BQ2881" s="56"/>
      <c r="BR2881" s="56"/>
      <c r="BS2881" s="56"/>
      <c r="BT2881" s="56"/>
      <c r="BU2881" s="56"/>
      <c r="BV2881" s="56"/>
      <c r="BW2881" s="56"/>
      <c r="BX2881" s="56"/>
      <c r="BY2881" s="56"/>
      <c r="BZ2881" s="56"/>
      <c r="CA2881" s="56"/>
      <c r="CB2881" s="56"/>
      <c r="CC2881" s="56"/>
      <c r="CD2881" s="56"/>
      <c r="CE2881" s="56"/>
      <c r="CF2881" s="56"/>
      <c r="CG2881" s="56"/>
      <c r="CH2881" s="56"/>
      <c r="CI2881" s="56"/>
      <c r="CJ2881" s="56"/>
      <c r="CK2881" s="56"/>
      <c r="CL2881" s="56"/>
      <c r="CM2881" s="56"/>
      <c r="CN2881" s="56"/>
      <c r="CO2881" s="56"/>
      <c r="CP2881" s="56"/>
      <c r="CQ2881" s="56"/>
      <c r="CR2881" s="56"/>
      <c r="CS2881" s="56"/>
      <c r="CT2881" s="56"/>
      <c r="CU2881" s="56"/>
      <c r="CV2881" s="56"/>
      <c r="CW2881" s="56"/>
      <c r="CX2881" s="56"/>
      <c r="CY2881" s="56"/>
      <c r="CZ2881" s="56"/>
    </row>
    <row r="2882" spans="27:104" s="5" customFormat="1" x14ac:dyDescent="0.25">
      <c r="AA2882" s="56"/>
      <c r="AB2882" s="56"/>
      <c r="AC2882" s="56"/>
      <c r="AD2882" s="56"/>
      <c r="AE2882" s="56"/>
      <c r="AF2882" s="56"/>
      <c r="AG2882" s="56"/>
      <c r="AH2882" s="56"/>
      <c r="AI2882" s="56"/>
      <c r="AJ2882" s="56"/>
      <c r="AK2882" s="56"/>
      <c r="AL2882" s="56"/>
      <c r="AM2882" s="56"/>
      <c r="AN2882" s="56"/>
      <c r="AO2882" s="56"/>
      <c r="AP2882" s="56"/>
      <c r="AQ2882" s="56"/>
      <c r="AR2882" s="56"/>
      <c r="AS2882" s="56"/>
      <c r="AT2882" s="56"/>
      <c r="AU2882" s="56"/>
      <c r="AV2882" s="56"/>
      <c r="AW2882" s="56"/>
      <c r="AX2882" s="56"/>
      <c r="AY2882" s="56"/>
      <c r="AZ2882" s="56"/>
      <c r="BA2882" s="56"/>
      <c r="BB2882" s="16"/>
      <c r="BC2882" s="56"/>
      <c r="BD2882" s="56"/>
      <c r="BE2882" s="56"/>
      <c r="BF2882" s="56"/>
      <c r="BG2882" s="56"/>
      <c r="BH2882" s="56"/>
      <c r="BI2882" s="56"/>
      <c r="BJ2882" s="56"/>
      <c r="BK2882" s="56"/>
      <c r="BL2882" s="56"/>
      <c r="BM2882" s="56"/>
      <c r="BN2882" s="56"/>
      <c r="BO2882" s="56"/>
      <c r="BP2882" s="56"/>
      <c r="BQ2882" s="56"/>
      <c r="BR2882" s="56"/>
      <c r="BS2882" s="56"/>
      <c r="BT2882" s="56"/>
      <c r="BU2882" s="56"/>
      <c r="BV2882" s="56"/>
      <c r="BW2882" s="56"/>
      <c r="BX2882" s="56"/>
      <c r="BY2882" s="56"/>
      <c r="BZ2882" s="56"/>
      <c r="CA2882" s="56"/>
      <c r="CB2882" s="56"/>
      <c r="CC2882" s="56"/>
      <c r="CD2882" s="56"/>
      <c r="CE2882" s="56"/>
      <c r="CF2882" s="56"/>
      <c r="CG2882" s="56"/>
      <c r="CH2882" s="56"/>
      <c r="CI2882" s="56"/>
      <c r="CJ2882" s="56"/>
      <c r="CK2882" s="56"/>
      <c r="CL2882" s="56"/>
      <c r="CM2882" s="56"/>
      <c r="CN2882" s="56"/>
      <c r="CO2882" s="56"/>
      <c r="CP2882" s="56"/>
      <c r="CQ2882" s="56"/>
      <c r="CR2882" s="56"/>
      <c r="CS2882" s="56"/>
      <c r="CT2882" s="56"/>
      <c r="CU2882" s="56"/>
      <c r="CV2882" s="56"/>
      <c r="CW2882" s="56"/>
      <c r="CX2882" s="56"/>
      <c r="CY2882" s="56"/>
      <c r="CZ2882" s="56"/>
    </row>
    <row r="2883" spans="27:104" s="5" customFormat="1" x14ac:dyDescent="0.25">
      <c r="AA2883" s="56"/>
      <c r="AB2883" s="56"/>
      <c r="AC2883" s="56"/>
      <c r="AD2883" s="56"/>
      <c r="AE2883" s="56"/>
      <c r="AF2883" s="56"/>
      <c r="AG2883" s="56"/>
      <c r="AH2883" s="56"/>
      <c r="AI2883" s="56"/>
      <c r="AJ2883" s="56"/>
      <c r="AK2883" s="56"/>
      <c r="AL2883" s="56"/>
      <c r="AM2883" s="56"/>
      <c r="AN2883" s="56"/>
      <c r="AO2883" s="56"/>
      <c r="AP2883" s="56"/>
      <c r="AQ2883" s="56"/>
      <c r="AR2883" s="56"/>
      <c r="AS2883" s="56"/>
      <c r="AT2883" s="56"/>
      <c r="AU2883" s="56"/>
      <c r="AV2883" s="56"/>
      <c r="AW2883" s="56"/>
      <c r="AX2883" s="56"/>
      <c r="AY2883" s="56"/>
      <c r="AZ2883" s="56"/>
      <c r="BA2883" s="56"/>
      <c r="BB2883" s="16"/>
      <c r="BC2883" s="56"/>
      <c r="BD2883" s="56"/>
      <c r="BE2883" s="56"/>
      <c r="BF2883" s="56"/>
      <c r="BG2883" s="56"/>
      <c r="BH2883" s="56"/>
      <c r="BI2883" s="56"/>
      <c r="BJ2883" s="56"/>
      <c r="BK2883" s="56"/>
      <c r="BL2883" s="56"/>
      <c r="BM2883" s="56"/>
      <c r="BN2883" s="56"/>
      <c r="BO2883" s="56"/>
      <c r="BP2883" s="56"/>
      <c r="BQ2883" s="56"/>
      <c r="BR2883" s="56"/>
      <c r="BS2883" s="56"/>
      <c r="BT2883" s="56"/>
      <c r="BU2883" s="56"/>
      <c r="BV2883" s="56"/>
      <c r="BW2883" s="56"/>
      <c r="BX2883" s="56"/>
      <c r="BY2883" s="56"/>
      <c r="BZ2883" s="56"/>
      <c r="CA2883" s="56"/>
      <c r="CB2883" s="56"/>
      <c r="CC2883" s="56"/>
      <c r="CD2883" s="56"/>
      <c r="CE2883" s="56"/>
      <c r="CF2883" s="56"/>
      <c r="CG2883" s="56"/>
      <c r="CH2883" s="56"/>
      <c r="CI2883" s="56"/>
      <c r="CJ2883" s="56"/>
      <c r="CK2883" s="56"/>
      <c r="CL2883" s="56"/>
      <c r="CM2883" s="56"/>
      <c r="CN2883" s="56"/>
      <c r="CO2883" s="56"/>
      <c r="CP2883" s="56"/>
      <c r="CQ2883" s="56"/>
      <c r="CR2883" s="56"/>
      <c r="CS2883" s="56"/>
      <c r="CT2883" s="56"/>
      <c r="CU2883" s="56"/>
      <c r="CV2883" s="56"/>
      <c r="CW2883" s="56"/>
      <c r="CX2883" s="56"/>
      <c r="CY2883" s="56"/>
      <c r="CZ2883" s="56"/>
    </row>
    <row r="2884" spans="27:104" s="5" customFormat="1" x14ac:dyDescent="0.25">
      <c r="AA2884" s="56"/>
      <c r="AB2884" s="56"/>
      <c r="AC2884" s="56"/>
      <c r="AD2884" s="56"/>
      <c r="AE2884" s="56"/>
      <c r="AF2884" s="56"/>
      <c r="AG2884" s="56"/>
      <c r="AH2884" s="56"/>
      <c r="AI2884" s="56"/>
      <c r="AJ2884" s="56"/>
      <c r="AK2884" s="56"/>
      <c r="AL2884" s="56"/>
      <c r="AM2884" s="56"/>
      <c r="AN2884" s="56"/>
      <c r="AO2884" s="56"/>
      <c r="AP2884" s="56"/>
      <c r="AQ2884" s="56"/>
      <c r="AR2884" s="56"/>
      <c r="AS2884" s="56"/>
      <c r="AT2884" s="56"/>
      <c r="AU2884" s="56"/>
      <c r="AV2884" s="56"/>
      <c r="AW2884" s="56"/>
      <c r="AX2884" s="56"/>
      <c r="AY2884" s="56"/>
      <c r="AZ2884" s="56"/>
      <c r="BA2884" s="56"/>
      <c r="BB2884" s="16"/>
      <c r="BC2884" s="56"/>
      <c r="BD2884" s="56"/>
      <c r="BE2884" s="56"/>
      <c r="BF2884" s="56"/>
      <c r="BG2884" s="56"/>
      <c r="BH2884" s="56"/>
      <c r="BI2884" s="56"/>
      <c r="BJ2884" s="56"/>
      <c r="BK2884" s="56"/>
      <c r="BL2884" s="56"/>
      <c r="BM2884" s="56"/>
      <c r="BN2884" s="56"/>
      <c r="BO2884" s="56"/>
      <c r="BP2884" s="56"/>
      <c r="BQ2884" s="56"/>
      <c r="BR2884" s="56"/>
      <c r="BS2884" s="56"/>
      <c r="BT2884" s="56"/>
      <c r="BU2884" s="56"/>
      <c r="BV2884" s="56"/>
      <c r="BW2884" s="56"/>
      <c r="BX2884" s="56"/>
      <c r="BY2884" s="56"/>
      <c r="BZ2884" s="56"/>
      <c r="CA2884" s="56"/>
      <c r="CB2884" s="56"/>
      <c r="CC2884" s="56"/>
      <c r="CD2884" s="56"/>
      <c r="CE2884" s="56"/>
      <c r="CF2884" s="56"/>
      <c r="CG2884" s="56"/>
      <c r="CH2884" s="56"/>
      <c r="CI2884" s="56"/>
      <c r="CJ2884" s="56"/>
      <c r="CK2884" s="56"/>
      <c r="CL2884" s="56"/>
      <c r="CM2884" s="56"/>
      <c r="CN2884" s="56"/>
      <c r="CO2884" s="56"/>
      <c r="CP2884" s="56"/>
      <c r="CQ2884" s="56"/>
      <c r="CR2884" s="56"/>
      <c r="CS2884" s="56"/>
      <c r="CT2884" s="56"/>
      <c r="CU2884" s="56"/>
      <c r="CV2884" s="56"/>
      <c r="CW2884" s="56"/>
      <c r="CX2884" s="56"/>
      <c r="CY2884" s="56"/>
      <c r="CZ2884" s="56"/>
    </row>
    <row r="2885" spans="27:104" s="5" customFormat="1" x14ac:dyDescent="0.25">
      <c r="AA2885" s="56"/>
      <c r="AB2885" s="56"/>
      <c r="AC2885" s="56"/>
      <c r="AD2885" s="56"/>
      <c r="AE2885" s="56"/>
      <c r="AF2885" s="56"/>
      <c r="AG2885" s="56"/>
      <c r="AH2885" s="56"/>
      <c r="AI2885" s="56"/>
      <c r="AJ2885" s="56"/>
      <c r="AK2885" s="56"/>
      <c r="AL2885" s="56"/>
      <c r="AM2885" s="56"/>
      <c r="AN2885" s="56"/>
      <c r="AO2885" s="56"/>
      <c r="AP2885" s="56"/>
      <c r="AQ2885" s="56"/>
      <c r="AR2885" s="56"/>
      <c r="AS2885" s="56"/>
      <c r="AT2885" s="56"/>
      <c r="AU2885" s="56"/>
      <c r="AV2885" s="56"/>
      <c r="AW2885" s="56"/>
      <c r="AX2885" s="56"/>
      <c r="AY2885" s="56"/>
      <c r="AZ2885" s="56"/>
      <c r="BA2885" s="56"/>
      <c r="BB2885" s="16"/>
      <c r="BC2885" s="56"/>
      <c r="BD2885" s="56"/>
      <c r="BE2885" s="56"/>
      <c r="BF2885" s="56"/>
      <c r="BG2885" s="56"/>
      <c r="BH2885" s="56"/>
      <c r="BI2885" s="56"/>
      <c r="BJ2885" s="56"/>
      <c r="BK2885" s="56"/>
      <c r="BL2885" s="56"/>
      <c r="BM2885" s="56"/>
      <c r="BN2885" s="56"/>
      <c r="BO2885" s="56"/>
      <c r="BP2885" s="56"/>
      <c r="BQ2885" s="56"/>
      <c r="BR2885" s="56"/>
      <c r="BS2885" s="56"/>
      <c r="BT2885" s="56"/>
      <c r="BU2885" s="56"/>
      <c r="BV2885" s="56"/>
      <c r="BW2885" s="56"/>
      <c r="BX2885" s="56"/>
      <c r="BY2885" s="56"/>
      <c r="BZ2885" s="56"/>
      <c r="CA2885" s="56"/>
      <c r="CB2885" s="56"/>
      <c r="CC2885" s="56"/>
      <c r="CD2885" s="56"/>
      <c r="CE2885" s="56"/>
      <c r="CF2885" s="56"/>
      <c r="CG2885" s="56"/>
      <c r="CH2885" s="56"/>
      <c r="CI2885" s="56"/>
      <c r="CJ2885" s="56"/>
      <c r="CK2885" s="56"/>
      <c r="CL2885" s="56"/>
      <c r="CM2885" s="56"/>
      <c r="CN2885" s="56"/>
      <c r="CO2885" s="56"/>
      <c r="CP2885" s="56"/>
      <c r="CQ2885" s="56"/>
      <c r="CR2885" s="56"/>
      <c r="CS2885" s="56"/>
      <c r="CT2885" s="56"/>
      <c r="CU2885" s="56"/>
      <c r="CV2885" s="56"/>
      <c r="CW2885" s="56"/>
      <c r="CX2885" s="56"/>
      <c r="CY2885" s="56"/>
      <c r="CZ2885" s="56"/>
    </row>
    <row r="2886" spans="27:104" s="5" customFormat="1" x14ac:dyDescent="0.25">
      <c r="AA2886" s="56"/>
      <c r="AB2886" s="56"/>
      <c r="AC2886" s="56"/>
      <c r="AD2886" s="56"/>
      <c r="AE2886" s="56"/>
      <c r="AF2886" s="56"/>
      <c r="AG2886" s="56"/>
      <c r="AH2886" s="56"/>
      <c r="AI2886" s="56"/>
      <c r="AJ2886" s="56"/>
      <c r="AK2886" s="56"/>
      <c r="AL2886" s="56"/>
      <c r="AM2886" s="56"/>
      <c r="AN2886" s="56"/>
      <c r="AO2886" s="56"/>
      <c r="AP2886" s="56"/>
      <c r="AQ2886" s="56"/>
      <c r="AR2886" s="56"/>
      <c r="AS2886" s="56"/>
      <c r="AT2886" s="56"/>
      <c r="AU2886" s="56"/>
      <c r="AV2886" s="56"/>
      <c r="AW2886" s="56"/>
      <c r="AX2886" s="56"/>
      <c r="AY2886" s="56"/>
      <c r="AZ2886" s="56"/>
      <c r="BA2886" s="56"/>
      <c r="BB2886" s="16"/>
      <c r="BC2886" s="56"/>
      <c r="BD2886" s="56"/>
      <c r="BE2886" s="56"/>
      <c r="BF2886" s="56"/>
      <c r="BG2886" s="56"/>
      <c r="BH2886" s="56"/>
      <c r="BI2886" s="56"/>
      <c r="BJ2886" s="56"/>
      <c r="BK2886" s="56"/>
      <c r="BL2886" s="56"/>
      <c r="BM2886" s="56"/>
      <c r="BN2886" s="56"/>
      <c r="BO2886" s="56"/>
      <c r="BP2886" s="56"/>
      <c r="BQ2886" s="56"/>
      <c r="BR2886" s="56"/>
      <c r="BS2886" s="56"/>
      <c r="BT2886" s="56"/>
      <c r="BU2886" s="56"/>
      <c r="BV2886" s="56"/>
      <c r="BW2886" s="56"/>
      <c r="BX2886" s="56"/>
      <c r="BY2886" s="56"/>
      <c r="BZ2886" s="56"/>
      <c r="CA2886" s="56"/>
      <c r="CB2886" s="56"/>
      <c r="CC2886" s="56"/>
      <c r="CD2886" s="56"/>
      <c r="CE2886" s="56"/>
      <c r="CF2886" s="56"/>
      <c r="CG2886" s="56"/>
      <c r="CH2886" s="56"/>
      <c r="CI2886" s="56"/>
      <c r="CJ2886" s="56"/>
      <c r="CK2886" s="56"/>
      <c r="CL2886" s="56"/>
      <c r="CM2886" s="56"/>
      <c r="CN2886" s="56"/>
      <c r="CO2886" s="56"/>
      <c r="CP2886" s="56"/>
      <c r="CQ2886" s="56"/>
      <c r="CR2886" s="56"/>
      <c r="CS2886" s="56"/>
      <c r="CT2886" s="56"/>
      <c r="CU2886" s="56"/>
      <c r="CV2886" s="56"/>
      <c r="CW2886" s="56"/>
      <c r="CX2886" s="56"/>
      <c r="CY2886" s="56"/>
      <c r="CZ2886" s="56"/>
    </row>
    <row r="2887" spans="27:104" s="5" customFormat="1" x14ac:dyDescent="0.25">
      <c r="AA2887" s="56"/>
      <c r="AB2887" s="56"/>
      <c r="AC2887" s="56"/>
      <c r="AD2887" s="56"/>
      <c r="AE2887" s="56"/>
      <c r="AF2887" s="56"/>
      <c r="AG2887" s="56"/>
      <c r="AH2887" s="56"/>
      <c r="AI2887" s="56"/>
      <c r="AJ2887" s="56"/>
      <c r="AK2887" s="56"/>
      <c r="AL2887" s="56"/>
      <c r="AM2887" s="56"/>
      <c r="AN2887" s="56"/>
      <c r="AO2887" s="56"/>
      <c r="AP2887" s="56"/>
      <c r="AQ2887" s="56"/>
      <c r="AR2887" s="56"/>
      <c r="AS2887" s="56"/>
      <c r="AT2887" s="56"/>
      <c r="AU2887" s="56"/>
      <c r="AV2887" s="56"/>
      <c r="AW2887" s="56"/>
      <c r="AX2887" s="56"/>
      <c r="AY2887" s="56"/>
      <c r="AZ2887" s="56"/>
      <c r="BA2887" s="56"/>
      <c r="BB2887" s="16"/>
      <c r="BC2887" s="56"/>
      <c r="BD2887" s="56"/>
      <c r="BE2887" s="56"/>
      <c r="BF2887" s="56"/>
      <c r="BG2887" s="56"/>
      <c r="BH2887" s="56"/>
      <c r="BI2887" s="56"/>
      <c r="BJ2887" s="56"/>
      <c r="BK2887" s="56"/>
      <c r="BL2887" s="56"/>
      <c r="BM2887" s="56"/>
      <c r="BN2887" s="56"/>
      <c r="BO2887" s="56"/>
      <c r="BP2887" s="56"/>
      <c r="BQ2887" s="56"/>
      <c r="BR2887" s="56"/>
      <c r="BS2887" s="56"/>
      <c r="BT2887" s="56"/>
      <c r="BU2887" s="56"/>
      <c r="BV2887" s="56"/>
      <c r="BW2887" s="56"/>
      <c r="BX2887" s="56"/>
      <c r="BY2887" s="56"/>
      <c r="BZ2887" s="56"/>
      <c r="CA2887" s="56"/>
      <c r="CB2887" s="56"/>
      <c r="CC2887" s="56"/>
      <c r="CD2887" s="56"/>
      <c r="CE2887" s="56"/>
      <c r="CF2887" s="56"/>
      <c r="CG2887" s="56"/>
      <c r="CH2887" s="56"/>
      <c r="CI2887" s="56"/>
      <c r="CJ2887" s="56"/>
      <c r="CK2887" s="56"/>
      <c r="CL2887" s="56"/>
      <c r="CM2887" s="56"/>
      <c r="CN2887" s="56"/>
      <c r="CO2887" s="56"/>
      <c r="CP2887" s="56"/>
      <c r="CQ2887" s="56"/>
      <c r="CR2887" s="56"/>
      <c r="CS2887" s="56"/>
      <c r="CT2887" s="56"/>
      <c r="CU2887" s="56"/>
      <c r="CV2887" s="56"/>
      <c r="CW2887" s="56"/>
      <c r="CX2887" s="56"/>
      <c r="CY2887" s="56"/>
      <c r="CZ2887" s="56"/>
    </row>
    <row r="2888" spans="27:104" s="5" customFormat="1" x14ac:dyDescent="0.25">
      <c r="AA2888" s="56"/>
      <c r="AB2888" s="56"/>
      <c r="AC2888" s="56"/>
      <c r="AD2888" s="56"/>
      <c r="AE2888" s="56"/>
      <c r="AF2888" s="56"/>
      <c r="AG2888" s="56"/>
      <c r="AH2888" s="56"/>
      <c r="AI2888" s="56"/>
      <c r="AJ2888" s="56"/>
      <c r="AK2888" s="56"/>
      <c r="AL2888" s="56"/>
      <c r="AM2888" s="56"/>
      <c r="AN2888" s="56"/>
      <c r="AO2888" s="56"/>
      <c r="AP2888" s="56"/>
      <c r="AQ2888" s="56"/>
      <c r="AR2888" s="56"/>
      <c r="AS2888" s="56"/>
      <c r="AT2888" s="56"/>
      <c r="AU2888" s="56"/>
      <c r="AV2888" s="56"/>
      <c r="AW2888" s="56"/>
      <c r="AX2888" s="56"/>
      <c r="AY2888" s="56"/>
      <c r="AZ2888" s="56"/>
      <c r="BA2888" s="56"/>
      <c r="BB2888" s="16"/>
      <c r="BC2888" s="56"/>
      <c r="BD2888" s="56"/>
      <c r="BE2888" s="56"/>
      <c r="BF2888" s="56"/>
      <c r="BG2888" s="56"/>
      <c r="BH2888" s="56"/>
      <c r="BI2888" s="56"/>
      <c r="BJ2888" s="56"/>
      <c r="BK2888" s="56"/>
      <c r="BL2888" s="56"/>
      <c r="BM2888" s="56"/>
      <c r="BN2888" s="56"/>
      <c r="BO2888" s="56"/>
      <c r="BP2888" s="56"/>
      <c r="BQ2888" s="56"/>
      <c r="BR2888" s="56"/>
      <c r="BS2888" s="56"/>
      <c r="BT2888" s="56"/>
      <c r="BU2888" s="56"/>
      <c r="BV2888" s="56"/>
      <c r="BW2888" s="56"/>
      <c r="BX2888" s="56"/>
      <c r="BY2888" s="56"/>
      <c r="BZ2888" s="56"/>
      <c r="CA2888" s="56"/>
      <c r="CB2888" s="56"/>
      <c r="CC2888" s="56"/>
      <c r="CD2888" s="56"/>
      <c r="CE2888" s="56"/>
      <c r="CF2888" s="56"/>
      <c r="CG2888" s="56"/>
      <c r="CH2888" s="56"/>
      <c r="CI2888" s="56"/>
      <c r="CJ2888" s="56"/>
      <c r="CK2888" s="56"/>
      <c r="CL2888" s="56"/>
      <c r="CM2888" s="56"/>
      <c r="CN2888" s="56"/>
      <c r="CO2888" s="56"/>
      <c r="CP2888" s="56"/>
      <c r="CQ2888" s="56"/>
      <c r="CR2888" s="56"/>
      <c r="CS2888" s="56"/>
      <c r="CT2888" s="56"/>
      <c r="CU2888" s="56"/>
      <c r="CV2888" s="56"/>
      <c r="CW2888" s="56"/>
      <c r="CX2888" s="56"/>
      <c r="CY2888" s="56"/>
      <c r="CZ2888" s="56"/>
    </row>
    <row r="2889" spans="27:104" s="5" customFormat="1" x14ac:dyDescent="0.25">
      <c r="AA2889" s="56"/>
      <c r="AB2889" s="56"/>
      <c r="AC2889" s="56"/>
      <c r="AD2889" s="56"/>
      <c r="AE2889" s="56"/>
      <c r="AF2889" s="56"/>
      <c r="AG2889" s="56"/>
      <c r="AH2889" s="56"/>
      <c r="AI2889" s="56"/>
      <c r="AJ2889" s="56"/>
      <c r="AK2889" s="56"/>
      <c r="AL2889" s="56"/>
      <c r="AM2889" s="56"/>
      <c r="AN2889" s="56"/>
      <c r="AO2889" s="56"/>
      <c r="AP2889" s="56"/>
      <c r="AQ2889" s="56"/>
      <c r="AR2889" s="56"/>
      <c r="AS2889" s="56"/>
      <c r="AT2889" s="56"/>
      <c r="AU2889" s="56"/>
      <c r="AV2889" s="56"/>
      <c r="AW2889" s="56"/>
      <c r="AX2889" s="56"/>
      <c r="AY2889" s="56"/>
      <c r="AZ2889" s="56"/>
      <c r="BA2889" s="56"/>
      <c r="BB2889" s="16"/>
      <c r="BC2889" s="56"/>
      <c r="BD2889" s="56"/>
      <c r="BE2889" s="56"/>
      <c r="BF2889" s="56"/>
      <c r="BG2889" s="56"/>
      <c r="BH2889" s="56"/>
      <c r="BI2889" s="56"/>
      <c r="BJ2889" s="56"/>
      <c r="BK2889" s="56"/>
      <c r="BL2889" s="56"/>
      <c r="BM2889" s="56"/>
      <c r="BN2889" s="56"/>
      <c r="BO2889" s="56"/>
      <c r="BP2889" s="56"/>
      <c r="BQ2889" s="56"/>
      <c r="BR2889" s="56"/>
      <c r="BS2889" s="56"/>
      <c r="BT2889" s="56"/>
      <c r="BU2889" s="56"/>
      <c r="BV2889" s="56"/>
      <c r="BW2889" s="56"/>
      <c r="BX2889" s="56"/>
      <c r="BY2889" s="56"/>
      <c r="BZ2889" s="56"/>
      <c r="CA2889" s="56"/>
      <c r="CB2889" s="56"/>
      <c r="CC2889" s="56"/>
      <c r="CD2889" s="56"/>
      <c r="CE2889" s="56"/>
      <c r="CF2889" s="56"/>
      <c r="CG2889" s="56"/>
      <c r="CH2889" s="56"/>
      <c r="CI2889" s="56"/>
      <c r="CJ2889" s="56"/>
      <c r="CK2889" s="56"/>
      <c r="CL2889" s="56"/>
      <c r="CM2889" s="56"/>
      <c r="CN2889" s="56"/>
      <c r="CO2889" s="56"/>
      <c r="CP2889" s="56"/>
      <c r="CQ2889" s="56"/>
      <c r="CR2889" s="56"/>
      <c r="CS2889" s="56"/>
      <c r="CT2889" s="56"/>
      <c r="CU2889" s="56"/>
      <c r="CV2889" s="56"/>
      <c r="CW2889" s="56"/>
      <c r="CX2889" s="56"/>
      <c r="CY2889" s="56"/>
      <c r="CZ2889" s="56"/>
    </row>
    <row r="2890" spans="27:104" s="5" customFormat="1" x14ac:dyDescent="0.25">
      <c r="AA2890" s="56"/>
      <c r="AB2890" s="56"/>
      <c r="AC2890" s="56"/>
      <c r="AD2890" s="56"/>
      <c r="AE2890" s="56"/>
      <c r="AF2890" s="56"/>
      <c r="AG2890" s="56"/>
      <c r="AH2890" s="56"/>
      <c r="AI2890" s="56"/>
      <c r="AJ2890" s="56"/>
      <c r="AK2890" s="56"/>
      <c r="AL2890" s="56"/>
      <c r="AM2890" s="56"/>
      <c r="AN2890" s="56"/>
      <c r="AO2890" s="56"/>
      <c r="AP2890" s="56"/>
      <c r="AQ2890" s="56"/>
      <c r="AR2890" s="56"/>
      <c r="AS2890" s="56"/>
      <c r="AT2890" s="56"/>
      <c r="AU2890" s="56"/>
      <c r="AV2890" s="56"/>
      <c r="AW2890" s="56"/>
      <c r="AX2890" s="56"/>
      <c r="AY2890" s="56"/>
      <c r="AZ2890" s="56"/>
      <c r="BA2890" s="56"/>
      <c r="BB2890" s="16"/>
      <c r="BC2890" s="56"/>
      <c r="BD2890" s="56"/>
      <c r="BE2890" s="56"/>
      <c r="BF2890" s="56"/>
      <c r="BG2890" s="56"/>
      <c r="BH2890" s="56"/>
      <c r="BI2890" s="56"/>
      <c r="BJ2890" s="56"/>
      <c r="BK2890" s="56"/>
      <c r="BL2890" s="56"/>
      <c r="BM2890" s="56"/>
      <c r="BN2890" s="56"/>
      <c r="BO2890" s="56"/>
      <c r="BP2890" s="56"/>
      <c r="BQ2890" s="56"/>
      <c r="BR2890" s="56"/>
      <c r="BS2890" s="56"/>
      <c r="BT2890" s="56"/>
      <c r="BU2890" s="56"/>
      <c r="BV2890" s="56"/>
      <c r="BW2890" s="56"/>
      <c r="BX2890" s="56"/>
      <c r="BY2890" s="56"/>
      <c r="BZ2890" s="56"/>
      <c r="CA2890" s="56"/>
      <c r="CB2890" s="56"/>
      <c r="CC2890" s="56"/>
      <c r="CD2890" s="56"/>
      <c r="CE2890" s="56"/>
      <c r="CF2890" s="56"/>
      <c r="CG2890" s="56"/>
      <c r="CH2890" s="56"/>
      <c r="CI2890" s="56"/>
      <c r="CJ2890" s="56"/>
      <c r="CK2890" s="56"/>
      <c r="CL2890" s="56"/>
      <c r="CM2890" s="56"/>
      <c r="CN2890" s="56"/>
      <c r="CO2890" s="56"/>
      <c r="CP2890" s="56"/>
      <c r="CQ2890" s="56"/>
      <c r="CR2890" s="56"/>
      <c r="CS2890" s="56"/>
      <c r="CT2890" s="56"/>
      <c r="CU2890" s="56"/>
      <c r="CV2890" s="56"/>
      <c r="CW2890" s="56"/>
      <c r="CX2890" s="56"/>
      <c r="CY2890" s="56"/>
      <c r="CZ2890" s="56"/>
    </row>
    <row r="2891" spans="27:104" s="5" customFormat="1" x14ac:dyDescent="0.25">
      <c r="AA2891" s="56"/>
      <c r="AB2891" s="56"/>
      <c r="AC2891" s="56"/>
      <c r="AD2891" s="56"/>
      <c r="AE2891" s="56"/>
      <c r="AF2891" s="56"/>
      <c r="AG2891" s="56"/>
      <c r="AH2891" s="56"/>
      <c r="AI2891" s="56"/>
      <c r="AJ2891" s="56"/>
      <c r="AK2891" s="56"/>
      <c r="AL2891" s="56"/>
      <c r="AM2891" s="56"/>
      <c r="AN2891" s="56"/>
      <c r="AO2891" s="56"/>
      <c r="AP2891" s="56"/>
      <c r="AQ2891" s="56"/>
      <c r="AR2891" s="56"/>
      <c r="AS2891" s="56"/>
      <c r="AT2891" s="56"/>
      <c r="AU2891" s="56"/>
      <c r="AV2891" s="56"/>
      <c r="AW2891" s="56"/>
      <c r="AX2891" s="56"/>
      <c r="AY2891" s="56"/>
      <c r="AZ2891" s="56"/>
      <c r="BA2891" s="56"/>
      <c r="BB2891" s="16"/>
      <c r="BC2891" s="56"/>
      <c r="BD2891" s="56"/>
      <c r="BE2891" s="56"/>
      <c r="BF2891" s="56"/>
      <c r="BG2891" s="56"/>
      <c r="BH2891" s="56"/>
      <c r="BI2891" s="56"/>
      <c r="BJ2891" s="56"/>
      <c r="BK2891" s="56"/>
      <c r="BL2891" s="56"/>
      <c r="BM2891" s="56"/>
      <c r="BN2891" s="56"/>
      <c r="BO2891" s="56"/>
      <c r="BP2891" s="56"/>
      <c r="BQ2891" s="56"/>
      <c r="BR2891" s="56"/>
      <c r="BS2891" s="56"/>
      <c r="BT2891" s="56"/>
      <c r="BU2891" s="56"/>
      <c r="BV2891" s="56"/>
      <c r="BW2891" s="56"/>
      <c r="BX2891" s="56"/>
      <c r="BY2891" s="56"/>
      <c r="BZ2891" s="56"/>
      <c r="CA2891" s="56"/>
      <c r="CB2891" s="56"/>
      <c r="CC2891" s="56"/>
      <c r="CD2891" s="56"/>
      <c r="CE2891" s="56"/>
      <c r="CF2891" s="56"/>
      <c r="CG2891" s="56"/>
      <c r="CH2891" s="56"/>
      <c r="CI2891" s="56"/>
      <c r="CJ2891" s="56"/>
      <c r="CK2891" s="56"/>
      <c r="CL2891" s="56"/>
      <c r="CM2891" s="56"/>
      <c r="CN2891" s="56"/>
      <c r="CO2891" s="56"/>
      <c r="CP2891" s="56"/>
      <c r="CQ2891" s="56"/>
      <c r="CR2891" s="56"/>
      <c r="CS2891" s="56"/>
      <c r="CT2891" s="56"/>
      <c r="CU2891" s="56"/>
      <c r="CV2891" s="56"/>
      <c r="CW2891" s="56"/>
      <c r="CX2891" s="56"/>
      <c r="CY2891" s="56"/>
      <c r="CZ2891" s="56"/>
    </row>
    <row r="2892" spans="27:104" s="5" customFormat="1" x14ac:dyDescent="0.25">
      <c r="AA2892" s="56"/>
      <c r="AB2892" s="56"/>
      <c r="AC2892" s="56"/>
      <c r="AD2892" s="56"/>
      <c r="AE2892" s="56"/>
      <c r="AF2892" s="56"/>
      <c r="AG2892" s="56"/>
      <c r="AH2892" s="56"/>
      <c r="AI2892" s="56"/>
      <c r="AJ2892" s="56"/>
      <c r="AK2892" s="56"/>
      <c r="AL2892" s="56"/>
      <c r="AM2892" s="56"/>
      <c r="AN2892" s="56"/>
      <c r="AO2892" s="56"/>
      <c r="AP2892" s="56"/>
      <c r="AQ2892" s="56"/>
      <c r="AR2892" s="56"/>
      <c r="AS2892" s="56"/>
      <c r="AT2892" s="56"/>
      <c r="AU2892" s="56"/>
      <c r="AV2892" s="56"/>
      <c r="AW2892" s="56"/>
      <c r="AX2892" s="56"/>
      <c r="AY2892" s="56"/>
      <c r="AZ2892" s="56"/>
      <c r="BA2892" s="56"/>
      <c r="BB2892" s="16"/>
      <c r="BC2892" s="56"/>
      <c r="BD2892" s="56"/>
      <c r="BE2892" s="56"/>
      <c r="BF2892" s="56"/>
      <c r="BG2892" s="56"/>
      <c r="BH2892" s="56"/>
      <c r="BI2892" s="56"/>
      <c r="BJ2892" s="56"/>
      <c r="BK2892" s="56"/>
      <c r="BL2892" s="56"/>
      <c r="BM2892" s="56"/>
      <c r="BN2892" s="56"/>
      <c r="BO2892" s="56"/>
      <c r="BP2892" s="56"/>
      <c r="BQ2892" s="56"/>
      <c r="BR2892" s="56"/>
      <c r="BS2892" s="56"/>
      <c r="BT2892" s="56"/>
      <c r="BU2892" s="56"/>
      <c r="BV2892" s="56"/>
      <c r="BW2892" s="56"/>
      <c r="BX2892" s="56"/>
      <c r="BY2892" s="56"/>
      <c r="BZ2892" s="56"/>
      <c r="CA2892" s="56"/>
      <c r="CB2892" s="56"/>
      <c r="CC2892" s="56"/>
      <c r="CD2892" s="56"/>
      <c r="CE2892" s="56"/>
      <c r="CF2892" s="56"/>
      <c r="CG2892" s="56"/>
      <c r="CH2892" s="56"/>
      <c r="CI2892" s="56"/>
      <c r="CJ2892" s="56"/>
      <c r="CK2892" s="56"/>
      <c r="CL2892" s="56"/>
      <c r="CM2892" s="56"/>
      <c r="CN2892" s="56"/>
      <c r="CO2892" s="56"/>
      <c r="CP2892" s="56"/>
      <c r="CQ2892" s="56"/>
      <c r="CR2892" s="56"/>
      <c r="CS2892" s="56"/>
      <c r="CT2892" s="56"/>
      <c r="CU2892" s="56"/>
      <c r="CV2892" s="56"/>
      <c r="CW2892" s="56"/>
      <c r="CX2892" s="56"/>
      <c r="CY2892" s="56"/>
      <c r="CZ2892" s="56"/>
    </row>
    <row r="2893" spans="27:104" s="5" customFormat="1" x14ac:dyDescent="0.25">
      <c r="AA2893" s="56"/>
      <c r="AB2893" s="56"/>
      <c r="AC2893" s="56"/>
      <c r="AD2893" s="56"/>
      <c r="AE2893" s="56"/>
      <c r="AF2893" s="56"/>
      <c r="AG2893" s="56"/>
      <c r="AH2893" s="56"/>
      <c r="AI2893" s="56"/>
      <c r="AJ2893" s="56"/>
      <c r="AK2893" s="56"/>
      <c r="AL2893" s="56"/>
      <c r="AM2893" s="56"/>
      <c r="AN2893" s="56"/>
      <c r="AO2893" s="56"/>
      <c r="AP2893" s="56"/>
      <c r="AQ2893" s="56"/>
      <c r="AR2893" s="56"/>
      <c r="AS2893" s="56"/>
      <c r="AT2893" s="56"/>
      <c r="AU2893" s="56"/>
      <c r="AV2893" s="56"/>
      <c r="AW2893" s="56"/>
      <c r="AX2893" s="56"/>
      <c r="AY2893" s="56"/>
      <c r="AZ2893" s="56"/>
      <c r="BA2893" s="56"/>
      <c r="BB2893" s="16"/>
      <c r="BC2893" s="56"/>
      <c r="BD2893" s="56"/>
      <c r="BE2893" s="56"/>
      <c r="BF2893" s="56"/>
      <c r="BG2893" s="56"/>
      <c r="BH2893" s="56"/>
      <c r="BI2893" s="56"/>
      <c r="BJ2893" s="56"/>
      <c r="BK2893" s="56"/>
      <c r="BL2893" s="56"/>
      <c r="BM2893" s="56"/>
      <c r="BN2893" s="56"/>
      <c r="BO2893" s="56"/>
      <c r="BP2893" s="56"/>
      <c r="BQ2893" s="56"/>
      <c r="BR2893" s="56"/>
      <c r="BS2893" s="56"/>
      <c r="BT2893" s="56"/>
      <c r="BU2893" s="56"/>
      <c r="BV2893" s="56"/>
      <c r="BW2893" s="56"/>
      <c r="BX2893" s="56"/>
      <c r="BY2893" s="56"/>
      <c r="BZ2893" s="56"/>
      <c r="CA2893" s="56"/>
      <c r="CB2893" s="56"/>
      <c r="CC2893" s="56"/>
      <c r="CD2893" s="56"/>
      <c r="CE2893" s="56"/>
      <c r="CF2893" s="56"/>
      <c r="CG2893" s="56"/>
      <c r="CH2893" s="56"/>
      <c r="CI2893" s="56"/>
      <c r="CJ2893" s="56"/>
      <c r="CK2893" s="56"/>
      <c r="CL2893" s="56"/>
      <c r="CM2893" s="56"/>
      <c r="CN2893" s="56"/>
      <c r="CO2893" s="56"/>
      <c r="CP2893" s="56"/>
      <c r="CQ2893" s="56"/>
      <c r="CR2893" s="56"/>
      <c r="CS2893" s="56"/>
      <c r="CT2893" s="56"/>
      <c r="CU2893" s="56"/>
      <c r="CV2893" s="56"/>
      <c r="CW2893" s="56"/>
      <c r="CX2893" s="56"/>
      <c r="CY2893" s="56"/>
      <c r="CZ2893" s="56"/>
    </row>
    <row r="2894" spans="27:104" s="5" customFormat="1" x14ac:dyDescent="0.25">
      <c r="AA2894" s="56"/>
      <c r="AB2894" s="56"/>
      <c r="AC2894" s="56"/>
      <c r="AD2894" s="56"/>
      <c r="AE2894" s="56"/>
      <c r="AF2894" s="56"/>
      <c r="AG2894" s="56"/>
      <c r="AH2894" s="56"/>
      <c r="AI2894" s="56"/>
      <c r="AJ2894" s="56"/>
      <c r="AK2894" s="56"/>
      <c r="AL2894" s="56"/>
      <c r="AM2894" s="56"/>
      <c r="AN2894" s="56"/>
      <c r="AO2894" s="56"/>
      <c r="AP2894" s="56"/>
      <c r="AQ2894" s="56"/>
      <c r="AR2894" s="56"/>
      <c r="AS2894" s="56"/>
      <c r="AT2894" s="56"/>
      <c r="AU2894" s="56"/>
      <c r="AV2894" s="56"/>
      <c r="AW2894" s="56"/>
      <c r="AX2894" s="56"/>
      <c r="AY2894" s="56"/>
      <c r="AZ2894" s="56"/>
      <c r="BA2894" s="56"/>
      <c r="BB2894" s="16"/>
      <c r="BC2894" s="56"/>
      <c r="BD2894" s="56"/>
      <c r="BE2894" s="56"/>
      <c r="BF2894" s="56"/>
      <c r="BG2894" s="56"/>
      <c r="BH2894" s="56"/>
      <c r="BI2894" s="56"/>
      <c r="BJ2894" s="56"/>
      <c r="BK2894" s="56"/>
      <c r="BL2894" s="56"/>
      <c r="BM2894" s="56"/>
      <c r="BN2894" s="56"/>
      <c r="BO2894" s="56"/>
      <c r="BP2894" s="56"/>
      <c r="BQ2894" s="56"/>
      <c r="BR2894" s="56"/>
      <c r="BS2894" s="56"/>
      <c r="BT2894" s="56"/>
      <c r="BU2894" s="56"/>
      <c r="BV2894" s="56"/>
      <c r="BW2894" s="56"/>
      <c r="BX2894" s="56"/>
      <c r="BY2894" s="56"/>
      <c r="BZ2894" s="56"/>
      <c r="CA2894" s="56"/>
      <c r="CB2894" s="56"/>
      <c r="CC2894" s="56"/>
      <c r="CD2894" s="56"/>
      <c r="CE2894" s="56"/>
      <c r="CF2894" s="56"/>
      <c r="CG2894" s="56"/>
      <c r="CH2894" s="56"/>
      <c r="CI2894" s="56"/>
      <c r="CJ2894" s="56"/>
      <c r="CK2894" s="56"/>
      <c r="CL2894" s="56"/>
      <c r="CM2894" s="56"/>
      <c r="CN2894" s="56"/>
      <c r="CO2894" s="56"/>
      <c r="CP2894" s="56"/>
      <c r="CQ2894" s="56"/>
      <c r="CR2894" s="56"/>
      <c r="CS2894" s="56"/>
      <c r="CT2894" s="56"/>
      <c r="CU2894" s="56"/>
      <c r="CV2894" s="56"/>
      <c r="CW2894" s="56"/>
      <c r="CX2894" s="56"/>
      <c r="CY2894" s="56"/>
      <c r="CZ2894" s="56"/>
    </row>
    <row r="2895" spans="27:104" s="5" customFormat="1" x14ac:dyDescent="0.25">
      <c r="AA2895" s="56"/>
      <c r="AB2895" s="56"/>
      <c r="AC2895" s="56"/>
      <c r="AD2895" s="56"/>
      <c r="AE2895" s="56"/>
      <c r="AF2895" s="56"/>
      <c r="AG2895" s="56"/>
      <c r="AH2895" s="56"/>
      <c r="AI2895" s="56"/>
      <c r="AJ2895" s="56"/>
      <c r="AK2895" s="56"/>
      <c r="AL2895" s="56"/>
      <c r="AM2895" s="56"/>
      <c r="AN2895" s="56"/>
      <c r="AO2895" s="56"/>
      <c r="AP2895" s="56"/>
      <c r="AQ2895" s="56"/>
      <c r="AR2895" s="56"/>
      <c r="AS2895" s="56"/>
      <c r="AT2895" s="56"/>
      <c r="AU2895" s="56"/>
      <c r="AV2895" s="56"/>
      <c r="AW2895" s="56"/>
      <c r="AX2895" s="56"/>
      <c r="AY2895" s="56"/>
      <c r="AZ2895" s="56"/>
      <c r="BA2895" s="56"/>
      <c r="BB2895" s="16"/>
      <c r="BC2895" s="56"/>
      <c r="BD2895" s="56"/>
      <c r="BE2895" s="56"/>
      <c r="BF2895" s="56"/>
      <c r="BG2895" s="56"/>
      <c r="BH2895" s="56"/>
      <c r="BI2895" s="56"/>
      <c r="BJ2895" s="56"/>
      <c r="BK2895" s="56"/>
      <c r="BL2895" s="56"/>
      <c r="BM2895" s="56"/>
      <c r="BN2895" s="56"/>
      <c r="BO2895" s="56"/>
      <c r="BP2895" s="56"/>
      <c r="BQ2895" s="56"/>
      <c r="BR2895" s="56"/>
      <c r="BS2895" s="56"/>
      <c r="BT2895" s="56"/>
      <c r="BU2895" s="56"/>
      <c r="BV2895" s="56"/>
      <c r="BW2895" s="56"/>
      <c r="BX2895" s="56"/>
      <c r="BY2895" s="56"/>
      <c r="BZ2895" s="56"/>
      <c r="CA2895" s="56"/>
      <c r="CB2895" s="56"/>
      <c r="CC2895" s="56"/>
      <c r="CD2895" s="56"/>
      <c r="CE2895" s="56"/>
      <c r="CF2895" s="56"/>
      <c r="CG2895" s="56"/>
      <c r="CH2895" s="56"/>
      <c r="CI2895" s="56"/>
      <c r="CJ2895" s="56"/>
      <c r="CK2895" s="56"/>
      <c r="CL2895" s="56"/>
      <c r="CM2895" s="56"/>
      <c r="CN2895" s="56"/>
      <c r="CO2895" s="56"/>
      <c r="CP2895" s="56"/>
      <c r="CQ2895" s="56"/>
      <c r="CR2895" s="56"/>
      <c r="CS2895" s="56"/>
      <c r="CT2895" s="56"/>
      <c r="CU2895" s="56"/>
      <c r="CV2895" s="56"/>
      <c r="CW2895" s="56"/>
      <c r="CX2895" s="56"/>
      <c r="CY2895" s="56"/>
      <c r="CZ2895" s="56"/>
    </row>
    <row r="2896" spans="27:104" s="5" customFormat="1" x14ac:dyDescent="0.25">
      <c r="AA2896" s="56"/>
      <c r="AB2896" s="56"/>
      <c r="AC2896" s="56"/>
      <c r="AD2896" s="56"/>
      <c r="AE2896" s="56"/>
      <c r="AF2896" s="56"/>
      <c r="AG2896" s="56"/>
      <c r="AH2896" s="56"/>
      <c r="AI2896" s="56"/>
      <c r="AJ2896" s="56"/>
      <c r="AK2896" s="56"/>
      <c r="AL2896" s="56"/>
      <c r="AM2896" s="56"/>
      <c r="AN2896" s="56"/>
      <c r="AO2896" s="56"/>
      <c r="AP2896" s="56"/>
      <c r="AQ2896" s="56"/>
      <c r="AR2896" s="56"/>
      <c r="AS2896" s="56"/>
      <c r="AT2896" s="56"/>
      <c r="AU2896" s="56"/>
      <c r="AV2896" s="56"/>
      <c r="AW2896" s="56"/>
      <c r="AX2896" s="56"/>
      <c r="AY2896" s="56"/>
      <c r="AZ2896" s="56"/>
      <c r="BA2896" s="56"/>
      <c r="BB2896" s="16"/>
      <c r="BC2896" s="56"/>
      <c r="BD2896" s="56"/>
      <c r="BE2896" s="56"/>
      <c r="BF2896" s="56"/>
      <c r="BG2896" s="56"/>
      <c r="BH2896" s="56"/>
      <c r="BI2896" s="56"/>
      <c r="BJ2896" s="56"/>
      <c r="BK2896" s="56"/>
      <c r="BL2896" s="56"/>
      <c r="BM2896" s="56"/>
      <c r="BN2896" s="56"/>
      <c r="BO2896" s="56"/>
      <c r="BP2896" s="56"/>
      <c r="BQ2896" s="56"/>
      <c r="BR2896" s="56"/>
      <c r="BS2896" s="56"/>
      <c r="BT2896" s="56"/>
      <c r="BU2896" s="56"/>
      <c r="BV2896" s="56"/>
      <c r="BW2896" s="56"/>
      <c r="BX2896" s="56"/>
      <c r="BY2896" s="56"/>
      <c r="BZ2896" s="56"/>
      <c r="CA2896" s="56"/>
      <c r="CB2896" s="56"/>
      <c r="CC2896" s="56"/>
      <c r="CD2896" s="56"/>
      <c r="CE2896" s="56"/>
      <c r="CF2896" s="56"/>
      <c r="CG2896" s="56"/>
      <c r="CH2896" s="56"/>
      <c r="CI2896" s="56"/>
      <c r="CJ2896" s="56"/>
      <c r="CK2896" s="56"/>
      <c r="CL2896" s="56"/>
      <c r="CM2896" s="56"/>
      <c r="CN2896" s="56"/>
      <c r="CO2896" s="56"/>
      <c r="CP2896" s="56"/>
      <c r="CQ2896" s="56"/>
      <c r="CR2896" s="56"/>
      <c r="CS2896" s="56"/>
      <c r="CT2896" s="56"/>
      <c r="CU2896" s="56"/>
      <c r="CV2896" s="56"/>
      <c r="CW2896" s="56"/>
      <c r="CX2896" s="56"/>
      <c r="CY2896" s="56"/>
      <c r="CZ2896" s="56"/>
    </row>
    <row r="2897" spans="27:104" s="5" customFormat="1" x14ac:dyDescent="0.25">
      <c r="AA2897" s="56"/>
      <c r="AB2897" s="56"/>
      <c r="AC2897" s="56"/>
      <c r="AD2897" s="56"/>
      <c r="AE2897" s="56"/>
      <c r="AF2897" s="56"/>
      <c r="AG2897" s="56"/>
      <c r="AH2897" s="56"/>
      <c r="AI2897" s="56"/>
      <c r="AJ2897" s="56"/>
      <c r="AK2897" s="56"/>
      <c r="AL2897" s="56"/>
      <c r="AM2897" s="56"/>
      <c r="AN2897" s="56"/>
      <c r="AO2897" s="56"/>
      <c r="AP2897" s="56"/>
      <c r="AQ2897" s="56"/>
      <c r="AR2897" s="56"/>
      <c r="AS2897" s="56"/>
      <c r="AT2897" s="56"/>
      <c r="AU2897" s="56"/>
      <c r="AV2897" s="56"/>
      <c r="AW2897" s="56"/>
      <c r="AX2897" s="56"/>
      <c r="AY2897" s="56"/>
      <c r="AZ2897" s="56"/>
      <c r="BA2897" s="56"/>
      <c r="BB2897" s="16"/>
      <c r="BC2897" s="56"/>
      <c r="BD2897" s="56"/>
      <c r="BE2897" s="56"/>
      <c r="BF2897" s="56"/>
      <c r="BG2897" s="56"/>
      <c r="BH2897" s="56"/>
      <c r="BI2897" s="56"/>
      <c r="BJ2897" s="56"/>
      <c r="BK2897" s="56"/>
      <c r="BL2897" s="56"/>
      <c r="BM2897" s="56"/>
      <c r="BN2897" s="56"/>
      <c r="BO2897" s="56"/>
      <c r="BP2897" s="56"/>
      <c r="BQ2897" s="56"/>
      <c r="BR2897" s="56"/>
      <c r="BS2897" s="56"/>
      <c r="BT2897" s="56"/>
      <c r="BU2897" s="56"/>
      <c r="BV2897" s="56"/>
      <c r="BW2897" s="56"/>
      <c r="BX2897" s="56"/>
      <c r="BY2897" s="56"/>
      <c r="BZ2897" s="56"/>
      <c r="CA2897" s="56"/>
      <c r="CB2897" s="56"/>
      <c r="CC2897" s="56"/>
      <c r="CD2897" s="56"/>
      <c r="CE2897" s="56"/>
      <c r="CF2897" s="56"/>
      <c r="CG2897" s="56"/>
      <c r="CH2897" s="56"/>
      <c r="CI2897" s="56"/>
      <c r="CJ2897" s="56"/>
      <c r="CK2897" s="56"/>
      <c r="CL2897" s="56"/>
      <c r="CM2897" s="56"/>
      <c r="CN2897" s="56"/>
      <c r="CO2897" s="56"/>
      <c r="CP2897" s="56"/>
      <c r="CQ2897" s="56"/>
      <c r="CR2897" s="56"/>
      <c r="CS2897" s="56"/>
      <c r="CT2897" s="56"/>
      <c r="CU2897" s="56"/>
      <c r="CV2897" s="56"/>
      <c r="CW2897" s="56"/>
      <c r="CX2897" s="56"/>
      <c r="CY2897" s="56"/>
      <c r="CZ2897" s="56"/>
    </row>
    <row r="2898" spans="27:104" s="5" customFormat="1" x14ac:dyDescent="0.25">
      <c r="AA2898" s="56"/>
      <c r="AB2898" s="56"/>
      <c r="AC2898" s="56"/>
      <c r="AD2898" s="56"/>
      <c r="AE2898" s="56"/>
      <c r="AF2898" s="56"/>
      <c r="AG2898" s="56"/>
      <c r="AH2898" s="56"/>
      <c r="AI2898" s="56"/>
      <c r="AJ2898" s="56"/>
      <c r="AK2898" s="56"/>
      <c r="AL2898" s="56"/>
      <c r="AM2898" s="56"/>
      <c r="AN2898" s="56"/>
      <c r="AO2898" s="56"/>
      <c r="AP2898" s="56"/>
      <c r="AQ2898" s="56"/>
      <c r="AR2898" s="56"/>
      <c r="AS2898" s="56"/>
      <c r="AT2898" s="56"/>
      <c r="AU2898" s="56"/>
      <c r="AV2898" s="56"/>
      <c r="AW2898" s="56"/>
      <c r="AX2898" s="56"/>
      <c r="AY2898" s="56"/>
      <c r="AZ2898" s="56"/>
      <c r="BA2898" s="56"/>
      <c r="BB2898" s="16"/>
      <c r="BC2898" s="56"/>
      <c r="BD2898" s="56"/>
      <c r="BE2898" s="56"/>
      <c r="BF2898" s="56"/>
      <c r="BG2898" s="56"/>
      <c r="BH2898" s="56"/>
      <c r="BI2898" s="56"/>
      <c r="BJ2898" s="56"/>
      <c r="BK2898" s="56"/>
      <c r="BL2898" s="56"/>
      <c r="BM2898" s="56"/>
      <c r="BN2898" s="56"/>
      <c r="BO2898" s="56"/>
      <c r="BP2898" s="56"/>
      <c r="BQ2898" s="56"/>
      <c r="BR2898" s="56"/>
      <c r="BS2898" s="56"/>
      <c r="BT2898" s="56"/>
      <c r="BU2898" s="56"/>
      <c r="BV2898" s="56"/>
      <c r="BW2898" s="56"/>
      <c r="BX2898" s="56"/>
      <c r="BY2898" s="56"/>
      <c r="BZ2898" s="56"/>
      <c r="CA2898" s="56"/>
      <c r="CB2898" s="56"/>
      <c r="CC2898" s="56"/>
      <c r="CD2898" s="56"/>
      <c r="CE2898" s="56"/>
      <c r="CF2898" s="56"/>
      <c r="CG2898" s="56"/>
      <c r="CH2898" s="56"/>
      <c r="CI2898" s="56"/>
      <c r="CJ2898" s="56"/>
      <c r="CK2898" s="56"/>
      <c r="CL2898" s="56"/>
      <c r="CM2898" s="56"/>
      <c r="CN2898" s="56"/>
      <c r="CO2898" s="56"/>
      <c r="CP2898" s="56"/>
      <c r="CQ2898" s="56"/>
      <c r="CR2898" s="56"/>
      <c r="CS2898" s="56"/>
      <c r="CT2898" s="56"/>
      <c r="CU2898" s="56"/>
      <c r="CV2898" s="56"/>
      <c r="CW2898" s="56"/>
      <c r="CX2898" s="56"/>
      <c r="CY2898" s="56"/>
      <c r="CZ2898" s="56"/>
    </row>
    <row r="2899" spans="27:104" s="5" customFormat="1" x14ac:dyDescent="0.25">
      <c r="AA2899" s="56"/>
      <c r="AB2899" s="56"/>
      <c r="AC2899" s="56"/>
      <c r="AD2899" s="56"/>
      <c r="AE2899" s="56"/>
      <c r="AF2899" s="56"/>
      <c r="AG2899" s="56"/>
      <c r="AH2899" s="56"/>
      <c r="AI2899" s="56"/>
      <c r="AJ2899" s="56"/>
      <c r="AK2899" s="56"/>
      <c r="AL2899" s="56"/>
      <c r="AM2899" s="56"/>
      <c r="AN2899" s="56"/>
      <c r="AO2899" s="56"/>
      <c r="AP2899" s="56"/>
      <c r="AQ2899" s="56"/>
      <c r="AR2899" s="56"/>
      <c r="AS2899" s="56"/>
      <c r="AT2899" s="56"/>
      <c r="AU2899" s="56"/>
      <c r="AV2899" s="56"/>
      <c r="AW2899" s="56"/>
      <c r="AX2899" s="56"/>
      <c r="AY2899" s="56"/>
      <c r="AZ2899" s="56"/>
      <c r="BA2899" s="56"/>
      <c r="BB2899" s="16"/>
      <c r="BC2899" s="56"/>
      <c r="BD2899" s="56"/>
      <c r="BE2899" s="56"/>
      <c r="BF2899" s="56"/>
      <c r="BG2899" s="56"/>
      <c r="BH2899" s="56"/>
      <c r="BI2899" s="56"/>
      <c r="BJ2899" s="56"/>
      <c r="BK2899" s="56"/>
      <c r="BL2899" s="56"/>
      <c r="BM2899" s="56"/>
      <c r="BN2899" s="56"/>
      <c r="BO2899" s="56"/>
      <c r="BP2899" s="56"/>
      <c r="BQ2899" s="56"/>
      <c r="BR2899" s="56"/>
      <c r="BS2899" s="56"/>
      <c r="BT2899" s="56"/>
      <c r="BU2899" s="56"/>
      <c r="BV2899" s="56"/>
      <c r="BW2899" s="56"/>
      <c r="BX2899" s="56"/>
      <c r="BY2899" s="56"/>
      <c r="BZ2899" s="56"/>
      <c r="CA2899" s="56"/>
      <c r="CB2899" s="56"/>
      <c r="CC2899" s="56"/>
      <c r="CD2899" s="56"/>
      <c r="CE2899" s="56"/>
      <c r="CF2899" s="56"/>
      <c r="CG2899" s="56"/>
      <c r="CH2899" s="56"/>
      <c r="CI2899" s="56"/>
      <c r="CJ2899" s="56"/>
      <c r="CK2899" s="56"/>
      <c r="CL2899" s="56"/>
      <c r="CM2899" s="56"/>
      <c r="CN2899" s="56"/>
      <c r="CO2899" s="56"/>
      <c r="CP2899" s="56"/>
      <c r="CQ2899" s="56"/>
      <c r="CR2899" s="56"/>
      <c r="CS2899" s="56"/>
      <c r="CT2899" s="56"/>
      <c r="CU2899" s="56"/>
      <c r="CV2899" s="56"/>
      <c r="CW2899" s="56"/>
      <c r="CX2899" s="56"/>
      <c r="CY2899" s="56"/>
      <c r="CZ2899" s="56"/>
    </row>
    <row r="2900" spans="27:104" s="5" customFormat="1" x14ac:dyDescent="0.25">
      <c r="AA2900" s="56"/>
      <c r="AB2900" s="56"/>
      <c r="AC2900" s="56"/>
      <c r="AD2900" s="56"/>
      <c r="AE2900" s="56"/>
      <c r="AF2900" s="56"/>
      <c r="AG2900" s="56"/>
      <c r="AH2900" s="56"/>
      <c r="AI2900" s="56"/>
      <c r="AJ2900" s="56"/>
      <c r="AK2900" s="56"/>
      <c r="AL2900" s="56"/>
      <c r="AM2900" s="56"/>
      <c r="AN2900" s="56"/>
      <c r="AO2900" s="56"/>
      <c r="AP2900" s="56"/>
      <c r="AQ2900" s="56"/>
      <c r="AR2900" s="56"/>
      <c r="AS2900" s="56"/>
      <c r="AT2900" s="56"/>
      <c r="AU2900" s="56"/>
      <c r="AV2900" s="56"/>
      <c r="AW2900" s="56"/>
      <c r="AX2900" s="56"/>
      <c r="AY2900" s="56"/>
      <c r="AZ2900" s="56"/>
      <c r="BA2900" s="56"/>
      <c r="BB2900" s="16"/>
      <c r="BC2900" s="56"/>
      <c r="BD2900" s="56"/>
      <c r="BE2900" s="56"/>
      <c r="BF2900" s="56"/>
      <c r="BG2900" s="56"/>
      <c r="BH2900" s="56"/>
      <c r="BI2900" s="56"/>
      <c r="BJ2900" s="56"/>
      <c r="BK2900" s="56"/>
      <c r="BL2900" s="56"/>
      <c r="BM2900" s="56"/>
      <c r="BN2900" s="56"/>
      <c r="BO2900" s="56"/>
      <c r="BP2900" s="56"/>
      <c r="BQ2900" s="56"/>
      <c r="BR2900" s="56"/>
      <c r="BS2900" s="56"/>
      <c r="BT2900" s="56"/>
      <c r="BU2900" s="56"/>
      <c r="BV2900" s="56"/>
      <c r="BW2900" s="56"/>
      <c r="BX2900" s="56"/>
      <c r="BY2900" s="56"/>
      <c r="BZ2900" s="56"/>
      <c r="CA2900" s="56"/>
      <c r="CB2900" s="56"/>
      <c r="CC2900" s="56"/>
      <c r="CD2900" s="56"/>
      <c r="CE2900" s="56"/>
      <c r="CF2900" s="56"/>
      <c r="CG2900" s="56"/>
      <c r="CH2900" s="56"/>
      <c r="CI2900" s="56"/>
      <c r="CJ2900" s="56"/>
      <c r="CK2900" s="56"/>
      <c r="CL2900" s="56"/>
      <c r="CM2900" s="56"/>
      <c r="CN2900" s="56"/>
      <c r="CO2900" s="56"/>
      <c r="CP2900" s="56"/>
      <c r="CQ2900" s="56"/>
      <c r="CR2900" s="56"/>
      <c r="CS2900" s="56"/>
      <c r="CT2900" s="56"/>
      <c r="CU2900" s="56"/>
      <c r="CV2900" s="56"/>
      <c r="CW2900" s="56"/>
      <c r="CX2900" s="56"/>
      <c r="CY2900" s="56"/>
      <c r="CZ2900" s="56"/>
    </row>
    <row r="2901" spans="27:104" s="5" customFormat="1" x14ac:dyDescent="0.25">
      <c r="AA2901" s="56"/>
      <c r="AB2901" s="56"/>
      <c r="AC2901" s="56"/>
      <c r="AD2901" s="56"/>
      <c r="AE2901" s="56"/>
      <c r="AF2901" s="56"/>
      <c r="AG2901" s="56"/>
      <c r="AH2901" s="56"/>
      <c r="AI2901" s="56"/>
      <c r="AJ2901" s="56"/>
      <c r="AK2901" s="56"/>
      <c r="AL2901" s="56"/>
      <c r="AM2901" s="56"/>
      <c r="AN2901" s="56"/>
      <c r="AO2901" s="56"/>
      <c r="AP2901" s="56"/>
      <c r="AQ2901" s="56"/>
      <c r="AR2901" s="56"/>
      <c r="AS2901" s="56"/>
      <c r="AT2901" s="56"/>
      <c r="AU2901" s="56"/>
      <c r="AV2901" s="56"/>
      <c r="AW2901" s="56"/>
      <c r="AX2901" s="56"/>
      <c r="AY2901" s="56"/>
      <c r="AZ2901" s="56"/>
      <c r="BA2901" s="56"/>
      <c r="BB2901" s="16"/>
      <c r="BC2901" s="56"/>
      <c r="BD2901" s="56"/>
      <c r="BE2901" s="56"/>
      <c r="BF2901" s="56"/>
      <c r="BG2901" s="56"/>
      <c r="BH2901" s="56"/>
      <c r="BI2901" s="56"/>
      <c r="BJ2901" s="56"/>
      <c r="BK2901" s="56"/>
      <c r="BL2901" s="56"/>
      <c r="BM2901" s="56"/>
      <c r="BN2901" s="56"/>
      <c r="BO2901" s="56"/>
      <c r="BP2901" s="56"/>
      <c r="BQ2901" s="56"/>
      <c r="BR2901" s="56"/>
      <c r="BS2901" s="56"/>
      <c r="BT2901" s="56"/>
      <c r="BU2901" s="56"/>
      <c r="BV2901" s="56"/>
      <c r="BW2901" s="56"/>
      <c r="BX2901" s="56"/>
      <c r="BY2901" s="56"/>
      <c r="BZ2901" s="56"/>
      <c r="CA2901" s="56"/>
      <c r="CB2901" s="56"/>
      <c r="CC2901" s="56"/>
      <c r="CD2901" s="56"/>
      <c r="CE2901" s="56"/>
      <c r="CF2901" s="56"/>
      <c r="CG2901" s="56"/>
      <c r="CH2901" s="56"/>
      <c r="CI2901" s="56"/>
      <c r="CJ2901" s="56"/>
      <c r="CK2901" s="56"/>
      <c r="CL2901" s="56"/>
      <c r="CM2901" s="56"/>
      <c r="CN2901" s="56"/>
      <c r="CO2901" s="56"/>
      <c r="CP2901" s="56"/>
      <c r="CQ2901" s="56"/>
      <c r="CR2901" s="56"/>
      <c r="CS2901" s="56"/>
      <c r="CT2901" s="56"/>
      <c r="CU2901" s="56"/>
      <c r="CV2901" s="56"/>
      <c r="CW2901" s="56"/>
      <c r="CX2901" s="56"/>
      <c r="CY2901" s="56"/>
      <c r="CZ2901" s="56"/>
    </row>
    <row r="2902" spans="27:104" s="5" customFormat="1" x14ac:dyDescent="0.25">
      <c r="AA2902" s="56"/>
      <c r="AB2902" s="56"/>
      <c r="AC2902" s="56"/>
      <c r="AD2902" s="56"/>
      <c r="AE2902" s="56"/>
      <c r="AF2902" s="56"/>
      <c r="AG2902" s="56"/>
      <c r="AH2902" s="56"/>
      <c r="AI2902" s="56"/>
      <c r="AJ2902" s="56"/>
      <c r="AK2902" s="56"/>
      <c r="AL2902" s="56"/>
      <c r="AM2902" s="56"/>
      <c r="AN2902" s="56"/>
      <c r="AO2902" s="56"/>
      <c r="AP2902" s="56"/>
      <c r="AQ2902" s="56"/>
      <c r="AR2902" s="56"/>
      <c r="AS2902" s="56"/>
      <c r="AT2902" s="56"/>
      <c r="AU2902" s="56"/>
      <c r="AV2902" s="56"/>
      <c r="AW2902" s="56"/>
      <c r="AX2902" s="56"/>
      <c r="AY2902" s="56"/>
      <c r="AZ2902" s="56"/>
      <c r="BA2902" s="56"/>
      <c r="BB2902" s="16"/>
      <c r="BC2902" s="56"/>
      <c r="BD2902" s="56"/>
      <c r="BE2902" s="56"/>
      <c r="BF2902" s="56"/>
      <c r="BG2902" s="56"/>
      <c r="BH2902" s="56"/>
      <c r="BI2902" s="56"/>
      <c r="BJ2902" s="56"/>
      <c r="BK2902" s="56"/>
      <c r="BL2902" s="56"/>
      <c r="BM2902" s="56"/>
      <c r="BN2902" s="56"/>
      <c r="BO2902" s="56"/>
      <c r="BP2902" s="56"/>
      <c r="BQ2902" s="56"/>
      <c r="BR2902" s="56"/>
      <c r="BS2902" s="56"/>
      <c r="BT2902" s="56"/>
      <c r="BU2902" s="56"/>
      <c r="BV2902" s="56"/>
      <c r="BW2902" s="56"/>
      <c r="BX2902" s="56"/>
      <c r="BY2902" s="56"/>
      <c r="BZ2902" s="56"/>
      <c r="CA2902" s="56"/>
      <c r="CB2902" s="56"/>
      <c r="CC2902" s="56"/>
      <c r="CD2902" s="56"/>
      <c r="CE2902" s="56"/>
      <c r="CF2902" s="56"/>
      <c r="CG2902" s="56"/>
      <c r="CH2902" s="56"/>
      <c r="CI2902" s="56"/>
      <c r="CJ2902" s="56"/>
      <c r="CK2902" s="56"/>
      <c r="CL2902" s="56"/>
      <c r="CM2902" s="56"/>
      <c r="CN2902" s="56"/>
      <c r="CO2902" s="56"/>
      <c r="CP2902" s="56"/>
      <c r="CQ2902" s="56"/>
      <c r="CR2902" s="56"/>
      <c r="CS2902" s="56"/>
      <c r="CT2902" s="56"/>
      <c r="CU2902" s="56"/>
      <c r="CV2902" s="56"/>
      <c r="CW2902" s="56"/>
      <c r="CX2902" s="56"/>
      <c r="CY2902" s="56"/>
      <c r="CZ2902" s="56"/>
    </row>
    <row r="2903" spans="27:104" s="5" customFormat="1" x14ac:dyDescent="0.25">
      <c r="AA2903" s="56"/>
      <c r="AB2903" s="56"/>
      <c r="AC2903" s="56"/>
      <c r="AD2903" s="56"/>
      <c r="AE2903" s="56"/>
      <c r="AF2903" s="56"/>
      <c r="AG2903" s="56"/>
      <c r="AH2903" s="56"/>
      <c r="AI2903" s="56"/>
      <c r="AJ2903" s="56"/>
      <c r="AK2903" s="56"/>
      <c r="AL2903" s="56"/>
      <c r="AM2903" s="56"/>
      <c r="AN2903" s="56"/>
      <c r="AO2903" s="56"/>
      <c r="AP2903" s="56"/>
      <c r="AQ2903" s="56"/>
      <c r="AR2903" s="56"/>
      <c r="AS2903" s="56"/>
      <c r="AT2903" s="56"/>
      <c r="AU2903" s="56"/>
      <c r="AV2903" s="56"/>
      <c r="AW2903" s="56"/>
      <c r="AX2903" s="56"/>
      <c r="AY2903" s="56"/>
      <c r="AZ2903" s="56"/>
      <c r="BA2903" s="56"/>
      <c r="BB2903" s="16"/>
      <c r="BC2903" s="56"/>
      <c r="BD2903" s="56"/>
      <c r="BE2903" s="56"/>
      <c r="BF2903" s="56"/>
      <c r="BG2903" s="56"/>
      <c r="BH2903" s="56"/>
      <c r="BI2903" s="56"/>
      <c r="BJ2903" s="56"/>
      <c r="BK2903" s="56"/>
      <c r="BL2903" s="56"/>
      <c r="BM2903" s="56"/>
      <c r="BN2903" s="56"/>
      <c r="BO2903" s="56"/>
      <c r="BP2903" s="56"/>
      <c r="BQ2903" s="56"/>
      <c r="BR2903" s="56"/>
      <c r="BS2903" s="56"/>
      <c r="BT2903" s="56"/>
      <c r="BU2903" s="56"/>
      <c r="BV2903" s="56"/>
      <c r="BW2903" s="56"/>
      <c r="BX2903" s="56"/>
      <c r="BY2903" s="56"/>
      <c r="BZ2903" s="56"/>
      <c r="CA2903" s="56"/>
      <c r="CB2903" s="56"/>
      <c r="CC2903" s="56"/>
      <c r="CD2903" s="56"/>
      <c r="CE2903" s="56"/>
      <c r="CF2903" s="56"/>
      <c r="CG2903" s="56"/>
      <c r="CH2903" s="56"/>
      <c r="CI2903" s="56"/>
      <c r="CJ2903" s="56"/>
      <c r="CK2903" s="56"/>
      <c r="CL2903" s="56"/>
      <c r="CM2903" s="56"/>
      <c r="CN2903" s="56"/>
      <c r="CO2903" s="56"/>
      <c r="CP2903" s="56"/>
      <c r="CQ2903" s="56"/>
      <c r="CR2903" s="56"/>
      <c r="CS2903" s="56"/>
      <c r="CT2903" s="56"/>
      <c r="CU2903" s="56"/>
      <c r="CV2903" s="56"/>
      <c r="CW2903" s="56"/>
      <c r="CX2903" s="56"/>
      <c r="CY2903" s="56"/>
      <c r="CZ2903" s="56"/>
    </row>
    <row r="2904" spans="27:104" s="5" customFormat="1" x14ac:dyDescent="0.25">
      <c r="AA2904" s="56"/>
      <c r="AB2904" s="56"/>
      <c r="AC2904" s="56"/>
      <c r="AD2904" s="56"/>
      <c r="AE2904" s="56"/>
      <c r="AF2904" s="56"/>
      <c r="AG2904" s="56"/>
      <c r="AH2904" s="56"/>
      <c r="AI2904" s="56"/>
      <c r="AJ2904" s="56"/>
      <c r="AK2904" s="56"/>
      <c r="AL2904" s="56"/>
      <c r="AM2904" s="56"/>
      <c r="AN2904" s="56"/>
      <c r="AO2904" s="56"/>
      <c r="AP2904" s="56"/>
      <c r="AQ2904" s="56"/>
      <c r="AR2904" s="56"/>
      <c r="AS2904" s="56"/>
      <c r="AT2904" s="56"/>
      <c r="AU2904" s="56"/>
      <c r="AV2904" s="56"/>
      <c r="AW2904" s="56"/>
      <c r="AX2904" s="56"/>
      <c r="AY2904" s="56"/>
      <c r="AZ2904" s="56"/>
      <c r="BA2904" s="56"/>
      <c r="BB2904" s="16"/>
      <c r="BC2904" s="56"/>
      <c r="BD2904" s="56"/>
      <c r="BE2904" s="56"/>
      <c r="BF2904" s="56"/>
      <c r="BG2904" s="56"/>
      <c r="BH2904" s="56"/>
      <c r="BI2904" s="56"/>
      <c r="BJ2904" s="56"/>
      <c r="BK2904" s="56"/>
      <c r="BL2904" s="56"/>
      <c r="BM2904" s="56"/>
      <c r="BN2904" s="56"/>
      <c r="BO2904" s="56"/>
      <c r="BP2904" s="56"/>
      <c r="BQ2904" s="56"/>
      <c r="BR2904" s="56"/>
      <c r="BS2904" s="56"/>
      <c r="BT2904" s="56"/>
      <c r="BU2904" s="56"/>
      <c r="BV2904" s="56"/>
      <c r="BW2904" s="56"/>
      <c r="BX2904" s="56"/>
      <c r="BY2904" s="56"/>
      <c r="BZ2904" s="56"/>
      <c r="CA2904" s="56"/>
      <c r="CB2904" s="56"/>
      <c r="CC2904" s="56"/>
      <c r="CD2904" s="56"/>
      <c r="CE2904" s="56"/>
      <c r="CF2904" s="56"/>
      <c r="CG2904" s="56"/>
      <c r="CH2904" s="56"/>
      <c r="CI2904" s="56"/>
      <c r="CJ2904" s="56"/>
      <c r="CK2904" s="56"/>
      <c r="CL2904" s="56"/>
      <c r="CM2904" s="56"/>
      <c r="CN2904" s="56"/>
      <c r="CO2904" s="56"/>
      <c r="CP2904" s="56"/>
      <c r="CQ2904" s="56"/>
      <c r="CR2904" s="56"/>
      <c r="CS2904" s="56"/>
      <c r="CT2904" s="56"/>
      <c r="CU2904" s="56"/>
      <c r="CV2904" s="56"/>
      <c r="CW2904" s="56"/>
      <c r="CX2904" s="56"/>
      <c r="CY2904" s="56"/>
      <c r="CZ2904" s="56"/>
    </row>
    <row r="2905" spans="27:104" s="5" customFormat="1" x14ac:dyDescent="0.25">
      <c r="AA2905" s="56"/>
      <c r="AB2905" s="56"/>
      <c r="AC2905" s="56"/>
      <c r="AD2905" s="56"/>
      <c r="AE2905" s="56"/>
      <c r="AF2905" s="56"/>
      <c r="AG2905" s="56"/>
      <c r="AH2905" s="56"/>
      <c r="AI2905" s="56"/>
      <c r="AJ2905" s="56"/>
      <c r="AK2905" s="56"/>
      <c r="AL2905" s="56"/>
      <c r="AM2905" s="56"/>
      <c r="AN2905" s="56"/>
      <c r="AO2905" s="56"/>
      <c r="AP2905" s="56"/>
      <c r="AQ2905" s="56"/>
      <c r="AR2905" s="56"/>
      <c r="AS2905" s="56"/>
      <c r="AT2905" s="56"/>
      <c r="AU2905" s="56"/>
      <c r="AV2905" s="56"/>
      <c r="AW2905" s="56"/>
      <c r="AX2905" s="56"/>
      <c r="AY2905" s="56"/>
      <c r="AZ2905" s="56"/>
      <c r="BA2905" s="56"/>
      <c r="BB2905" s="16"/>
      <c r="BC2905" s="56"/>
      <c r="BD2905" s="56"/>
      <c r="BE2905" s="56"/>
      <c r="BF2905" s="56"/>
      <c r="BG2905" s="56"/>
      <c r="BH2905" s="56"/>
      <c r="BI2905" s="56"/>
      <c r="BJ2905" s="56"/>
      <c r="BK2905" s="56"/>
      <c r="BL2905" s="56"/>
      <c r="BM2905" s="56"/>
      <c r="BN2905" s="56"/>
      <c r="BO2905" s="56"/>
      <c r="BP2905" s="56"/>
      <c r="BQ2905" s="56"/>
      <c r="BR2905" s="56"/>
      <c r="BS2905" s="56"/>
      <c r="BT2905" s="56"/>
      <c r="BU2905" s="56"/>
      <c r="BV2905" s="56"/>
      <c r="BW2905" s="56"/>
      <c r="BX2905" s="56"/>
      <c r="BY2905" s="56"/>
      <c r="BZ2905" s="56"/>
      <c r="CA2905" s="56"/>
      <c r="CB2905" s="56"/>
      <c r="CC2905" s="56"/>
      <c r="CD2905" s="56"/>
      <c r="CE2905" s="56"/>
      <c r="CF2905" s="56"/>
      <c r="CG2905" s="56"/>
      <c r="CH2905" s="56"/>
      <c r="CI2905" s="56"/>
      <c r="CJ2905" s="56"/>
      <c r="CK2905" s="56"/>
      <c r="CL2905" s="56"/>
      <c r="CM2905" s="56"/>
      <c r="CN2905" s="56"/>
      <c r="CO2905" s="56"/>
      <c r="CP2905" s="56"/>
      <c r="CQ2905" s="56"/>
      <c r="CR2905" s="56"/>
      <c r="CS2905" s="56"/>
      <c r="CT2905" s="56"/>
      <c r="CU2905" s="56"/>
      <c r="CV2905" s="56"/>
      <c r="CW2905" s="56"/>
      <c r="CX2905" s="56"/>
      <c r="CY2905" s="56"/>
      <c r="CZ2905" s="56"/>
    </row>
    <row r="2906" spans="27:104" s="5" customFormat="1" x14ac:dyDescent="0.25">
      <c r="AA2906" s="56"/>
      <c r="AB2906" s="56"/>
      <c r="AC2906" s="56"/>
      <c r="AD2906" s="56"/>
      <c r="AE2906" s="56"/>
      <c r="AF2906" s="56"/>
      <c r="AG2906" s="56"/>
      <c r="AH2906" s="56"/>
      <c r="AI2906" s="56"/>
      <c r="AJ2906" s="56"/>
      <c r="AK2906" s="56"/>
      <c r="AL2906" s="56"/>
      <c r="AM2906" s="56"/>
      <c r="AN2906" s="56"/>
      <c r="AO2906" s="56"/>
      <c r="AP2906" s="56"/>
      <c r="AQ2906" s="56"/>
      <c r="AR2906" s="56"/>
      <c r="AS2906" s="56"/>
      <c r="AT2906" s="56"/>
      <c r="AU2906" s="56"/>
      <c r="AV2906" s="56"/>
      <c r="AW2906" s="56"/>
      <c r="AX2906" s="56"/>
      <c r="AY2906" s="56"/>
      <c r="AZ2906" s="56"/>
      <c r="BA2906" s="56"/>
      <c r="BB2906" s="16"/>
      <c r="BC2906" s="56"/>
      <c r="BD2906" s="56"/>
      <c r="BE2906" s="56"/>
      <c r="BF2906" s="56"/>
      <c r="BG2906" s="56"/>
      <c r="BH2906" s="56"/>
      <c r="BI2906" s="56"/>
      <c r="BJ2906" s="56"/>
      <c r="BK2906" s="56"/>
      <c r="BL2906" s="56"/>
      <c r="BM2906" s="56"/>
      <c r="BN2906" s="56"/>
      <c r="BO2906" s="56"/>
      <c r="BP2906" s="56"/>
      <c r="BQ2906" s="56"/>
      <c r="BR2906" s="56"/>
      <c r="BS2906" s="56"/>
      <c r="BT2906" s="56"/>
      <c r="BU2906" s="56"/>
      <c r="BV2906" s="56"/>
      <c r="BW2906" s="56"/>
      <c r="BX2906" s="56"/>
      <c r="BY2906" s="56"/>
      <c r="BZ2906" s="56"/>
      <c r="CA2906" s="56"/>
      <c r="CB2906" s="56"/>
      <c r="CC2906" s="56"/>
      <c r="CD2906" s="56"/>
      <c r="CE2906" s="56"/>
      <c r="CF2906" s="56"/>
      <c r="CG2906" s="56"/>
      <c r="CH2906" s="56"/>
      <c r="CI2906" s="56"/>
      <c r="CJ2906" s="56"/>
      <c r="CK2906" s="56"/>
      <c r="CL2906" s="56"/>
      <c r="CM2906" s="56"/>
      <c r="CN2906" s="56"/>
      <c r="CO2906" s="56"/>
      <c r="CP2906" s="56"/>
      <c r="CQ2906" s="56"/>
      <c r="CR2906" s="56"/>
      <c r="CS2906" s="56"/>
      <c r="CT2906" s="56"/>
      <c r="CU2906" s="56"/>
      <c r="CV2906" s="56"/>
      <c r="CW2906" s="56"/>
      <c r="CX2906" s="56"/>
      <c r="CY2906" s="56"/>
      <c r="CZ2906" s="56"/>
    </row>
    <row r="2907" spans="27:104" s="5" customFormat="1" x14ac:dyDescent="0.25">
      <c r="AA2907" s="56"/>
      <c r="AB2907" s="56"/>
      <c r="AC2907" s="56"/>
      <c r="AD2907" s="56"/>
      <c r="AE2907" s="56"/>
      <c r="AF2907" s="56"/>
      <c r="AG2907" s="56"/>
      <c r="AH2907" s="56"/>
      <c r="AI2907" s="56"/>
      <c r="AJ2907" s="56"/>
      <c r="AK2907" s="56"/>
      <c r="AL2907" s="56"/>
      <c r="AM2907" s="56"/>
      <c r="AN2907" s="56"/>
      <c r="AO2907" s="56"/>
      <c r="AP2907" s="56"/>
      <c r="AQ2907" s="56"/>
      <c r="AR2907" s="56"/>
      <c r="AS2907" s="56"/>
      <c r="AT2907" s="56"/>
      <c r="AU2907" s="56"/>
      <c r="AV2907" s="56"/>
      <c r="AW2907" s="56"/>
      <c r="AX2907" s="56"/>
      <c r="AY2907" s="56"/>
      <c r="AZ2907" s="56"/>
      <c r="BA2907" s="56"/>
      <c r="BB2907" s="16"/>
      <c r="BC2907" s="56"/>
      <c r="BD2907" s="56"/>
      <c r="BE2907" s="56"/>
      <c r="BF2907" s="56"/>
      <c r="BG2907" s="56"/>
      <c r="BH2907" s="56"/>
      <c r="BI2907" s="56"/>
      <c r="BJ2907" s="56"/>
      <c r="BK2907" s="56"/>
      <c r="BL2907" s="56"/>
      <c r="BM2907" s="56"/>
      <c r="BN2907" s="56"/>
      <c r="BO2907" s="56"/>
      <c r="BP2907" s="56"/>
      <c r="BQ2907" s="56"/>
      <c r="BR2907" s="56"/>
      <c r="BS2907" s="56"/>
      <c r="BT2907" s="56"/>
      <c r="BU2907" s="56"/>
      <c r="BV2907" s="56"/>
      <c r="BW2907" s="56"/>
      <c r="BX2907" s="56"/>
      <c r="BY2907" s="56"/>
      <c r="BZ2907" s="56"/>
      <c r="CA2907" s="56"/>
      <c r="CB2907" s="56"/>
      <c r="CC2907" s="56"/>
      <c r="CD2907" s="56"/>
      <c r="CE2907" s="56"/>
      <c r="CF2907" s="56"/>
      <c r="CG2907" s="56"/>
      <c r="CH2907" s="56"/>
      <c r="CI2907" s="56"/>
      <c r="CJ2907" s="56"/>
      <c r="CK2907" s="56"/>
      <c r="CL2907" s="56"/>
      <c r="CM2907" s="56"/>
      <c r="CN2907" s="56"/>
      <c r="CO2907" s="56"/>
      <c r="CP2907" s="56"/>
      <c r="CQ2907" s="56"/>
      <c r="CR2907" s="56"/>
      <c r="CS2907" s="56"/>
      <c r="CT2907" s="56"/>
      <c r="CU2907" s="56"/>
      <c r="CV2907" s="56"/>
      <c r="CW2907" s="56"/>
      <c r="CX2907" s="56"/>
      <c r="CY2907" s="56"/>
      <c r="CZ2907" s="56"/>
    </row>
    <row r="2908" spans="27:104" s="5" customFormat="1" x14ac:dyDescent="0.25">
      <c r="AA2908" s="56"/>
      <c r="AB2908" s="56"/>
      <c r="AC2908" s="56"/>
      <c r="AD2908" s="56"/>
      <c r="AE2908" s="56"/>
      <c r="AF2908" s="56"/>
      <c r="AG2908" s="56"/>
      <c r="AH2908" s="56"/>
      <c r="AI2908" s="56"/>
      <c r="AJ2908" s="56"/>
      <c r="AK2908" s="56"/>
      <c r="AL2908" s="56"/>
      <c r="AM2908" s="56"/>
      <c r="AN2908" s="56"/>
      <c r="AO2908" s="56"/>
      <c r="AP2908" s="56"/>
      <c r="AQ2908" s="56"/>
      <c r="AR2908" s="56"/>
      <c r="AS2908" s="56"/>
      <c r="AT2908" s="56"/>
      <c r="AU2908" s="56"/>
      <c r="AV2908" s="56"/>
      <c r="AW2908" s="56"/>
      <c r="AX2908" s="56"/>
      <c r="AY2908" s="56"/>
      <c r="AZ2908" s="56"/>
      <c r="BA2908" s="56"/>
      <c r="BB2908" s="16"/>
      <c r="BC2908" s="56"/>
      <c r="BD2908" s="56"/>
      <c r="BE2908" s="56"/>
      <c r="BF2908" s="56"/>
      <c r="BG2908" s="56"/>
      <c r="BH2908" s="56"/>
      <c r="BI2908" s="56"/>
      <c r="BJ2908" s="56"/>
      <c r="BK2908" s="56"/>
      <c r="BL2908" s="56"/>
      <c r="BM2908" s="56"/>
      <c r="BN2908" s="56"/>
      <c r="BO2908" s="56"/>
      <c r="BP2908" s="56"/>
      <c r="BQ2908" s="56"/>
      <c r="BR2908" s="56"/>
      <c r="BS2908" s="56"/>
      <c r="BT2908" s="56"/>
      <c r="BU2908" s="56"/>
      <c r="BV2908" s="56"/>
      <c r="BW2908" s="56"/>
      <c r="BX2908" s="56"/>
      <c r="BY2908" s="56"/>
      <c r="BZ2908" s="56"/>
      <c r="CA2908" s="56"/>
      <c r="CB2908" s="56"/>
      <c r="CC2908" s="56"/>
      <c r="CD2908" s="56"/>
      <c r="CE2908" s="56"/>
      <c r="CF2908" s="56"/>
      <c r="CG2908" s="56"/>
      <c r="CH2908" s="56"/>
      <c r="CI2908" s="56"/>
      <c r="CJ2908" s="56"/>
      <c r="CK2908" s="56"/>
      <c r="CL2908" s="56"/>
      <c r="CM2908" s="56"/>
      <c r="CN2908" s="56"/>
      <c r="CO2908" s="56"/>
      <c r="CP2908" s="56"/>
      <c r="CQ2908" s="56"/>
      <c r="CR2908" s="56"/>
      <c r="CS2908" s="56"/>
      <c r="CT2908" s="56"/>
      <c r="CU2908" s="56"/>
      <c r="CV2908" s="56"/>
      <c r="CW2908" s="56"/>
      <c r="CX2908" s="56"/>
      <c r="CY2908" s="56"/>
      <c r="CZ2908" s="56"/>
    </row>
    <row r="2909" spans="27:104" s="5" customFormat="1" x14ac:dyDescent="0.25">
      <c r="AA2909" s="56"/>
      <c r="AB2909" s="56"/>
      <c r="AC2909" s="56"/>
      <c r="AD2909" s="56"/>
      <c r="AE2909" s="56"/>
      <c r="AF2909" s="56"/>
      <c r="AG2909" s="56"/>
      <c r="AH2909" s="56"/>
      <c r="AI2909" s="56"/>
      <c r="AJ2909" s="56"/>
      <c r="AK2909" s="56"/>
      <c r="AL2909" s="56"/>
      <c r="AM2909" s="56"/>
      <c r="AN2909" s="56"/>
      <c r="AO2909" s="56"/>
      <c r="AP2909" s="56"/>
      <c r="AQ2909" s="56"/>
      <c r="AR2909" s="56"/>
      <c r="AS2909" s="56"/>
      <c r="AT2909" s="56"/>
      <c r="AU2909" s="56"/>
      <c r="AV2909" s="56"/>
      <c r="AW2909" s="56"/>
      <c r="AX2909" s="56"/>
      <c r="AY2909" s="56"/>
      <c r="AZ2909" s="56"/>
      <c r="BA2909" s="56"/>
      <c r="BB2909" s="16"/>
      <c r="BC2909" s="56"/>
      <c r="BD2909" s="56"/>
      <c r="BE2909" s="56"/>
      <c r="BF2909" s="56"/>
      <c r="BG2909" s="56"/>
      <c r="BH2909" s="56"/>
      <c r="BI2909" s="56"/>
      <c r="BJ2909" s="56"/>
      <c r="BK2909" s="56"/>
      <c r="BL2909" s="56"/>
      <c r="BM2909" s="56"/>
      <c r="BN2909" s="56"/>
      <c r="BO2909" s="56"/>
      <c r="BP2909" s="56"/>
      <c r="BQ2909" s="56"/>
      <c r="BR2909" s="56"/>
      <c r="BS2909" s="56"/>
      <c r="BT2909" s="56"/>
      <c r="BU2909" s="56"/>
      <c r="BV2909" s="56"/>
      <c r="BW2909" s="56"/>
      <c r="BX2909" s="56"/>
      <c r="BY2909" s="56"/>
      <c r="BZ2909" s="56"/>
      <c r="CA2909" s="56"/>
      <c r="CB2909" s="56"/>
      <c r="CC2909" s="56"/>
      <c r="CD2909" s="56"/>
      <c r="CE2909" s="56"/>
      <c r="CF2909" s="56"/>
      <c r="CG2909" s="56"/>
      <c r="CH2909" s="56"/>
      <c r="CI2909" s="56"/>
      <c r="CJ2909" s="56"/>
      <c r="CK2909" s="56"/>
      <c r="CL2909" s="56"/>
      <c r="CM2909" s="56"/>
      <c r="CN2909" s="56"/>
      <c r="CO2909" s="56"/>
      <c r="CP2909" s="56"/>
      <c r="CQ2909" s="56"/>
      <c r="CR2909" s="56"/>
      <c r="CS2909" s="56"/>
      <c r="CT2909" s="56"/>
      <c r="CU2909" s="56"/>
      <c r="CV2909" s="56"/>
      <c r="CW2909" s="56"/>
      <c r="CX2909" s="56"/>
      <c r="CY2909" s="56"/>
      <c r="CZ2909" s="56"/>
    </row>
    <row r="2910" spans="27:104" s="5" customFormat="1" x14ac:dyDescent="0.25">
      <c r="AA2910" s="56"/>
      <c r="AB2910" s="56"/>
      <c r="AC2910" s="56"/>
      <c r="AD2910" s="56"/>
      <c r="AE2910" s="56"/>
      <c r="AF2910" s="56"/>
      <c r="AG2910" s="56"/>
      <c r="AH2910" s="56"/>
      <c r="AI2910" s="56"/>
      <c r="AJ2910" s="56"/>
      <c r="AK2910" s="56"/>
      <c r="AL2910" s="56"/>
      <c r="AM2910" s="56"/>
      <c r="AN2910" s="56"/>
      <c r="AO2910" s="56"/>
      <c r="AP2910" s="56"/>
      <c r="AQ2910" s="56"/>
      <c r="AR2910" s="56"/>
      <c r="AS2910" s="56"/>
      <c r="AT2910" s="56"/>
      <c r="AU2910" s="56"/>
      <c r="AV2910" s="56"/>
      <c r="AW2910" s="56"/>
      <c r="AX2910" s="56"/>
      <c r="AY2910" s="56"/>
      <c r="AZ2910" s="56"/>
      <c r="BA2910" s="56"/>
      <c r="BB2910" s="16"/>
      <c r="BC2910" s="56"/>
      <c r="BD2910" s="56"/>
      <c r="BE2910" s="56"/>
      <c r="BF2910" s="56"/>
      <c r="BG2910" s="56"/>
      <c r="BH2910" s="56"/>
      <c r="BI2910" s="56"/>
      <c r="BJ2910" s="56"/>
      <c r="BK2910" s="56"/>
      <c r="BL2910" s="56"/>
      <c r="BM2910" s="56"/>
      <c r="BN2910" s="56"/>
      <c r="BO2910" s="56"/>
      <c r="BP2910" s="56"/>
      <c r="BQ2910" s="56"/>
      <c r="BR2910" s="56"/>
      <c r="BS2910" s="56"/>
      <c r="BT2910" s="56"/>
      <c r="BU2910" s="56"/>
      <c r="BV2910" s="56"/>
      <c r="BW2910" s="56"/>
      <c r="BX2910" s="56"/>
      <c r="BY2910" s="56"/>
      <c r="BZ2910" s="56"/>
      <c r="CA2910" s="56"/>
      <c r="CB2910" s="56"/>
      <c r="CC2910" s="56"/>
      <c r="CD2910" s="56"/>
      <c r="CE2910" s="56"/>
      <c r="CF2910" s="56"/>
      <c r="CG2910" s="56"/>
      <c r="CH2910" s="56"/>
      <c r="CI2910" s="56"/>
      <c r="CJ2910" s="56"/>
      <c r="CK2910" s="56"/>
      <c r="CL2910" s="56"/>
      <c r="CM2910" s="56"/>
      <c r="CN2910" s="56"/>
      <c r="CO2910" s="56"/>
      <c r="CP2910" s="56"/>
      <c r="CQ2910" s="56"/>
      <c r="CR2910" s="56"/>
      <c r="CS2910" s="56"/>
      <c r="CT2910" s="56"/>
      <c r="CU2910" s="56"/>
      <c r="CV2910" s="56"/>
      <c r="CW2910" s="56"/>
      <c r="CX2910" s="56"/>
      <c r="CY2910" s="56"/>
      <c r="CZ2910" s="56"/>
    </row>
    <row r="2911" spans="27:104" s="5" customFormat="1" x14ac:dyDescent="0.25">
      <c r="AA2911" s="56"/>
      <c r="AB2911" s="56"/>
      <c r="AC2911" s="56"/>
      <c r="AD2911" s="56"/>
      <c r="AE2911" s="56"/>
      <c r="AF2911" s="56"/>
      <c r="AG2911" s="56"/>
      <c r="AH2911" s="56"/>
      <c r="AI2911" s="56"/>
      <c r="AJ2911" s="56"/>
      <c r="AK2911" s="56"/>
      <c r="AL2911" s="56"/>
      <c r="AM2911" s="56"/>
      <c r="AN2911" s="56"/>
      <c r="AO2911" s="56"/>
      <c r="AP2911" s="56"/>
      <c r="AQ2911" s="56"/>
      <c r="AR2911" s="56"/>
      <c r="AS2911" s="56"/>
      <c r="AT2911" s="56"/>
      <c r="AU2911" s="56"/>
      <c r="AV2911" s="56"/>
      <c r="AW2911" s="56"/>
      <c r="AX2911" s="56"/>
      <c r="AY2911" s="56"/>
      <c r="AZ2911" s="56"/>
      <c r="BA2911" s="56"/>
      <c r="BB2911" s="16"/>
      <c r="BC2911" s="56"/>
      <c r="BD2911" s="56"/>
      <c r="BE2911" s="56"/>
      <c r="BF2911" s="56"/>
      <c r="BG2911" s="56"/>
      <c r="BH2911" s="56"/>
      <c r="BI2911" s="56"/>
      <c r="BJ2911" s="56"/>
      <c r="BK2911" s="56"/>
      <c r="BL2911" s="56"/>
      <c r="BM2911" s="56"/>
      <c r="BN2911" s="56"/>
      <c r="BO2911" s="56"/>
      <c r="BP2911" s="56"/>
      <c r="BQ2911" s="56"/>
      <c r="BR2911" s="56"/>
      <c r="BS2911" s="56"/>
      <c r="BT2911" s="56"/>
      <c r="BU2911" s="56"/>
      <c r="BV2911" s="56"/>
      <c r="BW2911" s="56"/>
      <c r="BX2911" s="56"/>
      <c r="BY2911" s="56"/>
      <c r="BZ2911" s="56"/>
      <c r="CA2911" s="56"/>
      <c r="CB2911" s="56"/>
      <c r="CC2911" s="56"/>
      <c r="CD2911" s="56"/>
      <c r="CE2911" s="56"/>
      <c r="CF2911" s="56"/>
      <c r="CG2911" s="56"/>
      <c r="CH2911" s="56"/>
      <c r="CI2911" s="56"/>
      <c r="CJ2911" s="56"/>
      <c r="CK2911" s="56"/>
      <c r="CL2911" s="56"/>
      <c r="CM2911" s="56"/>
      <c r="CN2911" s="56"/>
      <c r="CO2911" s="56"/>
      <c r="CP2911" s="56"/>
      <c r="CQ2911" s="56"/>
      <c r="CR2911" s="56"/>
      <c r="CS2911" s="56"/>
      <c r="CT2911" s="56"/>
      <c r="CU2911" s="56"/>
      <c r="CV2911" s="56"/>
      <c r="CW2911" s="56"/>
      <c r="CX2911" s="56"/>
      <c r="CY2911" s="56"/>
      <c r="CZ2911" s="56"/>
    </row>
    <row r="2912" spans="27:104" s="5" customFormat="1" x14ac:dyDescent="0.25">
      <c r="AA2912" s="56"/>
      <c r="AB2912" s="56"/>
      <c r="AC2912" s="56"/>
      <c r="AD2912" s="56"/>
      <c r="AE2912" s="56"/>
      <c r="AF2912" s="56"/>
      <c r="AG2912" s="56"/>
      <c r="AH2912" s="56"/>
      <c r="AI2912" s="56"/>
      <c r="AJ2912" s="56"/>
      <c r="AK2912" s="56"/>
      <c r="AL2912" s="56"/>
      <c r="AM2912" s="56"/>
      <c r="AN2912" s="56"/>
      <c r="AO2912" s="56"/>
      <c r="AP2912" s="56"/>
      <c r="AQ2912" s="56"/>
      <c r="AR2912" s="56"/>
      <c r="AS2912" s="56"/>
      <c r="AT2912" s="56"/>
      <c r="AU2912" s="56"/>
      <c r="AV2912" s="56"/>
      <c r="AW2912" s="56"/>
      <c r="AX2912" s="56"/>
      <c r="AY2912" s="56"/>
      <c r="AZ2912" s="56"/>
      <c r="BA2912" s="56"/>
      <c r="BB2912" s="16"/>
      <c r="BC2912" s="56"/>
      <c r="BD2912" s="56"/>
      <c r="BE2912" s="56"/>
      <c r="BF2912" s="56"/>
      <c r="BG2912" s="56"/>
      <c r="BH2912" s="56"/>
      <c r="BI2912" s="56"/>
      <c r="BJ2912" s="56"/>
      <c r="BK2912" s="56"/>
      <c r="BL2912" s="56"/>
      <c r="BM2912" s="56"/>
      <c r="BN2912" s="56"/>
      <c r="BO2912" s="56"/>
      <c r="BP2912" s="56"/>
      <c r="BQ2912" s="56"/>
      <c r="BR2912" s="56"/>
      <c r="BS2912" s="56"/>
      <c r="BT2912" s="56"/>
      <c r="BU2912" s="56"/>
      <c r="BV2912" s="56"/>
      <c r="BW2912" s="56"/>
      <c r="BX2912" s="56"/>
      <c r="BY2912" s="56"/>
      <c r="BZ2912" s="56"/>
      <c r="CA2912" s="56"/>
      <c r="CB2912" s="56"/>
      <c r="CC2912" s="56"/>
      <c r="CD2912" s="56"/>
      <c r="CE2912" s="56"/>
      <c r="CF2912" s="56"/>
      <c r="CG2912" s="56"/>
      <c r="CH2912" s="56"/>
      <c r="CI2912" s="56"/>
      <c r="CJ2912" s="56"/>
      <c r="CK2912" s="56"/>
      <c r="CL2912" s="56"/>
      <c r="CM2912" s="56"/>
      <c r="CN2912" s="56"/>
      <c r="CO2912" s="56"/>
      <c r="CP2912" s="56"/>
      <c r="CQ2912" s="56"/>
      <c r="CR2912" s="56"/>
      <c r="CS2912" s="56"/>
      <c r="CT2912" s="56"/>
      <c r="CU2912" s="56"/>
      <c r="CV2912" s="56"/>
      <c r="CW2912" s="56"/>
      <c r="CX2912" s="56"/>
      <c r="CY2912" s="56"/>
      <c r="CZ2912" s="56"/>
    </row>
    <row r="2913" spans="27:104" s="5" customFormat="1" x14ac:dyDescent="0.25">
      <c r="AA2913" s="56"/>
      <c r="AB2913" s="56"/>
      <c r="AC2913" s="56"/>
      <c r="AD2913" s="56"/>
      <c r="AE2913" s="56"/>
      <c r="AF2913" s="56"/>
      <c r="AG2913" s="56"/>
      <c r="AH2913" s="56"/>
      <c r="AI2913" s="56"/>
      <c r="AJ2913" s="56"/>
      <c r="AK2913" s="56"/>
      <c r="AL2913" s="56"/>
      <c r="AM2913" s="56"/>
      <c r="AN2913" s="56"/>
      <c r="AO2913" s="56"/>
      <c r="AP2913" s="56"/>
      <c r="AQ2913" s="56"/>
      <c r="AR2913" s="56"/>
      <c r="AS2913" s="56"/>
      <c r="AT2913" s="56"/>
      <c r="AU2913" s="56"/>
      <c r="AV2913" s="56"/>
      <c r="AW2913" s="56"/>
      <c r="AX2913" s="56"/>
      <c r="AY2913" s="56"/>
      <c r="AZ2913" s="56"/>
      <c r="BA2913" s="56"/>
      <c r="BB2913" s="16"/>
      <c r="BC2913" s="56"/>
      <c r="BD2913" s="56"/>
      <c r="BE2913" s="56"/>
      <c r="BF2913" s="56"/>
      <c r="BG2913" s="56"/>
      <c r="BH2913" s="56"/>
      <c r="BI2913" s="56"/>
      <c r="BJ2913" s="56"/>
      <c r="BK2913" s="56"/>
      <c r="BL2913" s="56"/>
      <c r="BM2913" s="56"/>
      <c r="BN2913" s="56"/>
      <c r="BO2913" s="56"/>
      <c r="BP2913" s="56"/>
      <c r="BQ2913" s="56"/>
      <c r="BR2913" s="56"/>
      <c r="BS2913" s="56"/>
      <c r="BT2913" s="56"/>
      <c r="BU2913" s="56"/>
      <c r="BV2913" s="56"/>
      <c r="BW2913" s="56"/>
      <c r="BX2913" s="56"/>
      <c r="BY2913" s="56"/>
      <c r="BZ2913" s="56"/>
      <c r="CA2913" s="56"/>
      <c r="CB2913" s="56"/>
      <c r="CC2913" s="56"/>
      <c r="CD2913" s="56"/>
      <c r="CE2913" s="56"/>
      <c r="CF2913" s="56"/>
      <c r="CG2913" s="56"/>
      <c r="CH2913" s="56"/>
      <c r="CI2913" s="56"/>
      <c r="CJ2913" s="56"/>
      <c r="CK2913" s="56"/>
      <c r="CL2913" s="56"/>
      <c r="CM2913" s="56"/>
      <c r="CN2913" s="56"/>
      <c r="CO2913" s="56"/>
      <c r="CP2913" s="56"/>
      <c r="CQ2913" s="56"/>
      <c r="CR2913" s="56"/>
      <c r="CS2913" s="56"/>
      <c r="CT2913" s="56"/>
      <c r="CU2913" s="56"/>
      <c r="CV2913" s="56"/>
      <c r="CW2913" s="56"/>
      <c r="CX2913" s="56"/>
      <c r="CY2913" s="56"/>
      <c r="CZ2913" s="56"/>
    </row>
    <row r="2914" spans="27:104" s="5" customFormat="1" x14ac:dyDescent="0.25">
      <c r="AA2914" s="56"/>
      <c r="AB2914" s="56"/>
      <c r="AC2914" s="56"/>
      <c r="AD2914" s="56"/>
      <c r="AE2914" s="56"/>
      <c r="AF2914" s="56"/>
      <c r="AG2914" s="56"/>
      <c r="AH2914" s="56"/>
      <c r="AI2914" s="56"/>
      <c r="AJ2914" s="56"/>
      <c r="AK2914" s="56"/>
      <c r="AL2914" s="56"/>
      <c r="AM2914" s="56"/>
      <c r="AN2914" s="56"/>
      <c r="AO2914" s="56"/>
      <c r="AP2914" s="56"/>
      <c r="AQ2914" s="56"/>
      <c r="AR2914" s="56"/>
      <c r="AS2914" s="56"/>
      <c r="AT2914" s="56"/>
      <c r="AU2914" s="56"/>
      <c r="AV2914" s="56"/>
      <c r="AW2914" s="56"/>
      <c r="AX2914" s="56"/>
      <c r="AY2914" s="56"/>
      <c r="AZ2914" s="56"/>
      <c r="BA2914" s="56"/>
      <c r="BB2914" s="16"/>
      <c r="BC2914" s="56"/>
      <c r="BD2914" s="56"/>
      <c r="BE2914" s="56"/>
      <c r="BF2914" s="56"/>
      <c r="BG2914" s="56"/>
      <c r="BH2914" s="56"/>
      <c r="BI2914" s="56"/>
      <c r="BJ2914" s="56"/>
      <c r="BK2914" s="56"/>
      <c r="BL2914" s="56"/>
      <c r="BM2914" s="56"/>
      <c r="BN2914" s="56"/>
      <c r="BO2914" s="56"/>
      <c r="BP2914" s="56"/>
      <c r="BQ2914" s="56"/>
      <c r="BR2914" s="56"/>
      <c r="BS2914" s="56"/>
      <c r="BT2914" s="56"/>
      <c r="BU2914" s="56"/>
      <c r="BV2914" s="56"/>
      <c r="BW2914" s="56"/>
      <c r="BX2914" s="56"/>
      <c r="BY2914" s="56"/>
      <c r="BZ2914" s="56"/>
      <c r="CA2914" s="56"/>
      <c r="CB2914" s="56"/>
      <c r="CC2914" s="56"/>
      <c r="CD2914" s="56"/>
      <c r="CE2914" s="56"/>
      <c r="CF2914" s="56"/>
      <c r="CG2914" s="56"/>
      <c r="CH2914" s="56"/>
      <c r="CI2914" s="56"/>
      <c r="CJ2914" s="56"/>
      <c r="CK2914" s="56"/>
      <c r="CL2914" s="56"/>
      <c r="CM2914" s="56"/>
      <c r="CN2914" s="56"/>
      <c r="CO2914" s="56"/>
      <c r="CP2914" s="56"/>
      <c r="CQ2914" s="56"/>
      <c r="CR2914" s="56"/>
      <c r="CS2914" s="56"/>
      <c r="CT2914" s="56"/>
      <c r="CU2914" s="56"/>
      <c r="CV2914" s="56"/>
      <c r="CW2914" s="56"/>
      <c r="CX2914" s="56"/>
      <c r="CY2914" s="56"/>
      <c r="CZ2914" s="56"/>
    </row>
    <row r="2915" spans="27:104" s="5" customFormat="1" x14ac:dyDescent="0.25">
      <c r="AA2915" s="56"/>
      <c r="AB2915" s="56"/>
      <c r="AC2915" s="56"/>
      <c r="AD2915" s="56"/>
      <c r="AE2915" s="56"/>
      <c r="AF2915" s="56"/>
      <c r="AG2915" s="56"/>
      <c r="AH2915" s="56"/>
      <c r="AI2915" s="56"/>
      <c r="AJ2915" s="56"/>
      <c r="AK2915" s="56"/>
      <c r="AL2915" s="56"/>
      <c r="AM2915" s="56"/>
      <c r="AN2915" s="56"/>
      <c r="AO2915" s="56"/>
      <c r="AP2915" s="56"/>
      <c r="AQ2915" s="56"/>
      <c r="AR2915" s="56"/>
      <c r="AS2915" s="56"/>
      <c r="AT2915" s="56"/>
      <c r="AU2915" s="56"/>
      <c r="AV2915" s="56"/>
      <c r="AW2915" s="56"/>
      <c r="AX2915" s="56"/>
      <c r="AY2915" s="56"/>
      <c r="AZ2915" s="56"/>
      <c r="BA2915" s="56"/>
      <c r="BB2915" s="16"/>
      <c r="BC2915" s="56"/>
      <c r="BD2915" s="56"/>
      <c r="BE2915" s="56"/>
      <c r="BF2915" s="56"/>
      <c r="BG2915" s="56"/>
      <c r="BH2915" s="56"/>
      <c r="BI2915" s="56"/>
      <c r="BJ2915" s="56"/>
      <c r="BK2915" s="56"/>
      <c r="BL2915" s="56"/>
      <c r="BM2915" s="56"/>
      <c r="BN2915" s="56"/>
      <c r="BO2915" s="56"/>
      <c r="BP2915" s="56"/>
      <c r="BQ2915" s="56"/>
      <c r="BR2915" s="56"/>
      <c r="BS2915" s="56"/>
      <c r="BT2915" s="56"/>
      <c r="BU2915" s="56"/>
      <c r="BV2915" s="56"/>
      <c r="BW2915" s="56"/>
      <c r="BX2915" s="56"/>
      <c r="BY2915" s="56"/>
      <c r="BZ2915" s="56"/>
      <c r="CA2915" s="56"/>
      <c r="CB2915" s="56"/>
      <c r="CC2915" s="56"/>
      <c r="CD2915" s="56"/>
      <c r="CE2915" s="56"/>
      <c r="CF2915" s="56"/>
      <c r="CG2915" s="56"/>
      <c r="CH2915" s="56"/>
      <c r="CI2915" s="56"/>
      <c r="CJ2915" s="56"/>
      <c r="CK2915" s="56"/>
      <c r="CL2915" s="56"/>
      <c r="CM2915" s="56"/>
      <c r="CN2915" s="56"/>
      <c r="CO2915" s="56"/>
      <c r="CP2915" s="56"/>
      <c r="CQ2915" s="56"/>
      <c r="CR2915" s="56"/>
      <c r="CS2915" s="56"/>
      <c r="CT2915" s="56"/>
      <c r="CU2915" s="56"/>
      <c r="CV2915" s="56"/>
      <c r="CW2915" s="56"/>
      <c r="CX2915" s="56"/>
      <c r="CY2915" s="56"/>
      <c r="CZ2915" s="56"/>
    </row>
    <row r="2916" spans="27:104" s="5" customFormat="1" x14ac:dyDescent="0.25">
      <c r="AA2916" s="56"/>
      <c r="AB2916" s="56"/>
      <c r="AC2916" s="56"/>
      <c r="AD2916" s="56"/>
      <c r="AE2916" s="56"/>
      <c r="AF2916" s="56"/>
      <c r="AG2916" s="56"/>
      <c r="AH2916" s="56"/>
      <c r="AI2916" s="56"/>
      <c r="AJ2916" s="56"/>
      <c r="AK2916" s="56"/>
      <c r="AL2916" s="56"/>
      <c r="AM2916" s="56"/>
      <c r="AN2916" s="56"/>
      <c r="AO2916" s="56"/>
      <c r="AP2916" s="56"/>
      <c r="AQ2916" s="56"/>
      <c r="AR2916" s="56"/>
      <c r="AS2916" s="56"/>
      <c r="AT2916" s="56"/>
      <c r="AU2916" s="56"/>
      <c r="AV2916" s="56"/>
      <c r="AW2916" s="56"/>
      <c r="AX2916" s="56"/>
      <c r="AY2916" s="56"/>
      <c r="AZ2916" s="56"/>
      <c r="BA2916" s="56"/>
      <c r="BB2916" s="16"/>
      <c r="BC2916" s="56"/>
      <c r="BD2916" s="56"/>
      <c r="BE2916" s="56"/>
      <c r="BF2916" s="56"/>
      <c r="BG2916" s="56"/>
      <c r="BH2916" s="56"/>
      <c r="BI2916" s="56"/>
      <c r="BJ2916" s="56"/>
      <c r="BK2916" s="56"/>
      <c r="BL2916" s="56"/>
      <c r="BM2916" s="56"/>
      <c r="BN2916" s="56"/>
      <c r="BO2916" s="56"/>
      <c r="BP2916" s="56"/>
      <c r="BQ2916" s="56"/>
      <c r="BR2916" s="56"/>
      <c r="BS2916" s="56"/>
      <c r="BT2916" s="56"/>
      <c r="BU2916" s="56"/>
      <c r="BV2916" s="56"/>
      <c r="BW2916" s="56"/>
      <c r="BX2916" s="56"/>
      <c r="BY2916" s="56"/>
      <c r="BZ2916" s="56"/>
      <c r="CA2916" s="56"/>
      <c r="CB2916" s="56"/>
      <c r="CC2916" s="56"/>
      <c r="CD2916" s="56"/>
      <c r="CE2916" s="56"/>
      <c r="CF2916" s="56"/>
      <c r="CG2916" s="56"/>
      <c r="CH2916" s="56"/>
      <c r="CI2916" s="56"/>
      <c r="CJ2916" s="56"/>
      <c r="CK2916" s="56"/>
      <c r="CL2916" s="56"/>
      <c r="CM2916" s="56"/>
      <c r="CN2916" s="56"/>
      <c r="CO2916" s="56"/>
      <c r="CP2916" s="56"/>
      <c r="CQ2916" s="56"/>
      <c r="CR2916" s="56"/>
      <c r="CS2916" s="56"/>
      <c r="CT2916" s="56"/>
      <c r="CU2916" s="56"/>
      <c r="CV2916" s="56"/>
      <c r="CW2916" s="56"/>
      <c r="CX2916" s="56"/>
      <c r="CY2916" s="56"/>
      <c r="CZ2916" s="56"/>
    </row>
    <row r="2917" spans="27:104" s="5" customFormat="1" x14ac:dyDescent="0.25">
      <c r="AA2917" s="56"/>
      <c r="AB2917" s="56"/>
      <c r="AC2917" s="56"/>
      <c r="AD2917" s="56"/>
      <c r="AE2917" s="56"/>
      <c r="AF2917" s="56"/>
      <c r="AG2917" s="56"/>
      <c r="AH2917" s="56"/>
      <c r="AI2917" s="56"/>
      <c r="AJ2917" s="56"/>
      <c r="AK2917" s="56"/>
      <c r="AL2917" s="56"/>
      <c r="AM2917" s="56"/>
      <c r="AN2917" s="56"/>
      <c r="AO2917" s="56"/>
      <c r="AP2917" s="56"/>
      <c r="AQ2917" s="56"/>
      <c r="AR2917" s="56"/>
      <c r="AS2917" s="56"/>
      <c r="AT2917" s="56"/>
      <c r="AU2917" s="56"/>
      <c r="AV2917" s="56"/>
      <c r="AW2917" s="56"/>
      <c r="AX2917" s="56"/>
      <c r="AY2917" s="56"/>
      <c r="AZ2917" s="56"/>
      <c r="BA2917" s="56"/>
      <c r="BB2917" s="16"/>
      <c r="BC2917" s="56"/>
      <c r="BD2917" s="56"/>
      <c r="BE2917" s="56"/>
      <c r="BF2917" s="56"/>
      <c r="BG2917" s="56"/>
      <c r="BH2917" s="56"/>
      <c r="BI2917" s="56"/>
      <c r="BJ2917" s="56"/>
      <c r="BK2917" s="56"/>
      <c r="BL2917" s="56"/>
      <c r="BM2917" s="56"/>
      <c r="BN2917" s="56"/>
      <c r="BO2917" s="56"/>
      <c r="BP2917" s="56"/>
      <c r="BQ2917" s="56"/>
      <c r="BR2917" s="56"/>
      <c r="BS2917" s="56"/>
      <c r="BT2917" s="56"/>
      <c r="BU2917" s="56"/>
      <c r="BV2917" s="56"/>
      <c r="BW2917" s="56"/>
      <c r="BX2917" s="56"/>
      <c r="BY2917" s="56"/>
      <c r="BZ2917" s="56"/>
      <c r="CA2917" s="56"/>
      <c r="CB2917" s="56"/>
      <c r="CC2917" s="56"/>
      <c r="CD2917" s="56"/>
      <c r="CE2917" s="56"/>
      <c r="CF2917" s="56"/>
      <c r="CG2917" s="56"/>
      <c r="CH2917" s="56"/>
      <c r="CI2917" s="56"/>
      <c r="CJ2917" s="56"/>
      <c r="CK2917" s="56"/>
      <c r="CL2917" s="56"/>
      <c r="CM2917" s="56"/>
      <c r="CN2917" s="56"/>
      <c r="CO2917" s="56"/>
      <c r="CP2917" s="56"/>
      <c r="CQ2917" s="56"/>
      <c r="CR2917" s="56"/>
      <c r="CS2917" s="56"/>
      <c r="CT2917" s="56"/>
      <c r="CU2917" s="56"/>
      <c r="CV2917" s="56"/>
      <c r="CW2917" s="56"/>
      <c r="CX2917" s="56"/>
      <c r="CY2917" s="56"/>
      <c r="CZ2917" s="56"/>
    </row>
    <row r="2918" spans="27:104" s="5" customFormat="1" x14ac:dyDescent="0.25">
      <c r="AA2918" s="56"/>
      <c r="AB2918" s="56"/>
      <c r="AC2918" s="56"/>
      <c r="AD2918" s="56"/>
      <c r="AE2918" s="56"/>
      <c r="AF2918" s="56"/>
      <c r="AG2918" s="56"/>
      <c r="AH2918" s="56"/>
      <c r="AI2918" s="56"/>
      <c r="AJ2918" s="56"/>
      <c r="AK2918" s="56"/>
      <c r="AL2918" s="56"/>
      <c r="AM2918" s="56"/>
      <c r="AN2918" s="56"/>
      <c r="AO2918" s="56"/>
      <c r="AP2918" s="56"/>
      <c r="AQ2918" s="56"/>
      <c r="AR2918" s="56"/>
      <c r="AS2918" s="56"/>
      <c r="AT2918" s="56"/>
      <c r="AU2918" s="56"/>
      <c r="AV2918" s="56"/>
      <c r="AW2918" s="56"/>
      <c r="AX2918" s="56"/>
      <c r="AY2918" s="56"/>
      <c r="AZ2918" s="56"/>
      <c r="BA2918" s="56"/>
      <c r="BB2918" s="16"/>
      <c r="BC2918" s="56"/>
      <c r="BD2918" s="56"/>
      <c r="BE2918" s="56"/>
      <c r="BF2918" s="56"/>
      <c r="BG2918" s="56"/>
      <c r="BH2918" s="56"/>
      <c r="BI2918" s="56"/>
      <c r="BJ2918" s="56"/>
      <c r="BK2918" s="56"/>
      <c r="BL2918" s="56"/>
      <c r="BM2918" s="56"/>
      <c r="BN2918" s="56"/>
      <c r="BO2918" s="56"/>
      <c r="BP2918" s="56"/>
      <c r="BQ2918" s="56"/>
      <c r="BR2918" s="56"/>
      <c r="BS2918" s="56"/>
      <c r="BT2918" s="56"/>
      <c r="BU2918" s="56"/>
      <c r="BV2918" s="56"/>
      <c r="BW2918" s="56"/>
      <c r="BX2918" s="56"/>
      <c r="BY2918" s="56"/>
      <c r="BZ2918" s="56"/>
      <c r="CA2918" s="56"/>
      <c r="CB2918" s="56"/>
      <c r="CC2918" s="56"/>
      <c r="CD2918" s="56"/>
      <c r="CE2918" s="56"/>
      <c r="CF2918" s="56"/>
      <c r="CG2918" s="56"/>
      <c r="CH2918" s="56"/>
      <c r="CI2918" s="56"/>
      <c r="CJ2918" s="56"/>
      <c r="CK2918" s="56"/>
      <c r="CL2918" s="56"/>
      <c r="CM2918" s="56"/>
      <c r="CN2918" s="56"/>
      <c r="CO2918" s="56"/>
      <c r="CP2918" s="56"/>
      <c r="CQ2918" s="56"/>
      <c r="CR2918" s="56"/>
      <c r="CS2918" s="56"/>
      <c r="CT2918" s="56"/>
      <c r="CU2918" s="56"/>
      <c r="CV2918" s="56"/>
      <c r="CW2918" s="56"/>
      <c r="CX2918" s="56"/>
      <c r="CY2918" s="56"/>
      <c r="CZ2918" s="56"/>
    </row>
    <row r="2919" spans="27:104" s="5" customFormat="1" x14ac:dyDescent="0.25">
      <c r="AA2919" s="56"/>
      <c r="AB2919" s="56"/>
      <c r="AC2919" s="56"/>
      <c r="AD2919" s="56"/>
      <c r="AE2919" s="56"/>
      <c r="AF2919" s="56"/>
      <c r="AG2919" s="56"/>
      <c r="AH2919" s="56"/>
      <c r="AI2919" s="56"/>
      <c r="AJ2919" s="56"/>
      <c r="AK2919" s="56"/>
      <c r="AL2919" s="56"/>
      <c r="AM2919" s="56"/>
      <c r="AN2919" s="56"/>
      <c r="AO2919" s="56"/>
      <c r="AP2919" s="56"/>
      <c r="AQ2919" s="56"/>
      <c r="AR2919" s="56"/>
      <c r="AS2919" s="56"/>
      <c r="AT2919" s="56"/>
      <c r="AU2919" s="56"/>
      <c r="AV2919" s="56"/>
      <c r="AW2919" s="56"/>
      <c r="AX2919" s="56"/>
      <c r="AY2919" s="56"/>
      <c r="AZ2919" s="56"/>
      <c r="BA2919" s="56"/>
      <c r="BB2919" s="16"/>
      <c r="BC2919" s="56"/>
      <c r="BD2919" s="56"/>
      <c r="BE2919" s="56"/>
      <c r="BF2919" s="56"/>
      <c r="BG2919" s="56"/>
      <c r="BH2919" s="56"/>
      <c r="BI2919" s="56"/>
      <c r="BJ2919" s="56"/>
      <c r="BK2919" s="56"/>
      <c r="BL2919" s="56"/>
      <c r="BM2919" s="56"/>
      <c r="BN2919" s="56"/>
      <c r="BO2919" s="56"/>
      <c r="BP2919" s="56"/>
      <c r="BQ2919" s="56"/>
      <c r="BR2919" s="56"/>
      <c r="BS2919" s="56"/>
      <c r="BT2919" s="56"/>
      <c r="BU2919" s="56"/>
      <c r="BV2919" s="56"/>
      <c r="BW2919" s="56"/>
      <c r="BX2919" s="56"/>
      <c r="BY2919" s="56"/>
      <c r="BZ2919" s="56"/>
      <c r="CA2919" s="56"/>
      <c r="CB2919" s="56"/>
      <c r="CC2919" s="56"/>
      <c r="CD2919" s="56"/>
      <c r="CE2919" s="56"/>
      <c r="CF2919" s="56"/>
      <c r="CG2919" s="56"/>
      <c r="CH2919" s="56"/>
      <c r="CI2919" s="56"/>
      <c r="CJ2919" s="56"/>
      <c r="CK2919" s="56"/>
      <c r="CL2919" s="56"/>
      <c r="CM2919" s="56"/>
      <c r="CN2919" s="56"/>
      <c r="CO2919" s="56"/>
      <c r="CP2919" s="56"/>
      <c r="CQ2919" s="56"/>
      <c r="CR2919" s="56"/>
      <c r="CS2919" s="56"/>
      <c r="CT2919" s="56"/>
      <c r="CU2919" s="56"/>
      <c r="CV2919" s="56"/>
      <c r="CW2919" s="56"/>
      <c r="CX2919" s="56"/>
      <c r="CY2919" s="56"/>
      <c r="CZ2919" s="56"/>
    </row>
    <row r="2920" spans="27:104" s="5" customFormat="1" x14ac:dyDescent="0.25">
      <c r="AA2920" s="56"/>
      <c r="AB2920" s="56"/>
      <c r="AC2920" s="56"/>
      <c r="AD2920" s="56"/>
      <c r="AE2920" s="56"/>
      <c r="AF2920" s="56"/>
      <c r="AG2920" s="56"/>
      <c r="AH2920" s="56"/>
      <c r="AI2920" s="56"/>
      <c r="AJ2920" s="56"/>
      <c r="AK2920" s="56"/>
      <c r="AL2920" s="56"/>
      <c r="AM2920" s="56"/>
      <c r="AN2920" s="56"/>
      <c r="AO2920" s="56"/>
      <c r="AP2920" s="56"/>
      <c r="AQ2920" s="56"/>
      <c r="AR2920" s="56"/>
      <c r="AS2920" s="56"/>
      <c r="AT2920" s="56"/>
      <c r="AU2920" s="56"/>
      <c r="AV2920" s="56"/>
      <c r="AW2920" s="56"/>
      <c r="AX2920" s="56"/>
      <c r="AY2920" s="56"/>
      <c r="AZ2920" s="56"/>
      <c r="BA2920" s="56"/>
      <c r="BB2920" s="16"/>
      <c r="BC2920" s="56"/>
      <c r="BD2920" s="56"/>
      <c r="BE2920" s="56"/>
      <c r="BF2920" s="56"/>
      <c r="BG2920" s="56"/>
      <c r="BH2920" s="56"/>
      <c r="BI2920" s="56"/>
      <c r="BJ2920" s="56"/>
      <c r="BK2920" s="56"/>
      <c r="BL2920" s="56"/>
      <c r="BM2920" s="56"/>
      <c r="BN2920" s="56"/>
      <c r="BO2920" s="56"/>
      <c r="BP2920" s="56"/>
      <c r="BQ2920" s="56"/>
      <c r="BR2920" s="56"/>
      <c r="BS2920" s="56"/>
      <c r="BT2920" s="56"/>
      <c r="BU2920" s="56"/>
      <c r="BV2920" s="56"/>
      <c r="BW2920" s="56"/>
      <c r="BX2920" s="56"/>
      <c r="BY2920" s="56"/>
      <c r="BZ2920" s="56"/>
      <c r="CA2920" s="56"/>
      <c r="CB2920" s="56"/>
      <c r="CC2920" s="56"/>
      <c r="CD2920" s="56"/>
      <c r="CE2920" s="56"/>
      <c r="CF2920" s="56"/>
      <c r="CG2920" s="56"/>
      <c r="CH2920" s="56"/>
      <c r="CI2920" s="56"/>
      <c r="CJ2920" s="56"/>
      <c r="CK2920" s="56"/>
      <c r="CL2920" s="56"/>
      <c r="CM2920" s="56"/>
      <c r="CN2920" s="56"/>
      <c r="CO2920" s="56"/>
      <c r="CP2920" s="56"/>
      <c r="CQ2920" s="56"/>
      <c r="CR2920" s="56"/>
      <c r="CS2920" s="56"/>
      <c r="CT2920" s="56"/>
      <c r="CU2920" s="56"/>
      <c r="CV2920" s="56"/>
      <c r="CW2920" s="56"/>
      <c r="CX2920" s="56"/>
      <c r="CY2920" s="56"/>
      <c r="CZ2920" s="56"/>
    </row>
    <row r="2921" spans="27:104" s="5" customFormat="1" x14ac:dyDescent="0.25">
      <c r="AA2921" s="56"/>
      <c r="AB2921" s="56"/>
      <c r="AC2921" s="56"/>
      <c r="AD2921" s="56"/>
      <c r="AE2921" s="56"/>
      <c r="AF2921" s="56"/>
      <c r="AG2921" s="56"/>
      <c r="AH2921" s="56"/>
      <c r="AI2921" s="56"/>
      <c r="AJ2921" s="56"/>
      <c r="AK2921" s="56"/>
      <c r="AL2921" s="56"/>
      <c r="AM2921" s="56"/>
      <c r="AN2921" s="56"/>
      <c r="AO2921" s="56"/>
      <c r="AP2921" s="56"/>
      <c r="AQ2921" s="56"/>
      <c r="AR2921" s="56"/>
      <c r="AS2921" s="56"/>
      <c r="AT2921" s="56"/>
      <c r="AU2921" s="56"/>
      <c r="AV2921" s="56"/>
      <c r="AW2921" s="56"/>
      <c r="AX2921" s="56"/>
      <c r="AY2921" s="56"/>
      <c r="AZ2921" s="56"/>
      <c r="BA2921" s="56"/>
      <c r="BB2921" s="16"/>
      <c r="BC2921" s="56"/>
      <c r="BD2921" s="56"/>
      <c r="BE2921" s="56"/>
      <c r="BF2921" s="56"/>
      <c r="BG2921" s="56"/>
      <c r="BH2921" s="56"/>
      <c r="BI2921" s="56"/>
      <c r="BJ2921" s="56"/>
      <c r="BK2921" s="56"/>
      <c r="BL2921" s="56"/>
      <c r="BM2921" s="56"/>
      <c r="BN2921" s="56"/>
      <c r="BO2921" s="56"/>
      <c r="BP2921" s="56"/>
      <c r="BQ2921" s="56"/>
      <c r="BR2921" s="56"/>
      <c r="BS2921" s="56"/>
      <c r="BT2921" s="56"/>
      <c r="BU2921" s="56"/>
      <c r="BV2921" s="56"/>
      <c r="BW2921" s="56"/>
      <c r="BX2921" s="56"/>
      <c r="BY2921" s="56"/>
      <c r="BZ2921" s="56"/>
      <c r="CA2921" s="56"/>
      <c r="CB2921" s="56"/>
      <c r="CC2921" s="56"/>
      <c r="CD2921" s="56"/>
      <c r="CE2921" s="56"/>
      <c r="CF2921" s="56"/>
      <c r="CG2921" s="56"/>
      <c r="CH2921" s="56"/>
      <c r="CI2921" s="56"/>
      <c r="CJ2921" s="56"/>
      <c r="CK2921" s="56"/>
      <c r="CL2921" s="56"/>
      <c r="CM2921" s="56"/>
      <c r="CN2921" s="56"/>
      <c r="CO2921" s="56"/>
      <c r="CP2921" s="56"/>
      <c r="CQ2921" s="56"/>
      <c r="CR2921" s="56"/>
      <c r="CS2921" s="56"/>
      <c r="CT2921" s="56"/>
      <c r="CU2921" s="56"/>
      <c r="CV2921" s="56"/>
      <c r="CW2921" s="56"/>
      <c r="CX2921" s="56"/>
      <c r="CY2921" s="56"/>
      <c r="CZ2921" s="56"/>
    </row>
    <row r="2922" spans="27:104" s="5" customFormat="1" x14ac:dyDescent="0.25">
      <c r="AA2922" s="56"/>
      <c r="AB2922" s="56"/>
      <c r="AC2922" s="56"/>
      <c r="AD2922" s="56"/>
      <c r="AE2922" s="56"/>
      <c r="AF2922" s="56"/>
      <c r="AG2922" s="56"/>
      <c r="AH2922" s="56"/>
      <c r="AI2922" s="56"/>
      <c r="AJ2922" s="56"/>
      <c r="AK2922" s="56"/>
      <c r="AL2922" s="56"/>
      <c r="AM2922" s="56"/>
      <c r="AN2922" s="56"/>
      <c r="AO2922" s="56"/>
      <c r="AP2922" s="56"/>
      <c r="AQ2922" s="56"/>
      <c r="AR2922" s="56"/>
      <c r="AS2922" s="56"/>
      <c r="AT2922" s="56"/>
      <c r="AU2922" s="56"/>
      <c r="AV2922" s="56"/>
      <c r="AW2922" s="56"/>
      <c r="AX2922" s="56"/>
      <c r="AY2922" s="56"/>
      <c r="AZ2922" s="56"/>
      <c r="BA2922" s="56"/>
      <c r="BB2922" s="16"/>
      <c r="BC2922" s="56"/>
      <c r="BD2922" s="56"/>
      <c r="BE2922" s="56"/>
      <c r="BF2922" s="56"/>
      <c r="BG2922" s="56"/>
      <c r="BH2922" s="56"/>
      <c r="BI2922" s="56"/>
      <c r="BJ2922" s="56"/>
      <c r="BK2922" s="56"/>
      <c r="BL2922" s="56"/>
      <c r="BM2922" s="56"/>
      <c r="BN2922" s="56"/>
      <c r="BO2922" s="56"/>
      <c r="BP2922" s="56"/>
      <c r="BQ2922" s="56"/>
      <c r="BR2922" s="56"/>
      <c r="BS2922" s="56"/>
      <c r="BT2922" s="56"/>
      <c r="BU2922" s="56"/>
      <c r="BV2922" s="56"/>
      <c r="BW2922" s="56"/>
      <c r="BX2922" s="56"/>
      <c r="BY2922" s="56"/>
      <c r="BZ2922" s="56"/>
      <c r="CA2922" s="56"/>
      <c r="CB2922" s="56"/>
      <c r="CC2922" s="56"/>
      <c r="CD2922" s="56"/>
      <c r="CE2922" s="56"/>
      <c r="CF2922" s="56"/>
      <c r="CG2922" s="56"/>
      <c r="CH2922" s="56"/>
      <c r="CI2922" s="56"/>
      <c r="CJ2922" s="56"/>
      <c r="CK2922" s="56"/>
      <c r="CL2922" s="56"/>
      <c r="CM2922" s="56"/>
      <c r="CN2922" s="56"/>
      <c r="CO2922" s="56"/>
      <c r="CP2922" s="56"/>
      <c r="CQ2922" s="56"/>
      <c r="CR2922" s="56"/>
      <c r="CS2922" s="56"/>
      <c r="CT2922" s="56"/>
      <c r="CU2922" s="56"/>
      <c r="CV2922" s="56"/>
      <c r="CW2922" s="56"/>
      <c r="CX2922" s="56"/>
      <c r="CY2922" s="56"/>
      <c r="CZ2922" s="56"/>
    </row>
    <row r="2923" spans="27:104" s="5" customFormat="1" x14ac:dyDescent="0.25">
      <c r="AA2923" s="56"/>
      <c r="AB2923" s="56"/>
      <c r="AC2923" s="56"/>
      <c r="AD2923" s="56"/>
      <c r="AE2923" s="56"/>
      <c r="AF2923" s="56"/>
      <c r="AG2923" s="56"/>
      <c r="AH2923" s="56"/>
      <c r="AI2923" s="56"/>
      <c r="AJ2923" s="56"/>
      <c r="AK2923" s="56"/>
      <c r="AL2923" s="56"/>
      <c r="AM2923" s="56"/>
      <c r="AN2923" s="56"/>
      <c r="AO2923" s="56"/>
      <c r="AP2923" s="56"/>
      <c r="AQ2923" s="56"/>
      <c r="AR2923" s="56"/>
      <c r="AS2923" s="56"/>
      <c r="AT2923" s="56"/>
      <c r="AU2923" s="56"/>
      <c r="AV2923" s="56"/>
      <c r="AW2923" s="56"/>
      <c r="AX2923" s="56"/>
      <c r="AY2923" s="56"/>
      <c r="AZ2923" s="56"/>
      <c r="BA2923" s="56"/>
      <c r="BB2923" s="16"/>
      <c r="BC2923" s="56"/>
      <c r="BD2923" s="56"/>
      <c r="BE2923" s="56"/>
      <c r="BF2923" s="56"/>
      <c r="BG2923" s="56"/>
      <c r="BH2923" s="56"/>
      <c r="BI2923" s="56"/>
      <c r="BJ2923" s="56"/>
      <c r="BK2923" s="56"/>
      <c r="BL2923" s="56"/>
      <c r="BM2923" s="56"/>
      <c r="BN2923" s="56"/>
      <c r="BO2923" s="56"/>
      <c r="BP2923" s="56"/>
      <c r="BQ2923" s="56"/>
      <c r="BR2923" s="56"/>
      <c r="BS2923" s="56"/>
      <c r="BT2923" s="56"/>
      <c r="BU2923" s="56"/>
      <c r="BV2923" s="56"/>
      <c r="BW2923" s="56"/>
      <c r="BX2923" s="56"/>
      <c r="BY2923" s="56"/>
      <c r="BZ2923" s="56"/>
      <c r="CA2923" s="56"/>
      <c r="CB2923" s="56"/>
      <c r="CC2923" s="56"/>
      <c r="CD2923" s="56"/>
      <c r="CE2923" s="56"/>
      <c r="CF2923" s="56"/>
      <c r="CG2923" s="56"/>
      <c r="CH2923" s="56"/>
      <c r="CI2923" s="56"/>
      <c r="CJ2923" s="56"/>
      <c r="CK2923" s="56"/>
      <c r="CL2923" s="56"/>
      <c r="CM2923" s="56"/>
      <c r="CN2923" s="56"/>
      <c r="CO2923" s="56"/>
      <c r="CP2923" s="56"/>
      <c r="CQ2923" s="56"/>
      <c r="CR2923" s="56"/>
      <c r="CS2923" s="56"/>
      <c r="CT2923" s="56"/>
      <c r="CU2923" s="56"/>
      <c r="CV2923" s="56"/>
      <c r="CW2923" s="56"/>
      <c r="CX2923" s="56"/>
      <c r="CY2923" s="56"/>
      <c r="CZ2923" s="56"/>
    </row>
    <row r="2924" spans="27:104" s="5" customFormat="1" x14ac:dyDescent="0.25">
      <c r="AA2924" s="56"/>
      <c r="AB2924" s="56"/>
      <c r="AC2924" s="56"/>
      <c r="AD2924" s="56"/>
      <c r="AE2924" s="56"/>
      <c r="AF2924" s="56"/>
      <c r="AG2924" s="56"/>
      <c r="AH2924" s="56"/>
      <c r="AI2924" s="56"/>
      <c r="AJ2924" s="56"/>
      <c r="AK2924" s="56"/>
      <c r="AL2924" s="56"/>
      <c r="AM2924" s="56"/>
      <c r="AN2924" s="56"/>
      <c r="AO2924" s="56"/>
      <c r="AP2924" s="56"/>
      <c r="AQ2924" s="56"/>
      <c r="AR2924" s="56"/>
      <c r="AS2924" s="56"/>
      <c r="AT2924" s="56"/>
      <c r="AU2924" s="56"/>
      <c r="AV2924" s="56"/>
      <c r="AW2924" s="56"/>
      <c r="AX2924" s="56"/>
      <c r="AY2924" s="56"/>
      <c r="AZ2924" s="56"/>
      <c r="BA2924" s="56"/>
      <c r="BB2924" s="16"/>
      <c r="BC2924" s="56"/>
      <c r="BD2924" s="56"/>
      <c r="BE2924" s="56"/>
      <c r="BF2924" s="56"/>
      <c r="BG2924" s="56"/>
      <c r="BH2924" s="56"/>
      <c r="BI2924" s="56"/>
      <c r="BJ2924" s="56"/>
      <c r="BK2924" s="56"/>
      <c r="BL2924" s="56"/>
      <c r="BM2924" s="56"/>
      <c r="BN2924" s="56"/>
      <c r="BO2924" s="56"/>
      <c r="BP2924" s="56"/>
      <c r="BQ2924" s="56"/>
      <c r="BR2924" s="56"/>
      <c r="BS2924" s="56"/>
      <c r="BT2924" s="56"/>
      <c r="BU2924" s="56"/>
      <c r="BV2924" s="56"/>
      <c r="BW2924" s="56"/>
      <c r="BX2924" s="56"/>
      <c r="BY2924" s="56"/>
      <c r="BZ2924" s="56"/>
      <c r="CA2924" s="56"/>
      <c r="CB2924" s="56"/>
      <c r="CC2924" s="56"/>
      <c r="CD2924" s="56"/>
      <c r="CE2924" s="56"/>
      <c r="CF2924" s="56"/>
      <c r="CG2924" s="56"/>
      <c r="CH2924" s="56"/>
      <c r="CI2924" s="56"/>
      <c r="CJ2924" s="56"/>
      <c r="CK2924" s="56"/>
      <c r="CL2924" s="56"/>
      <c r="CM2924" s="56"/>
      <c r="CN2924" s="56"/>
      <c r="CO2924" s="56"/>
      <c r="CP2924" s="56"/>
      <c r="CQ2924" s="56"/>
      <c r="CR2924" s="56"/>
      <c r="CS2924" s="56"/>
      <c r="CT2924" s="56"/>
      <c r="CU2924" s="56"/>
      <c r="CV2924" s="56"/>
      <c r="CW2924" s="56"/>
      <c r="CX2924" s="56"/>
      <c r="CY2924" s="56"/>
      <c r="CZ2924" s="56"/>
    </row>
    <row r="2925" spans="27:104" s="5" customFormat="1" x14ac:dyDescent="0.25">
      <c r="AA2925" s="56"/>
      <c r="AB2925" s="56"/>
      <c r="AC2925" s="56"/>
      <c r="AD2925" s="56"/>
      <c r="AE2925" s="56"/>
      <c r="AF2925" s="56"/>
      <c r="AG2925" s="56"/>
      <c r="AH2925" s="56"/>
      <c r="AI2925" s="56"/>
      <c r="AJ2925" s="56"/>
      <c r="AK2925" s="56"/>
      <c r="AL2925" s="56"/>
      <c r="AM2925" s="56"/>
      <c r="AN2925" s="56"/>
      <c r="AO2925" s="56"/>
      <c r="AP2925" s="56"/>
      <c r="AQ2925" s="56"/>
      <c r="AR2925" s="56"/>
      <c r="AS2925" s="56"/>
      <c r="AT2925" s="56"/>
      <c r="AU2925" s="56"/>
      <c r="AV2925" s="56"/>
      <c r="AW2925" s="56"/>
      <c r="AX2925" s="56"/>
      <c r="AY2925" s="56"/>
      <c r="AZ2925" s="56"/>
      <c r="BA2925" s="56"/>
      <c r="BB2925" s="16"/>
      <c r="BC2925" s="56"/>
      <c r="BD2925" s="56"/>
      <c r="BE2925" s="56"/>
      <c r="BF2925" s="56"/>
      <c r="BG2925" s="56"/>
      <c r="BH2925" s="56"/>
      <c r="BI2925" s="56"/>
      <c r="BJ2925" s="56"/>
      <c r="BK2925" s="56"/>
      <c r="BL2925" s="56"/>
      <c r="BM2925" s="56"/>
      <c r="BN2925" s="56"/>
      <c r="BO2925" s="56"/>
      <c r="BP2925" s="56"/>
      <c r="BQ2925" s="56"/>
      <c r="BR2925" s="56"/>
      <c r="BS2925" s="56"/>
      <c r="BT2925" s="56"/>
      <c r="BU2925" s="56"/>
      <c r="BV2925" s="56"/>
      <c r="BW2925" s="56"/>
      <c r="BX2925" s="56"/>
      <c r="BY2925" s="56"/>
      <c r="BZ2925" s="56"/>
      <c r="CA2925" s="56"/>
      <c r="CB2925" s="56"/>
      <c r="CC2925" s="56"/>
      <c r="CD2925" s="56"/>
      <c r="CE2925" s="56"/>
      <c r="CF2925" s="56"/>
      <c r="CG2925" s="56"/>
      <c r="CH2925" s="56"/>
      <c r="CI2925" s="56"/>
      <c r="CJ2925" s="56"/>
      <c r="CK2925" s="56"/>
      <c r="CL2925" s="56"/>
      <c r="CM2925" s="56"/>
      <c r="CN2925" s="56"/>
      <c r="CO2925" s="56"/>
      <c r="CP2925" s="56"/>
      <c r="CQ2925" s="56"/>
      <c r="CR2925" s="56"/>
      <c r="CS2925" s="56"/>
      <c r="CT2925" s="56"/>
      <c r="CU2925" s="56"/>
      <c r="CV2925" s="56"/>
      <c r="CW2925" s="56"/>
      <c r="CX2925" s="56"/>
      <c r="CY2925" s="56"/>
      <c r="CZ2925" s="56"/>
    </row>
    <row r="2926" spans="27:104" s="5" customFormat="1" x14ac:dyDescent="0.25">
      <c r="AA2926" s="56"/>
      <c r="AB2926" s="56"/>
      <c r="AC2926" s="56"/>
      <c r="AD2926" s="56"/>
      <c r="AE2926" s="56"/>
      <c r="AF2926" s="56"/>
      <c r="AG2926" s="56"/>
      <c r="AH2926" s="56"/>
      <c r="AI2926" s="56"/>
      <c r="AJ2926" s="56"/>
      <c r="AK2926" s="56"/>
      <c r="AL2926" s="56"/>
      <c r="AM2926" s="56"/>
      <c r="AN2926" s="56"/>
      <c r="AO2926" s="56"/>
      <c r="AP2926" s="56"/>
      <c r="AQ2926" s="56"/>
      <c r="AR2926" s="56"/>
      <c r="AS2926" s="56"/>
      <c r="AT2926" s="56"/>
      <c r="AU2926" s="56"/>
      <c r="AV2926" s="56"/>
      <c r="AW2926" s="56"/>
      <c r="AX2926" s="56"/>
      <c r="AY2926" s="56"/>
      <c r="AZ2926" s="56"/>
      <c r="BA2926" s="56"/>
      <c r="BB2926" s="16"/>
      <c r="BC2926" s="56"/>
      <c r="BD2926" s="56"/>
      <c r="BE2926" s="56"/>
      <c r="BF2926" s="56"/>
      <c r="BG2926" s="56"/>
      <c r="BH2926" s="56"/>
      <c r="BI2926" s="56"/>
      <c r="BJ2926" s="56"/>
      <c r="BK2926" s="56"/>
      <c r="BL2926" s="56"/>
      <c r="BM2926" s="56"/>
      <c r="BN2926" s="56"/>
      <c r="BO2926" s="56"/>
      <c r="BP2926" s="56"/>
      <c r="BQ2926" s="56"/>
      <c r="BR2926" s="56"/>
      <c r="BS2926" s="56"/>
      <c r="BT2926" s="56"/>
      <c r="BU2926" s="56"/>
      <c r="BV2926" s="56"/>
      <c r="BW2926" s="56"/>
      <c r="BX2926" s="56"/>
      <c r="BY2926" s="56"/>
      <c r="BZ2926" s="56"/>
      <c r="CA2926" s="56"/>
      <c r="CB2926" s="56"/>
      <c r="CC2926" s="56"/>
      <c r="CD2926" s="56"/>
      <c r="CE2926" s="56"/>
      <c r="CF2926" s="56"/>
      <c r="CG2926" s="56"/>
      <c r="CH2926" s="56"/>
      <c r="CI2926" s="56"/>
      <c r="CJ2926" s="56"/>
      <c r="CK2926" s="56"/>
      <c r="CL2926" s="56"/>
      <c r="CM2926" s="56"/>
      <c r="CN2926" s="56"/>
      <c r="CO2926" s="56"/>
      <c r="CP2926" s="56"/>
      <c r="CQ2926" s="56"/>
      <c r="CR2926" s="56"/>
      <c r="CS2926" s="56"/>
      <c r="CT2926" s="56"/>
      <c r="CU2926" s="56"/>
      <c r="CV2926" s="56"/>
      <c r="CW2926" s="56"/>
      <c r="CX2926" s="56"/>
      <c r="CY2926" s="56"/>
      <c r="CZ2926" s="56"/>
    </row>
    <row r="2927" spans="27:104" s="5" customFormat="1" x14ac:dyDescent="0.25">
      <c r="AA2927" s="56"/>
      <c r="AB2927" s="56"/>
      <c r="AC2927" s="56"/>
      <c r="AD2927" s="56"/>
      <c r="AE2927" s="56"/>
      <c r="AF2927" s="56"/>
      <c r="AG2927" s="56"/>
      <c r="AH2927" s="56"/>
      <c r="AI2927" s="56"/>
      <c r="AJ2927" s="56"/>
      <c r="AK2927" s="56"/>
      <c r="AL2927" s="56"/>
      <c r="AM2927" s="56"/>
      <c r="AN2927" s="56"/>
      <c r="AO2927" s="56"/>
      <c r="AP2927" s="56"/>
      <c r="AQ2927" s="56"/>
      <c r="AR2927" s="56"/>
      <c r="AS2927" s="56"/>
      <c r="AT2927" s="56"/>
      <c r="AU2927" s="56"/>
      <c r="AV2927" s="56"/>
      <c r="AW2927" s="56"/>
      <c r="AX2927" s="56"/>
      <c r="AY2927" s="56"/>
      <c r="AZ2927" s="56"/>
      <c r="BA2927" s="56"/>
      <c r="BB2927" s="16"/>
      <c r="BC2927" s="56"/>
      <c r="BD2927" s="56"/>
      <c r="BE2927" s="56"/>
      <c r="BF2927" s="56"/>
      <c r="BG2927" s="56"/>
      <c r="BH2927" s="56"/>
      <c r="BI2927" s="56"/>
      <c r="BJ2927" s="56"/>
      <c r="BK2927" s="56"/>
      <c r="BL2927" s="56"/>
      <c r="BM2927" s="56"/>
      <c r="BN2927" s="56"/>
      <c r="BO2927" s="56"/>
      <c r="BP2927" s="56"/>
      <c r="BQ2927" s="56"/>
      <c r="BR2927" s="56"/>
      <c r="BS2927" s="56"/>
      <c r="BT2927" s="56"/>
      <c r="BU2927" s="56"/>
      <c r="BV2927" s="56"/>
      <c r="BW2927" s="56"/>
      <c r="BX2927" s="56"/>
      <c r="BY2927" s="56"/>
      <c r="BZ2927" s="56"/>
      <c r="CA2927" s="56"/>
      <c r="CB2927" s="56"/>
      <c r="CC2927" s="56"/>
      <c r="CD2927" s="56"/>
      <c r="CE2927" s="56"/>
      <c r="CF2927" s="56"/>
      <c r="CG2927" s="56"/>
      <c r="CH2927" s="56"/>
      <c r="CI2927" s="56"/>
      <c r="CJ2927" s="56"/>
      <c r="CK2927" s="56"/>
      <c r="CL2927" s="56"/>
      <c r="CM2927" s="56"/>
      <c r="CN2927" s="56"/>
      <c r="CO2927" s="56"/>
      <c r="CP2927" s="56"/>
      <c r="CQ2927" s="56"/>
      <c r="CR2927" s="56"/>
      <c r="CS2927" s="56"/>
      <c r="CT2927" s="56"/>
      <c r="CU2927" s="56"/>
      <c r="CV2927" s="56"/>
      <c r="CW2927" s="56"/>
      <c r="CX2927" s="56"/>
      <c r="CY2927" s="56"/>
      <c r="CZ2927" s="56"/>
    </row>
    <row r="2928" spans="27:104" s="5" customFormat="1" x14ac:dyDescent="0.25">
      <c r="AA2928" s="56"/>
      <c r="AB2928" s="56"/>
      <c r="AC2928" s="56"/>
      <c r="AD2928" s="56"/>
      <c r="AE2928" s="56"/>
      <c r="AF2928" s="56"/>
      <c r="AG2928" s="56"/>
      <c r="AH2928" s="56"/>
      <c r="AI2928" s="56"/>
      <c r="AJ2928" s="56"/>
      <c r="AK2928" s="56"/>
      <c r="AL2928" s="56"/>
      <c r="AM2928" s="56"/>
      <c r="AN2928" s="56"/>
      <c r="AO2928" s="56"/>
      <c r="AP2928" s="56"/>
      <c r="AQ2928" s="56"/>
      <c r="AR2928" s="56"/>
      <c r="AS2928" s="56"/>
      <c r="AT2928" s="56"/>
      <c r="AU2928" s="56"/>
      <c r="AV2928" s="56"/>
      <c r="AW2928" s="56"/>
      <c r="AX2928" s="56"/>
      <c r="AY2928" s="56"/>
      <c r="AZ2928" s="56"/>
      <c r="BA2928" s="56"/>
      <c r="BB2928" s="16"/>
      <c r="BC2928" s="56"/>
      <c r="BD2928" s="56"/>
      <c r="BE2928" s="56"/>
      <c r="BF2928" s="56"/>
      <c r="BG2928" s="56"/>
      <c r="BH2928" s="56"/>
      <c r="BI2928" s="56"/>
      <c r="BJ2928" s="56"/>
      <c r="BK2928" s="56"/>
      <c r="BL2928" s="56"/>
      <c r="BM2928" s="56"/>
      <c r="BN2928" s="56"/>
      <c r="BO2928" s="56"/>
      <c r="BP2928" s="56"/>
      <c r="BQ2928" s="56"/>
      <c r="BR2928" s="56"/>
      <c r="BS2928" s="56"/>
      <c r="BT2928" s="56"/>
      <c r="BU2928" s="56"/>
      <c r="BV2928" s="56"/>
      <c r="BW2928" s="56"/>
      <c r="BX2928" s="56"/>
      <c r="BY2928" s="56"/>
      <c r="BZ2928" s="56"/>
      <c r="CA2928" s="56"/>
      <c r="CB2928" s="56"/>
      <c r="CC2928" s="56"/>
      <c r="CD2928" s="56"/>
      <c r="CE2928" s="56"/>
      <c r="CF2928" s="56"/>
      <c r="CG2928" s="56"/>
      <c r="CH2928" s="56"/>
      <c r="CI2928" s="56"/>
      <c r="CJ2928" s="56"/>
      <c r="CK2928" s="56"/>
      <c r="CL2928" s="56"/>
      <c r="CM2928" s="56"/>
      <c r="CN2928" s="56"/>
      <c r="CO2928" s="56"/>
      <c r="CP2928" s="56"/>
      <c r="CQ2928" s="56"/>
      <c r="CR2928" s="56"/>
      <c r="CS2928" s="56"/>
      <c r="CT2928" s="56"/>
      <c r="CU2928" s="56"/>
      <c r="CV2928" s="56"/>
      <c r="CW2928" s="56"/>
      <c r="CX2928" s="56"/>
      <c r="CY2928" s="56"/>
      <c r="CZ2928" s="56"/>
    </row>
    <row r="2929" spans="27:104" s="5" customFormat="1" x14ac:dyDescent="0.25">
      <c r="AA2929" s="56"/>
      <c r="AB2929" s="56"/>
      <c r="AC2929" s="56"/>
      <c r="AD2929" s="56"/>
      <c r="AE2929" s="56"/>
      <c r="AF2929" s="56"/>
      <c r="AG2929" s="56"/>
      <c r="AH2929" s="56"/>
      <c r="AI2929" s="56"/>
      <c r="AJ2929" s="56"/>
      <c r="AK2929" s="56"/>
      <c r="AL2929" s="56"/>
      <c r="AM2929" s="56"/>
      <c r="AN2929" s="56"/>
      <c r="AO2929" s="56"/>
      <c r="AP2929" s="56"/>
      <c r="AQ2929" s="56"/>
      <c r="AR2929" s="56"/>
      <c r="AS2929" s="56"/>
      <c r="AT2929" s="56"/>
      <c r="AU2929" s="56"/>
      <c r="AV2929" s="56"/>
      <c r="AW2929" s="56"/>
      <c r="AX2929" s="56"/>
      <c r="AY2929" s="56"/>
      <c r="AZ2929" s="56"/>
      <c r="BA2929" s="56"/>
      <c r="BB2929" s="16"/>
      <c r="BC2929" s="56"/>
      <c r="BD2929" s="56"/>
      <c r="BE2929" s="56"/>
      <c r="BF2929" s="56"/>
      <c r="BG2929" s="56"/>
      <c r="BH2929" s="56"/>
      <c r="BI2929" s="56"/>
      <c r="BJ2929" s="56"/>
      <c r="BK2929" s="56"/>
      <c r="BL2929" s="56"/>
      <c r="BM2929" s="56"/>
      <c r="BN2929" s="56"/>
      <c r="BO2929" s="56"/>
      <c r="BP2929" s="56"/>
      <c r="BQ2929" s="56"/>
      <c r="BR2929" s="56"/>
      <c r="BS2929" s="56"/>
      <c r="BT2929" s="56"/>
      <c r="BU2929" s="56"/>
      <c r="BV2929" s="56"/>
      <c r="BW2929" s="56"/>
      <c r="BX2929" s="56"/>
      <c r="BY2929" s="56"/>
      <c r="BZ2929" s="56"/>
      <c r="CA2929" s="56"/>
      <c r="CB2929" s="56"/>
      <c r="CC2929" s="56"/>
      <c r="CD2929" s="56"/>
      <c r="CE2929" s="56"/>
      <c r="CF2929" s="56"/>
      <c r="CG2929" s="56"/>
      <c r="CH2929" s="56"/>
      <c r="CI2929" s="56"/>
      <c r="CJ2929" s="56"/>
      <c r="CK2929" s="56"/>
      <c r="CL2929" s="56"/>
      <c r="CM2929" s="56"/>
      <c r="CN2929" s="56"/>
      <c r="CO2929" s="56"/>
      <c r="CP2929" s="56"/>
      <c r="CQ2929" s="56"/>
      <c r="CR2929" s="56"/>
      <c r="CS2929" s="56"/>
      <c r="CT2929" s="56"/>
      <c r="CU2929" s="56"/>
      <c r="CV2929" s="56"/>
      <c r="CW2929" s="56"/>
      <c r="CX2929" s="56"/>
      <c r="CY2929" s="56"/>
      <c r="CZ2929" s="56"/>
    </row>
    <row r="2930" spans="27:104" s="5" customFormat="1" x14ac:dyDescent="0.25">
      <c r="AA2930" s="56"/>
      <c r="AB2930" s="56"/>
      <c r="AC2930" s="56"/>
      <c r="AD2930" s="56"/>
      <c r="AE2930" s="56"/>
      <c r="AF2930" s="56"/>
      <c r="AG2930" s="56"/>
      <c r="AH2930" s="56"/>
      <c r="AI2930" s="56"/>
      <c r="AJ2930" s="56"/>
      <c r="AK2930" s="56"/>
      <c r="AL2930" s="56"/>
      <c r="AM2930" s="56"/>
      <c r="AN2930" s="56"/>
      <c r="AO2930" s="56"/>
      <c r="AP2930" s="56"/>
      <c r="AQ2930" s="56"/>
      <c r="AR2930" s="56"/>
      <c r="AS2930" s="56"/>
      <c r="AT2930" s="56"/>
      <c r="AU2930" s="56"/>
      <c r="AV2930" s="56"/>
      <c r="AW2930" s="56"/>
      <c r="AX2930" s="56"/>
      <c r="AY2930" s="56"/>
      <c r="AZ2930" s="56"/>
      <c r="BA2930" s="56"/>
      <c r="BB2930" s="16"/>
      <c r="BC2930" s="56"/>
      <c r="BD2930" s="56"/>
      <c r="BE2930" s="56"/>
      <c r="BF2930" s="56"/>
      <c r="BG2930" s="56"/>
      <c r="BH2930" s="56"/>
      <c r="BI2930" s="56"/>
      <c r="BJ2930" s="56"/>
      <c r="BK2930" s="56"/>
      <c r="BL2930" s="56"/>
      <c r="BM2930" s="56"/>
      <c r="BN2930" s="56"/>
      <c r="BO2930" s="56"/>
      <c r="BP2930" s="56"/>
      <c r="BQ2930" s="56"/>
      <c r="BR2930" s="56"/>
      <c r="BS2930" s="56"/>
      <c r="BT2930" s="56"/>
      <c r="BU2930" s="56"/>
      <c r="BV2930" s="56"/>
      <c r="BW2930" s="56"/>
      <c r="BX2930" s="56"/>
      <c r="BY2930" s="56"/>
      <c r="BZ2930" s="56"/>
      <c r="CA2930" s="56"/>
      <c r="CB2930" s="56"/>
      <c r="CC2930" s="56"/>
      <c r="CD2930" s="56"/>
      <c r="CE2930" s="56"/>
      <c r="CF2930" s="56"/>
      <c r="CG2930" s="56"/>
      <c r="CH2930" s="56"/>
      <c r="CI2930" s="56"/>
      <c r="CJ2930" s="56"/>
      <c r="CK2930" s="56"/>
      <c r="CL2930" s="56"/>
      <c r="CM2930" s="56"/>
      <c r="CN2930" s="56"/>
      <c r="CO2930" s="56"/>
      <c r="CP2930" s="56"/>
      <c r="CQ2930" s="56"/>
      <c r="CR2930" s="56"/>
      <c r="CS2930" s="56"/>
      <c r="CT2930" s="56"/>
      <c r="CU2930" s="56"/>
      <c r="CV2930" s="56"/>
      <c r="CW2930" s="56"/>
      <c r="CX2930" s="56"/>
      <c r="CY2930" s="56"/>
      <c r="CZ2930" s="56"/>
    </row>
    <row r="2931" spans="27:104" s="5" customFormat="1" x14ac:dyDescent="0.25">
      <c r="AA2931" s="56"/>
      <c r="AB2931" s="56"/>
      <c r="AC2931" s="56"/>
      <c r="AD2931" s="56"/>
      <c r="AE2931" s="56"/>
      <c r="AF2931" s="56"/>
      <c r="AG2931" s="56"/>
      <c r="AH2931" s="56"/>
      <c r="AI2931" s="56"/>
      <c r="AJ2931" s="56"/>
      <c r="AK2931" s="56"/>
      <c r="AL2931" s="56"/>
      <c r="AM2931" s="56"/>
      <c r="AN2931" s="56"/>
      <c r="AO2931" s="56"/>
      <c r="AP2931" s="56"/>
      <c r="AQ2931" s="56"/>
      <c r="AR2931" s="56"/>
      <c r="AS2931" s="56"/>
      <c r="AT2931" s="56"/>
      <c r="AU2931" s="56"/>
      <c r="AV2931" s="56"/>
      <c r="AW2931" s="56"/>
      <c r="AX2931" s="56"/>
      <c r="AY2931" s="56"/>
      <c r="AZ2931" s="56"/>
      <c r="BA2931" s="56"/>
      <c r="BB2931" s="16"/>
      <c r="BC2931" s="56"/>
      <c r="BD2931" s="56"/>
      <c r="BE2931" s="56"/>
      <c r="BF2931" s="56"/>
      <c r="BG2931" s="56"/>
      <c r="BH2931" s="56"/>
      <c r="BI2931" s="56"/>
      <c r="BJ2931" s="56"/>
      <c r="BK2931" s="56"/>
      <c r="BL2931" s="56"/>
      <c r="BM2931" s="56"/>
      <c r="BN2931" s="56"/>
      <c r="BO2931" s="56"/>
      <c r="BP2931" s="56"/>
      <c r="BQ2931" s="56"/>
      <c r="BR2931" s="56"/>
      <c r="BS2931" s="56"/>
      <c r="BT2931" s="56"/>
      <c r="BU2931" s="56"/>
      <c r="BV2931" s="56"/>
      <c r="BW2931" s="56"/>
      <c r="BX2931" s="56"/>
      <c r="BY2931" s="56"/>
      <c r="BZ2931" s="56"/>
      <c r="CA2931" s="56"/>
      <c r="CB2931" s="56"/>
      <c r="CC2931" s="56"/>
      <c r="CD2931" s="56"/>
      <c r="CE2931" s="56"/>
      <c r="CF2931" s="56"/>
      <c r="CG2931" s="56"/>
      <c r="CH2931" s="56"/>
      <c r="CI2931" s="56"/>
      <c r="CJ2931" s="56"/>
      <c r="CK2931" s="56"/>
      <c r="CL2931" s="56"/>
      <c r="CM2931" s="56"/>
      <c r="CN2931" s="56"/>
      <c r="CO2931" s="56"/>
      <c r="CP2931" s="56"/>
      <c r="CQ2931" s="56"/>
      <c r="CR2931" s="56"/>
      <c r="CS2931" s="56"/>
      <c r="CT2931" s="56"/>
      <c r="CU2931" s="56"/>
      <c r="CV2931" s="56"/>
      <c r="CW2931" s="56"/>
      <c r="CX2931" s="56"/>
      <c r="CY2931" s="56"/>
      <c r="CZ2931" s="56"/>
    </row>
    <row r="2932" spans="27:104" s="5" customFormat="1" x14ac:dyDescent="0.25">
      <c r="AA2932" s="56"/>
      <c r="AB2932" s="56"/>
      <c r="AC2932" s="56"/>
      <c r="AD2932" s="56"/>
      <c r="AE2932" s="56"/>
      <c r="AF2932" s="56"/>
      <c r="AG2932" s="56"/>
      <c r="AH2932" s="56"/>
      <c r="AI2932" s="56"/>
      <c r="AJ2932" s="56"/>
      <c r="AK2932" s="56"/>
      <c r="AL2932" s="56"/>
      <c r="AM2932" s="56"/>
      <c r="AN2932" s="56"/>
      <c r="AO2932" s="56"/>
      <c r="AP2932" s="56"/>
      <c r="AQ2932" s="56"/>
      <c r="AR2932" s="56"/>
      <c r="AS2932" s="56"/>
      <c r="AT2932" s="56"/>
      <c r="AU2932" s="56"/>
      <c r="AV2932" s="56"/>
      <c r="AW2932" s="56"/>
      <c r="AX2932" s="56"/>
      <c r="AY2932" s="56"/>
      <c r="AZ2932" s="56"/>
      <c r="BA2932" s="56"/>
      <c r="BB2932" s="16"/>
      <c r="BC2932" s="56"/>
      <c r="BD2932" s="56"/>
      <c r="BE2932" s="56"/>
      <c r="BF2932" s="56"/>
      <c r="BG2932" s="56"/>
      <c r="BH2932" s="56"/>
      <c r="BI2932" s="56"/>
      <c r="BJ2932" s="56"/>
      <c r="BK2932" s="56"/>
      <c r="BL2932" s="56"/>
      <c r="BM2932" s="56"/>
      <c r="BN2932" s="56"/>
      <c r="BO2932" s="56"/>
      <c r="BP2932" s="56"/>
      <c r="BQ2932" s="56"/>
      <c r="BR2932" s="56"/>
      <c r="BS2932" s="56"/>
      <c r="BT2932" s="56"/>
      <c r="BU2932" s="56"/>
      <c r="BV2932" s="56"/>
      <c r="BW2932" s="56"/>
      <c r="BX2932" s="56"/>
      <c r="BY2932" s="56"/>
      <c r="BZ2932" s="56"/>
      <c r="CA2932" s="56"/>
      <c r="CB2932" s="56"/>
      <c r="CC2932" s="56"/>
      <c r="CD2932" s="56"/>
      <c r="CE2932" s="56"/>
      <c r="CF2932" s="56"/>
      <c r="CG2932" s="56"/>
      <c r="CH2932" s="56"/>
      <c r="CI2932" s="56"/>
      <c r="CJ2932" s="56"/>
      <c r="CK2932" s="56"/>
      <c r="CL2932" s="56"/>
      <c r="CM2932" s="56"/>
      <c r="CN2932" s="56"/>
      <c r="CO2932" s="56"/>
      <c r="CP2932" s="56"/>
      <c r="CQ2932" s="56"/>
      <c r="CR2932" s="56"/>
      <c r="CS2932" s="56"/>
      <c r="CT2932" s="56"/>
      <c r="CU2932" s="56"/>
      <c r="CV2932" s="56"/>
      <c r="CW2932" s="56"/>
      <c r="CX2932" s="56"/>
      <c r="CY2932" s="56"/>
      <c r="CZ2932" s="56"/>
    </row>
    <row r="2933" spans="27:104" s="5" customFormat="1" x14ac:dyDescent="0.25">
      <c r="AA2933" s="56"/>
      <c r="AB2933" s="56"/>
      <c r="AC2933" s="56"/>
      <c r="AD2933" s="56"/>
      <c r="AE2933" s="56"/>
      <c r="AF2933" s="56"/>
      <c r="AG2933" s="56"/>
      <c r="AH2933" s="56"/>
      <c r="AI2933" s="56"/>
      <c r="AJ2933" s="56"/>
      <c r="AK2933" s="56"/>
      <c r="AL2933" s="56"/>
      <c r="AM2933" s="56"/>
      <c r="AN2933" s="56"/>
      <c r="AO2933" s="56"/>
      <c r="AP2933" s="56"/>
      <c r="AQ2933" s="56"/>
      <c r="AR2933" s="56"/>
      <c r="AS2933" s="56"/>
      <c r="AT2933" s="56"/>
      <c r="AU2933" s="56"/>
      <c r="AV2933" s="56"/>
      <c r="AW2933" s="56"/>
      <c r="AX2933" s="56"/>
      <c r="AY2933" s="56"/>
      <c r="AZ2933" s="56"/>
      <c r="BA2933" s="56"/>
      <c r="BB2933" s="16"/>
      <c r="BC2933" s="56"/>
      <c r="BD2933" s="56"/>
      <c r="BE2933" s="56"/>
      <c r="BF2933" s="56"/>
      <c r="BG2933" s="56"/>
      <c r="BH2933" s="56"/>
      <c r="BI2933" s="56"/>
      <c r="BJ2933" s="56"/>
      <c r="BK2933" s="56"/>
      <c r="BL2933" s="56"/>
      <c r="BM2933" s="56"/>
      <c r="BN2933" s="56"/>
      <c r="BO2933" s="56"/>
      <c r="BP2933" s="56"/>
      <c r="BQ2933" s="56"/>
      <c r="BR2933" s="56"/>
      <c r="BS2933" s="56"/>
      <c r="BT2933" s="56"/>
      <c r="BU2933" s="56"/>
      <c r="BV2933" s="56"/>
      <c r="BW2933" s="56"/>
      <c r="BX2933" s="56"/>
      <c r="BY2933" s="56"/>
      <c r="BZ2933" s="56"/>
      <c r="CA2933" s="56"/>
      <c r="CB2933" s="56"/>
      <c r="CC2933" s="56"/>
      <c r="CD2933" s="56"/>
      <c r="CE2933" s="56"/>
      <c r="CF2933" s="56"/>
      <c r="CG2933" s="56"/>
      <c r="CH2933" s="56"/>
      <c r="CI2933" s="56"/>
      <c r="CJ2933" s="56"/>
      <c r="CK2933" s="56"/>
      <c r="CL2933" s="56"/>
      <c r="CM2933" s="56"/>
      <c r="CN2933" s="56"/>
      <c r="CO2933" s="56"/>
      <c r="CP2933" s="56"/>
      <c r="CQ2933" s="56"/>
      <c r="CR2933" s="56"/>
      <c r="CS2933" s="56"/>
      <c r="CT2933" s="56"/>
      <c r="CU2933" s="56"/>
      <c r="CV2933" s="56"/>
      <c r="CW2933" s="56"/>
      <c r="CX2933" s="56"/>
      <c r="CY2933" s="56"/>
      <c r="CZ2933" s="56"/>
    </row>
    <row r="2934" spans="27:104" s="5" customFormat="1" x14ac:dyDescent="0.25">
      <c r="AA2934" s="56"/>
      <c r="AB2934" s="56"/>
      <c r="AC2934" s="56"/>
      <c r="AD2934" s="56"/>
      <c r="AE2934" s="56"/>
      <c r="AF2934" s="56"/>
      <c r="AG2934" s="56"/>
      <c r="AH2934" s="56"/>
      <c r="AI2934" s="56"/>
      <c r="AJ2934" s="56"/>
      <c r="AK2934" s="56"/>
      <c r="AL2934" s="56"/>
      <c r="AM2934" s="56"/>
      <c r="AN2934" s="56"/>
      <c r="AO2934" s="56"/>
      <c r="AP2934" s="56"/>
      <c r="AQ2934" s="56"/>
      <c r="AR2934" s="56"/>
      <c r="AS2934" s="56"/>
      <c r="AT2934" s="56"/>
      <c r="AU2934" s="56"/>
      <c r="AV2934" s="56"/>
      <c r="AW2934" s="56"/>
      <c r="AX2934" s="56"/>
      <c r="AY2934" s="56"/>
      <c r="AZ2934" s="56"/>
      <c r="BA2934" s="56"/>
      <c r="BB2934" s="16"/>
      <c r="BC2934" s="56"/>
      <c r="BD2934" s="56"/>
      <c r="BE2934" s="56"/>
      <c r="BF2934" s="56"/>
      <c r="BG2934" s="56"/>
      <c r="BH2934" s="56"/>
      <c r="BI2934" s="56"/>
      <c r="BJ2934" s="56"/>
      <c r="BK2934" s="56"/>
      <c r="BL2934" s="56"/>
      <c r="BM2934" s="56"/>
      <c r="BN2934" s="56"/>
      <c r="BO2934" s="56"/>
      <c r="BP2934" s="56"/>
      <c r="BQ2934" s="56"/>
      <c r="BR2934" s="56"/>
      <c r="BS2934" s="56"/>
      <c r="BT2934" s="56"/>
      <c r="BU2934" s="56"/>
      <c r="BV2934" s="56"/>
      <c r="BW2934" s="56"/>
      <c r="BX2934" s="56"/>
      <c r="BY2934" s="56"/>
      <c r="BZ2934" s="56"/>
      <c r="CA2934" s="56"/>
      <c r="CB2934" s="56"/>
      <c r="CC2934" s="56"/>
      <c r="CD2934" s="56"/>
      <c r="CE2934" s="56"/>
      <c r="CF2934" s="56"/>
      <c r="CG2934" s="56"/>
      <c r="CH2934" s="56"/>
      <c r="CI2934" s="56"/>
      <c r="CJ2934" s="56"/>
      <c r="CK2934" s="56"/>
      <c r="CL2934" s="56"/>
      <c r="CM2934" s="56"/>
      <c r="CN2934" s="56"/>
      <c r="CO2934" s="56"/>
      <c r="CP2934" s="56"/>
      <c r="CQ2934" s="56"/>
      <c r="CR2934" s="56"/>
      <c r="CS2934" s="56"/>
      <c r="CT2934" s="56"/>
      <c r="CU2934" s="56"/>
      <c r="CV2934" s="56"/>
      <c r="CW2934" s="56"/>
      <c r="CX2934" s="56"/>
      <c r="CY2934" s="56"/>
      <c r="CZ2934" s="56"/>
    </row>
    <row r="2935" spans="27:104" s="5" customFormat="1" x14ac:dyDescent="0.25">
      <c r="AA2935" s="56"/>
      <c r="AB2935" s="56"/>
      <c r="AC2935" s="56"/>
      <c r="AD2935" s="56"/>
      <c r="AE2935" s="56"/>
      <c r="AF2935" s="56"/>
      <c r="AG2935" s="56"/>
      <c r="AH2935" s="56"/>
      <c r="AI2935" s="56"/>
      <c r="AJ2935" s="56"/>
      <c r="AK2935" s="56"/>
      <c r="AL2935" s="56"/>
      <c r="AM2935" s="56"/>
      <c r="AN2935" s="56"/>
      <c r="AO2935" s="56"/>
      <c r="AP2935" s="56"/>
      <c r="AQ2935" s="56"/>
      <c r="AR2935" s="56"/>
      <c r="AS2935" s="56"/>
      <c r="AT2935" s="56"/>
      <c r="AU2935" s="56"/>
      <c r="AV2935" s="56"/>
      <c r="AW2935" s="56"/>
      <c r="AX2935" s="56"/>
      <c r="AY2935" s="56"/>
      <c r="AZ2935" s="56"/>
      <c r="BA2935" s="56"/>
      <c r="BB2935" s="16"/>
      <c r="BC2935" s="56"/>
      <c r="BD2935" s="56"/>
      <c r="BE2935" s="56"/>
      <c r="BF2935" s="56"/>
      <c r="BG2935" s="56"/>
      <c r="BH2935" s="56"/>
      <c r="BI2935" s="56"/>
      <c r="BJ2935" s="56"/>
      <c r="BK2935" s="56"/>
      <c r="BL2935" s="56"/>
      <c r="BM2935" s="56"/>
      <c r="BN2935" s="56"/>
      <c r="BO2935" s="56"/>
      <c r="BP2935" s="56"/>
      <c r="BQ2935" s="56"/>
      <c r="BR2935" s="56"/>
      <c r="BS2935" s="56"/>
      <c r="BT2935" s="56"/>
      <c r="BU2935" s="56"/>
      <c r="BV2935" s="56"/>
      <c r="BW2935" s="56"/>
      <c r="BX2935" s="56"/>
      <c r="BY2935" s="56"/>
      <c r="BZ2935" s="56"/>
      <c r="CA2935" s="56"/>
      <c r="CB2935" s="56"/>
      <c r="CC2935" s="56"/>
      <c r="CD2935" s="56"/>
      <c r="CE2935" s="56"/>
      <c r="CF2935" s="56"/>
      <c r="CG2935" s="56"/>
      <c r="CH2935" s="56"/>
      <c r="CI2935" s="56"/>
      <c r="CJ2935" s="56"/>
      <c r="CK2935" s="56"/>
      <c r="CL2935" s="56"/>
      <c r="CM2935" s="56"/>
      <c r="CN2935" s="56"/>
      <c r="CO2935" s="56"/>
      <c r="CP2935" s="56"/>
      <c r="CQ2935" s="56"/>
      <c r="CR2935" s="56"/>
      <c r="CS2935" s="56"/>
      <c r="CT2935" s="56"/>
      <c r="CU2935" s="56"/>
      <c r="CV2935" s="56"/>
      <c r="CW2935" s="56"/>
      <c r="CX2935" s="56"/>
      <c r="CY2935" s="56"/>
      <c r="CZ2935" s="56"/>
    </row>
    <row r="2936" spans="27:104" s="5" customFormat="1" x14ac:dyDescent="0.25">
      <c r="AA2936" s="56"/>
      <c r="AB2936" s="56"/>
      <c r="AC2936" s="56"/>
      <c r="AD2936" s="56"/>
      <c r="AE2936" s="56"/>
      <c r="AF2936" s="56"/>
      <c r="AG2936" s="56"/>
      <c r="AH2936" s="56"/>
      <c r="AI2936" s="56"/>
      <c r="AJ2936" s="56"/>
      <c r="AK2936" s="56"/>
      <c r="AL2936" s="56"/>
      <c r="AM2936" s="56"/>
      <c r="AN2936" s="56"/>
      <c r="AO2936" s="56"/>
      <c r="AP2936" s="56"/>
      <c r="AQ2936" s="56"/>
      <c r="AR2936" s="56"/>
      <c r="AS2936" s="56"/>
      <c r="AT2936" s="56"/>
      <c r="AU2936" s="56"/>
      <c r="AV2936" s="56"/>
      <c r="AW2936" s="56"/>
      <c r="AX2936" s="56"/>
      <c r="AY2936" s="56"/>
      <c r="AZ2936" s="56"/>
      <c r="BA2936" s="56"/>
      <c r="BB2936" s="16"/>
      <c r="BC2936" s="56"/>
      <c r="BD2936" s="56"/>
      <c r="BE2936" s="56"/>
      <c r="BF2936" s="56"/>
      <c r="BG2936" s="56"/>
      <c r="BH2936" s="56"/>
      <c r="BI2936" s="56"/>
      <c r="BJ2936" s="56"/>
      <c r="BK2936" s="56"/>
      <c r="BL2936" s="56"/>
      <c r="BM2936" s="56"/>
      <c r="BN2936" s="56"/>
      <c r="BO2936" s="56"/>
      <c r="BP2936" s="56"/>
      <c r="BQ2936" s="56"/>
      <c r="BR2936" s="56"/>
      <c r="BS2936" s="56"/>
      <c r="BT2936" s="56"/>
      <c r="BU2936" s="56"/>
      <c r="BV2936" s="56"/>
      <c r="BW2936" s="56"/>
      <c r="BX2936" s="56"/>
      <c r="BY2936" s="56"/>
      <c r="BZ2936" s="56"/>
      <c r="CA2936" s="56"/>
      <c r="CB2936" s="56"/>
      <c r="CC2936" s="56"/>
      <c r="CD2936" s="56"/>
      <c r="CE2936" s="56"/>
      <c r="CF2936" s="56"/>
      <c r="CG2936" s="56"/>
      <c r="CH2936" s="56"/>
      <c r="CI2936" s="56"/>
      <c r="CJ2936" s="56"/>
      <c r="CK2936" s="56"/>
      <c r="CL2936" s="56"/>
      <c r="CM2936" s="56"/>
      <c r="CN2936" s="56"/>
      <c r="CO2936" s="56"/>
      <c r="CP2936" s="56"/>
      <c r="CQ2936" s="56"/>
      <c r="CR2936" s="56"/>
      <c r="CS2936" s="56"/>
      <c r="CT2936" s="56"/>
      <c r="CU2936" s="56"/>
      <c r="CV2936" s="56"/>
      <c r="CW2936" s="56"/>
      <c r="CX2936" s="56"/>
      <c r="CY2936" s="56"/>
      <c r="CZ2936" s="56"/>
    </row>
    <row r="2937" spans="27:104" s="5" customFormat="1" x14ac:dyDescent="0.25">
      <c r="AA2937" s="56"/>
      <c r="AB2937" s="56"/>
      <c r="AC2937" s="56"/>
      <c r="AD2937" s="56"/>
      <c r="AE2937" s="56"/>
      <c r="AF2937" s="56"/>
      <c r="AG2937" s="56"/>
      <c r="AH2937" s="56"/>
      <c r="AI2937" s="56"/>
      <c r="AJ2937" s="56"/>
      <c r="AK2937" s="56"/>
      <c r="AL2937" s="56"/>
      <c r="AM2937" s="56"/>
      <c r="AN2937" s="56"/>
      <c r="AO2937" s="56"/>
      <c r="AP2937" s="56"/>
      <c r="AQ2937" s="56"/>
      <c r="AR2937" s="56"/>
      <c r="AS2937" s="56"/>
      <c r="AT2937" s="56"/>
      <c r="AU2937" s="56"/>
      <c r="AV2937" s="56"/>
      <c r="AW2937" s="56"/>
      <c r="AX2937" s="56"/>
      <c r="AY2937" s="56"/>
      <c r="AZ2937" s="56"/>
      <c r="BA2937" s="56"/>
      <c r="BB2937" s="16"/>
      <c r="BC2937" s="56"/>
      <c r="BD2937" s="56"/>
      <c r="BE2937" s="56"/>
      <c r="BF2937" s="56"/>
      <c r="BG2937" s="56"/>
      <c r="BH2937" s="56"/>
      <c r="BI2937" s="56"/>
      <c r="BJ2937" s="56"/>
      <c r="BK2937" s="56"/>
      <c r="BL2937" s="56"/>
      <c r="BM2937" s="56"/>
      <c r="BN2937" s="56"/>
      <c r="BO2937" s="56"/>
      <c r="BP2937" s="56"/>
      <c r="BQ2937" s="56"/>
      <c r="BR2937" s="56"/>
      <c r="BS2937" s="56"/>
      <c r="BT2937" s="56"/>
      <c r="BU2937" s="56"/>
      <c r="BV2937" s="56"/>
      <c r="BW2937" s="56"/>
      <c r="BX2937" s="56"/>
      <c r="BY2937" s="56"/>
      <c r="BZ2937" s="56"/>
      <c r="CA2937" s="56"/>
      <c r="CB2937" s="56"/>
      <c r="CC2937" s="56"/>
      <c r="CD2937" s="56"/>
      <c r="CE2937" s="56"/>
      <c r="CF2937" s="56"/>
      <c r="CG2937" s="56"/>
      <c r="CH2937" s="56"/>
      <c r="CI2937" s="56"/>
      <c r="CJ2937" s="56"/>
      <c r="CK2937" s="56"/>
      <c r="CL2937" s="56"/>
      <c r="CM2937" s="56"/>
      <c r="CN2937" s="56"/>
      <c r="CO2937" s="56"/>
      <c r="CP2937" s="56"/>
      <c r="CQ2937" s="56"/>
      <c r="CR2937" s="56"/>
      <c r="CS2937" s="56"/>
      <c r="CT2937" s="56"/>
      <c r="CU2937" s="56"/>
      <c r="CV2937" s="56"/>
      <c r="CW2937" s="56"/>
      <c r="CX2937" s="56"/>
      <c r="CY2937" s="56"/>
      <c r="CZ2937" s="56"/>
    </row>
    <row r="2938" spans="27:104" s="5" customFormat="1" x14ac:dyDescent="0.25">
      <c r="AA2938" s="56"/>
      <c r="AB2938" s="56"/>
      <c r="AC2938" s="56"/>
      <c r="AD2938" s="56"/>
      <c r="AE2938" s="56"/>
      <c r="AF2938" s="56"/>
      <c r="AG2938" s="56"/>
      <c r="AH2938" s="56"/>
      <c r="AI2938" s="56"/>
      <c r="AJ2938" s="56"/>
      <c r="AK2938" s="56"/>
      <c r="AL2938" s="56"/>
      <c r="AM2938" s="56"/>
      <c r="AN2938" s="56"/>
      <c r="AO2938" s="56"/>
      <c r="AP2938" s="56"/>
      <c r="AQ2938" s="56"/>
      <c r="AR2938" s="56"/>
      <c r="AS2938" s="56"/>
      <c r="AT2938" s="56"/>
      <c r="AU2938" s="56"/>
      <c r="AV2938" s="56"/>
      <c r="AW2938" s="56"/>
      <c r="AX2938" s="56"/>
      <c r="AY2938" s="56"/>
      <c r="AZ2938" s="56"/>
      <c r="BA2938" s="56"/>
      <c r="BB2938" s="16"/>
      <c r="BC2938" s="56"/>
      <c r="BD2938" s="56"/>
      <c r="BE2938" s="56"/>
      <c r="BF2938" s="56"/>
      <c r="BG2938" s="56"/>
      <c r="BH2938" s="56"/>
      <c r="BI2938" s="56"/>
      <c r="BJ2938" s="56"/>
      <c r="BK2938" s="56"/>
      <c r="BL2938" s="56"/>
      <c r="BM2938" s="56"/>
      <c r="BN2938" s="56"/>
      <c r="BO2938" s="56"/>
      <c r="BP2938" s="56"/>
      <c r="BQ2938" s="56"/>
      <c r="BR2938" s="56"/>
      <c r="BS2938" s="56"/>
      <c r="BT2938" s="56"/>
      <c r="BU2938" s="56"/>
      <c r="BV2938" s="56"/>
      <c r="BW2938" s="56"/>
      <c r="BX2938" s="56"/>
      <c r="BY2938" s="56"/>
      <c r="BZ2938" s="56"/>
      <c r="CA2938" s="56"/>
      <c r="CB2938" s="56"/>
      <c r="CC2938" s="56"/>
      <c r="CD2938" s="56"/>
      <c r="CE2938" s="56"/>
      <c r="CF2938" s="56"/>
      <c r="CG2938" s="56"/>
      <c r="CH2938" s="56"/>
      <c r="CI2938" s="56"/>
      <c r="CJ2938" s="56"/>
      <c r="CK2938" s="56"/>
      <c r="CL2938" s="56"/>
      <c r="CM2938" s="56"/>
      <c r="CN2938" s="56"/>
      <c r="CO2938" s="56"/>
      <c r="CP2938" s="56"/>
      <c r="CQ2938" s="56"/>
      <c r="CR2938" s="56"/>
      <c r="CS2938" s="56"/>
      <c r="CT2938" s="56"/>
      <c r="CU2938" s="56"/>
      <c r="CV2938" s="56"/>
      <c r="CW2938" s="56"/>
      <c r="CX2938" s="56"/>
      <c r="CY2938" s="56"/>
      <c r="CZ2938" s="56"/>
    </row>
    <row r="2939" spans="27:104" s="5" customFormat="1" x14ac:dyDescent="0.25">
      <c r="AA2939" s="56"/>
      <c r="AB2939" s="56"/>
      <c r="AC2939" s="56"/>
      <c r="AD2939" s="56"/>
      <c r="AE2939" s="56"/>
      <c r="AF2939" s="56"/>
      <c r="AG2939" s="56"/>
      <c r="AH2939" s="56"/>
      <c r="AI2939" s="56"/>
      <c r="AJ2939" s="56"/>
      <c r="AK2939" s="56"/>
      <c r="AL2939" s="56"/>
      <c r="AM2939" s="56"/>
      <c r="AN2939" s="56"/>
      <c r="AO2939" s="56"/>
      <c r="AP2939" s="56"/>
      <c r="AQ2939" s="56"/>
      <c r="AR2939" s="56"/>
      <c r="AS2939" s="56"/>
      <c r="AT2939" s="56"/>
      <c r="AU2939" s="56"/>
      <c r="AV2939" s="56"/>
      <c r="AW2939" s="56"/>
      <c r="AX2939" s="56"/>
      <c r="AY2939" s="56"/>
      <c r="AZ2939" s="56"/>
      <c r="BA2939" s="56"/>
      <c r="BB2939" s="16"/>
      <c r="BC2939" s="56"/>
      <c r="BD2939" s="56"/>
      <c r="BE2939" s="56"/>
      <c r="BF2939" s="56"/>
      <c r="BG2939" s="56"/>
      <c r="BH2939" s="56"/>
      <c r="BI2939" s="56"/>
      <c r="BJ2939" s="56"/>
      <c r="BK2939" s="56"/>
      <c r="BL2939" s="56"/>
      <c r="BM2939" s="56"/>
      <c r="BN2939" s="56"/>
      <c r="BO2939" s="56"/>
      <c r="BP2939" s="56"/>
      <c r="BQ2939" s="56"/>
      <c r="BR2939" s="56"/>
      <c r="BS2939" s="56"/>
      <c r="BT2939" s="56"/>
      <c r="BU2939" s="56"/>
      <c r="BV2939" s="56"/>
      <c r="BW2939" s="56"/>
      <c r="BX2939" s="56"/>
      <c r="BY2939" s="56"/>
      <c r="BZ2939" s="56"/>
      <c r="CA2939" s="56"/>
      <c r="CB2939" s="56"/>
      <c r="CC2939" s="56"/>
      <c r="CD2939" s="56"/>
      <c r="CE2939" s="56"/>
      <c r="CF2939" s="56"/>
      <c r="CG2939" s="56"/>
      <c r="CH2939" s="56"/>
      <c r="CI2939" s="56"/>
      <c r="CJ2939" s="56"/>
      <c r="CK2939" s="56"/>
      <c r="CL2939" s="56"/>
      <c r="CM2939" s="56"/>
      <c r="CN2939" s="56"/>
      <c r="CO2939" s="56"/>
      <c r="CP2939" s="56"/>
      <c r="CQ2939" s="56"/>
      <c r="CR2939" s="56"/>
      <c r="CS2939" s="56"/>
      <c r="CT2939" s="56"/>
      <c r="CU2939" s="56"/>
      <c r="CV2939" s="56"/>
      <c r="CW2939" s="56"/>
      <c r="CX2939" s="56"/>
      <c r="CY2939" s="56"/>
      <c r="CZ2939" s="56"/>
    </row>
    <row r="2940" spans="27:104" s="5" customFormat="1" x14ac:dyDescent="0.25">
      <c r="AA2940" s="56"/>
      <c r="AB2940" s="56"/>
      <c r="AC2940" s="56"/>
      <c r="AD2940" s="56"/>
      <c r="AE2940" s="56"/>
      <c r="AF2940" s="56"/>
      <c r="AG2940" s="56"/>
      <c r="AH2940" s="56"/>
      <c r="AI2940" s="56"/>
      <c r="AJ2940" s="56"/>
      <c r="AK2940" s="56"/>
      <c r="AL2940" s="56"/>
      <c r="AM2940" s="56"/>
      <c r="AN2940" s="56"/>
      <c r="AO2940" s="56"/>
      <c r="AP2940" s="56"/>
      <c r="AQ2940" s="56"/>
      <c r="AR2940" s="56"/>
      <c r="AS2940" s="56"/>
      <c r="AT2940" s="56"/>
      <c r="AU2940" s="56"/>
      <c r="AV2940" s="56"/>
      <c r="AW2940" s="56"/>
      <c r="AX2940" s="56"/>
      <c r="AY2940" s="56"/>
      <c r="AZ2940" s="56"/>
      <c r="BA2940" s="56"/>
      <c r="BB2940" s="16"/>
      <c r="BC2940" s="56"/>
      <c r="BD2940" s="56"/>
      <c r="BE2940" s="56"/>
      <c r="BF2940" s="56"/>
      <c r="BG2940" s="56"/>
      <c r="BH2940" s="56"/>
      <c r="BI2940" s="56"/>
      <c r="BJ2940" s="56"/>
      <c r="BK2940" s="56"/>
      <c r="BL2940" s="56"/>
      <c r="BM2940" s="56"/>
      <c r="BN2940" s="56"/>
      <c r="BO2940" s="56"/>
      <c r="BP2940" s="56"/>
      <c r="BQ2940" s="56"/>
      <c r="BR2940" s="56"/>
      <c r="BS2940" s="56"/>
      <c r="BT2940" s="56"/>
      <c r="BU2940" s="56"/>
      <c r="BV2940" s="56"/>
      <c r="BW2940" s="56"/>
      <c r="BX2940" s="56"/>
      <c r="BY2940" s="56"/>
      <c r="BZ2940" s="56"/>
      <c r="CA2940" s="56"/>
      <c r="CB2940" s="56"/>
      <c r="CC2940" s="56"/>
      <c r="CD2940" s="56"/>
      <c r="CE2940" s="56"/>
      <c r="CF2940" s="56"/>
      <c r="CG2940" s="56"/>
      <c r="CH2940" s="56"/>
      <c r="CI2940" s="56"/>
      <c r="CJ2940" s="56"/>
      <c r="CK2940" s="56"/>
      <c r="CL2940" s="56"/>
      <c r="CM2940" s="56"/>
      <c r="CN2940" s="56"/>
      <c r="CO2940" s="56"/>
      <c r="CP2940" s="56"/>
      <c r="CQ2940" s="56"/>
      <c r="CR2940" s="56"/>
      <c r="CS2940" s="56"/>
      <c r="CT2940" s="56"/>
      <c r="CU2940" s="56"/>
      <c r="CV2940" s="56"/>
      <c r="CW2940" s="56"/>
      <c r="CX2940" s="56"/>
      <c r="CY2940" s="56"/>
      <c r="CZ2940" s="56"/>
    </row>
    <row r="2941" spans="27:104" s="5" customFormat="1" x14ac:dyDescent="0.25">
      <c r="AA2941" s="56"/>
      <c r="AB2941" s="56"/>
      <c r="AC2941" s="56"/>
      <c r="AD2941" s="56"/>
      <c r="AE2941" s="56"/>
      <c r="AF2941" s="56"/>
      <c r="AG2941" s="56"/>
      <c r="AH2941" s="56"/>
      <c r="AI2941" s="56"/>
      <c r="AJ2941" s="56"/>
      <c r="AK2941" s="56"/>
      <c r="AL2941" s="56"/>
      <c r="AM2941" s="56"/>
      <c r="AN2941" s="56"/>
      <c r="AO2941" s="56"/>
      <c r="AP2941" s="56"/>
      <c r="AQ2941" s="56"/>
      <c r="AR2941" s="56"/>
      <c r="AS2941" s="56"/>
      <c r="AT2941" s="56"/>
      <c r="AU2941" s="56"/>
      <c r="AV2941" s="56"/>
      <c r="AW2941" s="56"/>
      <c r="AX2941" s="56"/>
      <c r="AY2941" s="56"/>
      <c r="AZ2941" s="56"/>
      <c r="BA2941" s="56"/>
      <c r="BB2941" s="16"/>
      <c r="BC2941" s="56"/>
      <c r="BD2941" s="56"/>
      <c r="BE2941" s="56"/>
      <c r="BF2941" s="56"/>
      <c r="BG2941" s="56"/>
      <c r="BH2941" s="56"/>
      <c r="BI2941" s="56"/>
      <c r="BJ2941" s="56"/>
      <c r="BK2941" s="56"/>
      <c r="BL2941" s="56"/>
      <c r="BM2941" s="56"/>
      <c r="BN2941" s="56"/>
      <c r="BO2941" s="56"/>
      <c r="BP2941" s="56"/>
      <c r="BQ2941" s="56"/>
      <c r="BR2941" s="56"/>
      <c r="BS2941" s="56"/>
      <c r="BT2941" s="56"/>
      <c r="BU2941" s="56"/>
      <c r="BV2941" s="56"/>
      <c r="BW2941" s="56"/>
      <c r="BX2941" s="56"/>
      <c r="BY2941" s="56"/>
      <c r="BZ2941" s="56"/>
      <c r="CA2941" s="56"/>
      <c r="CB2941" s="56"/>
      <c r="CC2941" s="56"/>
      <c r="CD2941" s="56"/>
      <c r="CE2941" s="56"/>
      <c r="CF2941" s="56"/>
      <c r="CG2941" s="56"/>
      <c r="CH2941" s="56"/>
      <c r="CI2941" s="56"/>
      <c r="CJ2941" s="56"/>
      <c r="CK2941" s="56"/>
      <c r="CL2941" s="56"/>
      <c r="CM2941" s="56"/>
      <c r="CN2941" s="56"/>
      <c r="CO2941" s="56"/>
      <c r="CP2941" s="56"/>
      <c r="CQ2941" s="56"/>
      <c r="CR2941" s="56"/>
      <c r="CS2941" s="56"/>
      <c r="CT2941" s="56"/>
      <c r="CU2941" s="56"/>
      <c r="CV2941" s="56"/>
      <c r="CW2941" s="56"/>
      <c r="CX2941" s="56"/>
      <c r="CY2941" s="56"/>
      <c r="CZ2941" s="56"/>
    </row>
    <row r="2942" spans="27:104" s="5" customFormat="1" x14ac:dyDescent="0.25">
      <c r="AA2942" s="56"/>
      <c r="AB2942" s="56"/>
      <c r="AC2942" s="56"/>
      <c r="AD2942" s="56"/>
      <c r="AE2942" s="56"/>
      <c r="AF2942" s="56"/>
      <c r="AG2942" s="56"/>
      <c r="AH2942" s="56"/>
      <c r="AI2942" s="56"/>
      <c r="AJ2942" s="56"/>
      <c r="AK2942" s="56"/>
      <c r="AL2942" s="56"/>
      <c r="AM2942" s="56"/>
      <c r="AN2942" s="56"/>
      <c r="AO2942" s="56"/>
      <c r="AP2942" s="56"/>
      <c r="AQ2942" s="56"/>
      <c r="AR2942" s="56"/>
      <c r="AS2942" s="56"/>
      <c r="AT2942" s="56"/>
      <c r="AU2942" s="56"/>
      <c r="AV2942" s="56"/>
      <c r="AW2942" s="56"/>
      <c r="AX2942" s="56"/>
      <c r="AY2942" s="56"/>
      <c r="AZ2942" s="56"/>
      <c r="BA2942" s="56"/>
      <c r="BB2942" s="16"/>
      <c r="BC2942" s="56"/>
      <c r="BD2942" s="56"/>
      <c r="BE2942" s="56"/>
      <c r="BF2942" s="56"/>
      <c r="BG2942" s="56"/>
      <c r="BH2942" s="56"/>
      <c r="BI2942" s="56"/>
      <c r="BJ2942" s="56"/>
      <c r="BK2942" s="56"/>
      <c r="BL2942" s="56"/>
      <c r="BM2942" s="56"/>
      <c r="BN2942" s="56"/>
      <c r="BO2942" s="56"/>
      <c r="BP2942" s="56"/>
      <c r="BQ2942" s="56"/>
      <c r="BR2942" s="56"/>
      <c r="BS2942" s="56"/>
      <c r="BT2942" s="56"/>
      <c r="BU2942" s="56"/>
      <c r="BV2942" s="56"/>
      <c r="BW2942" s="56"/>
      <c r="BX2942" s="56"/>
      <c r="BY2942" s="56"/>
      <c r="BZ2942" s="56"/>
      <c r="CA2942" s="56"/>
      <c r="CB2942" s="56"/>
      <c r="CC2942" s="56"/>
      <c r="CD2942" s="56"/>
      <c r="CE2942" s="56"/>
      <c r="CF2942" s="56"/>
      <c r="CG2942" s="56"/>
      <c r="CH2942" s="56"/>
      <c r="CI2942" s="56"/>
      <c r="CJ2942" s="56"/>
      <c r="CK2942" s="56"/>
      <c r="CL2942" s="56"/>
      <c r="CM2942" s="56"/>
      <c r="CN2942" s="56"/>
      <c r="CO2942" s="56"/>
      <c r="CP2942" s="56"/>
      <c r="CQ2942" s="56"/>
      <c r="CR2942" s="56"/>
      <c r="CS2942" s="56"/>
      <c r="CT2942" s="56"/>
      <c r="CU2942" s="56"/>
      <c r="CV2942" s="56"/>
      <c r="CW2942" s="56"/>
      <c r="CX2942" s="56"/>
      <c r="CY2942" s="56"/>
      <c r="CZ2942" s="56"/>
    </row>
    <row r="2943" spans="27:104" s="5" customFormat="1" x14ac:dyDescent="0.25">
      <c r="AA2943" s="56"/>
      <c r="AB2943" s="56"/>
      <c r="AC2943" s="56"/>
      <c r="AD2943" s="56"/>
      <c r="AE2943" s="56"/>
      <c r="AF2943" s="56"/>
      <c r="AG2943" s="56"/>
      <c r="AH2943" s="56"/>
      <c r="AI2943" s="56"/>
      <c r="AJ2943" s="56"/>
      <c r="AK2943" s="56"/>
      <c r="AL2943" s="56"/>
      <c r="AM2943" s="56"/>
      <c r="AN2943" s="56"/>
      <c r="AO2943" s="56"/>
      <c r="AP2943" s="56"/>
      <c r="AQ2943" s="56"/>
      <c r="AR2943" s="56"/>
      <c r="AS2943" s="56"/>
      <c r="AT2943" s="56"/>
      <c r="AU2943" s="56"/>
      <c r="AV2943" s="56"/>
      <c r="AW2943" s="56"/>
      <c r="AX2943" s="56"/>
      <c r="AY2943" s="56"/>
      <c r="AZ2943" s="56"/>
      <c r="BA2943" s="56"/>
      <c r="BB2943" s="16"/>
      <c r="BC2943" s="56"/>
      <c r="BD2943" s="56"/>
      <c r="BE2943" s="56"/>
      <c r="BF2943" s="56"/>
      <c r="BG2943" s="56"/>
      <c r="BH2943" s="56"/>
      <c r="BI2943" s="56"/>
      <c r="BJ2943" s="56"/>
      <c r="BK2943" s="56"/>
      <c r="BL2943" s="56"/>
      <c r="BM2943" s="56"/>
      <c r="BN2943" s="56"/>
      <c r="BO2943" s="56"/>
      <c r="BP2943" s="56"/>
      <c r="BQ2943" s="56"/>
      <c r="BR2943" s="56"/>
      <c r="BS2943" s="56"/>
      <c r="BT2943" s="56"/>
      <c r="BU2943" s="56"/>
      <c r="BV2943" s="56"/>
      <c r="BW2943" s="56"/>
      <c r="BX2943" s="56"/>
      <c r="BY2943" s="56"/>
      <c r="BZ2943" s="56"/>
      <c r="CA2943" s="56"/>
      <c r="CB2943" s="56"/>
      <c r="CC2943" s="56"/>
      <c r="CD2943" s="56"/>
      <c r="CE2943" s="56"/>
      <c r="CF2943" s="56"/>
      <c r="CG2943" s="56"/>
      <c r="CH2943" s="56"/>
      <c r="CI2943" s="56"/>
      <c r="CJ2943" s="56"/>
      <c r="CK2943" s="56"/>
      <c r="CL2943" s="56"/>
      <c r="CM2943" s="56"/>
      <c r="CN2943" s="56"/>
      <c r="CO2943" s="56"/>
      <c r="CP2943" s="56"/>
      <c r="CQ2943" s="56"/>
      <c r="CR2943" s="56"/>
      <c r="CS2943" s="56"/>
      <c r="CT2943" s="56"/>
      <c r="CU2943" s="56"/>
      <c r="CV2943" s="56"/>
      <c r="CW2943" s="56"/>
      <c r="CX2943" s="56"/>
      <c r="CY2943" s="56"/>
      <c r="CZ2943" s="56"/>
    </row>
    <row r="2944" spans="27:104" s="5" customFormat="1" x14ac:dyDescent="0.25">
      <c r="AA2944" s="56"/>
      <c r="AB2944" s="56"/>
      <c r="AC2944" s="56"/>
      <c r="AD2944" s="56"/>
      <c r="AE2944" s="56"/>
      <c r="AF2944" s="56"/>
      <c r="AG2944" s="56"/>
      <c r="AH2944" s="56"/>
      <c r="AI2944" s="56"/>
      <c r="AJ2944" s="56"/>
      <c r="AK2944" s="56"/>
      <c r="AL2944" s="56"/>
      <c r="AM2944" s="56"/>
      <c r="AN2944" s="56"/>
      <c r="AO2944" s="56"/>
      <c r="AP2944" s="56"/>
      <c r="AQ2944" s="56"/>
      <c r="AR2944" s="56"/>
      <c r="AS2944" s="56"/>
      <c r="AT2944" s="56"/>
      <c r="AU2944" s="56"/>
      <c r="AV2944" s="56"/>
      <c r="AW2944" s="56"/>
      <c r="AX2944" s="56"/>
      <c r="AY2944" s="56"/>
      <c r="AZ2944" s="56"/>
      <c r="BA2944" s="56"/>
      <c r="BB2944" s="16"/>
      <c r="BC2944" s="56"/>
      <c r="BD2944" s="56"/>
      <c r="BE2944" s="56"/>
      <c r="BF2944" s="56"/>
      <c r="BG2944" s="56"/>
      <c r="BH2944" s="56"/>
      <c r="BI2944" s="56"/>
      <c r="BJ2944" s="56"/>
      <c r="BK2944" s="56"/>
      <c r="BL2944" s="56"/>
      <c r="BM2944" s="56"/>
      <c r="BN2944" s="56"/>
      <c r="BO2944" s="56"/>
      <c r="BP2944" s="56"/>
      <c r="BQ2944" s="56"/>
      <c r="BR2944" s="56"/>
      <c r="BS2944" s="56"/>
      <c r="BT2944" s="56"/>
      <c r="BU2944" s="56"/>
      <c r="BV2944" s="56"/>
      <c r="BW2944" s="56"/>
      <c r="BX2944" s="56"/>
      <c r="BY2944" s="56"/>
      <c r="BZ2944" s="56"/>
      <c r="CA2944" s="56"/>
      <c r="CB2944" s="56"/>
      <c r="CC2944" s="56"/>
      <c r="CD2944" s="56"/>
      <c r="CE2944" s="56"/>
      <c r="CF2944" s="56"/>
      <c r="CG2944" s="56"/>
      <c r="CH2944" s="56"/>
      <c r="CI2944" s="56"/>
      <c r="CJ2944" s="56"/>
      <c r="CK2944" s="56"/>
      <c r="CL2944" s="56"/>
      <c r="CM2944" s="56"/>
      <c r="CN2944" s="56"/>
      <c r="CO2944" s="56"/>
      <c r="CP2944" s="56"/>
      <c r="CQ2944" s="56"/>
      <c r="CR2944" s="56"/>
      <c r="CS2944" s="56"/>
      <c r="CT2944" s="56"/>
      <c r="CU2944" s="56"/>
      <c r="CV2944" s="56"/>
      <c r="CW2944" s="56"/>
      <c r="CX2944" s="56"/>
      <c r="CY2944" s="56"/>
      <c r="CZ2944" s="56"/>
    </row>
    <row r="2945" spans="27:104" s="5" customFormat="1" x14ac:dyDescent="0.25">
      <c r="AA2945" s="56"/>
      <c r="AB2945" s="56"/>
      <c r="AC2945" s="56"/>
      <c r="AD2945" s="56"/>
      <c r="AE2945" s="56"/>
      <c r="AF2945" s="56"/>
      <c r="AG2945" s="56"/>
      <c r="AH2945" s="56"/>
      <c r="AI2945" s="56"/>
      <c r="AJ2945" s="56"/>
      <c r="AK2945" s="56"/>
      <c r="AL2945" s="56"/>
      <c r="AM2945" s="56"/>
      <c r="AN2945" s="56"/>
      <c r="AO2945" s="56"/>
      <c r="AP2945" s="56"/>
      <c r="AQ2945" s="56"/>
      <c r="AR2945" s="56"/>
      <c r="AS2945" s="56"/>
      <c r="AT2945" s="56"/>
      <c r="AU2945" s="56"/>
      <c r="AV2945" s="56"/>
      <c r="AW2945" s="56"/>
      <c r="AX2945" s="56"/>
      <c r="AY2945" s="56"/>
      <c r="AZ2945" s="56"/>
      <c r="BA2945" s="56"/>
      <c r="BB2945" s="16"/>
      <c r="BC2945" s="56"/>
      <c r="BD2945" s="56"/>
      <c r="BE2945" s="56"/>
      <c r="BF2945" s="56"/>
      <c r="BG2945" s="56"/>
      <c r="BH2945" s="56"/>
      <c r="BI2945" s="56"/>
      <c r="BJ2945" s="56"/>
      <c r="BK2945" s="56"/>
      <c r="BL2945" s="56"/>
      <c r="BM2945" s="56"/>
      <c r="BN2945" s="56"/>
      <c r="BO2945" s="56"/>
      <c r="BP2945" s="56"/>
      <c r="BQ2945" s="56"/>
      <c r="BR2945" s="56"/>
      <c r="BS2945" s="56"/>
      <c r="BT2945" s="56"/>
      <c r="BU2945" s="56"/>
      <c r="BV2945" s="56"/>
      <c r="BW2945" s="56"/>
      <c r="BX2945" s="56"/>
      <c r="BY2945" s="56"/>
      <c r="BZ2945" s="56"/>
      <c r="CA2945" s="56"/>
      <c r="CB2945" s="56"/>
      <c r="CC2945" s="56"/>
      <c r="CD2945" s="56"/>
      <c r="CE2945" s="56"/>
      <c r="CF2945" s="56"/>
      <c r="CG2945" s="56"/>
      <c r="CH2945" s="56"/>
      <c r="CI2945" s="56"/>
      <c r="CJ2945" s="56"/>
      <c r="CK2945" s="56"/>
      <c r="CL2945" s="56"/>
      <c r="CM2945" s="56"/>
      <c r="CN2945" s="56"/>
      <c r="CO2945" s="56"/>
      <c r="CP2945" s="56"/>
      <c r="CQ2945" s="56"/>
      <c r="CR2945" s="56"/>
      <c r="CS2945" s="56"/>
      <c r="CT2945" s="56"/>
      <c r="CU2945" s="56"/>
      <c r="CV2945" s="56"/>
      <c r="CW2945" s="56"/>
      <c r="CX2945" s="56"/>
      <c r="CY2945" s="56"/>
      <c r="CZ2945" s="56"/>
    </row>
    <row r="2946" spans="27:104" s="5" customFormat="1" x14ac:dyDescent="0.25">
      <c r="AA2946" s="56"/>
      <c r="AB2946" s="56"/>
      <c r="AC2946" s="56"/>
      <c r="AD2946" s="56"/>
      <c r="AE2946" s="56"/>
      <c r="AF2946" s="56"/>
      <c r="AG2946" s="56"/>
      <c r="AH2946" s="56"/>
      <c r="AI2946" s="56"/>
      <c r="AJ2946" s="56"/>
      <c r="AK2946" s="56"/>
      <c r="AL2946" s="56"/>
      <c r="AM2946" s="56"/>
      <c r="AN2946" s="56"/>
      <c r="AO2946" s="56"/>
      <c r="AP2946" s="56"/>
      <c r="AQ2946" s="56"/>
      <c r="AR2946" s="56"/>
      <c r="AS2946" s="56"/>
      <c r="AT2946" s="56"/>
      <c r="AU2946" s="56"/>
      <c r="AV2946" s="56"/>
      <c r="AW2946" s="56"/>
      <c r="AX2946" s="56"/>
      <c r="AY2946" s="56"/>
      <c r="AZ2946" s="56"/>
      <c r="BA2946" s="56"/>
      <c r="BB2946" s="16"/>
      <c r="BC2946" s="56"/>
      <c r="BD2946" s="56"/>
      <c r="BE2946" s="56"/>
      <c r="BF2946" s="56"/>
      <c r="BG2946" s="56"/>
      <c r="BH2946" s="56"/>
      <c r="BI2946" s="56"/>
      <c r="BJ2946" s="56"/>
      <c r="BK2946" s="56"/>
      <c r="BL2946" s="56"/>
      <c r="BM2946" s="56"/>
      <c r="BN2946" s="56"/>
      <c r="BO2946" s="56"/>
      <c r="BP2946" s="56"/>
      <c r="BQ2946" s="56"/>
      <c r="BR2946" s="56"/>
      <c r="BS2946" s="56"/>
      <c r="BT2946" s="56"/>
      <c r="BU2946" s="56"/>
      <c r="BV2946" s="56"/>
      <c r="BW2946" s="56"/>
      <c r="BX2946" s="56"/>
      <c r="BY2946" s="56"/>
      <c r="BZ2946" s="56"/>
      <c r="CA2946" s="56"/>
      <c r="CB2946" s="56"/>
      <c r="CC2946" s="56"/>
      <c r="CD2946" s="56"/>
      <c r="CE2946" s="56"/>
      <c r="CF2946" s="56"/>
      <c r="CG2946" s="56"/>
      <c r="CH2946" s="56"/>
      <c r="CI2946" s="56"/>
      <c r="CJ2946" s="56"/>
      <c r="CK2946" s="56"/>
      <c r="CL2946" s="56"/>
      <c r="CM2946" s="56"/>
      <c r="CN2946" s="56"/>
      <c r="CO2946" s="56"/>
      <c r="CP2946" s="56"/>
      <c r="CQ2946" s="56"/>
      <c r="CR2946" s="56"/>
      <c r="CS2946" s="56"/>
      <c r="CT2946" s="56"/>
      <c r="CU2946" s="56"/>
      <c r="CV2946" s="56"/>
      <c r="CW2946" s="56"/>
      <c r="CX2946" s="56"/>
      <c r="CY2946" s="56"/>
      <c r="CZ2946" s="56"/>
    </row>
    <row r="2947" spans="27:104" s="5" customFormat="1" x14ac:dyDescent="0.25">
      <c r="AA2947" s="56"/>
      <c r="AB2947" s="56"/>
      <c r="AC2947" s="56"/>
      <c r="AD2947" s="56"/>
      <c r="AE2947" s="56"/>
      <c r="AF2947" s="56"/>
      <c r="AG2947" s="56"/>
      <c r="AH2947" s="56"/>
      <c r="AI2947" s="56"/>
      <c r="AJ2947" s="56"/>
      <c r="AK2947" s="56"/>
      <c r="AL2947" s="56"/>
      <c r="AM2947" s="56"/>
      <c r="AN2947" s="56"/>
      <c r="AO2947" s="56"/>
      <c r="AP2947" s="56"/>
      <c r="AQ2947" s="56"/>
      <c r="AR2947" s="56"/>
      <c r="AS2947" s="56"/>
      <c r="AT2947" s="56"/>
      <c r="AU2947" s="56"/>
      <c r="AV2947" s="56"/>
      <c r="AW2947" s="56"/>
      <c r="AX2947" s="56"/>
      <c r="AY2947" s="56"/>
      <c r="AZ2947" s="56"/>
      <c r="BA2947" s="56"/>
      <c r="BB2947" s="16"/>
      <c r="BC2947" s="56"/>
      <c r="BD2947" s="56"/>
      <c r="BE2947" s="56"/>
      <c r="BF2947" s="56"/>
      <c r="BG2947" s="56"/>
      <c r="BH2947" s="56"/>
      <c r="BI2947" s="56"/>
      <c r="BJ2947" s="56"/>
      <c r="BK2947" s="56"/>
      <c r="BL2947" s="56"/>
      <c r="BM2947" s="56"/>
      <c r="BN2947" s="56"/>
      <c r="BO2947" s="56"/>
      <c r="BP2947" s="56"/>
      <c r="BQ2947" s="56"/>
      <c r="BR2947" s="56"/>
      <c r="BS2947" s="56"/>
      <c r="BT2947" s="56"/>
      <c r="BU2947" s="56"/>
      <c r="BV2947" s="56"/>
      <c r="BW2947" s="56"/>
      <c r="BX2947" s="56"/>
      <c r="BY2947" s="56"/>
      <c r="BZ2947" s="56"/>
      <c r="CA2947" s="56"/>
      <c r="CB2947" s="56"/>
      <c r="CC2947" s="56"/>
      <c r="CD2947" s="56"/>
      <c r="CE2947" s="56"/>
      <c r="CF2947" s="56"/>
      <c r="CG2947" s="56"/>
      <c r="CH2947" s="56"/>
      <c r="CI2947" s="56"/>
      <c r="CJ2947" s="56"/>
      <c r="CK2947" s="56"/>
      <c r="CL2947" s="56"/>
      <c r="CM2947" s="56"/>
      <c r="CN2947" s="56"/>
      <c r="CO2947" s="56"/>
      <c r="CP2947" s="56"/>
      <c r="CQ2947" s="56"/>
      <c r="CR2947" s="56"/>
      <c r="CS2947" s="56"/>
      <c r="CT2947" s="56"/>
      <c r="CU2947" s="56"/>
      <c r="CV2947" s="56"/>
      <c r="CW2947" s="56"/>
      <c r="CX2947" s="56"/>
      <c r="CY2947" s="56"/>
      <c r="CZ2947" s="56"/>
    </row>
    <row r="2948" spans="27:104" s="5" customFormat="1" x14ac:dyDescent="0.25">
      <c r="AA2948" s="56"/>
      <c r="AB2948" s="56"/>
      <c r="AC2948" s="56"/>
      <c r="AD2948" s="56"/>
      <c r="AE2948" s="56"/>
      <c r="AF2948" s="56"/>
      <c r="AG2948" s="56"/>
      <c r="AH2948" s="56"/>
      <c r="AI2948" s="56"/>
      <c r="AJ2948" s="56"/>
      <c r="AK2948" s="56"/>
      <c r="AL2948" s="56"/>
      <c r="AM2948" s="56"/>
      <c r="AN2948" s="56"/>
      <c r="AO2948" s="56"/>
      <c r="AP2948" s="56"/>
      <c r="AQ2948" s="56"/>
      <c r="AR2948" s="56"/>
      <c r="AS2948" s="56"/>
      <c r="AT2948" s="56"/>
      <c r="AU2948" s="56"/>
      <c r="AV2948" s="56"/>
      <c r="AW2948" s="56"/>
      <c r="AX2948" s="56"/>
      <c r="AY2948" s="56"/>
      <c r="AZ2948" s="56"/>
      <c r="BA2948" s="56"/>
      <c r="BB2948" s="16"/>
      <c r="BC2948" s="56"/>
      <c r="BD2948" s="56"/>
      <c r="BE2948" s="56"/>
      <c r="BF2948" s="56"/>
      <c r="BG2948" s="56"/>
      <c r="BH2948" s="56"/>
      <c r="BI2948" s="56"/>
      <c r="BJ2948" s="56"/>
      <c r="BK2948" s="56"/>
      <c r="BL2948" s="56"/>
      <c r="BM2948" s="56"/>
      <c r="BN2948" s="56"/>
      <c r="BO2948" s="56"/>
      <c r="BP2948" s="56"/>
      <c r="BQ2948" s="56"/>
      <c r="BR2948" s="56"/>
      <c r="BS2948" s="56"/>
      <c r="BT2948" s="56"/>
      <c r="BU2948" s="56"/>
      <c r="BV2948" s="56"/>
      <c r="BW2948" s="56"/>
      <c r="BX2948" s="56"/>
      <c r="BY2948" s="56"/>
      <c r="BZ2948" s="56"/>
      <c r="CA2948" s="56"/>
      <c r="CB2948" s="56"/>
      <c r="CC2948" s="56"/>
      <c r="CD2948" s="56"/>
      <c r="CE2948" s="56"/>
      <c r="CF2948" s="56"/>
      <c r="CG2948" s="56"/>
      <c r="CH2948" s="56"/>
      <c r="CI2948" s="56"/>
      <c r="CJ2948" s="56"/>
      <c r="CK2948" s="56"/>
      <c r="CL2948" s="56"/>
      <c r="CM2948" s="56"/>
      <c r="CN2948" s="56"/>
      <c r="CO2948" s="56"/>
      <c r="CP2948" s="56"/>
      <c r="CQ2948" s="56"/>
      <c r="CR2948" s="56"/>
      <c r="CS2948" s="56"/>
      <c r="CT2948" s="56"/>
      <c r="CU2948" s="56"/>
      <c r="CV2948" s="56"/>
      <c r="CW2948" s="56"/>
      <c r="CX2948" s="56"/>
      <c r="CY2948" s="56"/>
      <c r="CZ2948" s="56"/>
    </row>
    <row r="2949" spans="27:104" s="5" customFormat="1" x14ac:dyDescent="0.25">
      <c r="AA2949" s="56"/>
      <c r="AB2949" s="56"/>
      <c r="AC2949" s="56"/>
      <c r="AD2949" s="56"/>
      <c r="AE2949" s="56"/>
      <c r="AF2949" s="56"/>
      <c r="AG2949" s="56"/>
      <c r="AH2949" s="56"/>
      <c r="AI2949" s="56"/>
      <c r="AJ2949" s="56"/>
      <c r="AK2949" s="56"/>
      <c r="AL2949" s="56"/>
      <c r="AM2949" s="56"/>
      <c r="AN2949" s="56"/>
      <c r="AO2949" s="56"/>
      <c r="AP2949" s="56"/>
      <c r="AQ2949" s="56"/>
      <c r="AR2949" s="56"/>
      <c r="AS2949" s="56"/>
      <c r="AT2949" s="56"/>
      <c r="AU2949" s="56"/>
      <c r="AV2949" s="56"/>
      <c r="AW2949" s="56"/>
      <c r="AX2949" s="56"/>
      <c r="AY2949" s="56"/>
      <c r="AZ2949" s="56"/>
      <c r="BA2949" s="56"/>
      <c r="BB2949" s="16"/>
      <c r="BC2949" s="56"/>
      <c r="BD2949" s="56"/>
      <c r="BE2949" s="56"/>
      <c r="BF2949" s="56"/>
      <c r="BG2949" s="56"/>
      <c r="BH2949" s="56"/>
      <c r="BI2949" s="56"/>
      <c r="BJ2949" s="56"/>
      <c r="BK2949" s="56"/>
      <c r="BL2949" s="56"/>
      <c r="BM2949" s="56"/>
      <c r="BN2949" s="56"/>
      <c r="BO2949" s="56"/>
      <c r="BP2949" s="56"/>
      <c r="BQ2949" s="56"/>
      <c r="BR2949" s="56"/>
      <c r="BS2949" s="56"/>
      <c r="BT2949" s="56"/>
      <c r="BU2949" s="56"/>
      <c r="BV2949" s="56"/>
      <c r="BW2949" s="56"/>
      <c r="BX2949" s="56"/>
      <c r="BY2949" s="56"/>
      <c r="BZ2949" s="56"/>
      <c r="CA2949" s="56"/>
      <c r="CB2949" s="56"/>
      <c r="CC2949" s="56"/>
      <c r="CD2949" s="56"/>
      <c r="CE2949" s="56"/>
      <c r="CF2949" s="56"/>
      <c r="CG2949" s="56"/>
      <c r="CH2949" s="56"/>
      <c r="CI2949" s="56"/>
      <c r="CJ2949" s="56"/>
      <c r="CK2949" s="56"/>
      <c r="CL2949" s="56"/>
      <c r="CM2949" s="56"/>
      <c r="CN2949" s="56"/>
      <c r="CO2949" s="56"/>
      <c r="CP2949" s="56"/>
      <c r="CQ2949" s="56"/>
      <c r="CR2949" s="56"/>
      <c r="CS2949" s="56"/>
      <c r="CT2949" s="56"/>
      <c r="CU2949" s="56"/>
      <c r="CV2949" s="56"/>
      <c r="CW2949" s="56"/>
      <c r="CX2949" s="56"/>
      <c r="CY2949" s="56"/>
      <c r="CZ2949" s="56"/>
    </row>
    <row r="2950" spans="27:104" s="5" customFormat="1" x14ac:dyDescent="0.25">
      <c r="AA2950" s="56"/>
      <c r="AB2950" s="56"/>
      <c r="AC2950" s="56"/>
      <c r="AD2950" s="56"/>
      <c r="AE2950" s="56"/>
      <c r="AF2950" s="56"/>
      <c r="AG2950" s="56"/>
      <c r="AH2950" s="56"/>
      <c r="AI2950" s="56"/>
      <c r="AJ2950" s="56"/>
      <c r="AK2950" s="56"/>
      <c r="AL2950" s="56"/>
      <c r="AM2950" s="56"/>
      <c r="AN2950" s="56"/>
      <c r="AO2950" s="56"/>
      <c r="AP2950" s="56"/>
      <c r="AQ2950" s="56"/>
      <c r="AR2950" s="56"/>
      <c r="AS2950" s="56"/>
      <c r="AT2950" s="56"/>
      <c r="AU2950" s="56"/>
      <c r="AV2950" s="56"/>
      <c r="AW2950" s="56"/>
      <c r="AX2950" s="56"/>
      <c r="AY2950" s="56"/>
      <c r="AZ2950" s="56"/>
      <c r="BA2950" s="56"/>
      <c r="BB2950" s="16"/>
      <c r="BC2950" s="56"/>
      <c r="BD2950" s="56"/>
      <c r="BE2950" s="56"/>
      <c r="BF2950" s="56"/>
      <c r="BG2950" s="56"/>
      <c r="BH2950" s="56"/>
      <c r="BI2950" s="56"/>
      <c r="BJ2950" s="56"/>
      <c r="BK2950" s="56"/>
      <c r="BL2950" s="56"/>
      <c r="BM2950" s="56"/>
      <c r="BN2950" s="56"/>
      <c r="BO2950" s="56"/>
      <c r="BP2950" s="56"/>
      <c r="BQ2950" s="56"/>
      <c r="BR2950" s="56"/>
      <c r="BS2950" s="56"/>
      <c r="BT2950" s="56"/>
      <c r="BU2950" s="56"/>
      <c r="BV2950" s="56"/>
      <c r="BW2950" s="56"/>
      <c r="BX2950" s="56"/>
      <c r="BY2950" s="56"/>
      <c r="BZ2950" s="56"/>
      <c r="CA2950" s="56"/>
      <c r="CB2950" s="56"/>
      <c r="CC2950" s="56"/>
      <c r="CD2950" s="56"/>
      <c r="CE2950" s="56"/>
      <c r="CF2950" s="56"/>
      <c r="CG2950" s="56"/>
      <c r="CH2950" s="56"/>
      <c r="CI2950" s="56"/>
      <c r="CJ2950" s="56"/>
      <c r="CK2950" s="56"/>
      <c r="CL2950" s="56"/>
      <c r="CM2950" s="56"/>
      <c r="CN2950" s="56"/>
      <c r="CO2950" s="56"/>
      <c r="CP2950" s="56"/>
      <c r="CQ2950" s="56"/>
      <c r="CR2950" s="56"/>
      <c r="CS2950" s="56"/>
      <c r="CT2950" s="56"/>
      <c r="CU2950" s="56"/>
      <c r="CV2950" s="56"/>
      <c r="CW2950" s="56"/>
      <c r="CX2950" s="56"/>
      <c r="CY2950" s="56"/>
      <c r="CZ2950" s="56"/>
    </row>
    <row r="2951" spans="27:104" s="5" customFormat="1" x14ac:dyDescent="0.25">
      <c r="AA2951" s="56"/>
      <c r="AB2951" s="56"/>
      <c r="AC2951" s="56"/>
      <c r="AD2951" s="56"/>
      <c r="AE2951" s="56"/>
      <c r="AF2951" s="56"/>
      <c r="AG2951" s="56"/>
      <c r="AH2951" s="56"/>
      <c r="AI2951" s="56"/>
      <c r="AJ2951" s="56"/>
      <c r="AK2951" s="56"/>
      <c r="AL2951" s="56"/>
      <c r="AM2951" s="56"/>
      <c r="AN2951" s="56"/>
      <c r="AO2951" s="56"/>
      <c r="AP2951" s="56"/>
      <c r="AQ2951" s="56"/>
      <c r="AR2951" s="56"/>
      <c r="AS2951" s="56"/>
      <c r="AT2951" s="56"/>
      <c r="AU2951" s="56"/>
      <c r="AV2951" s="56"/>
      <c r="AW2951" s="56"/>
      <c r="AX2951" s="56"/>
      <c r="AY2951" s="56"/>
      <c r="AZ2951" s="56"/>
      <c r="BA2951" s="56"/>
      <c r="BB2951" s="16"/>
      <c r="BC2951" s="56"/>
      <c r="BD2951" s="56"/>
      <c r="BE2951" s="56"/>
      <c r="BF2951" s="56"/>
      <c r="BG2951" s="56"/>
      <c r="BH2951" s="56"/>
      <c r="BI2951" s="56"/>
      <c r="BJ2951" s="56"/>
      <c r="BK2951" s="56"/>
      <c r="BL2951" s="56"/>
      <c r="BM2951" s="56"/>
      <c r="BN2951" s="56"/>
      <c r="BO2951" s="56"/>
      <c r="BP2951" s="56"/>
      <c r="BQ2951" s="56"/>
      <c r="BR2951" s="56"/>
      <c r="BS2951" s="56"/>
      <c r="BT2951" s="56"/>
      <c r="BU2951" s="56"/>
      <c r="BV2951" s="56"/>
      <c r="BW2951" s="56"/>
      <c r="BX2951" s="56"/>
      <c r="BY2951" s="56"/>
      <c r="BZ2951" s="56"/>
      <c r="CA2951" s="56"/>
      <c r="CB2951" s="56"/>
      <c r="CC2951" s="56"/>
      <c r="CD2951" s="56"/>
      <c r="CE2951" s="56"/>
      <c r="CF2951" s="56"/>
      <c r="CG2951" s="56"/>
      <c r="CH2951" s="56"/>
      <c r="CI2951" s="56"/>
      <c r="CJ2951" s="56"/>
      <c r="CK2951" s="56"/>
      <c r="CL2951" s="56"/>
      <c r="CM2951" s="56"/>
      <c r="CN2951" s="56"/>
      <c r="CO2951" s="56"/>
      <c r="CP2951" s="56"/>
      <c r="CQ2951" s="56"/>
      <c r="CR2951" s="56"/>
      <c r="CS2951" s="56"/>
      <c r="CT2951" s="56"/>
      <c r="CU2951" s="56"/>
      <c r="CV2951" s="56"/>
      <c r="CW2951" s="56"/>
      <c r="CX2951" s="56"/>
      <c r="CY2951" s="56"/>
      <c r="CZ2951" s="56"/>
    </row>
    <row r="2952" spans="27:104" s="5" customFormat="1" x14ac:dyDescent="0.25">
      <c r="AA2952" s="56"/>
      <c r="AB2952" s="56"/>
      <c r="AC2952" s="56"/>
      <c r="AD2952" s="56"/>
      <c r="AE2952" s="56"/>
      <c r="AF2952" s="56"/>
      <c r="AG2952" s="56"/>
      <c r="AH2952" s="56"/>
      <c r="AI2952" s="56"/>
      <c r="AJ2952" s="56"/>
      <c r="AK2952" s="56"/>
      <c r="AL2952" s="56"/>
      <c r="AM2952" s="56"/>
      <c r="AN2952" s="56"/>
      <c r="AO2952" s="56"/>
      <c r="AP2952" s="56"/>
      <c r="AQ2952" s="56"/>
      <c r="AR2952" s="56"/>
      <c r="AS2952" s="56"/>
      <c r="AT2952" s="56"/>
      <c r="AU2952" s="56"/>
      <c r="AV2952" s="56"/>
      <c r="AW2952" s="56"/>
      <c r="AX2952" s="56"/>
      <c r="AY2952" s="56"/>
      <c r="AZ2952" s="56"/>
      <c r="BA2952" s="56"/>
      <c r="BB2952" s="16"/>
      <c r="BC2952" s="56"/>
      <c r="BD2952" s="56"/>
      <c r="BE2952" s="56"/>
      <c r="BF2952" s="56"/>
      <c r="BG2952" s="56"/>
      <c r="BH2952" s="56"/>
      <c r="BI2952" s="56"/>
      <c r="BJ2952" s="56"/>
      <c r="BK2952" s="56"/>
      <c r="BL2952" s="56"/>
      <c r="BM2952" s="56"/>
      <c r="BN2952" s="56"/>
      <c r="BO2952" s="56"/>
      <c r="BP2952" s="56"/>
      <c r="BQ2952" s="56"/>
      <c r="BR2952" s="56"/>
      <c r="BS2952" s="56"/>
      <c r="BT2952" s="56"/>
      <c r="BU2952" s="56"/>
      <c r="BV2952" s="56"/>
      <c r="BW2952" s="56"/>
      <c r="BX2952" s="56"/>
      <c r="BY2952" s="56"/>
      <c r="BZ2952" s="56"/>
      <c r="CA2952" s="56"/>
      <c r="CB2952" s="56"/>
      <c r="CC2952" s="56"/>
      <c r="CD2952" s="56"/>
      <c r="CE2952" s="56"/>
      <c r="CF2952" s="56"/>
      <c r="CG2952" s="56"/>
      <c r="CH2952" s="56"/>
      <c r="CI2952" s="56"/>
      <c r="CJ2952" s="56"/>
      <c r="CK2952" s="56"/>
      <c r="CL2952" s="56"/>
      <c r="CM2952" s="56"/>
      <c r="CN2952" s="56"/>
      <c r="CO2952" s="56"/>
      <c r="CP2952" s="56"/>
      <c r="CQ2952" s="56"/>
      <c r="CR2952" s="56"/>
      <c r="CS2952" s="56"/>
      <c r="CT2952" s="56"/>
      <c r="CU2952" s="56"/>
      <c r="CV2952" s="56"/>
      <c r="CW2952" s="56"/>
      <c r="CX2952" s="56"/>
      <c r="CY2952" s="56"/>
      <c r="CZ2952" s="56"/>
    </row>
    <row r="2953" spans="27:104" s="5" customFormat="1" x14ac:dyDescent="0.25">
      <c r="AA2953" s="56"/>
      <c r="AB2953" s="56"/>
      <c r="AC2953" s="56"/>
      <c r="AD2953" s="56"/>
      <c r="AE2953" s="56"/>
      <c r="AF2953" s="56"/>
      <c r="AG2953" s="56"/>
      <c r="AH2953" s="56"/>
      <c r="AI2953" s="56"/>
      <c r="AJ2953" s="56"/>
      <c r="AK2953" s="56"/>
      <c r="AL2953" s="56"/>
      <c r="AM2953" s="56"/>
      <c r="AN2953" s="56"/>
      <c r="AO2953" s="56"/>
      <c r="AP2953" s="56"/>
      <c r="AQ2953" s="56"/>
      <c r="AR2953" s="56"/>
      <c r="AS2953" s="56"/>
      <c r="AT2953" s="56"/>
      <c r="AU2953" s="56"/>
      <c r="AV2953" s="56"/>
      <c r="AW2953" s="56"/>
      <c r="AX2953" s="56"/>
      <c r="AY2953" s="56"/>
      <c r="AZ2953" s="56"/>
      <c r="BA2953" s="56"/>
      <c r="BB2953" s="16"/>
      <c r="BC2953" s="56"/>
      <c r="BD2953" s="56"/>
      <c r="BE2953" s="56"/>
      <c r="BF2953" s="56"/>
      <c r="BG2953" s="56"/>
      <c r="BH2953" s="56"/>
      <c r="BI2953" s="56"/>
      <c r="BJ2953" s="56"/>
      <c r="BK2953" s="56"/>
      <c r="BL2953" s="56"/>
      <c r="BM2953" s="56"/>
      <c r="BN2953" s="56"/>
      <c r="BO2953" s="56"/>
      <c r="BP2953" s="56"/>
      <c r="BQ2953" s="56"/>
      <c r="BR2953" s="56"/>
      <c r="BS2953" s="56"/>
      <c r="BT2953" s="56"/>
      <c r="BU2953" s="56"/>
      <c r="BV2953" s="56"/>
      <c r="BW2953" s="56"/>
      <c r="BX2953" s="56"/>
      <c r="BY2953" s="56"/>
      <c r="BZ2953" s="56"/>
      <c r="CA2953" s="56"/>
      <c r="CB2953" s="56"/>
      <c r="CC2953" s="56"/>
      <c r="CD2953" s="56"/>
      <c r="CE2953" s="56"/>
      <c r="CF2953" s="56"/>
      <c r="CG2953" s="56"/>
      <c r="CH2953" s="56"/>
      <c r="CI2953" s="56"/>
      <c r="CJ2953" s="56"/>
      <c r="CK2953" s="56"/>
      <c r="CL2953" s="56"/>
      <c r="CM2953" s="56"/>
      <c r="CN2953" s="56"/>
      <c r="CO2953" s="56"/>
      <c r="CP2953" s="56"/>
      <c r="CQ2953" s="56"/>
      <c r="CR2953" s="56"/>
      <c r="CS2953" s="56"/>
      <c r="CT2953" s="56"/>
      <c r="CU2953" s="56"/>
      <c r="CV2953" s="56"/>
      <c r="CW2953" s="56"/>
      <c r="CX2953" s="56"/>
      <c r="CY2953" s="56"/>
      <c r="CZ2953" s="56"/>
    </row>
    <row r="2954" spans="27:104" s="5" customFormat="1" x14ac:dyDescent="0.25">
      <c r="AA2954" s="56"/>
      <c r="AB2954" s="56"/>
      <c r="AC2954" s="56"/>
      <c r="AD2954" s="56"/>
      <c r="AE2954" s="56"/>
      <c r="AF2954" s="56"/>
      <c r="AG2954" s="56"/>
      <c r="AH2954" s="56"/>
      <c r="AI2954" s="56"/>
      <c r="AJ2954" s="56"/>
      <c r="AK2954" s="56"/>
      <c r="AL2954" s="56"/>
      <c r="AM2954" s="56"/>
      <c r="AN2954" s="56"/>
      <c r="AO2954" s="56"/>
      <c r="AP2954" s="56"/>
      <c r="AQ2954" s="56"/>
      <c r="AR2954" s="56"/>
      <c r="AS2954" s="56"/>
      <c r="AT2954" s="56"/>
      <c r="AU2954" s="56"/>
      <c r="AV2954" s="56"/>
      <c r="AW2954" s="56"/>
      <c r="AX2954" s="56"/>
      <c r="AY2954" s="56"/>
      <c r="AZ2954" s="56"/>
      <c r="BA2954" s="56"/>
      <c r="BB2954" s="16"/>
      <c r="BC2954" s="56"/>
      <c r="BD2954" s="56"/>
      <c r="BE2954" s="56"/>
      <c r="BF2954" s="56"/>
      <c r="BG2954" s="56"/>
      <c r="BH2954" s="56"/>
      <c r="BI2954" s="56"/>
      <c r="BJ2954" s="56"/>
      <c r="BK2954" s="56"/>
      <c r="BL2954" s="56"/>
      <c r="BM2954" s="56"/>
      <c r="BN2954" s="56"/>
      <c r="BO2954" s="56"/>
      <c r="BP2954" s="56"/>
      <c r="BQ2954" s="56"/>
      <c r="BR2954" s="56"/>
      <c r="BS2954" s="56"/>
      <c r="BT2954" s="56"/>
      <c r="BU2954" s="56"/>
      <c r="BV2954" s="56"/>
      <c r="BW2954" s="56"/>
      <c r="BX2954" s="56"/>
      <c r="BY2954" s="56"/>
      <c r="BZ2954" s="56"/>
      <c r="CA2954" s="56"/>
      <c r="CB2954" s="56"/>
      <c r="CC2954" s="56"/>
      <c r="CD2954" s="56"/>
      <c r="CE2954" s="56"/>
      <c r="CF2954" s="56"/>
      <c r="CG2954" s="56"/>
      <c r="CH2954" s="56"/>
      <c r="CI2954" s="56"/>
      <c r="CJ2954" s="56"/>
      <c r="CK2954" s="56"/>
      <c r="CL2954" s="56"/>
      <c r="CM2954" s="56"/>
      <c r="CN2954" s="56"/>
      <c r="CO2954" s="56"/>
      <c r="CP2954" s="56"/>
      <c r="CQ2954" s="56"/>
      <c r="CR2954" s="56"/>
      <c r="CS2954" s="56"/>
      <c r="CT2954" s="56"/>
      <c r="CU2954" s="56"/>
      <c r="CV2954" s="56"/>
      <c r="CW2954" s="56"/>
      <c r="CX2954" s="56"/>
      <c r="CY2954" s="56"/>
      <c r="CZ2954" s="56"/>
    </row>
    <row r="2955" spans="27:104" s="5" customFormat="1" x14ac:dyDescent="0.25">
      <c r="AA2955" s="56"/>
      <c r="AB2955" s="56"/>
      <c r="AC2955" s="56"/>
      <c r="AD2955" s="56"/>
      <c r="AE2955" s="56"/>
      <c r="AF2955" s="56"/>
      <c r="AG2955" s="56"/>
      <c r="AH2955" s="56"/>
      <c r="AI2955" s="56"/>
      <c r="AJ2955" s="56"/>
      <c r="AK2955" s="56"/>
      <c r="AL2955" s="56"/>
      <c r="AM2955" s="56"/>
      <c r="AN2955" s="56"/>
      <c r="AO2955" s="56"/>
      <c r="AP2955" s="56"/>
      <c r="AQ2955" s="56"/>
      <c r="AR2955" s="56"/>
      <c r="AS2955" s="56"/>
      <c r="AT2955" s="56"/>
      <c r="AU2955" s="56"/>
      <c r="AV2955" s="56"/>
      <c r="AW2955" s="56"/>
      <c r="AX2955" s="56"/>
      <c r="AY2955" s="56"/>
      <c r="AZ2955" s="56"/>
      <c r="BA2955" s="56"/>
      <c r="BB2955" s="16"/>
      <c r="BC2955" s="56"/>
      <c r="BD2955" s="56"/>
      <c r="BE2955" s="56"/>
      <c r="BF2955" s="56"/>
      <c r="BG2955" s="56"/>
      <c r="BH2955" s="56"/>
      <c r="BI2955" s="56"/>
      <c r="BJ2955" s="56"/>
      <c r="BK2955" s="56"/>
      <c r="BL2955" s="56"/>
      <c r="BM2955" s="56"/>
      <c r="BN2955" s="56"/>
      <c r="BO2955" s="56"/>
      <c r="BP2955" s="56"/>
      <c r="BQ2955" s="56"/>
      <c r="BR2955" s="56"/>
      <c r="BS2955" s="56"/>
      <c r="BT2955" s="56"/>
      <c r="BU2955" s="56"/>
      <c r="BV2955" s="56"/>
      <c r="BW2955" s="56"/>
      <c r="BX2955" s="56"/>
      <c r="BY2955" s="56"/>
      <c r="BZ2955" s="56"/>
      <c r="CA2955" s="56"/>
      <c r="CB2955" s="56"/>
      <c r="CC2955" s="56"/>
      <c r="CD2955" s="56"/>
      <c r="CE2955" s="56"/>
      <c r="CF2955" s="56"/>
      <c r="CG2955" s="56"/>
      <c r="CH2955" s="56"/>
      <c r="CI2955" s="56"/>
      <c r="CJ2955" s="56"/>
      <c r="CK2955" s="56"/>
      <c r="CL2955" s="56"/>
      <c r="CM2955" s="56"/>
      <c r="CN2955" s="56"/>
      <c r="CO2955" s="56"/>
      <c r="CP2955" s="56"/>
      <c r="CQ2955" s="56"/>
      <c r="CR2955" s="56"/>
      <c r="CS2955" s="56"/>
      <c r="CT2955" s="56"/>
      <c r="CU2955" s="56"/>
      <c r="CV2955" s="56"/>
      <c r="CW2955" s="56"/>
      <c r="CX2955" s="56"/>
      <c r="CY2955" s="56"/>
      <c r="CZ2955" s="56"/>
    </row>
    <row r="2956" spans="27:104" s="5" customFormat="1" x14ac:dyDescent="0.25">
      <c r="AA2956" s="56"/>
      <c r="AB2956" s="56"/>
      <c r="AC2956" s="56"/>
      <c r="AD2956" s="56"/>
      <c r="AE2956" s="56"/>
      <c r="AF2956" s="56"/>
      <c r="AG2956" s="56"/>
      <c r="AH2956" s="56"/>
      <c r="AI2956" s="56"/>
      <c r="AJ2956" s="56"/>
      <c r="AK2956" s="56"/>
      <c r="AL2956" s="56"/>
      <c r="AM2956" s="56"/>
      <c r="AN2956" s="56"/>
      <c r="AO2956" s="56"/>
      <c r="AP2956" s="56"/>
      <c r="AQ2956" s="56"/>
      <c r="AR2956" s="56"/>
      <c r="AS2956" s="56"/>
      <c r="AT2956" s="56"/>
      <c r="AU2956" s="56"/>
      <c r="AV2956" s="56"/>
      <c r="AW2956" s="56"/>
      <c r="AX2956" s="56"/>
      <c r="AY2956" s="56"/>
      <c r="AZ2956" s="56"/>
      <c r="BA2956" s="56"/>
      <c r="BB2956" s="16"/>
      <c r="BC2956" s="56"/>
      <c r="BD2956" s="56"/>
      <c r="BE2956" s="56"/>
      <c r="BF2956" s="56"/>
      <c r="BG2956" s="56"/>
      <c r="BH2956" s="56"/>
      <c r="BI2956" s="56"/>
      <c r="BJ2956" s="56"/>
      <c r="BK2956" s="56"/>
      <c r="BL2956" s="56"/>
      <c r="BM2956" s="56"/>
      <c r="BN2956" s="56"/>
      <c r="BO2956" s="56"/>
      <c r="BP2956" s="56"/>
      <c r="BQ2956" s="56"/>
      <c r="BR2956" s="56"/>
      <c r="BS2956" s="56"/>
      <c r="BT2956" s="56"/>
      <c r="BU2956" s="56"/>
      <c r="BV2956" s="56"/>
      <c r="BW2956" s="56"/>
      <c r="BX2956" s="56"/>
      <c r="BY2956" s="56"/>
      <c r="BZ2956" s="56"/>
      <c r="CA2956" s="56"/>
      <c r="CB2956" s="56"/>
      <c r="CC2956" s="56"/>
      <c r="CD2956" s="56"/>
      <c r="CE2956" s="56"/>
      <c r="CF2956" s="56"/>
      <c r="CG2956" s="56"/>
      <c r="CH2956" s="56"/>
      <c r="CI2956" s="56"/>
      <c r="CJ2956" s="56"/>
      <c r="CK2956" s="56"/>
      <c r="CL2956" s="56"/>
      <c r="CM2956" s="56"/>
      <c r="CN2956" s="56"/>
      <c r="CO2956" s="56"/>
      <c r="CP2956" s="56"/>
      <c r="CQ2956" s="56"/>
      <c r="CR2956" s="56"/>
      <c r="CS2956" s="56"/>
      <c r="CT2956" s="56"/>
      <c r="CU2956" s="56"/>
      <c r="CV2956" s="56"/>
      <c r="CW2956" s="56"/>
      <c r="CX2956" s="56"/>
      <c r="CY2956" s="56"/>
      <c r="CZ2956" s="56"/>
    </row>
    <row r="2957" spans="27:104" s="5" customFormat="1" x14ac:dyDescent="0.25">
      <c r="AA2957" s="56"/>
      <c r="AB2957" s="56"/>
      <c r="AC2957" s="56"/>
      <c r="AD2957" s="56"/>
      <c r="AE2957" s="56"/>
      <c r="AF2957" s="56"/>
      <c r="AG2957" s="56"/>
      <c r="AH2957" s="56"/>
      <c r="AI2957" s="56"/>
      <c r="AJ2957" s="56"/>
      <c r="AK2957" s="56"/>
      <c r="AL2957" s="56"/>
      <c r="AM2957" s="56"/>
      <c r="AN2957" s="56"/>
      <c r="AO2957" s="56"/>
      <c r="AP2957" s="56"/>
      <c r="AQ2957" s="56"/>
      <c r="AR2957" s="56"/>
      <c r="AS2957" s="56"/>
      <c r="AT2957" s="56"/>
      <c r="AU2957" s="56"/>
      <c r="AV2957" s="56"/>
      <c r="AW2957" s="56"/>
      <c r="AX2957" s="56"/>
      <c r="AY2957" s="56"/>
      <c r="AZ2957" s="56"/>
      <c r="BA2957" s="56"/>
      <c r="BB2957" s="16"/>
      <c r="BC2957" s="56"/>
      <c r="BD2957" s="56"/>
      <c r="BE2957" s="56"/>
      <c r="BF2957" s="56"/>
      <c r="BG2957" s="56"/>
      <c r="BH2957" s="56"/>
      <c r="BI2957" s="56"/>
      <c r="BJ2957" s="56"/>
      <c r="BK2957" s="56"/>
      <c r="BL2957" s="56"/>
      <c r="BM2957" s="56"/>
      <c r="BN2957" s="56"/>
      <c r="BO2957" s="56"/>
      <c r="BP2957" s="56"/>
      <c r="BQ2957" s="56"/>
      <c r="BR2957" s="56"/>
      <c r="BS2957" s="56"/>
      <c r="BT2957" s="56"/>
      <c r="BU2957" s="56"/>
      <c r="BV2957" s="56"/>
      <c r="BW2957" s="56"/>
      <c r="BX2957" s="56"/>
      <c r="BY2957" s="56"/>
      <c r="BZ2957" s="56"/>
      <c r="CA2957" s="56"/>
      <c r="CB2957" s="56"/>
      <c r="CC2957" s="56"/>
      <c r="CD2957" s="56"/>
      <c r="CE2957" s="56"/>
      <c r="CF2957" s="56"/>
      <c r="CG2957" s="56"/>
      <c r="CH2957" s="56"/>
      <c r="CI2957" s="56"/>
      <c r="CJ2957" s="56"/>
      <c r="CK2957" s="56"/>
      <c r="CL2957" s="56"/>
      <c r="CM2957" s="56"/>
      <c r="CN2957" s="56"/>
      <c r="CO2957" s="56"/>
      <c r="CP2957" s="56"/>
      <c r="CQ2957" s="56"/>
      <c r="CR2957" s="56"/>
      <c r="CS2957" s="56"/>
      <c r="CT2957" s="56"/>
      <c r="CU2957" s="56"/>
      <c r="CV2957" s="56"/>
      <c r="CW2957" s="56"/>
      <c r="CX2957" s="56"/>
      <c r="CY2957" s="56"/>
      <c r="CZ2957" s="56"/>
    </row>
    <row r="2958" spans="27:104" s="5" customFormat="1" x14ac:dyDescent="0.25">
      <c r="AA2958" s="56"/>
      <c r="AB2958" s="56"/>
      <c r="AC2958" s="56"/>
      <c r="AD2958" s="56"/>
      <c r="AE2958" s="56"/>
      <c r="AF2958" s="56"/>
      <c r="AG2958" s="56"/>
      <c r="AH2958" s="56"/>
      <c r="AI2958" s="56"/>
      <c r="AJ2958" s="56"/>
      <c r="AK2958" s="56"/>
      <c r="AL2958" s="56"/>
      <c r="AM2958" s="56"/>
      <c r="AN2958" s="56"/>
      <c r="AO2958" s="56"/>
      <c r="AP2958" s="56"/>
      <c r="AQ2958" s="56"/>
      <c r="AR2958" s="56"/>
      <c r="AS2958" s="56"/>
      <c r="AT2958" s="56"/>
      <c r="AU2958" s="56"/>
      <c r="AV2958" s="56"/>
      <c r="AW2958" s="56"/>
      <c r="AX2958" s="56"/>
      <c r="AY2958" s="56"/>
      <c r="AZ2958" s="56"/>
      <c r="BA2958" s="56"/>
      <c r="BB2958" s="16"/>
      <c r="BC2958" s="56"/>
      <c r="BD2958" s="56"/>
      <c r="BE2958" s="56"/>
      <c r="BF2958" s="56"/>
      <c r="BG2958" s="56"/>
      <c r="BH2958" s="56"/>
      <c r="BI2958" s="56"/>
      <c r="BJ2958" s="56"/>
      <c r="BK2958" s="56"/>
      <c r="BL2958" s="56"/>
      <c r="BM2958" s="56"/>
      <c r="BN2958" s="56"/>
      <c r="BO2958" s="56"/>
      <c r="BP2958" s="56"/>
      <c r="BQ2958" s="56"/>
      <c r="BR2958" s="56"/>
      <c r="BS2958" s="56"/>
      <c r="BT2958" s="56"/>
      <c r="BU2958" s="56"/>
      <c r="BV2958" s="56"/>
      <c r="BW2958" s="56"/>
      <c r="BX2958" s="56"/>
      <c r="BY2958" s="56"/>
      <c r="BZ2958" s="56"/>
      <c r="CA2958" s="56"/>
      <c r="CB2958" s="56"/>
      <c r="CC2958" s="56"/>
      <c r="CD2958" s="56"/>
      <c r="CE2958" s="56"/>
      <c r="CF2958" s="56"/>
      <c r="CG2958" s="56"/>
      <c r="CH2958" s="56"/>
      <c r="CI2958" s="56"/>
      <c r="CJ2958" s="56"/>
      <c r="CK2958" s="56"/>
      <c r="CL2958" s="56"/>
      <c r="CM2958" s="56"/>
      <c r="CN2958" s="56"/>
      <c r="CO2958" s="56"/>
      <c r="CP2958" s="56"/>
      <c r="CQ2958" s="56"/>
      <c r="CR2958" s="56"/>
      <c r="CS2958" s="56"/>
      <c r="CT2958" s="56"/>
      <c r="CU2958" s="56"/>
      <c r="CV2958" s="56"/>
      <c r="CW2958" s="56"/>
      <c r="CX2958" s="56"/>
      <c r="CY2958" s="56"/>
      <c r="CZ2958" s="56"/>
    </row>
    <row r="2959" spans="27:104" s="5" customFormat="1" x14ac:dyDescent="0.25">
      <c r="AA2959" s="56"/>
      <c r="AB2959" s="56"/>
      <c r="AC2959" s="56"/>
      <c r="AD2959" s="56"/>
      <c r="AE2959" s="56"/>
      <c r="AF2959" s="56"/>
      <c r="AG2959" s="56"/>
      <c r="AH2959" s="56"/>
      <c r="AI2959" s="56"/>
      <c r="AJ2959" s="56"/>
      <c r="AK2959" s="56"/>
      <c r="AL2959" s="56"/>
      <c r="AM2959" s="56"/>
      <c r="AN2959" s="56"/>
      <c r="AO2959" s="56"/>
      <c r="AP2959" s="56"/>
      <c r="AQ2959" s="56"/>
      <c r="AR2959" s="56"/>
      <c r="AS2959" s="56"/>
      <c r="AT2959" s="56"/>
      <c r="AU2959" s="56"/>
      <c r="AV2959" s="56"/>
      <c r="AW2959" s="56"/>
      <c r="AX2959" s="56"/>
      <c r="AY2959" s="56"/>
      <c r="AZ2959" s="56"/>
      <c r="BA2959" s="56"/>
      <c r="BB2959" s="16"/>
      <c r="BC2959" s="56"/>
      <c r="BD2959" s="56"/>
      <c r="BE2959" s="56"/>
      <c r="BF2959" s="56"/>
      <c r="BG2959" s="56"/>
      <c r="BH2959" s="56"/>
      <c r="BI2959" s="56"/>
      <c r="BJ2959" s="56"/>
      <c r="BK2959" s="56"/>
      <c r="BL2959" s="56"/>
      <c r="BM2959" s="56"/>
      <c r="BN2959" s="56"/>
      <c r="BO2959" s="56"/>
      <c r="BP2959" s="56"/>
      <c r="BQ2959" s="56"/>
      <c r="BR2959" s="56"/>
      <c r="BS2959" s="56"/>
      <c r="BT2959" s="56"/>
      <c r="BU2959" s="56"/>
      <c r="BV2959" s="56"/>
      <c r="BW2959" s="56"/>
      <c r="BX2959" s="56"/>
      <c r="BY2959" s="56"/>
      <c r="BZ2959" s="56"/>
      <c r="CA2959" s="56"/>
      <c r="CB2959" s="56"/>
      <c r="CC2959" s="56"/>
      <c r="CD2959" s="56"/>
      <c r="CE2959" s="56"/>
      <c r="CF2959" s="56"/>
      <c r="CG2959" s="56"/>
      <c r="CH2959" s="56"/>
      <c r="CI2959" s="56"/>
      <c r="CJ2959" s="56"/>
      <c r="CK2959" s="56"/>
      <c r="CL2959" s="56"/>
      <c r="CM2959" s="56"/>
      <c r="CN2959" s="56"/>
      <c r="CO2959" s="56"/>
      <c r="CP2959" s="56"/>
      <c r="CQ2959" s="56"/>
      <c r="CR2959" s="56"/>
      <c r="CS2959" s="56"/>
      <c r="CT2959" s="56"/>
      <c r="CU2959" s="56"/>
      <c r="CV2959" s="56"/>
      <c r="CW2959" s="56"/>
      <c r="CX2959" s="56"/>
      <c r="CY2959" s="56"/>
      <c r="CZ2959" s="56"/>
    </row>
    <row r="2960" spans="27:104" s="5" customFormat="1" x14ac:dyDescent="0.25">
      <c r="AA2960" s="56"/>
      <c r="AB2960" s="56"/>
      <c r="AC2960" s="56"/>
      <c r="AD2960" s="56"/>
      <c r="AE2960" s="56"/>
      <c r="AF2960" s="56"/>
      <c r="AG2960" s="56"/>
      <c r="AH2960" s="56"/>
      <c r="AI2960" s="56"/>
      <c r="AJ2960" s="56"/>
      <c r="AK2960" s="56"/>
      <c r="AL2960" s="56"/>
      <c r="AM2960" s="56"/>
      <c r="AN2960" s="56"/>
      <c r="AO2960" s="56"/>
      <c r="AP2960" s="56"/>
      <c r="AQ2960" s="56"/>
      <c r="AR2960" s="56"/>
      <c r="AS2960" s="56"/>
      <c r="AT2960" s="56"/>
      <c r="AU2960" s="56"/>
      <c r="AV2960" s="56"/>
      <c r="AW2960" s="56"/>
      <c r="AX2960" s="56"/>
      <c r="AY2960" s="56"/>
      <c r="AZ2960" s="56"/>
      <c r="BA2960" s="56"/>
      <c r="BB2960" s="16"/>
      <c r="BC2960" s="56"/>
      <c r="BD2960" s="56"/>
      <c r="BE2960" s="56"/>
      <c r="BF2960" s="56"/>
      <c r="BG2960" s="56"/>
      <c r="BH2960" s="56"/>
      <c r="BI2960" s="56"/>
      <c r="BJ2960" s="56"/>
      <c r="BK2960" s="56"/>
      <c r="BL2960" s="56"/>
      <c r="BM2960" s="56"/>
      <c r="BN2960" s="56"/>
      <c r="BO2960" s="56"/>
      <c r="BP2960" s="56"/>
      <c r="BQ2960" s="56"/>
      <c r="BR2960" s="56"/>
      <c r="BS2960" s="56"/>
      <c r="BT2960" s="56"/>
      <c r="BU2960" s="56"/>
      <c r="BV2960" s="56"/>
      <c r="BW2960" s="56"/>
      <c r="BX2960" s="56"/>
      <c r="BY2960" s="56"/>
      <c r="BZ2960" s="56"/>
      <c r="CA2960" s="56"/>
      <c r="CB2960" s="56"/>
      <c r="CC2960" s="56"/>
      <c r="CD2960" s="56"/>
      <c r="CE2960" s="56"/>
      <c r="CF2960" s="56"/>
      <c r="CG2960" s="56"/>
      <c r="CH2960" s="56"/>
      <c r="CI2960" s="56"/>
      <c r="CJ2960" s="56"/>
      <c r="CK2960" s="56"/>
      <c r="CL2960" s="56"/>
      <c r="CM2960" s="56"/>
      <c r="CN2960" s="56"/>
      <c r="CO2960" s="56"/>
      <c r="CP2960" s="56"/>
      <c r="CQ2960" s="56"/>
      <c r="CR2960" s="56"/>
      <c r="CS2960" s="56"/>
      <c r="CT2960" s="56"/>
      <c r="CU2960" s="56"/>
      <c r="CV2960" s="56"/>
      <c r="CW2960" s="56"/>
      <c r="CX2960" s="56"/>
      <c r="CY2960" s="56"/>
      <c r="CZ2960" s="56"/>
    </row>
    <row r="2961" spans="27:104" s="5" customFormat="1" x14ac:dyDescent="0.25">
      <c r="AA2961" s="56"/>
      <c r="AB2961" s="56"/>
      <c r="AC2961" s="56"/>
      <c r="AD2961" s="56"/>
      <c r="AE2961" s="56"/>
      <c r="AF2961" s="56"/>
      <c r="AG2961" s="56"/>
      <c r="AH2961" s="56"/>
      <c r="AI2961" s="56"/>
      <c r="AJ2961" s="56"/>
      <c r="AK2961" s="56"/>
      <c r="AL2961" s="56"/>
      <c r="AM2961" s="56"/>
      <c r="AN2961" s="56"/>
      <c r="AO2961" s="56"/>
      <c r="AP2961" s="56"/>
      <c r="AQ2961" s="56"/>
      <c r="AR2961" s="56"/>
      <c r="AS2961" s="56"/>
      <c r="AT2961" s="56"/>
      <c r="AU2961" s="56"/>
      <c r="AV2961" s="56"/>
      <c r="AW2961" s="56"/>
      <c r="AX2961" s="56"/>
      <c r="AY2961" s="56"/>
      <c r="AZ2961" s="56"/>
      <c r="BA2961" s="56"/>
      <c r="BB2961" s="16"/>
      <c r="BC2961" s="56"/>
      <c r="BD2961" s="56"/>
      <c r="BE2961" s="56"/>
      <c r="BF2961" s="56"/>
      <c r="BG2961" s="56"/>
      <c r="BH2961" s="56"/>
      <c r="BI2961" s="56"/>
      <c r="BJ2961" s="56"/>
      <c r="BK2961" s="56"/>
      <c r="BL2961" s="56"/>
      <c r="BM2961" s="56"/>
      <c r="BN2961" s="56"/>
      <c r="BO2961" s="56"/>
      <c r="BP2961" s="56"/>
      <c r="BQ2961" s="56"/>
      <c r="BR2961" s="56"/>
      <c r="BS2961" s="56"/>
      <c r="BT2961" s="56"/>
      <c r="BU2961" s="56"/>
      <c r="BV2961" s="56"/>
      <c r="BW2961" s="56"/>
      <c r="BX2961" s="56"/>
      <c r="BY2961" s="56"/>
      <c r="BZ2961" s="56"/>
      <c r="CA2961" s="56"/>
      <c r="CB2961" s="56"/>
      <c r="CC2961" s="56"/>
      <c r="CD2961" s="56"/>
      <c r="CE2961" s="56"/>
      <c r="CF2961" s="56"/>
      <c r="CG2961" s="56"/>
      <c r="CH2961" s="56"/>
      <c r="CI2961" s="56"/>
      <c r="CJ2961" s="56"/>
      <c r="CK2961" s="56"/>
      <c r="CL2961" s="56"/>
      <c r="CM2961" s="56"/>
      <c r="CN2961" s="56"/>
      <c r="CO2961" s="56"/>
      <c r="CP2961" s="56"/>
      <c r="CQ2961" s="56"/>
      <c r="CR2961" s="56"/>
      <c r="CS2961" s="56"/>
      <c r="CT2961" s="56"/>
      <c r="CU2961" s="56"/>
      <c r="CV2961" s="56"/>
      <c r="CW2961" s="56"/>
      <c r="CX2961" s="56"/>
      <c r="CY2961" s="56"/>
      <c r="CZ2961" s="56"/>
    </row>
    <row r="2962" spans="27:104" s="5" customFormat="1" x14ac:dyDescent="0.25">
      <c r="AA2962" s="56"/>
      <c r="AB2962" s="56"/>
      <c r="AC2962" s="56"/>
      <c r="AD2962" s="56"/>
      <c r="AE2962" s="56"/>
      <c r="AF2962" s="56"/>
      <c r="AG2962" s="56"/>
      <c r="AH2962" s="56"/>
      <c r="AI2962" s="56"/>
      <c r="AJ2962" s="56"/>
      <c r="AK2962" s="56"/>
      <c r="AL2962" s="56"/>
      <c r="AM2962" s="56"/>
      <c r="AN2962" s="56"/>
      <c r="AO2962" s="56"/>
      <c r="AP2962" s="56"/>
      <c r="AQ2962" s="56"/>
      <c r="AR2962" s="56"/>
      <c r="AS2962" s="56"/>
      <c r="AT2962" s="56"/>
      <c r="AU2962" s="56"/>
      <c r="AV2962" s="56"/>
      <c r="AW2962" s="56"/>
      <c r="AX2962" s="56"/>
      <c r="AY2962" s="56"/>
      <c r="AZ2962" s="56"/>
      <c r="BA2962" s="56"/>
      <c r="BB2962" s="16"/>
      <c r="BC2962" s="56"/>
      <c r="BD2962" s="56"/>
      <c r="BE2962" s="56"/>
      <c r="BF2962" s="56"/>
      <c r="BG2962" s="56"/>
      <c r="BH2962" s="56"/>
      <c r="BI2962" s="56"/>
      <c r="BJ2962" s="56"/>
      <c r="BK2962" s="56"/>
      <c r="BL2962" s="56"/>
      <c r="BM2962" s="56"/>
      <c r="BN2962" s="56"/>
      <c r="BO2962" s="56"/>
      <c r="BP2962" s="56"/>
      <c r="BQ2962" s="56"/>
      <c r="BR2962" s="56"/>
      <c r="BS2962" s="56"/>
      <c r="BT2962" s="56"/>
      <c r="BU2962" s="56"/>
      <c r="BV2962" s="56"/>
      <c r="BW2962" s="56"/>
      <c r="BX2962" s="56"/>
      <c r="BY2962" s="56"/>
      <c r="BZ2962" s="56"/>
      <c r="CA2962" s="56"/>
      <c r="CB2962" s="56"/>
      <c r="CC2962" s="56"/>
      <c r="CD2962" s="56"/>
      <c r="CE2962" s="56"/>
      <c r="CF2962" s="56"/>
      <c r="CG2962" s="56"/>
      <c r="CH2962" s="56"/>
      <c r="CI2962" s="56"/>
      <c r="CJ2962" s="56"/>
      <c r="CK2962" s="56"/>
      <c r="CL2962" s="56"/>
      <c r="CM2962" s="56"/>
      <c r="CN2962" s="56"/>
      <c r="CO2962" s="56"/>
      <c r="CP2962" s="56"/>
      <c r="CQ2962" s="56"/>
      <c r="CR2962" s="56"/>
      <c r="CS2962" s="56"/>
      <c r="CT2962" s="56"/>
      <c r="CU2962" s="56"/>
      <c r="CV2962" s="56"/>
      <c r="CW2962" s="56"/>
      <c r="CX2962" s="56"/>
      <c r="CY2962" s="56"/>
      <c r="CZ2962" s="56"/>
    </row>
    <row r="2963" spans="27:104" s="5" customFormat="1" x14ac:dyDescent="0.25">
      <c r="AA2963" s="56"/>
      <c r="AB2963" s="56"/>
      <c r="AC2963" s="56"/>
      <c r="AD2963" s="56"/>
      <c r="AE2963" s="56"/>
      <c r="AF2963" s="56"/>
      <c r="AG2963" s="56"/>
      <c r="AH2963" s="56"/>
      <c r="AI2963" s="56"/>
      <c r="AJ2963" s="56"/>
      <c r="AK2963" s="56"/>
      <c r="AL2963" s="56"/>
      <c r="AM2963" s="56"/>
      <c r="AN2963" s="56"/>
      <c r="AO2963" s="56"/>
      <c r="AP2963" s="56"/>
      <c r="AQ2963" s="56"/>
      <c r="AR2963" s="56"/>
      <c r="AS2963" s="56"/>
      <c r="AT2963" s="56"/>
      <c r="AU2963" s="56"/>
      <c r="AV2963" s="56"/>
      <c r="AW2963" s="56"/>
      <c r="AX2963" s="56"/>
      <c r="AY2963" s="56"/>
      <c r="AZ2963" s="56"/>
      <c r="BA2963" s="56"/>
      <c r="BB2963" s="16"/>
      <c r="BC2963" s="56"/>
      <c r="BD2963" s="56"/>
      <c r="BE2963" s="56"/>
      <c r="BF2963" s="56"/>
      <c r="BG2963" s="56"/>
      <c r="BH2963" s="56"/>
      <c r="BI2963" s="56"/>
      <c r="BJ2963" s="56"/>
      <c r="BK2963" s="56"/>
      <c r="BL2963" s="56"/>
      <c r="BM2963" s="56"/>
      <c r="BN2963" s="56"/>
      <c r="BO2963" s="56"/>
      <c r="BP2963" s="56"/>
      <c r="BQ2963" s="56"/>
      <c r="BR2963" s="56"/>
      <c r="BS2963" s="56"/>
      <c r="BT2963" s="56"/>
      <c r="BU2963" s="56"/>
      <c r="BV2963" s="56"/>
      <c r="BW2963" s="56"/>
      <c r="BX2963" s="56"/>
      <c r="BY2963" s="56"/>
      <c r="BZ2963" s="56"/>
      <c r="CA2963" s="56"/>
      <c r="CB2963" s="56"/>
      <c r="CC2963" s="56"/>
      <c r="CD2963" s="56"/>
      <c r="CE2963" s="56"/>
      <c r="CF2963" s="56"/>
      <c r="CG2963" s="56"/>
      <c r="CH2963" s="56"/>
      <c r="CI2963" s="56"/>
      <c r="CJ2963" s="56"/>
      <c r="CK2963" s="56"/>
      <c r="CL2963" s="56"/>
      <c r="CM2963" s="56"/>
      <c r="CN2963" s="56"/>
      <c r="CO2963" s="56"/>
      <c r="CP2963" s="56"/>
      <c r="CQ2963" s="56"/>
      <c r="CR2963" s="56"/>
      <c r="CS2963" s="56"/>
      <c r="CT2963" s="56"/>
      <c r="CU2963" s="56"/>
      <c r="CV2963" s="56"/>
      <c r="CW2963" s="56"/>
      <c r="CX2963" s="56"/>
      <c r="CY2963" s="56"/>
      <c r="CZ2963" s="56"/>
    </row>
    <row r="2964" spans="27:104" s="5" customFormat="1" x14ac:dyDescent="0.25">
      <c r="AA2964" s="56"/>
      <c r="AB2964" s="56"/>
      <c r="AC2964" s="56"/>
      <c r="AD2964" s="56"/>
      <c r="AE2964" s="56"/>
      <c r="AF2964" s="56"/>
      <c r="AG2964" s="56"/>
      <c r="AH2964" s="56"/>
      <c r="AI2964" s="56"/>
      <c r="AJ2964" s="56"/>
      <c r="AK2964" s="56"/>
      <c r="AL2964" s="56"/>
      <c r="AM2964" s="56"/>
      <c r="AN2964" s="56"/>
      <c r="AO2964" s="56"/>
      <c r="AP2964" s="56"/>
      <c r="AQ2964" s="56"/>
      <c r="AR2964" s="56"/>
      <c r="AS2964" s="56"/>
      <c r="AT2964" s="56"/>
      <c r="AU2964" s="56"/>
      <c r="AV2964" s="56"/>
      <c r="AW2964" s="56"/>
      <c r="AX2964" s="56"/>
      <c r="AY2964" s="56"/>
      <c r="AZ2964" s="56"/>
      <c r="BA2964" s="56"/>
      <c r="BB2964" s="16"/>
      <c r="BC2964" s="56"/>
      <c r="BD2964" s="56"/>
      <c r="BE2964" s="56"/>
      <c r="BF2964" s="56"/>
      <c r="BG2964" s="56"/>
      <c r="BH2964" s="56"/>
      <c r="BI2964" s="56"/>
      <c r="BJ2964" s="56"/>
      <c r="BK2964" s="56"/>
      <c r="BL2964" s="56"/>
      <c r="BM2964" s="56"/>
      <c r="BN2964" s="56"/>
      <c r="BO2964" s="56"/>
      <c r="BP2964" s="56"/>
      <c r="BQ2964" s="56"/>
      <c r="BR2964" s="56"/>
      <c r="BS2964" s="56"/>
      <c r="BT2964" s="56"/>
      <c r="BU2964" s="56"/>
      <c r="BV2964" s="56"/>
      <c r="BW2964" s="56"/>
      <c r="BX2964" s="56"/>
      <c r="BY2964" s="56"/>
      <c r="BZ2964" s="56"/>
      <c r="CA2964" s="56"/>
      <c r="CB2964" s="56"/>
      <c r="CC2964" s="56"/>
      <c r="CD2964" s="56"/>
      <c r="CE2964" s="56"/>
      <c r="CF2964" s="56"/>
      <c r="CG2964" s="56"/>
      <c r="CH2964" s="56"/>
      <c r="CI2964" s="56"/>
      <c r="CJ2964" s="56"/>
      <c r="CK2964" s="56"/>
      <c r="CL2964" s="56"/>
      <c r="CM2964" s="56"/>
      <c r="CN2964" s="56"/>
      <c r="CO2964" s="56"/>
      <c r="CP2964" s="56"/>
      <c r="CQ2964" s="56"/>
      <c r="CR2964" s="56"/>
      <c r="CS2964" s="56"/>
      <c r="CT2964" s="56"/>
      <c r="CU2964" s="56"/>
      <c r="CV2964" s="56"/>
      <c r="CW2964" s="56"/>
      <c r="CX2964" s="56"/>
      <c r="CY2964" s="56"/>
      <c r="CZ2964" s="56"/>
    </row>
    <row r="2965" spans="27:104" s="5" customFormat="1" x14ac:dyDescent="0.25">
      <c r="AA2965" s="56"/>
      <c r="AB2965" s="56"/>
      <c r="AC2965" s="56"/>
      <c r="AD2965" s="56"/>
      <c r="AE2965" s="56"/>
      <c r="AF2965" s="56"/>
      <c r="AG2965" s="56"/>
      <c r="AH2965" s="56"/>
      <c r="AI2965" s="56"/>
      <c r="AJ2965" s="56"/>
      <c r="AK2965" s="56"/>
      <c r="AL2965" s="56"/>
      <c r="AM2965" s="56"/>
      <c r="AN2965" s="56"/>
      <c r="AO2965" s="56"/>
      <c r="AP2965" s="56"/>
      <c r="AQ2965" s="56"/>
      <c r="AR2965" s="56"/>
      <c r="AS2965" s="56"/>
      <c r="AT2965" s="56"/>
      <c r="AU2965" s="56"/>
      <c r="AV2965" s="56"/>
      <c r="AW2965" s="56"/>
      <c r="AX2965" s="56"/>
      <c r="AY2965" s="56"/>
      <c r="AZ2965" s="56"/>
      <c r="BA2965" s="56"/>
      <c r="BB2965" s="16"/>
      <c r="BC2965" s="56"/>
      <c r="BD2965" s="56"/>
      <c r="BE2965" s="56"/>
      <c r="BF2965" s="56"/>
      <c r="BG2965" s="56"/>
      <c r="BH2965" s="56"/>
      <c r="BI2965" s="56"/>
      <c r="BJ2965" s="56"/>
      <c r="BK2965" s="56"/>
      <c r="BL2965" s="56"/>
      <c r="BM2965" s="56"/>
      <c r="BN2965" s="56"/>
      <c r="BO2965" s="56"/>
      <c r="BP2965" s="56"/>
      <c r="BQ2965" s="56"/>
      <c r="BR2965" s="56"/>
      <c r="BS2965" s="56"/>
      <c r="BT2965" s="56"/>
      <c r="BU2965" s="56"/>
      <c r="BV2965" s="56"/>
      <c r="BW2965" s="56"/>
      <c r="BX2965" s="56"/>
      <c r="BY2965" s="56"/>
      <c r="BZ2965" s="56"/>
      <c r="CA2965" s="56"/>
      <c r="CB2965" s="56"/>
      <c r="CC2965" s="56"/>
      <c r="CD2965" s="56"/>
      <c r="CE2965" s="56"/>
      <c r="CF2965" s="56"/>
      <c r="CG2965" s="56"/>
      <c r="CH2965" s="56"/>
      <c r="CI2965" s="56"/>
      <c r="CJ2965" s="56"/>
      <c r="CK2965" s="56"/>
      <c r="CL2965" s="56"/>
      <c r="CM2965" s="56"/>
      <c r="CN2965" s="56"/>
      <c r="CO2965" s="56"/>
      <c r="CP2965" s="56"/>
      <c r="CQ2965" s="56"/>
      <c r="CR2965" s="56"/>
      <c r="CS2965" s="56"/>
      <c r="CT2965" s="56"/>
      <c r="CU2965" s="56"/>
      <c r="CV2965" s="56"/>
      <c r="CW2965" s="56"/>
      <c r="CX2965" s="56"/>
      <c r="CY2965" s="56"/>
      <c r="CZ2965" s="56"/>
    </row>
    <row r="2966" spans="27:104" s="5" customFormat="1" x14ac:dyDescent="0.25">
      <c r="AA2966" s="56"/>
      <c r="AB2966" s="56"/>
      <c r="AC2966" s="56"/>
      <c r="AD2966" s="56"/>
      <c r="AE2966" s="56"/>
      <c r="AF2966" s="56"/>
      <c r="AG2966" s="56"/>
      <c r="AH2966" s="56"/>
      <c r="AI2966" s="56"/>
      <c r="AJ2966" s="56"/>
      <c r="AK2966" s="56"/>
      <c r="AL2966" s="56"/>
      <c r="AM2966" s="56"/>
      <c r="AN2966" s="56"/>
      <c r="AO2966" s="56"/>
      <c r="AP2966" s="56"/>
      <c r="AQ2966" s="56"/>
      <c r="AR2966" s="56"/>
      <c r="AS2966" s="56"/>
      <c r="AT2966" s="56"/>
      <c r="AU2966" s="56"/>
      <c r="AV2966" s="56"/>
      <c r="AW2966" s="56"/>
      <c r="AX2966" s="56"/>
      <c r="AY2966" s="56"/>
      <c r="AZ2966" s="56"/>
      <c r="BA2966" s="56"/>
      <c r="BB2966" s="16"/>
      <c r="BC2966" s="56"/>
      <c r="BD2966" s="56"/>
      <c r="BE2966" s="56"/>
      <c r="BF2966" s="56"/>
      <c r="BG2966" s="56"/>
      <c r="BH2966" s="56"/>
      <c r="BI2966" s="56"/>
      <c r="BJ2966" s="56"/>
      <c r="BK2966" s="56"/>
      <c r="BL2966" s="56"/>
      <c r="BM2966" s="56"/>
      <c r="BN2966" s="56"/>
      <c r="BO2966" s="56"/>
      <c r="BP2966" s="56"/>
      <c r="BQ2966" s="56"/>
      <c r="BR2966" s="56"/>
      <c r="BS2966" s="56"/>
      <c r="BT2966" s="56"/>
      <c r="BU2966" s="56"/>
      <c r="BV2966" s="56"/>
      <c r="BW2966" s="56"/>
      <c r="BX2966" s="56"/>
      <c r="BY2966" s="56"/>
      <c r="BZ2966" s="56"/>
      <c r="CA2966" s="56"/>
      <c r="CB2966" s="56"/>
      <c r="CC2966" s="56"/>
      <c r="CD2966" s="56"/>
      <c r="CE2966" s="56"/>
      <c r="CF2966" s="56"/>
      <c r="CG2966" s="56"/>
      <c r="CH2966" s="56"/>
      <c r="CI2966" s="56"/>
      <c r="CJ2966" s="56"/>
      <c r="CK2966" s="56"/>
      <c r="CL2966" s="56"/>
      <c r="CM2966" s="56"/>
      <c r="CN2966" s="56"/>
      <c r="CO2966" s="56"/>
      <c r="CP2966" s="56"/>
      <c r="CQ2966" s="56"/>
      <c r="CR2966" s="56"/>
      <c r="CS2966" s="56"/>
      <c r="CT2966" s="56"/>
      <c r="CU2966" s="56"/>
      <c r="CV2966" s="56"/>
      <c r="CW2966" s="56"/>
      <c r="CX2966" s="56"/>
      <c r="CY2966" s="56"/>
      <c r="CZ2966" s="56"/>
    </row>
    <row r="2967" spans="27:104" s="5" customFormat="1" x14ac:dyDescent="0.25">
      <c r="AA2967" s="56"/>
      <c r="AB2967" s="56"/>
      <c r="AC2967" s="56"/>
      <c r="AD2967" s="56"/>
      <c r="AE2967" s="56"/>
      <c r="AF2967" s="56"/>
      <c r="AG2967" s="56"/>
      <c r="AH2967" s="56"/>
      <c r="AI2967" s="56"/>
      <c r="AJ2967" s="56"/>
      <c r="AK2967" s="56"/>
      <c r="AL2967" s="56"/>
      <c r="AM2967" s="56"/>
      <c r="AN2967" s="56"/>
      <c r="AO2967" s="56"/>
      <c r="AP2967" s="56"/>
      <c r="AQ2967" s="56"/>
      <c r="AR2967" s="56"/>
      <c r="AS2967" s="56"/>
      <c r="AT2967" s="56"/>
      <c r="AU2967" s="56"/>
      <c r="AV2967" s="56"/>
      <c r="AW2967" s="56"/>
      <c r="AX2967" s="56"/>
      <c r="AY2967" s="56"/>
      <c r="AZ2967" s="56"/>
      <c r="BA2967" s="56"/>
      <c r="BB2967" s="16"/>
      <c r="BC2967" s="56"/>
      <c r="BD2967" s="56"/>
      <c r="BE2967" s="56"/>
      <c r="BF2967" s="56"/>
      <c r="BG2967" s="56"/>
      <c r="BH2967" s="56"/>
      <c r="BI2967" s="56"/>
      <c r="BJ2967" s="56"/>
      <c r="BK2967" s="56"/>
      <c r="BL2967" s="56"/>
      <c r="BM2967" s="56"/>
      <c r="BN2967" s="56"/>
      <c r="BO2967" s="56"/>
      <c r="BP2967" s="56"/>
      <c r="BQ2967" s="56"/>
      <c r="BR2967" s="56"/>
      <c r="BS2967" s="56"/>
      <c r="BT2967" s="56"/>
      <c r="BU2967" s="56"/>
      <c r="BV2967" s="56"/>
      <c r="BW2967" s="56"/>
      <c r="BX2967" s="56"/>
      <c r="BY2967" s="56"/>
      <c r="BZ2967" s="56"/>
      <c r="CA2967" s="56"/>
      <c r="CB2967" s="56"/>
      <c r="CC2967" s="56"/>
      <c r="CD2967" s="56"/>
      <c r="CE2967" s="56"/>
      <c r="CF2967" s="56"/>
      <c r="CG2967" s="56"/>
      <c r="CH2967" s="56"/>
      <c r="CI2967" s="56"/>
      <c r="CJ2967" s="56"/>
      <c r="CK2967" s="56"/>
      <c r="CL2967" s="56"/>
      <c r="CM2967" s="56"/>
      <c r="CN2967" s="56"/>
      <c r="CO2967" s="56"/>
      <c r="CP2967" s="56"/>
      <c r="CQ2967" s="56"/>
      <c r="CR2967" s="56"/>
      <c r="CS2967" s="56"/>
      <c r="CT2967" s="56"/>
      <c r="CU2967" s="56"/>
      <c r="CV2967" s="56"/>
      <c r="CW2967" s="56"/>
      <c r="CX2967" s="56"/>
      <c r="CY2967" s="56"/>
      <c r="CZ2967" s="56"/>
    </row>
    <row r="2968" spans="27:104" s="5" customFormat="1" x14ac:dyDescent="0.25">
      <c r="AA2968" s="56"/>
      <c r="AB2968" s="56"/>
      <c r="AC2968" s="56"/>
      <c r="AD2968" s="56"/>
      <c r="AE2968" s="56"/>
      <c r="AF2968" s="56"/>
      <c r="AG2968" s="56"/>
      <c r="AH2968" s="56"/>
      <c r="AI2968" s="56"/>
      <c r="AJ2968" s="56"/>
      <c r="AK2968" s="56"/>
      <c r="AL2968" s="56"/>
      <c r="AM2968" s="56"/>
      <c r="AN2968" s="56"/>
      <c r="AO2968" s="56"/>
      <c r="AP2968" s="56"/>
      <c r="AQ2968" s="56"/>
      <c r="AR2968" s="56"/>
      <c r="AS2968" s="56"/>
      <c r="AT2968" s="56"/>
      <c r="AU2968" s="56"/>
      <c r="AV2968" s="56"/>
      <c r="AW2968" s="56"/>
      <c r="AX2968" s="56"/>
      <c r="AY2968" s="56"/>
      <c r="AZ2968" s="56"/>
      <c r="BA2968" s="56"/>
      <c r="BB2968" s="16"/>
      <c r="BC2968" s="56"/>
      <c r="BD2968" s="56"/>
      <c r="BE2968" s="56"/>
      <c r="BF2968" s="56"/>
      <c r="BG2968" s="56"/>
      <c r="BH2968" s="56"/>
      <c r="BI2968" s="56"/>
      <c r="BJ2968" s="56"/>
      <c r="BK2968" s="56"/>
      <c r="BL2968" s="56"/>
      <c r="BM2968" s="56"/>
      <c r="BN2968" s="56"/>
      <c r="BO2968" s="56"/>
      <c r="BP2968" s="56"/>
      <c r="BQ2968" s="56"/>
      <c r="BR2968" s="56"/>
      <c r="BS2968" s="56"/>
      <c r="BT2968" s="56"/>
      <c r="BU2968" s="56"/>
      <c r="BV2968" s="56"/>
      <c r="BW2968" s="56"/>
      <c r="BX2968" s="56"/>
      <c r="BY2968" s="56"/>
      <c r="BZ2968" s="56"/>
      <c r="CA2968" s="56"/>
      <c r="CB2968" s="56"/>
      <c r="CC2968" s="56"/>
      <c r="CD2968" s="56"/>
      <c r="CE2968" s="56"/>
      <c r="CF2968" s="56"/>
      <c r="CG2968" s="56"/>
      <c r="CH2968" s="56"/>
      <c r="CI2968" s="56"/>
      <c r="CJ2968" s="56"/>
      <c r="CK2968" s="56"/>
      <c r="CL2968" s="56"/>
      <c r="CM2968" s="56"/>
      <c r="CN2968" s="56"/>
      <c r="CO2968" s="56"/>
      <c r="CP2968" s="56"/>
      <c r="CQ2968" s="56"/>
      <c r="CR2968" s="56"/>
      <c r="CS2968" s="56"/>
      <c r="CT2968" s="56"/>
      <c r="CU2968" s="56"/>
      <c r="CV2968" s="56"/>
      <c r="CW2968" s="56"/>
      <c r="CX2968" s="56"/>
      <c r="CY2968" s="56"/>
      <c r="CZ2968" s="56"/>
    </row>
    <row r="2969" spans="27:104" s="5" customFormat="1" x14ac:dyDescent="0.25">
      <c r="AA2969" s="56"/>
      <c r="AB2969" s="56"/>
      <c r="AC2969" s="56"/>
      <c r="AD2969" s="56"/>
      <c r="AE2969" s="56"/>
      <c r="AF2969" s="56"/>
      <c r="AG2969" s="56"/>
      <c r="AH2969" s="56"/>
      <c r="AI2969" s="56"/>
      <c r="AJ2969" s="56"/>
      <c r="AK2969" s="56"/>
      <c r="AL2969" s="56"/>
      <c r="AM2969" s="56"/>
      <c r="AN2969" s="56"/>
      <c r="AO2969" s="56"/>
      <c r="AP2969" s="56"/>
      <c r="AQ2969" s="56"/>
      <c r="AR2969" s="56"/>
      <c r="AS2969" s="56"/>
      <c r="AT2969" s="56"/>
      <c r="AU2969" s="56"/>
      <c r="AV2969" s="56"/>
      <c r="AW2969" s="56"/>
      <c r="AX2969" s="56"/>
      <c r="AY2969" s="56"/>
      <c r="AZ2969" s="56"/>
      <c r="BA2969" s="56"/>
      <c r="BB2969" s="16"/>
      <c r="BC2969" s="56"/>
      <c r="BD2969" s="56"/>
      <c r="BE2969" s="56"/>
      <c r="BF2969" s="56"/>
      <c r="BG2969" s="56"/>
      <c r="BH2969" s="56"/>
      <c r="BI2969" s="56"/>
      <c r="BJ2969" s="56"/>
      <c r="BK2969" s="56"/>
      <c r="BL2969" s="56"/>
      <c r="BM2969" s="56"/>
      <c r="BN2969" s="56"/>
      <c r="BO2969" s="56"/>
      <c r="BP2969" s="56"/>
      <c r="BQ2969" s="56"/>
      <c r="BR2969" s="56"/>
      <c r="BS2969" s="56"/>
      <c r="BT2969" s="56"/>
      <c r="BU2969" s="56"/>
      <c r="BV2969" s="56"/>
      <c r="BW2969" s="56"/>
      <c r="BX2969" s="56"/>
      <c r="BY2969" s="56"/>
      <c r="BZ2969" s="56"/>
      <c r="CA2969" s="56"/>
      <c r="CB2969" s="56"/>
      <c r="CC2969" s="56"/>
      <c r="CD2969" s="56"/>
      <c r="CE2969" s="56"/>
      <c r="CF2969" s="56"/>
      <c r="CG2969" s="56"/>
      <c r="CH2969" s="56"/>
      <c r="CI2969" s="56"/>
      <c r="CJ2969" s="56"/>
      <c r="CK2969" s="56"/>
      <c r="CL2969" s="56"/>
      <c r="CM2969" s="56"/>
      <c r="CN2969" s="56"/>
      <c r="CO2969" s="56"/>
      <c r="CP2969" s="56"/>
      <c r="CQ2969" s="56"/>
      <c r="CR2969" s="56"/>
      <c r="CS2969" s="56"/>
      <c r="CT2969" s="56"/>
      <c r="CU2969" s="56"/>
      <c r="CV2969" s="56"/>
      <c r="CW2969" s="56"/>
      <c r="CX2969" s="56"/>
      <c r="CY2969" s="56"/>
      <c r="CZ2969" s="56"/>
    </row>
    <row r="2970" spans="27:104" s="5" customFormat="1" x14ac:dyDescent="0.25">
      <c r="AA2970" s="56"/>
      <c r="AB2970" s="56"/>
      <c r="AC2970" s="56"/>
      <c r="AD2970" s="56"/>
      <c r="AE2970" s="56"/>
      <c r="AF2970" s="56"/>
      <c r="AG2970" s="56"/>
      <c r="AH2970" s="56"/>
      <c r="AI2970" s="56"/>
      <c r="AJ2970" s="56"/>
      <c r="AK2970" s="56"/>
      <c r="AL2970" s="56"/>
      <c r="AM2970" s="56"/>
      <c r="AN2970" s="56"/>
      <c r="AO2970" s="56"/>
      <c r="AP2970" s="56"/>
      <c r="AQ2970" s="56"/>
      <c r="AR2970" s="56"/>
      <c r="AS2970" s="56"/>
      <c r="AT2970" s="56"/>
      <c r="AU2970" s="56"/>
      <c r="AV2970" s="56"/>
      <c r="AW2970" s="56"/>
      <c r="AX2970" s="56"/>
      <c r="AY2970" s="56"/>
      <c r="AZ2970" s="56"/>
      <c r="BA2970" s="56"/>
      <c r="BB2970" s="16"/>
      <c r="BC2970" s="56"/>
      <c r="BD2970" s="56"/>
      <c r="BE2970" s="56"/>
      <c r="BF2970" s="56"/>
      <c r="BG2970" s="56"/>
      <c r="BH2970" s="56"/>
      <c r="BI2970" s="56"/>
      <c r="BJ2970" s="56"/>
      <c r="BK2970" s="56"/>
      <c r="BL2970" s="56"/>
      <c r="BM2970" s="56"/>
      <c r="BN2970" s="56"/>
      <c r="BO2970" s="56"/>
      <c r="BP2970" s="56"/>
      <c r="BQ2970" s="56"/>
      <c r="BR2970" s="56"/>
      <c r="BS2970" s="56"/>
      <c r="BT2970" s="56"/>
      <c r="BU2970" s="56"/>
      <c r="BV2970" s="56"/>
      <c r="BW2970" s="56"/>
      <c r="BX2970" s="56"/>
      <c r="BY2970" s="56"/>
      <c r="BZ2970" s="56"/>
      <c r="CA2970" s="56"/>
      <c r="CB2970" s="56"/>
      <c r="CC2970" s="56"/>
      <c r="CD2970" s="56"/>
      <c r="CE2970" s="56"/>
      <c r="CF2970" s="56"/>
      <c r="CG2970" s="56"/>
      <c r="CH2970" s="56"/>
      <c r="CI2970" s="56"/>
      <c r="CJ2970" s="56"/>
      <c r="CK2970" s="56"/>
      <c r="CL2970" s="56"/>
      <c r="CM2970" s="56"/>
      <c r="CN2970" s="56"/>
      <c r="CO2970" s="56"/>
      <c r="CP2970" s="56"/>
      <c r="CQ2970" s="56"/>
      <c r="CR2970" s="56"/>
      <c r="CS2970" s="56"/>
      <c r="CT2970" s="56"/>
      <c r="CU2970" s="56"/>
      <c r="CV2970" s="56"/>
      <c r="CW2970" s="56"/>
      <c r="CX2970" s="56"/>
      <c r="CY2970" s="56"/>
      <c r="CZ2970" s="56"/>
    </row>
    <row r="2971" spans="27:104" s="5" customFormat="1" x14ac:dyDescent="0.25">
      <c r="AA2971" s="56"/>
      <c r="AB2971" s="56"/>
      <c r="AC2971" s="56"/>
      <c r="AD2971" s="56"/>
      <c r="AE2971" s="56"/>
      <c r="AF2971" s="56"/>
      <c r="AG2971" s="56"/>
      <c r="AH2971" s="56"/>
      <c r="AI2971" s="56"/>
      <c r="AJ2971" s="56"/>
      <c r="AK2971" s="56"/>
      <c r="AL2971" s="56"/>
      <c r="AM2971" s="56"/>
      <c r="AN2971" s="56"/>
      <c r="AO2971" s="56"/>
      <c r="AP2971" s="56"/>
      <c r="AQ2971" s="56"/>
      <c r="AR2971" s="56"/>
      <c r="AS2971" s="56"/>
      <c r="AT2971" s="56"/>
      <c r="AU2971" s="56"/>
      <c r="AV2971" s="56"/>
      <c r="AW2971" s="56"/>
      <c r="AX2971" s="56"/>
      <c r="AY2971" s="56"/>
      <c r="AZ2971" s="56"/>
      <c r="BA2971" s="56"/>
      <c r="BB2971" s="16"/>
      <c r="BC2971" s="56"/>
      <c r="BD2971" s="56"/>
      <c r="BE2971" s="56"/>
      <c r="BF2971" s="56"/>
      <c r="BG2971" s="56"/>
      <c r="BH2971" s="56"/>
      <c r="BI2971" s="56"/>
      <c r="BJ2971" s="56"/>
      <c r="BK2971" s="56"/>
      <c r="BL2971" s="56"/>
      <c r="BM2971" s="56"/>
      <c r="BN2971" s="56"/>
      <c r="BO2971" s="56"/>
      <c r="BP2971" s="56"/>
      <c r="BQ2971" s="56"/>
      <c r="BR2971" s="56"/>
      <c r="BS2971" s="56"/>
      <c r="BT2971" s="56"/>
      <c r="BU2971" s="56"/>
      <c r="BV2971" s="56"/>
      <c r="BW2971" s="56"/>
      <c r="BX2971" s="56"/>
      <c r="BY2971" s="56"/>
      <c r="BZ2971" s="56"/>
      <c r="CA2971" s="56"/>
      <c r="CB2971" s="56"/>
      <c r="CC2971" s="56"/>
      <c r="CD2971" s="56"/>
      <c r="CE2971" s="56"/>
      <c r="CF2971" s="56"/>
      <c r="CG2971" s="56"/>
      <c r="CH2971" s="56"/>
      <c r="CI2971" s="56"/>
      <c r="CJ2971" s="56"/>
      <c r="CK2971" s="56"/>
      <c r="CL2971" s="56"/>
      <c r="CM2971" s="56"/>
      <c r="CN2971" s="56"/>
      <c r="CO2971" s="56"/>
      <c r="CP2971" s="56"/>
      <c r="CQ2971" s="56"/>
      <c r="CR2971" s="56"/>
      <c r="CS2971" s="56"/>
      <c r="CT2971" s="56"/>
      <c r="CU2971" s="56"/>
      <c r="CV2971" s="56"/>
      <c r="CW2971" s="56"/>
      <c r="CX2971" s="56"/>
      <c r="CY2971" s="56"/>
      <c r="CZ2971" s="56"/>
    </row>
    <row r="2972" spans="27:104" s="5" customFormat="1" x14ac:dyDescent="0.25">
      <c r="AA2972" s="56"/>
      <c r="AB2972" s="56"/>
      <c r="AC2972" s="56"/>
      <c r="AD2972" s="56"/>
      <c r="AE2972" s="56"/>
      <c r="AF2972" s="56"/>
      <c r="AG2972" s="56"/>
      <c r="AH2972" s="56"/>
      <c r="AI2972" s="56"/>
      <c r="AJ2972" s="56"/>
      <c r="AK2972" s="56"/>
      <c r="AL2972" s="56"/>
      <c r="AM2972" s="56"/>
      <c r="AN2972" s="56"/>
      <c r="AO2972" s="56"/>
      <c r="AP2972" s="56"/>
      <c r="AQ2972" s="56"/>
      <c r="AR2972" s="56"/>
      <c r="AS2972" s="56"/>
      <c r="AT2972" s="56"/>
      <c r="AU2972" s="56"/>
      <c r="AV2972" s="56"/>
      <c r="AW2972" s="56"/>
      <c r="AX2972" s="56"/>
      <c r="AY2972" s="56"/>
      <c r="AZ2972" s="56"/>
      <c r="BA2972" s="56"/>
      <c r="BB2972" s="16"/>
      <c r="BC2972" s="56"/>
      <c r="BD2972" s="56"/>
      <c r="BE2972" s="56"/>
      <c r="BF2972" s="56"/>
      <c r="BG2972" s="56"/>
      <c r="BH2972" s="56"/>
      <c r="BI2972" s="56"/>
      <c r="BJ2972" s="56"/>
      <c r="BK2972" s="56"/>
      <c r="BL2972" s="56"/>
      <c r="BM2972" s="56"/>
      <c r="BN2972" s="56"/>
      <c r="BO2972" s="56"/>
      <c r="BP2972" s="56"/>
      <c r="BQ2972" s="56"/>
      <c r="BR2972" s="56"/>
      <c r="BS2972" s="56"/>
      <c r="BT2972" s="56"/>
      <c r="BU2972" s="56"/>
      <c r="BV2972" s="56"/>
      <c r="BW2972" s="56"/>
      <c r="BX2972" s="56"/>
      <c r="BY2972" s="56"/>
      <c r="BZ2972" s="56"/>
      <c r="CA2972" s="56"/>
      <c r="CB2972" s="56"/>
      <c r="CC2972" s="56"/>
      <c r="CD2972" s="56"/>
      <c r="CE2972" s="56"/>
      <c r="CF2972" s="56"/>
      <c r="CG2972" s="56"/>
      <c r="CH2972" s="56"/>
      <c r="CI2972" s="56"/>
      <c r="CJ2972" s="56"/>
      <c r="CK2972" s="56"/>
      <c r="CL2972" s="56"/>
      <c r="CM2972" s="56"/>
      <c r="CN2972" s="56"/>
      <c r="CO2972" s="56"/>
      <c r="CP2972" s="56"/>
      <c r="CQ2972" s="56"/>
      <c r="CR2972" s="56"/>
      <c r="CS2972" s="56"/>
      <c r="CT2972" s="56"/>
      <c r="CU2972" s="56"/>
      <c r="CV2972" s="56"/>
      <c r="CW2972" s="56"/>
      <c r="CX2972" s="56"/>
      <c r="CY2972" s="56"/>
      <c r="CZ2972" s="56"/>
    </row>
    <row r="2973" spans="27:104" s="5" customFormat="1" x14ac:dyDescent="0.25">
      <c r="AA2973" s="56"/>
      <c r="AB2973" s="56"/>
      <c r="AC2973" s="56"/>
      <c r="AD2973" s="56"/>
      <c r="AE2973" s="56"/>
      <c r="AF2973" s="56"/>
      <c r="AG2973" s="56"/>
      <c r="AH2973" s="56"/>
      <c r="AI2973" s="56"/>
      <c r="AJ2973" s="56"/>
      <c r="AK2973" s="56"/>
      <c r="AL2973" s="56"/>
      <c r="AM2973" s="56"/>
      <c r="AN2973" s="56"/>
      <c r="AO2973" s="56"/>
      <c r="AP2973" s="56"/>
      <c r="AQ2973" s="56"/>
      <c r="AR2973" s="56"/>
      <c r="AS2973" s="56"/>
      <c r="AT2973" s="56"/>
      <c r="AU2973" s="56"/>
      <c r="AV2973" s="56"/>
      <c r="AW2973" s="56"/>
      <c r="AX2973" s="56"/>
      <c r="AY2973" s="56"/>
      <c r="AZ2973" s="56"/>
      <c r="BA2973" s="56"/>
      <c r="BB2973" s="16"/>
      <c r="BC2973" s="56"/>
      <c r="BD2973" s="56"/>
      <c r="BE2973" s="56"/>
      <c r="BF2973" s="56"/>
      <c r="BG2973" s="56"/>
      <c r="BH2973" s="56"/>
      <c r="BI2973" s="56"/>
      <c r="BJ2973" s="56"/>
      <c r="BK2973" s="56"/>
      <c r="BL2973" s="56"/>
      <c r="BM2973" s="56"/>
      <c r="BN2973" s="56"/>
      <c r="BO2973" s="56"/>
      <c r="BP2973" s="56"/>
      <c r="BQ2973" s="56"/>
      <c r="BR2973" s="56"/>
      <c r="BS2973" s="56"/>
      <c r="BT2973" s="56"/>
      <c r="BU2973" s="56"/>
      <c r="BV2973" s="56"/>
      <c r="BW2973" s="56"/>
      <c r="BX2973" s="56"/>
      <c r="BY2973" s="56"/>
      <c r="BZ2973" s="56"/>
      <c r="CA2973" s="56"/>
      <c r="CB2973" s="56"/>
      <c r="CC2973" s="56"/>
      <c r="CD2973" s="56"/>
      <c r="CE2973" s="56"/>
      <c r="CF2973" s="56"/>
      <c r="CG2973" s="56"/>
      <c r="CH2973" s="56"/>
      <c r="CI2973" s="56"/>
      <c r="CJ2973" s="56"/>
      <c r="CK2973" s="56"/>
      <c r="CL2973" s="56"/>
      <c r="CM2973" s="56"/>
      <c r="CN2973" s="56"/>
      <c r="CO2973" s="56"/>
      <c r="CP2973" s="56"/>
      <c r="CQ2973" s="56"/>
      <c r="CR2973" s="56"/>
      <c r="CS2973" s="56"/>
      <c r="CT2973" s="56"/>
      <c r="CU2973" s="56"/>
      <c r="CV2973" s="56"/>
      <c r="CW2973" s="56"/>
      <c r="CX2973" s="56"/>
      <c r="CY2973" s="56"/>
      <c r="CZ2973" s="56"/>
    </row>
    <row r="2974" spans="27:104" s="5" customFormat="1" x14ac:dyDescent="0.25">
      <c r="AA2974" s="56"/>
      <c r="AB2974" s="56"/>
      <c r="AC2974" s="56"/>
      <c r="AD2974" s="56"/>
      <c r="AE2974" s="56"/>
      <c r="AF2974" s="56"/>
      <c r="AG2974" s="56"/>
      <c r="AH2974" s="56"/>
      <c r="AI2974" s="56"/>
      <c r="AJ2974" s="56"/>
      <c r="AK2974" s="56"/>
      <c r="AL2974" s="56"/>
      <c r="AM2974" s="56"/>
      <c r="AN2974" s="56"/>
      <c r="AO2974" s="56"/>
      <c r="AP2974" s="56"/>
      <c r="AQ2974" s="56"/>
      <c r="AR2974" s="56"/>
      <c r="AS2974" s="56"/>
      <c r="AT2974" s="56"/>
      <c r="AU2974" s="56"/>
      <c r="AV2974" s="56"/>
      <c r="AW2974" s="56"/>
      <c r="AX2974" s="56"/>
      <c r="AY2974" s="56"/>
      <c r="AZ2974" s="56"/>
      <c r="BA2974" s="56"/>
      <c r="BB2974" s="16"/>
      <c r="BC2974" s="56"/>
      <c r="BD2974" s="56"/>
      <c r="BE2974" s="56"/>
      <c r="BF2974" s="56"/>
      <c r="BG2974" s="56"/>
      <c r="BH2974" s="56"/>
      <c r="BI2974" s="56"/>
      <c r="BJ2974" s="56"/>
      <c r="BK2974" s="56"/>
      <c r="BL2974" s="56"/>
      <c r="BM2974" s="56"/>
      <c r="BN2974" s="56"/>
      <c r="BO2974" s="56"/>
      <c r="BP2974" s="56"/>
      <c r="BQ2974" s="56"/>
      <c r="BR2974" s="56"/>
      <c r="BS2974" s="56"/>
      <c r="BT2974" s="56"/>
      <c r="BU2974" s="56"/>
      <c r="BV2974" s="56"/>
      <c r="BW2974" s="56"/>
      <c r="BX2974" s="56"/>
      <c r="BY2974" s="56"/>
      <c r="BZ2974" s="56"/>
      <c r="CA2974" s="56"/>
      <c r="CB2974" s="56"/>
      <c r="CC2974" s="56"/>
      <c r="CD2974" s="56"/>
      <c r="CE2974" s="56"/>
      <c r="CF2974" s="56"/>
      <c r="CG2974" s="56"/>
      <c r="CH2974" s="56"/>
      <c r="CI2974" s="56"/>
      <c r="CJ2974" s="56"/>
      <c r="CK2974" s="56"/>
      <c r="CL2974" s="56"/>
      <c r="CM2974" s="56"/>
      <c r="CN2974" s="56"/>
      <c r="CO2974" s="56"/>
      <c r="CP2974" s="56"/>
      <c r="CQ2974" s="56"/>
      <c r="CR2974" s="56"/>
      <c r="CS2974" s="56"/>
      <c r="CT2974" s="56"/>
      <c r="CU2974" s="56"/>
      <c r="CV2974" s="56"/>
      <c r="CW2974" s="56"/>
      <c r="CX2974" s="56"/>
      <c r="CY2974" s="56"/>
      <c r="CZ2974" s="56"/>
    </row>
    <row r="2975" spans="27:104" s="5" customFormat="1" x14ac:dyDescent="0.25">
      <c r="AA2975" s="56"/>
      <c r="AB2975" s="56"/>
      <c r="AC2975" s="56"/>
      <c r="AD2975" s="56"/>
      <c r="AE2975" s="56"/>
      <c r="AF2975" s="56"/>
      <c r="AG2975" s="56"/>
      <c r="AH2975" s="56"/>
      <c r="AI2975" s="56"/>
      <c r="AJ2975" s="56"/>
      <c r="AK2975" s="56"/>
      <c r="AL2975" s="56"/>
      <c r="AM2975" s="56"/>
      <c r="AN2975" s="56"/>
      <c r="AO2975" s="56"/>
      <c r="AP2975" s="56"/>
      <c r="AQ2975" s="56"/>
      <c r="AR2975" s="56"/>
      <c r="AS2975" s="56"/>
      <c r="AT2975" s="56"/>
      <c r="AU2975" s="56"/>
      <c r="AV2975" s="56"/>
      <c r="AW2975" s="56"/>
      <c r="AX2975" s="56"/>
      <c r="AY2975" s="56"/>
      <c r="AZ2975" s="56"/>
      <c r="BA2975" s="56"/>
      <c r="BB2975" s="16"/>
      <c r="BC2975" s="56"/>
      <c r="BD2975" s="56"/>
      <c r="BE2975" s="56"/>
      <c r="BF2975" s="56"/>
      <c r="BG2975" s="56"/>
      <c r="BH2975" s="56"/>
      <c r="BI2975" s="56"/>
      <c r="BJ2975" s="56"/>
      <c r="BK2975" s="56"/>
      <c r="BL2975" s="56"/>
      <c r="BM2975" s="56"/>
      <c r="BN2975" s="56"/>
      <c r="BO2975" s="56"/>
      <c r="BP2975" s="56"/>
      <c r="BQ2975" s="56"/>
      <c r="BR2975" s="56"/>
      <c r="BS2975" s="56"/>
      <c r="BT2975" s="56"/>
      <c r="BU2975" s="56"/>
      <c r="BV2975" s="56"/>
      <c r="BW2975" s="56"/>
      <c r="BX2975" s="56"/>
      <c r="BY2975" s="56"/>
      <c r="BZ2975" s="56"/>
      <c r="CA2975" s="56"/>
      <c r="CB2975" s="56"/>
      <c r="CC2975" s="56"/>
      <c r="CD2975" s="56"/>
      <c r="CE2975" s="56"/>
      <c r="CF2975" s="56"/>
      <c r="CG2975" s="56"/>
      <c r="CH2975" s="56"/>
      <c r="CI2975" s="56"/>
      <c r="CJ2975" s="56"/>
      <c r="CK2975" s="56"/>
      <c r="CL2975" s="56"/>
      <c r="CM2975" s="56"/>
      <c r="CN2975" s="56"/>
      <c r="CO2975" s="56"/>
      <c r="CP2975" s="56"/>
      <c r="CQ2975" s="56"/>
      <c r="CR2975" s="56"/>
      <c r="CS2975" s="56"/>
      <c r="CT2975" s="56"/>
      <c r="CU2975" s="56"/>
      <c r="CV2975" s="56"/>
      <c r="CW2975" s="56"/>
      <c r="CX2975" s="56"/>
      <c r="CY2975" s="56"/>
      <c r="CZ2975" s="56"/>
    </row>
    <row r="2976" spans="27:104" s="5" customFormat="1" x14ac:dyDescent="0.25">
      <c r="AA2976" s="56"/>
      <c r="AB2976" s="56"/>
      <c r="AC2976" s="56"/>
      <c r="AD2976" s="56"/>
      <c r="AE2976" s="56"/>
      <c r="AF2976" s="56"/>
      <c r="AG2976" s="56"/>
      <c r="AH2976" s="56"/>
      <c r="AI2976" s="56"/>
      <c r="AJ2976" s="56"/>
      <c r="AK2976" s="56"/>
      <c r="AL2976" s="56"/>
      <c r="AM2976" s="56"/>
      <c r="AN2976" s="56"/>
      <c r="AO2976" s="56"/>
      <c r="AP2976" s="56"/>
      <c r="AQ2976" s="56"/>
      <c r="AR2976" s="56"/>
      <c r="AS2976" s="56"/>
      <c r="AT2976" s="56"/>
      <c r="AU2976" s="56"/>
      <c r="AV2976" s="56"/>
      <c r="AW2976" s="56"/>
      <c r="AX2976" s="56"/>
      <c r="AY2976" s="56"/>
      <c r="AZ2976" s="56"/>
      <c r="BA2976" s="56"/>
      <c r="BB2976" s="16"/>
      <c r="BC2976" s="56"/>
      <c r="BD2976" s="56"/>
      <c r="BE2976" s="56"/>
      <c r="BF2976" s="56"/>
      <c r="BG2976" s="56"/>
      <c r="BH2976" s="56"/>
      <c r="BI2976" s="56"/>
      <c r="BJ2976" s="56"/>
      <c r="BK2976" s="56"/>
      <c r="BL2976" s="56"/>
      <c r="BM2976" s="56"/>
      <c r="BN2976" s="56"/>
      <c r="BO2976" s="56"/>
      <c r="BP2976" s="56"/>
      <c r="BQ2976" s="56"/>
      <c r="BR2976" s="56"/>
      <c r="BS2976" s="56"/>
      <c r="BT2976" s="56"/>
      <c r="BU2976" s="56"/>
      <c r="BV2976" s="56"/>
      <c r="BW2976" s="56"/>
      <c r="BX2976" s="56"/>
      <c r="BY2976" s="56"/>
      <c r="BZ2976" s="56"/>
      <c r="CA2976" s="56"/>
      <c r="CB2976" s="56"/>
      <c r="CC2976" s="56"/>
      <c r="CD2976" s="56"/>
      <c r="CE2976" s="56"/>
      <c r="CF2976" s="56"/>
      <c r="CG2976" s="56"/>
      <c r="CH2976" s="56"/>
      <c r="CI2976" s="56"/>
      <c r="CJ2976" s="56"/>
      <c r="CK2976" s="56"/>
      <c r="CL2976" s="56"/>
      <c r="CM2976" s="56"/>
      <c r="CN2976" s="56"/>
      <c r="CO2976" s="56"/>
      <c r="CP2976" s="56"/>
      <c r="CQ2976" s="56"/>
      <c r="CR2976" s="56"/>
      <c r="CS2976" s="56"/>
      <c r="CT2976" s="56"/>
      <c r="CU2976" s="56"/>
      <c r="CV2976" s="56"/>
      <c r="CW2976" s="56"/>
      <c r="CX2976" s="56"/>
      <c r="CY2976" s="56"/>
      <c r="CZ2976" s="56"/>
    </row>
    <row r="2977" spans="27:104" s="5" customFormat="1" x14ac:dyDescent="0.25">
      <c r="AA2977" s="56"/>
      <c r="AB2977" s="56"/>
      <c r="AC2977" s="56"/>
      <c r="AD2977" s="56"/>
      <c r="AE2977" s="56"/>
      <c r="AF2977" s="56"/>
      <c r="AG2977" s="56"/>
      <c r="AH2977" s="56"/>
      <c r="AI2977" s="56"/>
      <c r="AJ2977" s="56"/>
      <c r="AK2977" s="56"/>
      <c r="AL2977" s="56"/>
      <c r="AM2977" s="56"/>
      <c r="AN2977" s="56"/>
      <c r="AO2977" s="56"/>
      <c r="AP2977" s="56"/>
      <c r="AQ2977" s="56"/>
      <c r="AR2977" s="56"/>
      <c r="AS2977" s="56"/>
      <c r="AT2977" s="56"/>
      <c r="AU2977" s="56"/>
      <c r="AV2977" s="56"/>
      <c r="AW2977" s="56"/>
      <c r="AX2977" s="56"/>
      <c r="AY2977" s="56"/>
      <c r="AZ2977" s="56"/>
      <c r="BA2977" s="56"/>
      <c r="BB2977" s="16"/>
      <c r="BC2977" s="56"/>
      <c r="BD2977" s="56"/>
      <c r="BE2977" s="56"/>
      <c r="BF2977" s="56"/>
      <c r="BG2977" s="56"/>
      <c r="BH2977" s="56"/>
      <c r="BI2977" s="56"/>
      <c r="BJ2977" s="56"/>
      <c r="BK2977" s="56"/>
      <c r="BL2977" s="56"/>
      <c r="BM2977" s="56"/>
      <c r="BN2977" s="56"/>
      <c r="BO2977" s="56"/>
      <c r="BP2977" s="56"/>
      <c r="BQ2977" s="56"/>
      <c r="BR2977" s="56"/>
      <c r="BS2977" s="56"/>
      <c r="BT2977" s="56"/>
      <c r="BU2977" s="56"/>
      <c r="BV2977" s="56"/>
      <c r="BW2977" s="56"/>
      <c r="BX2977" s="56"/>
      <c r="BY2977" s="56"/>
      <c r="BZ2977" s="56"/>
      <c r="CA2977" s="56"/>
      <c r="CB2977" s="56"/>
      <c r="CC2977" s="56"/>
      <c r="CD2977" s="56"/>
      <c r="CE2977" s="56"/>
      <c r="CF2977" s="56"/>
      <c r="CG2977" s="56"/>
      <c r="CH2977" s="56"/>
      <c r="CI2977" s="56"/>
      <c r="CJ2977" s="56"/>
      <c r="CK2977" s="56"/>
      <c r="CL2977" s="56"/>
      <c r="CM2977" s="56"/>
      <c r="CN2977" s="56"/>
      <c r="CO2977" s="56"/>
      <c r="CP2977" s="56"/>
      <c r="CQ2977" s="56"/>
      <c r="CR2977" s="56"/>
      <c r="CS2977" s="56"/>
      <c r="CT2977" s="56"/>
      <c r="CU2977" s="56"/>
      <c r="CV2977" s="56"/>
      <c r="CW2977" s="56"/>
      <c r="CX2977" s="56"/>
      <c r="CY2977" s="56"/>
      <c r="CZ2977" s="56"/>
    </row>
    <row r="2978" spans="27:104" s="5" customFormat="1" x14ac:dyDescent="0.25">
      <c r="AA2978" s="56"/>
      <c r="AB2978" s="56"/>
      <c r="AC2978" s="56"/>
      <c r="AD2978" s="56"/>
      <c r="AE2978" s="56"/>
      <c r="AF2978" s="56"/>
      <c r="AG2978" s="56"/>
      <c r="AH2978" s="56"/>
      <c r="AI2978" s="56"/>
      <c r="AJ2978" s="56"/>
      <c r="AK2978" s="56"/>
      <c r="AL2978" s="56"/>
      <c r="AM2978" s="56"/>
      <c r="AN2978" s="56"/>
      <c r="AO2978" s="56"/>
      <c r="AP2978" s="56"/>
      <c r="AQ2978" s="56"/>
      <c r="AR2978" s="56"/>
      <c r="AS2978" s="56"/>
      <c r="AT2978" s="56"/>
      <c r="AU2978" s="56"/>
      <c r="AV2978" s="56"/>
      <c r="AW2978" s="56"/>
      <c r="AX2978" s="56"/>
      <c r="AY2978" s="56"/>
      <c r="AZ2978" s="56"/>
      <c r="BA2978" s="56"/>
      <c r="BB2978" s="16"/>
      <c r="BC2978" s="56"/>
      <c r="BD2978" s="56"/>
      <c r="BE2978" s="56"/>
      <c r="BF2978" s="56"/>
      <c r="BG2978" s="56"/>
      <c r="BH2978" s="56"/>
      <c r="BI2978" s="56"/>
      <c r="BJ2978" s="56"/>
      <c r="BK2978" s="56"/>
      <c r="BL2978" s="56"/>
      <c r="BM2978" s="56"/>
      <c r="BN2978" s="56"/>
      <c r="BO2978" s="56"/>
      <c r="BP2978" s="56"/>
      <c r="BQ2978" s="56"/>
      <c r="BR2978" s="56"/>
      <c r="BS2978" s="56"/>
      <c r="BT2978" s="56"/>
      <c r="BU2978" s="56"/>
      <c r="BV2978" s="56"/>
      <c r="BW2978" s="56"/>
      <c r="BX2978" s="56"/>
      <c r="BY2978" s="56"/>
      <c r="BZ2978" s="56"/>
      <c r="CA2978" s="56"/>
      <c r="CB2978" s="56"/>
      <c r="CC2978" s="56"/>
      <c r="CD2978" s="56"/>
      <c r="CE2978" s="56"/>
      <c r="CF2978" s="56"/>
      <c r="CG2978" s="56"/>
      <c r="CH2978" s="56"/>
      <c r="CI2978" s="56"/>
      <c r="CJ2978" s="56"/>
      <c r="CK2978" s="56"/>
      <c r="CL2978" s="56"/>
      <c r="CM2978" s="56"/>
      <c r="CN2978" s="56"/>
      <c r="CO2978" s="56"/>
      <c r="CP2978" s="56"/>
      <c r="CQ2978" s="56"/>
      <c r="CR2978" s="56"/>
      <c r="CS2978" s="56"/>
      <c r="CT2978" s="56"/>
      <c r="CU2978" s="56"/>
      <c r="CV2978" s="56"/>
      <c r="CW2978" s="56"/>
      <c r="CX2978" s="56"/>
      <c r="CY2978" s="56"/>
      <c r="CZ2978" s="56"/>
    </row>
    <row r="2979" spans="27:104" s="5" customFormat="1" x14ac:dyDescent="0.25">
      <c r="AA2979" s="56"/>
      <c r="AB2979" s="56"/>
      <c r="AC2979" s="56"/>
      <c r="AD2979" s="56"/>
      <c r="AE2979" s="56"/>
      <c r="AF2979" s="56"/>
      <c r="AG2979" s="56"/>
      <c r="AH2979" s="56"/>
      <c r="AI2979" s="56"/>
      <c r="AJ2979" s="56"/>
      <c r="AK2979" s="56"/>
      <c r="AL2979" s="56"/>
      <c r="AM2979" s="56"/>
      <c r="AN2979" s="56"/>
      <c r="AO2979" s="56"/>
      <c r="AP2979" s="56"/>
      <c r="AQ2979" s="56"/>
      <c r="AR2979" s="56"/>
      <c r="AS2979" s="56"/>
      <c r="AT2979" s="56"/>
      <c r="AU2979" s="56"/>
      <c r="AV2979" s="56"/>
      <c r="AW2979" s="56"/>
      <c r="AX2979" s="56"/>
      <c r="AY2979" s="56"/>
      <c r="AZ2979" s="56"/>
      <c r="BA2979" s="56"/>
      <c r="BB2979" s="16"/>
      <c r="BC2979" s="56"/>
      <c r="BD2979" s="56"/>
      <c r="BE2979" s="56"/>
      <c r="BF2979" s="56"/>
      <c r="BG2979" s="56"/>
      <c r="BH2979" s="56"/>
      <c r="BI2979" s="56"/>
      <c r="BJ2979" s="56"/>
      <c r="BK2979" s="56"/>
      <c r="BL2979" s="56"/>
      <c r="BM2979" s="56"/>
      <c r="BN2979" s="56"/>
      <c r="BO2979" s="56"/>
      <c r="BP2979" s="56"/>
      <c r="BQ2979" s="56"/>
      <c r="BR2979" s="56"/>
      <c r="BS2979" s="56"/>
      <c r="BT2979" s="56"/>
      <c r="BU2979" s="56"/>
      <c r="BV2979" s="56"/>
      <c r="BW2979" s="56"/>
      <c r="BX2979" s="56"/>
      <c r="BY2979" s="56"/>
      <c r="BZ2979" s="56"/>
      <c r="CA2979" s="56"/>
      <c r="CB2979" s="56"/>
      <c r="CC2979" s="56"/>
      <c r="CD2979" s="56"/>
      <c r="CE2979" s="56"/>
      <c r="CF2979" s="56"/>
      <c r="CG2979" s="56"/>
      <c r="CH2979" s="56"/>
      <c r="CI2979" s="56"/>
      <c r="CJ2979" s="56"/>
      <c r="CK2979" s="56"/>
      <c r="CL2979" s="56"/>
      <c r="CM2979" s="56"/>
      <c r="CN2979" s="56"/>
      <c r="CO2979" s="56"/>
      <c r="CP2979" s="56"/>
      <c r="CQ2979" s="56"/>
      <c r="CR2979" s="56"/>
      <c r="CS2979" s="56"/>
      <c r="CT2979" s="56"/>
      <c r="CU2979" s="56"/>
      <c r="CV2979" s="56"/>
      <c r="CW2979" s="56"/>
      <c r="CX2979" s="56"/>
      <c r="CY2979" s="56"/>
      <c r="CZ2979" s="56"/>
    </row>
    <row r="2980" spans="27:104" s="5" customFormat="1" x14ac:dyDescent="0.25">
      <c r="AA2980" s="56"/>
      <c r="AB2980" s="56"/>
      <c r="AC2980" s="56"/>
      <c r="AD2980" s="56"/>
      <c r="AE2980" s="56"/>
      <c r="AF2980" s="56"/>
      <c r="AG2980" s="56"/>
      <c r="AH2980" s="56"/>
      <c r="AI2980" s="56"/>
      <c r="AJ2980" s="56"/>
      <c r="AK2980" s="56"/>
      <c r="AL2980" s="56"/>
      <c r="AM2980" s="56"/>
      <c r="AN2980" s="56"/>
      <c r="AO2980" s="56"/>
      <c r="AP2980" s="56"/>
      <c r="AQ2980" s="56"/>
      <c r="AR2980" s="56"/>
      <c r="AS2980" s="56"/>
      <c r="AT2980" s="56"/>
      <c r="AU2980" s="56"/>
      <c r="AV2980" s="56"/>
      <c r="AW2980" s="56"/>
      <c r="AX2980" s="56"/>
      <c r="AY2980" s="56"/>
      <c r="AZ2980" s="56"/>
      <c r="BA2980" s="56"/>
      <c r="BB2980" s="16"/>
      <c r="BC2980" s="56"/>
      <c r="BD2980" s="56"/>
      <c r="BE2980" s="56"/>
      <c r="BF2980" s="56"/>
      <c r="BG2980" s="56"/>
      <c r="BH2980" s="56"/>
      <c r="BI2980" s="56"/>
      <c r="BJ2980" s="56"/>
      <c r="BK2980" s="56"/>
      <c r="BL2980" s="56"/>
      <c r="BM2980" s="56"/>
      <c r="BN2980" s="56"/>
      <c r="BO2980" s="56"/>
      <c r="BP2980" s="56"/>
      <c r="BQ2980" s="56"/>
      <c r="BR2980" s="56"/>
      <c r="BS2980" s="56"/>
      <c r="BT2980" s="56"/>
      <c r="BU2980" s="56"/>
      <c r="BV2980" s="56"/>
      <c r="BW2980" s="56"/>
      <c r="BX2980" s="56"/>
      <c r="BY2980" s="56"/>
      <c r="BZ2980" s="56"/>
      <c r="CA2980" s="56"/>
      <c r="CB2980" s="56"/>
      <c r="CC2980" s="56"/>
      <c r="CD2980" s="56"/>
      <c r="CE2980" s="56"/>
      <c r="CF2980" s="56"/>
      <c r="CG2980" s="56"/>
      <c r="CH2980" s="56"/>
      <c r="CI2980" s="56"/>
      <c r="CJ2980" s="56"/>
      <c r="CK2980" s="56"/>
      <c r="CL2980" s="56"/>
      <c r="CM2980" s="56"/>
      <c r="CN2980" s="56"/>
      <c r="CO2980" s="56"/>
      <c r="CP2980" s="56"/>
      <c r="CQ2980" s="56"/>
      <c r="CR2980" s="56"/>
      <c r="CS2980" s="56"/>
      <c r="CT2980" s="56"/>
      <c r="CU2980" s="56"/>
      <c r="CV2980" s="56"/>
      <c r="CW2980" s="56"/>
      <c r="CX2980" s="56"/>
      <c r="CY2980" s="56"/>
      <c r="CZ2980" s="56"/>
    </row>
    <row r="2981" spans="27:104" s="5" customFormat="1" x14ac:dyDescent="0.25">
      <c r="AA2981" s="56"/>
      <c r="AB2981" s="56"/>
      <c r="AC2981" s="56"/>
      <c r="AD2981" s="56"/>
      <c r="AE2981" s="56"/>
      <c r="AF2981" s="56"/>
      <c r="AG2981" s="56"/>
      <c r="AH2981" s="56"/>
      <c r="AI2981" s="56"/>
      <c r="AJ2981" s="56"/>
      <c r="AK2981" s="56"/>
      <c r="AL2981" s="56"/>
      <c r="AM2981" s="56"/>
      <c r="AN2981" s="56"/>
      <c r="AO2981" s="56"/>
      <c r="AP2981" s="56"/>
      <c r="AQ2981" s="56"/>
      <c r="AR2981" s="56"/>
      <c r="AS2981" s="56"/>
      <c r="AT2981" s="56"/>
      <c r="AU2981" s="56"/>
      <c r="AV2981" s="56"/>
      <c r="AW2981" s="56"/>
      <c r="AX2981" s="56"/>
      <c r="AY2981" s="56"/>
      <c r="AZ2981" s="56"/>
      <c r="BA2981" s="56"/>
      <c r="BB2981" s="16"/>
      <c r="BC2981" s="56"/>
      <c r="BD2981" s="56"/>
      <c r="BE2981" s="56"/>
      <c r="BF2981" s="56"/>
      <c r="BG2981" s="56"/>
      <c r="BH2981" s="56"/>
      <c r="BI2981" s="56"/>
      <c r="BJ2981" s="56"/>
      <c r="BK2981" s="56"/>
      <c r="BL2981" s="56"/>
      <c r="BM2981" s="56"/>
      <c r="BN2981" s="56"/>
      <c r="BO2981" s="56"/>
      <c r="BP2981" s="56"/>
      <c r="BQ2981" s="56"/>
      <c r="BR2981" s="56"/>
      <c r="BS2981" s="56"/>
      <c r="BT2981" s="56"/>
      <c r="BU2981" s="56"/>
      <c r="BV2981" s="56"/>
      <c r="BW2981" s="56"/>
      <c r="BX2981" s="56"/>
      <c r="BY2981" s="56"/>
      <c r="BZ2981" s="56"/>
      <c r="CA2981" s="56"/>
      <c r="CB2981" s="56"/>
      <c r="CC2981" s="56"/>
      <c r="CD2981" s="56"/>
      <c r="CE2981" s="56"/>
      <c r="CF2981" s="56"/>
      <c r="CG2981" s="56"/>
      <c r="CH2981" s="56"/>
      <c r="CI2981" s="56"/>
      <c r="CJ2981" s="56"/>
      <c r="CK2981" s="56"/>
      <c r="CL2981" s="56"/>
      <c r="CM2981" s="56"/>
      <c r="CN2981" s="56"/>
      <c r="CO2981" s="56"/>
      <c r="CP2981" s="56"/>
      <c r="CQ2981" s="56"/>
      <c r="CR2981" s="56"/>
      <c r="CS2981" s="56"/>
      <c r="CT2981" s="56"/>
      <c r="CU2981" s="56"/>
      <c r="CV2981" s="56"/>
      <c r="CW2981" s="56"/>
      <c r="CX2981" s="56"/>
      <c r="CY2981" s="56"/>
      <c r="CZ2981" s="56"/>
    </row>
    <row r="2982" spans="27:104" s="5" customFormat="1" x14ac:dyDescent="0.25">
      <c r="AA2982" s="56"/>
      <c r="AB2982" s="56"/>
      <c r="AC2982" s="56"/>
      <c r="AD2982" s="56"/>
      <c r="AE2982" s="56"/>
      <c r="AF2982" s="56"/>
      <c r="AG2982" s="56"/>
      <c r="AH2982" s="56"/>
      <c r="AI2982" s="56"/>
      <c r="AJ2982" s="56"/>
      <c r="AK2982" s="56"/>
      <c r="AL2982" s="56"/>
      <c r="AM2982" s="56"/>
      <c r="AN2982" s="56"/>
      <c r="AO2982" s="56"/>
      <c r="AP2982" s="56"/>
      <c r="AQ2982" s="56"/>
      <c r="AR2982" s="56"/>
      <c r="AS2982" s="56"/>
      <c r="AT2982" s="56"/>
      <c r="AU2982" s="56"/>
      <c r="AV2982" s="56"/>
      <c r="AW2982" s="56"/>
      <c r="AX2982" s="56"/>
      <c r="AY2982" s="56"/>
      <c r="AZ2982" s="56"/>
      <c r="BA2982" s="56"/>
      <c r="BB2982" s="16"/>
      <c r="BC2982" s="56"/>
      <c r="BD2982" s="56"/>
      <c r="BE2982" s="56"/>
      <c r="BF2982" s="56"/>
      <c r="BG2982" s="56"/>
      <c r="BH2982" s="56"/>
      <c r="BI2982" s="56"/>
      <c r="BJ2982" s="56"/>
      <c r="BK2982" s="56"/>
      <c r="BL2982" s="56"/>
      <c r="BM2982" s="56"/>
      <c r="BN2982" s="56"/>
      <c r="BO2982" s="56"/>
      <c r="BP2982" s="56"/>
      <c r="BQ2982" s="56"/>
      <c r="BR2982" s="56"/>
      <c r="BS2982" s="56"/>
      <c r="BT2982" s="56"/>
      <c r="BU2982" s="56"/>
      <c r="BV2982" s="56"/>
      <c r="BW2982" s="56"/>
      <c r="BX2982" s="56"/>
      <c r="BY2982" s="56"/>
      <c r="BZ2982" s="56"/>
      <c r="CA2982" s="56"/>
      <c r="CB2982" s="56"/>
      <c r="CC2982" s="56"/>
      <c r="CD2982" s="56"/>
      <c r="CE2982" s="56"/>
      <c r="CF2982" s="56"/>
      <c r="CG2982" s="56"/>
      <c r="CH2982" s="56"/>
      <c r="CI2982" s="56"/>
      <c r="CJ2982" s="56"/>
      <c r="CK2982" s="56"/>
      <c r="CL2982" s="56"/>
      <c r="CM2982" s="56"/>
      <c r="CN2982" s="56"/>
      <c r="CO2982" s="56"/>
      <c r="CP2982" s="56"/>
      <c r="CQ2982" s="56"/>
      <c r="CR2982" s="56"/>
      <c r="CS2982" s="56"/>
      <c r="CT2982" s="56"/>
      <c r="CU2982" s="56"/>
      <c r="CV2982" s="56"/>
      <c r="CW2982" s="56"/>
      <c r="CX2982" s="56"/>
      <c r="CY2982" s="56"/>
      <c r="CZ2982" s="56"/>
    </row>
    <row r="2983" spans="27:104" s="5" customFormat="1" x14ac:dyDescent="0.25">
      <c r="AA2983" s="56"/>
      <c r="AB2983" s="56"/>
      <c r="AC2983" s="56"/>
      <c r="AD2983" s="56"/>
      <c r="AE2983" s="56"/>
      <c r="AF2983" s="56"/>
      <c r="AG2983" s="56"/>
      <c r="AH2983" s="56"/>
      <c r="AI2983" s="56"/>
      <c r="AJ2983" s="56"/>
      <c r="AK2983" s="56"/>
      <c r="AL2983" s="56"/>
      <c r="AM2983" s="56"/>
      <c r="AN2983" s="56"/>
      <c r="AO2983" s="56"/>
      <c r="AP2983" s="56"/>
      <c r="AQ2983" s="56"/>
      <c r="AR2983" s="56"/>
      <c r="AS2983" s="56"/>
      <c r="AT2983" s="56"/>
      <c r="AU2983" s="56"/>
      <c r="AV2983" s="56"/>
      <c r="AW2983" s="56"/>
      <c r="AX2983" s="56"/>
      <c r="AY2983" s="56"/>
      <c r="AZ2983" s="56"/>
      <c r="BA2983" s="56"/>
      <c r="BB2983" s="16"/>
      <c r="BC2983" s="56"/>
      <c r="BD2983" s="56"/>
      <c r="BE2983" s="56"/>
      <c r="BF2983" s="56"/>
      <c r="BG2983" s="56"/>
      <c r="BH2983" s="56"/>
      <c r="BI2983" s="56"/>
      <c r="BJ2983" s="56"/>
      <c r="BK2983" s="56"/>
      <c r="BL2983" s="56"/>
      <c r="BM2983" s="56"/>
      <c r="BN2983" s="56"/>
      <c r="BO2983" s="56"/>
      <c r="BP2983" s="56"/>
      <c r="BQ2983" s="56"/>
      <c r="BR2983" s="56"/>
      <c r="BS2983" s="56"/>
      <c r="BT2983" s="56"/>
      <c r="BU2983" s="56"/>
      <c r="BV2983" s="56"/>
      <c r="BW2983" s="56"/>
      <c r="BX2983" s="56"/>
      <c r="BY2983" s="56"/>
      <c r="BZ2983" s="56"/>
      <c r="CA2983" s="56"/>
      <c r="CB2983" s="56"/>
      <c r="CC2983" s="56"/>
      <c r="CD2983" s="56"/>
      <c r="CE2983" s="56"/>
      <c r="CF2983" s="56"/>
      <c r="CG2983" s="56"/>
      <c r="CH2983" s="56"/>
      <c r="CI2983" s="56"/>
      <c r="CJ2983" s="56"/>
      <c r="CK2983" s="56"/>
      <c r="CL2983" s="56"/>
      <c r="CM2983" s="56"/>
      <c r="CN2983" s="56"/>
      <c r="CO2983" s="56"/>
      <c r="CP2983" s="56"/>
      <c r="CQ2983" s="56"/>
      <c r="CR2983" s="56"/>
      <c r="CS2983" s="56"/>
      <c r="CT2983" s="56"/>
      <c r="CU2983" s="56"/>
      <c r="CV2983" s="56"/>
      <c r="CW2983" s="56"/>
      <c r="CX2983" s="56"/>
      <c r="CY2983" s="56"/>
      <c r="CZ2983" s="56"/>
    </row>
    <row r="2984" spans="27:104" s="5" customFormat="1" x14ac:dyDescent="0.25">
      <c r="AA2984" s="56"/>
      <c r="AB2984" s="56"/>
      <c r="AC2984" s="56"/>
      <c r="AD2984" s="56"/>
      <c r="AE2984" s="56"/>
      <c r="AF2984" s="56"/>
      <c r="AG2984" s="56"/>
      <c r="AH2984" s="56"/>
      <c r="AI2984" s="56"/>
      <c r="AJ2984" s="56"/>
      <c r="AK2984" s="56"/>
      <c r="AL2984" s="56"/>
      <c r="AM2984" s="56"/>
      <c r="AN2984" s="56"/>
      <c r="AO2984" s="56"/>
      <c r="AP2984" s="56"/>
      <c r="AQ2984" s="56"/>
      <c r="AR2984" s="56"/>
      <c r="AS2984" s="56"/>
      <c r="AT2984" s="56"/>
      <c r="AU2984" s="56"/>
      <c r="AV2984" s="56"/>
      <c r="AW2984" s="56"/>
      <c r="AX2984" s="56"/>
      <c r="AY2984" s="56"/>
      <c r="AZ2984" s="56"/>
      <c r="BA2984" s="56"/>
      <c r="BB2984" s="16"/>
      <c r="BC2984" s="56"/>
      <c r="BD2984" s="56"/>
      <c r="BE2984" s="56"/>
      <c r="BF2984" s="56"/>
      <c r="BG2984" s="56"/>
      <c r="BH2984" s="56"/>
      <c r="BI2984" s="56"/>
      <c r="BJ2984" s="56"/>
      <c r="BK2984" s="56"/>
      <c r="BL2984" s="56"/>
      <c r="BM2984" s="56"/>
      <c r="BN2984" s="56"/>
      <c r="BO2984" s="56"/>
      <c r="BP2984" s="56"/>
      <c r="BQ2984" s="56"/>
      <c r="BR2984" s="56"/>
      <c r="BS2984" s="56"/>
      <c r="BT2984" s="56"/>
      <c r="BU2984" s="56"/>
      <c r="BV2984" s="56"/>
      <c r="BW2984" s="56"/>
      <c r="BX2984" s="56"/>
      <c r="BY2984" s="56"/>
      <c r="BZ2984" s="56"/>
      <c r="CA2984" s="56"/>
      <c r="CB2984" s="56"/>
      <c r="CC2984" s="56"/>
      <c r="CD2984" s="56"/>
      <c r="CE2984" s="56"/>
      <c r="CF2984" s="56"/>
      <c r="CG2984" s="56"/>
      <c r="CH2984" s="56"/>
      <c r="CI2984" s="56"/>
      <c r="CJ2984" s="56"/>
      <c r="CK2984" s="56"/>
      <c r="CL2984" s="56"/>
      <c r="CM2984" s="56"/>
      <c r="CN2984" s="56"/>
      <c r="CO2984" s="56"/>
      <c r="CP2984" s="56"/>
      <c r="CQ2984" s="56"/>
      <c r="CR2984" s="56"/>
      <c r="CS2984" s="56"/>
      <c r="CT2984" s="56"/>
      <c r="CU2984" s="56"/>
      <c r="CV2984" s="56"/>
      <c r="CW2984" s="56"/>
      <c r="CX2984" s="56"/>
      <c r="CY2984" s="56"/>
      <c r="CZ2984" s="56"/>
    </row>
    <row r="2985" spans="27:104" s="5" customFormat="1" x14ac:dyDescent="0.25">
      <c r="AA2985" s="56"/>
      <c r="AB2985" s="56"/>
      <c r="AC2985" s="56"/>
      <c r="AD2985" s="56"/>
      <c r="AE2985" s="56"/>
      <c r="AF2985" s="56"/>
      <c r="AG2985" s="56"/>
      <c r="AH2985" s="56"/>
      <c r="AI2985" s="56"/>
      <c r="AJ2985" s="56"/>
      <c r="AK2985" s="56"/>
      <c r="AL2985" s="56"/>
      <c r="AM2985" s="56"/>
      <c r="AN2985" s="56"/>
      <c r="AO2985" s="56"/>
      <c r="AP2985" s="56"/>
      <c r="AQ2985" s="56"/>
      <c r="AR2985" s="56"/>
      <c r="AS2985" s="56"/>
      <c r="AT2985" s="56"/>
      <c r="AU2985" s="56"/>
      <c r="AV2985" s="56"/>
      <c r="AW2985" s="56"/>
      <c r="AX2985" s="56"/>
      <c r="AY2985" s="56"/>
      <c r="AZ2985" s="56"/>
      <c r="BA2985" s="56"/>
      <c r="BB2985" s="16"/>
      <c r="BC2985" s="56"/>
      <c r="BD2985" s="56"/>
      <c r="BE2985" s="56"/>
      <c r="BF2985" s="56"/>
      <c r="BG2985" s="56"/>
      <c r="BH2985" s="56"/>
      <c r="BI2985" s="56"/>
      <c r="BJ2985" s="56"/>
      <c r="BK2985" s="56"/>
      <c r="BL2985" s="56"/>
      <c r="BM2985" s="56"/>
      <c r="BN2985" s="56"/>
      <c r="BO2985" s="56"/>
      <c r="BP2985" s="56"/>
      <c r="BQ2985" s="56"/>
      <c r="BR2985" s="56"/>
      <c r="BS2985" s="56"/>
      <c r="BT2985" s="56"/>
      <c r="BU2985" s="56"/>
      <c r="BV2985" s="56"/>
      <c r="BW2985" s="56"/>
      <c r="BX2985" s="56"/>
      <c r="BY2985" s="56"/>
      <c r="BZ2985" s="56"/>
      <c r="CA2985" s="56"/>
      <c r="CB2985" s="56"/>
      <c r="CC2985" s="56"/>
      <c r="CD2985" s="56"/>
      <c r="CE2985" s="56"/>
      <c r="CF2985" s="56"/>
      <c r="CG2985" s="56"/>
      <c r="CH2985" s="56"/>
      <c r="CI2985" s="56"/>
      <c r="CJ2985" s="56"/>
      <c r="CK2985" s="56"/>
      <c r="CL2985" s="56"/>
      <c r="CM2985" s="56"/>
      <c r="CN2985" s="56"/>
      <c r="CO2985" s="56"/>
      <c r="CP2985" s="56"/>
      <c r="CQ2985" s="56"/>
      <c r="CR2985" s="56"/>
      <c r="CS2985" s="56"/>
      <c r="CT2985" s="56"/>
      <c r="CU2985" s="56"/>
      <c r="CV2985" s="56"/>
      <c r="CW2985" s="56"/>
      <c r="CX2985" s="56"/>
      <c r="CY2985" s="56"/>
      <c r="CZ2985" s="56"/>
    </row>
    <row r="2986" spans="27:104" s="5" customFormat="1" x14ac:dyDescent="0.25">
      <c r="AA2986" s="56"/>
      <c r="AB2986" s="56"/>
      <c r="AC2986" s="56"/>
      <c r="AD2986" s="56"/>
      <c r="AE2986" s="56"/>
      <c r="AF2986" s="56"/>
      <c r="AG2986" s="56"/>
      <c r="AH2986" s="56"/>
      <c r="AI2986" s="56"/>
      <c r="AJ2986" s="56"/>
      <c r="AK2986" s="56"/>
      <c r="AL2986" s="56"/>
      <c r="AM2986" s="56"/>
      <c r="AN2986" s="56"/>
      <c r="AO2986" s="56"/>
      <c r="AP2986" s="56"/>
      <c r="AQ2986" s="56"/>
      <c r="AR2986" s="56"/>
      <c r="AS2986" s="56"/>
      <c r="AT2986" s="56"/>
      <c r="AU2986" s="56"/>
      <c r="AV2986" s="56"/>
      <c r="AW2986" s="56"/>
      <c r="AX2986" s="56"/>
      <c r="AY2986" s="56"/>
      <c r="AZ2986" s="56"/>
      <c r="BA2986" s="56"/>
      <c r="BB2986" s="16"/>
      <c r="BC2986" s="56"/>
      <c r="BD2986" s="56"/>
      <c r="BE2986" s="56"/>
      <c r="BF2986" s="56"/>
      <c r="BG2986" s="56"/>
      <c r="BH2986" s="56"/>
      <c r="BI2986" s="56"/>
      <c r="BJ2986" s="56"/>
      <c r="BK2986" s="56"/>
      <c r="BL2986" s="56"/>
      <c r="BM2986" s="56"/>
      <c r="BN2986" s="56"/>
      <c r="BO2986" s="56"/>
      <c r="BP2986" s="56"/>
      <c r="BQ2986" s="56"/>
      <c r="BR2986" s="56"/>
      <c r="BS2986" s="56"/>
      <c r="BT2986" s="56"/>
      <c r="BU2986" s="56"/>
      <c r="BV2986" s="56"/>
      <c r="BW2986" s="56"/>
      <c r="BX2986" s="56"/>
      <c r="BY2986" s="56"/>
      <c r="BZ2986" s="56"/>
      <c r="CA2986" s="56"/>
      <c r="CB2986" s="56"/>
      <c r="CC2986" s="56"/>
      <c r="CD2986" s="56"/>
      <c r="CE2986" s="56"/>
      <c r="CF2986" s="56"/>
      <c r="CG2986" s="56"/>
      <c r="CH2986" s="56"/>
      <c r="CI2986" s="56"/>
      <c r="CJ2986" s="56"/>
      <c r="CK2986" s="56"/>
      <c r="CL2986" s="56"/>
      <c r="CM2986" s="56"/>
      <c r="CN2986" s="56"/>
      <c r="CO2986" s="56"/>
      <c r="CP2986" s="56"/>
      <c r="CQ2986" s="56"/>
      <c r="CR2986" s="56"/>
      <c r="CS2986" s="56"/>
      <c r="CT2986" s="56"/>
      <c r="CU2986" s="56"/>
      <c r="CV2986" s="56"/>
      <c r="CW2986" s="56"/>
      <c r="CX2986" s="56"/>
      <c r="CY2986" s="56"/>
      <c r="CZ2986" s="56"/>
    </row>
    <row r="2987" spans="27:104" s="5" customFormat="1" x14ac:dyDescent="0.25">
      <c r="AA2987" s="56"/>
      <c r="AB2987" s="56"/>
      <c r="AC2987" s="56"/>
      <c r="AD2987" s="56"/>
      <c r="AE2987" s="56"/>
      <c r="AF2987" s="56"/>
      <c r="AG2987" s="56"/>
      <c r="AH2987" s="56"/>
      <c r="AI2987" s="56"/>
      <c r="AJ2987" s="56"/>
      <c r="AK2987" s="56"/>
      <c r="AL2987" s="56"/>
      <c r="AM2987" s="56"/>
      <c r="AN2987" s="56"/>
      <c r="AO2987" s="56"/>
      <c r="AP2987" s="56"/>
      <c r="AQ2987" s="56"/>
      <c r="AR2987" s="56"/>
      <c r="AS2987" s="56"/>
      <c r="AT2987" s="56"/>
      <c r="AU2987" s="56"/>
      <c r="AV2987" s="56"/>
      <c r="AW2987" s="56"/>
      <c r="AX2987" s="56"/>
      <c r="AY2987" s="56"/>
      <c r="AZ2987" s="56"/>
      <c r="BA2987" s="56"/>
      <c r="BB2987" s="16"/>
      <c r="BC2987" s="56"/>
      <c r="BD2987" s="56"/>
      <c r="BE2987" s="56"/>
      <c r="BF2987" s="56"/>
      <c r="BG2987" s="56"/>
      <c r="BH2987" s="56"/>
      <c r="BI2987" s="56"/>
      <c r="BJ2987" s="56"/>
      <c r="BK2987" s="56"/>
      <c r="BL2987" s="56"/>
      <c r="BM2987" s="56"/>
      <c r="BN2987" s="56"/>
      <c r="BO2987" s="56"/>
      <c r="BP2987" s="56"/>
      <c r="BQ2987" s="56"/>
      <c r="BR2987" s="56"/>
      <c r="BS2987" s="56"/>
      <c r="BT2987" s="56"/>
      <c r="BU2987" s="56"/>
      <c r="BV2987" s="56"/>
      <c r="BW2987" s="56"/>
      <c r="BX2987" s="56"/>
      <c r="BY2987" s="56"/>
      <c r="BZ2987" s="56"/>
      <c r="CA2987" s="56"/>
      <c r="CB2987" s="56"/>
      <c r="CC2987" s="56"/>
      <c r="CD2987" s="56"/>
      <c r="CE2987" s="56"/>
      <c r="CF2987" s="56"/>
      <c r="CG2987" s="56"/>
      <c r="CH2987" s="56"/>
      <c r="CI2987" s="56"/>
      <c r="CJ2987" s="56"/>
      <c r="CK2987" s="56"/>
      <c r="CL2987" s="56"/>
      <c r="CM2987" s="56"/>
      <c r="CN2987" s="56"/>
      <c r="CO2987" s="56"/>
      <c r="CP2987" s="56"/>
      <c r="CQ2987" s="56"/>
      <c r="CR2987" s="56"/>
      <c r="CS2987" s="56"/>
      <c r="CT2987" s="56"/>
      <c r="CU2987" s="56"/>
      <c r="CV2987" s="56"/>
      <c r="CW2987" s="56"/>
      <c r="CX2987" s="56"/>
      <c r="CY2987" s="56"/>
      <c r="CZ2987" s="56"/>
    </row>
    <row r="2988" spans="27:104" s="5" customFormat="1" x14ac:dyDescent="0.25">
      <c r="AA2988" s="56"/>
      <c r="AB2988" s="56"/>
      <c r="AC2988" s="56"/>
      <c r="AD2988" s="56"/>
      <c r="AE2988" s="56"/>
      <c r="AF2988" s="56"/>
      <c r="AG2988" s="56"/>
      <c r="AH2988" s="56"/>
      <c r="AI2988" s="56"/>
      <c r="AJ2988" s="56"/>
      <c r="AK2988" s="56"/>
      <c r="AL2988" s="56"/>
      <c r="AM2988" s="56"/>
      <c r="AN2988" s="56"/>
      <c r="AO2988" s="56"/>
      <c r="AP2988" s="56"/>
      <c r="AQ2988" s="56"/>
      <c r="AR2988" s="56"/>
      <c r="AS2988" s="56"/>
      <c r="AT2988" s="56"/>
      <c r="AU2988" s="56"/>
      <c r="AV2988" s="56"/>
      <c r="AW2988" s="56"/>
      <c r="AX2988" s="56"/>
      <c r="AY2988" s="56"/>
      <c r="AZ2988" s="56"/>
      <c r="BA2988" s="56"/>
      <c r="BB2988" s="16"/>
      <c r="BC2988" s="56"/>
      <c r="BD2988" s="56"/>
      <c r="BE2988" s="56"/>
      <c r="BF2988" s="56"/>
      <c r="BG2988" s="56"/>
      <c r="BH2988" s="56"/>
      <c r="BI2988" s="56"/>
      <c r="BJ2988" s="56"/>
      <c r="BK2988" s="56"/>
      <c r="BL2988" s="56"/>
      <c r="BM2988" s="56"/>
      <c r="BN2988" s="56"/>
      <c r="BO2988" s="56"/>
      <c r="BP2988" s="56"/>
      <c r="BQ2988" s="56"/>
      <c r="BR2988" s="56"/>
      <c r="BS2988" s="56"/>
      <c r="BT2988" s="56"/>
      <c r="BU2988" s="56"/>
      <c r="BV2988" s="56"/>
      <c r="BW2988" s="56"/>
      <c r="BX2988" s="56"/>
      <c r="BY2988" s="56"/>
      <c r="BZ2988" s="56"/>
      <c r="CA2988" s="56"/>
      <c r="CB2988" s="56"/>
      <c r="CC2988" s="56"/>
      <c r="CD2988" s="56"/>
      <c r="CE2988" s="56"/>
      <c r="CF2988" s="56"/>
      <c r="CG2988" s="56"/>
      <c r="CH2988" s="56"/>
      <c r="CI2988" s="56"/>
      <c r="CJ2988" s="56"/>
      <c r="CK2988" s="56"/>
      <c r="CL2988" s="56"/>
      <c r="CM2988" s="56"/>
      <c r="CN2988" s="56"/>
      <c r="CO2988" s="56"/>
      <c r="CP2988" s="56"/>
      <c r="CQ2988" s="56"/>
      <c r="CR2988" s="56"/>
      <c r="CS2988" s="56"/>
      <c r="CT2988" s="56"/>
      <c r="CU2988" s="56"/>
      <c r="CV2988" s="56"/>
      <c r="CW2988" s="56"/>
      <c r="CX2988" s="56"/>
      <c r="CY2988" s="56"/>
      <c r="CZ2988" s="56"/>
    </row>
    <row r="2989" spans="27:104" s="5" customFormat="1" x14ac:dyDescent="0.25">
      <c r="AA2989" s="56"/>
      <c r="AB2989" s="56"/>
      <c r="AC2989" s="56"/>
      <c r="AD2989" s="56"/>
      <c r="AE2989" s="56"/>
      <c r="AF2989" s="56"/>
      <c r="AG2989" s="56"/>
      <c r="AH2989" s="56"/>
      <c r="AI2989" s="56"/>
      <c r="AJ2989" s="56"/>
      <c r="AK2989" s="56"/>
      <c r="AL2989" s="56"/>
      <c r="AM2989" s="56"/>
      <c r="AN2989" s="56"/>
      <c r="AO2989" s="56"/>
      <c r="AP2989" s="56"/>
      <c r="AQ2989" s="56"/>
      <c r="AR2989" s="56"/>
      <c r="AS2989" s="56"/>
      <c r="AT2989" s="56"/>
      <c r="AU2989" s="56"/>
      <c r="AV2989" s="56"/>
      <c r="AW2989" s="56"/>
      <c r="AX2989" s="56"/>
      <c r="AY2989" s="56"/>
      <c r="AZ2989" s="56"/>
      <c r="BA2989" s="56"/>
      <c r="BB2989" s="16"/>
      <c r="BC2989" s="56"/>
      <c r="BD2989" s="56"/>
      <c r="BE2989" s="56"/>
      <c r="BF2989" s="56"/>
      <c r="BG2989" s="56"/>
      <c r="BH2989" s="56"/>
      <c r="BI2989" s="56"/>
      <c r="BJ2989" s="56"/>
      <c r="BK2989" s="56"/>
      <c r="BL2989" s="56"/>
      <c r="BM2989" s="56"/>
      <c r="BN2989" s="56"/>
      <c r="BO2989" s="56"/>
      <c r="BP2989" s="56"/>
      <c r="BQ2989" s="56"/>
      <c r="BR2989" s="56"/>
      <c r="BS2989" s="56"/>
      <c r="BT2989" s="56"/>
      <c r="BU2989" s="56"/>
      <c r="BV2989" s="56"/>
      <c r="BW2989" s="56"/>
      <c r="BX2989" s="56"/>
      <c r="BY2989" s="56"/>
      <c r="BZ2989" s="56"/>
      <c r="CA2989" s="56"/>
      <c r="CB2989" s="56"/>
      <c r="CC2989" s="56"/>
      <c r="CD2989" s="56"/>
      <c r="CE2989" s="56"/>
      <c r="CF2989" s="56"/>
      <c r="CG2989" s="56"/>
      <c r="CH2989" s="56"/>
      <c r="CI2989" s="56"/>
      <c r="CJ2989" s="56"/>
      <c r="CK2989" s="56"/>
      <c r="CL2989" s="56"/>
      <c r="CM2989" s="56"/>
      <c r="CN2989" s="56"/>
      <c r="CO2989" s="56"/>
      <c r="CP2989" s="56"/>
      <c r="CQ2989" s="56"/>
      <c r="CR2989" s="56"/>
      <c r="CS2989" s="56"/>
      <c r="CT2989" s="56"/>
      <c r="CU2989" s="56"/>
      <c r="CV2989" s="56"/>
      <c r="CW2989" s="56"/>
      <c r="CX2989" s="56"/>
      <c r="CY2989" s="56"/>
      <c r="CZ2989" s="56"/>
    </row>
    <row r="2990" spans="27:104" s="5" customFormat="1" x14ac:dyDescent="0.25">
      <c r="AA2990" s="56"/>
      <c r="AB2990" s="56"/>
      <c r="AC2990" s="56"/>
      <c r="AD2990" s="56"/>
      <c r="AE2990" s="56"/>
      <c r="AF2990" s="56"/>
      <c r="AG2990" s="56"/>
      <c r="AH2990" s="56"/>
      <c r="AI2990" s="56"/>
      <c r="AJ2990" s="56"/>
      <c r="AK2990" s="56"/>
      <c r="AL2990" s="56"/>
      <c r="AM2990" s="56"/>
      <c r="AN2990" s="56"/>
      <c r="AO2990" s="56"/>
      <c r="AP2990" s="56"/>
      <c r="AQ2990" s="56"/>
      <c r="AR2990" s="56"/>
      <c r="AS2990" s="56"/>
      <c r="AT2990" s="56"/>
      <c r="AU2990" s="56"/>
      <c r="AV2990" s="56"/>
      <c r="AW2990" s="56"/>
      <c r="AX2990" s="56"/>
      <c r="AY2990" s="56"/>
      <c r="AZ2990" s="56"/>
      <c r="BA2990" s="56"/>
      <c r="BB2990" s="16"/>
      <c r="BC2990" s="56"/>
      <c r="BD2990" s="56"/>
      <c r="BE2990" s="56"/>
      <c r="BF2990" s="56"/>
      <c r="BG2990" s="56"/>
      <c r="BH2990" s="56"/>
      <c r="BI2990" s="56"/>
      <c r="BJ2990" s="56"/>
      <c r="BK2990" s="56"/>
      <c r="BL2990" s="56"/>
      <c r="BM2990" s="56"/>
      <c r="BN2990" s="56"/>
      <c r="BO2990" s="56"/>
      <c r="BP2990" s="56"/>
      <c r="BQ2990" s="56"/>
      <c r="BR2990" s="56"/>
      <c r="BS2990" s="56"/>
      <c r="BT2990" s="56"/>
      <c r="BU2990" s="56"/>
      <c r="BV2990" s="56"/>
      <c r="BW2990" s="56"/>
      <c r="BX2990" s="56"/>
      <c r="BY2990" s="56"/>
      <c r="BZ2990" s="56"/>
      <c r="CA2990" s="56"/>
      <c r="CB2990" s="56"/>
      <c r="CC2990" s="56"/>
      <c r="CD2990" s="56"/>
      <c r="CE2990" s="56"/>
      <c r="CF2990" s="56"/>
      <c r="CG2990" s="56"/>
      <c r="CH2990" s="56"/>
      <c r="CI2990" s="56"/>
      <c r="CJ2990" s="56"/>
      <c r="CK2990" s="56"/>
      <c r="CL2990" s="56"/>
      <c r="CM2990" s="56"/>
      <c r="CN2990" s="56"/>
      <c r="CO2990" s="56"/>
      <c r="CP2990" s="56"/>
      <c r="CQ2990" s="56"/>
      <c r="CR2990" s="56"/>
      <c r="CS2990" s="56"/>
      <c r="CT2990" s="56"/>
      <c r="CU2990" s="56"/>
      <c r="CV2990" s="56"/>
      <c r="CW2990" s="56"/>
      <c r="CX2990" s="56"/>
      <c r="CY2990" s="56"/>
      <c r="CZ2990" s="56"/>
    </row>
    <row r="2991" spans="27:104" s="5" customFormat="1" x14ac:dyDescent="0.25">
      <c r="AA2991" s="56"/>
      <c r="AB2991" s="56"/>
      <c r="AC2991" s="56"/>
      <c r="AD2991" s="56"/>
      <c r="AE2991" s="56"/>
      <c r="AF2991" s="56"/>
      <c r="AG2991" s="56"/>
      <c r="AH2991" s="56"/>
      <c r="AI2991" s="56"/>
      <c r="AJ2991" s="56"/>
      <c r="AK2991" s="56"/>
      <c r="AL2991" s="56"/>
      <c r="AM2991" s="56"/>
      <c r="AN2991" s="56"/>
      <c r="AO2991" s="56"/>
      <c r="AP2991" s="56"/>
      <c r="AQ2991" s="56"/>
      <c r="AR2991" s="56"/>
      <c r="AS2991" s="56"/>
      <c r="AT2991" s="56"/>
      <c r="AU2991" s="56"/>
      <c r="AV2991" s="56"/>
      <c r="AW2991" s="56"/>
      <c r="AX2991" s="56"/>
      <c r="AY2991" s="56"/>
      <c r="AZ2991" s="56"/>
      <c r="BA2991" s="56"/>
      <c r="BB2991" s="16"/>
      <c r="BC2991" s="56"/>
      <c r="BD2991" s="56"/>
      <c r="BE2991" s="56"/>
      <c r="BF2991" s="56"/>
      <c r="BG2991" s="56"/>
      <c r="BH2991" s="56"/>
      <c r="BI2991" s="56"/>
      <c r="BJ2991" s="56"/>
      <c r="BK2991" s="56"/>
      <c r="BL2991" s="56"/>
      <c r="BM2991" s="56"/>
      <c r="BN2991" s="56"/>
      <c r="BO2991" s="56"/>
      <c r="BP2991" s="56"/>
      <c r="BQ2991" s="56"/>
      <c r="BR2991" s="56"/>
      <c r="BS2991" s="56"/>
      <c r="BT2991" s="56"/>
      <c r="BU2991" s="56"/>
      <c r="BV2991" s="56"/>
      <c r="BW2991" s="56"/>
      <c r="BX2991" s="56"/>
      <c r="BY2991" s="56"/>
      <c r="BZ2991" s="56"/>
      <c r="CA2991" s="56"/>
      <c r="CB2991" s="56"/>
      <c r="CC2991" s="56"/>
      <c r="CD2991" s="56"/>
      <c r="CE2991" s="56"/>
      <c r="CF2991" s="56"/>
      <c r="CG2991" s="56"/>
      <c r="CH2991" s="56"/>
      <c r="CI2991" s="56"/>
      <c r="CJ2991" s="56"/>
      <c r="CK2991" s="56"/>
      <c r="CL2991" s="56"/>
      <c r="CM2991" s="56"/>
      <c r="CN2991" s="56"/>
      <c r="CO2991" s="56"/>
      <c r="CP2991" s="56"/>
      <c r="CQ2991" s="56"/>
      <c r="CR2991" s="56"/>
      <c r="CS2991" s="56"/>
      <c r="CT2991" s="56"/>
      <c r="CU2991" s="56"/>
      <c r="CV2991" s="56"/>
      <c r="CW2991" s="56"/>
      <c r="CX2991" s="56"/>
      <c r="CY2991" s="56"/>
      <c r="CZ2991" s="56"/>
    </row>
    <row r="2992" spans="27:104" s="5" customFormat="1" x14ac:dyDescent="0.25">
      <c r="AA2992" s="56"/>
      <c r="AB2992" s="56"/>
      <c r="AC2992" s="56"/>
      <c r="AD2992" s="56"/>
      <c r="AE2992" s="56"/>
      <c r="AF2992" s="56"/>
      <c r="AG2992" s="56"/>
      <c r="AH2992" s="56"/>
      <c r="AI2992" s="56"/>
      <c r="AJ2992" s="56"/>
      <c r="AK2992" s="56"/>
      <c r="AL2992" s="56"/>
      <c r="AM2992" s="56"/>
      <c r="AN2992" s="56"/>
      <c r="AO2992" s="56"/>
      <c r="AP2992" s="56"/>
      <c r="AQ2992" s="56"/>
      <c r="AR2992" s="56"/>
      <c r="AS2992" s="56"/>
      <c r="AT2992" s="56"/>
      <c r="AU2992" s="56"/>
      <c r="AV2992" s="56"/>
      <c r="AW2992" s="56"/>
      <c r="AX2992" s="56"/>
      <c r="AY2992" s="56"/>
      <c r="AZ2992" s="56"/>
      <c r="BA2992" s="56"/>
      <c r="BB2992" s="16"/>
      <c r="BC2992" s="56"/>
      <c r="BD2992" s="56"/>
      <c r="BE2992" s="56"/>
      <c r="BF2992" s="56"/>
      <c r="BG2992" s="56"/>
      <c r="BH2992" s="56"/>
      <c r="BI2992" s="56"/>
      <c r="BJ2992" s="56"/>
      <c r="BK2992" s="56"/>
      <c r="BL2992" s="56"/>
      <c r="BM2992" s="56"/>
      <c r="BN2992" s="56"/>
      <c r="BO2992" s="56"/>
      <c r="BP2992" s="56"/>
      <c r="BQ2992" s="56"/>
      <c r="BR2992" s="56"/>
      <c r="BS2992" s="56"/>
      <c r="BT2992" s="56"/>
      <c r="BU2992" s="56"/>
      <c r="BV2992" s="56"/>
      <c r="BW2992" s="56"/>
      <c r="BX2992" s="56"/>
      <c r="BY2992" s="56"/>
      <c r="BZ2992" s="56"/>
      <c r="CA2992" s="56"/>
      <c r="CB2992" s="56"/>
      <c r="CC2992" s="56"/>
      <c r="CD2992" s="56"/>
      <c r="CE2992" s="56"/>
      <c r="CF2992" s="56"/>
      <c r="CG2992" s="56"/>
      <c r="CH2992" s="56"/>
      <c r="CI2992" s="56"/>
      <c r="CJ2992" s="56"/>
      <c r="CK2992" s="56"/>
      <c r="CL2992" s="56"/>
      <c r="CM2992" s="56"/>
      <c r="CN2992" s="56"/>
      <c r="CO2992" s="56"/>
      <c r="CP2992" s="56"/>
      <c r="CQ2992" s="56"/>
      <c r="CR2992" s="56"/>
      <c r="CS2992" s="56"/>
      <c r="CT2992" s="56"/>
      <c r="CU2992" s="56"/>
      <c r="CV2992" s="56"/>
      <c r="CW2992" s="56"/>
      <c r="CX2992" s="56"/>
      <c r="CY2992" s="56"/>
      <c r="CZ2992" s="56"/>
    </row>
    <row r="2993" spans="27:104" s="5" customFormat="1" x14ac:dyDescent="0.25">
      <c r="AA2993" s="56"/>
      <c r="AB2993" s="56"/>
      <c r="AC2993" s="56"/>
      <c r="AD2993" s="56"/>
      <c r="AE2993" s="56"/>
      <c r="AF2993" s="56"/>
      <c r="AG2993" s="56"/>
      <c r="AH2993" s="56"/>
      <c r="AI2993" s="56"/>
      <c r="AJ2993" s="56"/>
      <c r="AK2993" s="56"/>
      <c r="AL2993" s="56"/>
      <c r="AM2993" s="56"/>
      <c r="AN2993" s="56"/>
      <c r="AO2993" s="56"/>
      <c r="AP2993" s="56"/>
      <c r="AQ2993" s="56"/>
      <c r="AR2993" s="56"/>
      <c r="AS2993" s="56"/>
      <c r="AT2993" s="56"/>
      <c r="AU2993" s="56"/>
      <c r="AV2993" s="56"/>
      <c r="AW2993" s="56"/>
      <c r="AX2993" s="56"/>
      <c r="AY2993" s="56"/>
      <c r="AZ2993" s="56"/>
      <c r="BA2993" s="56"/>
      <c r="BB2993" s="16"/>
      <c r="BC2993" s="56"/>
      <c r="BD2993" s="56"/>
      <c r="BE2993" s="56"/>
      <c r="BF2993" s="56"/>
      <c r="BG2993" s="56"/>
      <c r="BH2993" s="56"/>
      <c r="BI2993" s="56"/>
      <c r="BJ2993" s="56"/>
      <c r="BK2993" s="56"/>
      <c r="BL2993" s="56"/>
      <c r="BM2993" s="56"/>
      <c r="BN2993" s="56"/>
      <c r="BO2993" s="56"/>
      <c r="BP2993" s="56"/>
      <c r="BQ2993" s="56"/>
      <c r="BR2993" s="56"/>
      <c r="BS2993" s="56"/>
      <c r="BT2993" s="56"/>
      <c r="BU2993" s="56"/>
      <c r="BV2993" s="56"/>
      <c r="BW2993" s="56"/>
      <c r="BX2993" s="56"/>
      <c r="BY2993" s="56"/>
      <c r="BZ2993" s="56"/>
      <c r="CA2993" s="56"/>
      <c r="CB2993" s="56"/>
      <c r="CC2993" s="56"/>
      <c r="CD2993" s="56"/>
      <c r="CE2993" s="56"/>
      <c r="CF2993" s="56"/>
      <c r="CG2993" s="56"/>
      <c r="CH2993" s="56"/>
      <c r="CI2993" s="56"/>
      <c r="CJ2993" s="56"/>
      <c r="CK2993" s="56"/>
      <c r="CL2993" s="56"/>
      <c r="CM2993" s="56"/>
      <c r="CN2993" s="56"/>
      <c r="CO2993" s="56"/>
      <c r="CP2993" s="56"/>
      <c r="CQ2993" s="56"/>
      <c r="CR2993" s="56"/>
      <c r="CS2993" s="56"/>
      <c r="CT2993" s="56"/>
      <c r="CU2993" s="56"/>
      <c r="CV2993" s="56"/>
      <c r="CW2993" s="56"/>
      <c r="CX2993" s="56"/>
      <c r="CY2993" s="56"/>
      <c r="CZ2993" s="56"/>
    </row>
    <row r="2994" spans="27:104" s="5" customFormat="1" x14ac:dyDescent="0.25">
      <c r="AA2994" s="56"/>
      <c r="AB2994" s="56"/>
      <c r="AC2994" s="56"/>
      <c r="AD2994" s="56"/>
      <c r="AE2994" s="56"/>
      <c r="AF2994" s="56"/>
      <c r="AG2994" s="56"/>
      <c r="AH2994" s="56"/>
      <c r="AI2994" s="56"/>
      <c r="AJ2994" s="56"/>
      <c r="AK2994" s="56"/>
      <c r="AL2994" s="56"/>
      <c r="AM2994" s="56"/>
      <c r="AN2994" s="56"/>
      <c r="AO2994" s="56"/>
      <c r="AP2994" s="56"/>
      <c r="AQ2994" s="56"/>
      <c r="AR2994" s="56"/>
      <c r="AS2994" s="56"/>
      <c r="AT2994" s="56"/>
      <c r="AU2994" s="56"/>
      <c r="AV2994" s="56"/>
      <c r="AW2994" s="56"/>
      <c r="AX2994" s="56"/>
      <c r="AY2994" s="56"/>
      <c r="AZ2994" s="56"/>
      <c r="BA2994" s="56"/>
      <c r="BB2994" s="16"/>
      <c r="BC2994" s="56"/>
      <c r="BD2994" s="56"/>
      <c r="BE2994" s="56"/>
      <c r="BF2994" s="56"/>
      <c r="BG2994" s="56"/>
      <c r="BH2994" s="56"/>
      <c r="BI2994" s="56"/>
      <c r="BJ2994" s="56"/>
      <c r="BK2994" s="56"/>
      <c r="BL2994" s="56"/>
      <c r="BM2994" s="56"/>
      <c r="BN2994" s="56"/>
      <c r="BO2994" s="56"/>
      <c r="BP2994" s="56"/>
      <c r="BQ2994" s="56"/>
      <c r="BR2994" s="56"/>
      <c r="BS2994" s="56"/>
      <c r="BT2994" s="56"/>
      <c r="BU2994" s="56"/>
      <c r="BV2994" s="56"/>
      <c r="BW2994" s="56"/>
      <c r="BX2994" s="56"/>
      <c r="BY2994" s="56"/>
      <c r="BZ2994" s="56"/>
      <c r="CA2994" s="56"/>
      <c r="CB2994" s="56"/>
      <c r="CC2994" s="56"/>
      <c r="CD2994" s="56"/>
      <c r="CE2994" s="56"/>
      <c r="CF2994" s="56"/>
      <c r="CG2994" s="56"/>
      <c r="CH2994" s="56"/>
      <c r="CI2994" s="56"/>
      <c r="CJ2994" s="56"/>
      <c r="CK2994" s="56"/>
      <c r="CL2994" s="56"/>
      <c r="CM2994" s="56"/>
      <c r="CN2994" s="56"/>
      <c r="CO2994" s="56"/>
      <c r="CP2994" s="56"/>
      <c r="CQ2994" s="56"/>
      <c r="CR2994" s="56"/>
      <c r="CS2994" s="56"/>
      <c r="CT2994" s="56"/>
      <c r="CU2994" s="56"/>
      <c r="CV2994" s="56"/>
      <c r="CW2994" s="56"/>
      <c r="CX2994" s="56"/>
      <c r="CY2994" s="56"/>
      <c r="CZ2994" s="56"/>
    </row>
    <row r="2995" spans="27:104" s="5" customFormat="1" x14ac:dyDescent="0.25">
      <c r="AA2995" s="56"/>
      <c r="AB2995" s="56"/>
      <c r="AC2995" s="56"/>
      <c r="AD2995" s="56"/>
      <c r="AE2995" s="56"/>
      <c r="AF2995" s="56"/>
      <c r="AG2995" s="56"/>
      <c r="AH2995" s="56"/>
      <c r="AI2995" s="56"/>
      <c r="AJ2995" s="56"/>
      <c r="AK2995" s="56"/>
      <c r="AL2995" s="56"/>
      <c r="AM2995" s="56"/>
      <c r="AN2995" s="56"/>
      <c r="AO2995" s="56"/>
      <c r="AP2995" s="56"/>
      <c r="AQ2995" s="56"/>
      <c r="AR2995" s="56"/>
      <c r="AS2995" s="56"/>
      <c r="AT2995" s="56"/>
      <c r="AU2995" s="56"/>
      <c r="AV2995" s="56"/>
      <c r="AW2995" s="56"/>
      <c r="AX2995" s="56"/>
      <c r="AY2995" s="56"/>
      <c r="AZ2995" s="56"/>
      <c r="BA2995" s="56"/>
      <c r="BB2995" s="16"/>
      <c r="BC2995" s="56"/>
      <c r="BD2995" s="56"/>
      <c r="BE2995" s="56"/>
      <c r="BF2995" s="56"/>
      <c r="BG2995" s="56"/>
      <c r="BH2995" s="56"/>
      <c r="BI2995" s="56"/>
      <c r="BJ2995" s="56"/>
      <c r="BK2995" s="56"/>
      <c r="BL2995" s="56"/>
      <c r="BM2995" s="56"/>
      <c r="BN2995" s="56"/>
      <c r="BO2995" s="56"/>
      <c r="BP2995" s="56"/>
      <c r="BQ2995" s="56"/>
      <c r="BR2995" s="56"/>
      <c r="BS2995" s="56"/>
      <c r="BT2995" s="56"/>
      <c r="BU2995" s="56"/>
      <c r="BV2995" s="56"/>
      <c r="BW2995" s="56"/>
      <c r="BX2995" s="56"/>
      <c r="BY2995" s="56"/>
      <c r="BZ2995" s="56"/>
      <c r="CA2995" s="56"/>
      <c r="CB2995" s="56"/>
      <c r="CC2995" s="56"/>
      <c r="CD2995" s="56"/>
      <c r="CE2995" s="56"/>
      <c r="CF2995" s="56"/>
      <c r="CG2995" s="56"/>
      <c r="CH2995" s="56"/>
      <c r="CI2995" s="56"/>
      <c r="CJ2995" s="56"/>
      <c r="CK2995" s="56"/>
      <c r="CL2995" s="56"/>
      <c r="CM2995" s="56"/>
      <c r="CN2995" s="56"/>
      <c r="CO2995" s="56"/>
      <c r="CP2995" s="56"/>
      <c r="CQ2995" s="56"/>
      <c r="CR2995" s="56"/>
      <c r="CS2995" s="56"/>
      <c r="CT2995" s="56"/>
      <c r="CU2995" s="56"/>
      <c r="CV2995" s="56"/>
      <c r="CW2995" s="56"/>
      <c r="CX2995" s="56"/>
      <c r="CY2995" s="56"/>
      <c r="CZ2995" s="56"/>
    </row>
    <row r="2996" spans="27:104" s="5" customFormat="1" x14ac:dyDescent="0.25">
      <c r="AA2996" s="56"/>
      <c r="AB2996" s="56"/>
      <c r="AC2996" s="56"/>
      <c r="AD2996" s="56"/>
      <c r="AE2996" s="56"/>
      <c r="AF2996" s="56"/>
      <c r="AG2996" s="56"/>
      <c r="AH2996" s="56"/>
      <c r="AI2996" s="56"/>
      <c r="AJ2996" s="56"/>
      <c r="AK2996" s="56"/>
      <c r="AL2996" s="56"/>
      <c r="AM2996" s="56"/>
      <c r="AN2996" s="56"/>
      <c r="AO2996" s="56"/>
      <c r="AP2996" s="56"/>
      <c r="AQ2996" s="56"/>
      <c r="AR2996" s="56"/>
      <c r="AS2996" s="56"/>
      <c r="AT2996" s="56"/>
      <c r="AU2996" s="56"/>
      <c r="AV2996" s="56"/>
      <c r="AW2996" s="56"/>
      <c r="AX2996" s="56"/>
      <c r="AY2996" s="56"/>
      <c r="AZ2996" s="56"/>
      <c r="BA2996" s="56"/>
      <c r="BB2996" s="16"/>
      <c r="BC2996" s="56"/>
      <c r="BD2996" s="56"/>
      <c r="BE2996" s="56"/>
      <c r="BF2996" s="56"/>
      <c r="BG2996" s="56"/>
      <c r="BH2996" s="56"/>
      <c r="BI2996" s="56"/>
      <c r="BJ2996" s="56"/>
      <c r="BK2996" s="56"/>
      <c r="BL2996" s="56"/>
      <c r="BM2996" s="56"/>
      <c r="BN2996" s="56"/>
      <c r="BO2996" s="56"/>
      <c r="BP2996" s="56"/>
      <c r="BQ2996" s="56"/>
      <c r="BR2996" s="56"/>
      <c r="BS2996" s="56"/>
      <c r="BT2996" s="56"/>
      <c r="BU2996" s="56"/>
      <c r="BV2996" s="56"/>
      <c r="BW2996" s="56"/>
      <c r="BX2996" s="56"/>
      <c r="BY2996" s="56"/>
      <c r="BZ2996" s="56"/>
      <c r="CA2996" s="56"/>
      <c r="CB2996" s="56"/>
      <c r="CC2996" s="56"/>
      <c r="CD2996" s="56"/>
      <c r="CE2996" s="56"/>
      <c r="CF2996" s="56"/>
      <c r="CG2996" s="56"/>
      <c r="CH2996" s="56"/>
      <c r="CI2996" s="56"/>
      <c r="CJ2996" s="56"/>
      <c r="CK2996" s="56"/>
      <c r="CL2996" s="56"/>
      <c r="CM2996" s="56"/>
      <c r="CN2996" s="56"/>
      <c r="CO2996" s="56"/>
      <c r="CP2996" s="56"/>
      <c r="CQ2996" s="56"/>
      <c r="CR2996" s="56"/>
      <c r="CS2996" s="56"/>
      <c r="CT2996" s="56"/>
      <c r="CU2996" s="56"/>
      <c r="CV2996" s="56"/>
      <c r="CW2996" s="56"/>
      <c r="CX2996" s="56"/>
      <c r="CY2996" s="56"/>
      <c r="CZ2996" s="56"/>
    </row>
    <row r="2997" spans="27:104" s="5" customFormat="1" x14ac:dyDescent="0.25">
      <c r="AA2997" s="56"/>
      <c r="AB2997" s="56"/>
      <c r="AC2997" s="56"/>
      <c r="AD2997" s="56"/>
      <c r="AE2997" s="56"/>
      <c r="AF2997" s="56"/>
      <c r="AG2997" s="56"/>
      <c r="AH2997" s="56"/>
      <c r="AI2997" s="56"/>
      <c r="AJ2997" s="56"/>
      <c r="AK2997" s="56"/>
      <c r="AL2997" s="56"/>
      <c r="AM2997" s="56"/>
      <c r="AN2997" s="56"/>
      <c r="AO2997" s="56"/>
      <c r="AP2997" s="56"/>
      <c r="AQ2997" s="56"/>
      <c r="AR2997" s="56"/>
      <c r="AS2997" s="56"/>
      <c r="AT2997" s="56"/>
      <c r="AU2997" s="56"/>
      <c r="AV2997" s="56"/>
      <c r="AW2997" s="56"/>
      <c r="AX2997" s="56"/>
      <c r="AY2997" s="56"/>
      <c r="AZ2997" s="56"/>
      <c r="BA2997" s="56"/>
      <c r="BB2997" s="16"/>
      <c r="BC2997" s="56"/>
      <c r="BD2997" s="56"/>
      <c r="BE2997" s="56"/>
      <c r="BF2997" s="56"/>
      <c r="BG2997" s="56"/>
      <c r="BH2997" s="56"/>
      <c r="BI2997" s="56"/>
      <c r="BJ2997" s="56"/>
      <c r="BK2997" s="56"/>
      <c r="BL2997" s="56"/>
      <c r="BM2997" s="56"/>
      <c r="BN2997" s="56"/>
      <c r="BO2997" s="56"/>
      <c r="BP2997" s="56"/>
      <c r="BQ2997" s="56"/>
      <c r="BR2997" s="56"/>
      <c r="BS2997" s="56"/>
      <c r="BT2997" s="56"/>
      <c r="BU2997" s="56"/>
      <c r="BV2997" s="56"/>
      <c r="BW2997" s="56"/>
      <c r="BX2997" s="56"/>
      <c r="BY2997" s="56"/>
      <c r="BZ2997" s="56"/>
      <c r="CA2997" s="56"/>
      <c r="CB2997" s="56"/>
      <c r="CC2997" s="56"/>
      <c r="CD2997" s="56"/>
      <c r="CE2997" s="56"/>
      <c r="CF2997" s="56"/>
      <c r="CG2997" s="56"/>
      <c r="CH2997" s="56"/>
      <c r="CI2997" s="56"/>
      <c r="CJ2997" s="56"/>
      <c r="CK2997" s="56"/>
      <c r="CL2997" s="56"/>
      <c r="CM2997" s="56"/>
      <c r="CN2997" s="56"/>
      <c r="CO2997" s="56"/>
      <c r="CP2997" s="56"/>
      <c r="CQ2997" s="56"/>
      <c r="CR2997" s="56"/>
      <c r="CS2997" s="56"/>
      <c r="CT2997" s="56"/>
      <c r="CU2997" s="56"/>
      <c r="CV2997" s="56"/>
      <c r="CW2997" s="56"/>
      <c r="CX2997" s="56"/>
      <c r="CY2997" s="56"/>
      <c r="CZ2997" s="56"/>
    </row>
    <row r="2998" spans="27:104" s="5" customFormat="1" x14ac:dyDescent="0.25">
      <c r="AA2998" s="56"/>
      <c r="AB2998" s="56"/>
      <c r="AC2998" s="56"/>
      <c r="AD2998" s="56"/>
      <c r="AE2998" s="56"/>
      <c r="AF2998" s="56"/>
      <c r="AG2998" s="56"/>
      <c r="AH2998" s="56"/>
      <c r="AI2998" s="56"/>
      <c r="AJ2998" s="56"/>
      <c r="AK2998" s="56"/>
      <c r="AL2998" s="56"/>
      <c r="AM2998" s="56"/>
      <c r="AN2998" s="56"/>
      <c r="AO2998" s="56"/>
      <c r="AP2998" s="56"/>
      <c r="AQ2998" s="56"/>
      <c r="AR2998" s="56"/>
      <c r="AS2998" s="56"/>
      <c r="AT2998" s="56"/>
      <c r="AU2998" s="56"/>
      <c r="AV2998" s="56"/>
      <c r="AW2998" s="56"/>
      <c r="AX2998" s="56"/>
      <c r="AY2998" s="56"/>
      <c r="AZ2998" s="56"/>
      <c r="BA2998" s="56"/>
      <c r="BB2998" s="16"/>
      <c r="BC2998" s="56"/>
      <c r="BD2998" s="56"/>
      <c r="BE2998" s="56"/>
      <c r="BF2998" s="56"/>
      <c r="BG2998" s="56"/>
      <c r="BH2998" s="56"/>
      <c r="BI2998" s="56"/>
      <c r="BJ2998" s="56"/>
      <c r="BK2998" s="56"/>
      <c r="BL2998" s="56"/>
      <c r="BM2998" s="56"/>
      <c r="BN2998" s="56"/>
      <c r="BO2998" s="56"/>
      <c r="BP2998" s="56"/>
      <c r="BQ2998" s="56"/>
      <c r="BR2998" s="56"/>
      <c r="BS2998" s="56"/>
      <c r="BT2998" s="56"/>
      <c r="BU2998" s="56"/>
      <c r="BV2998" s="56"/>
      <c r="BW2998" s="56"/>
      <c r="BX2998" s="56"/>
      <c r="BY2998" s="56"/>
      <c r="BZ2998" s="56"/>
      <c r="CA2998" s="56"/>
      <c r="CB2998" s="56"/>
      <c r="CC2998" s="56"/>
      <c r="CD2998" s="56"/>
      <c r="CE2998" s="56"/>
      <c r="CF2998" s="56"/>
      <c r="CG2998" s="56"/>
      <c r="CH2998" s="56"/>
      <c r="CI2998" s="56"/>
      <c r="CJ2998" s="56"/>
      <c r="CK2998" s="56"/>
      <c r="CL2998" s="56"/>
      <c r="CM2998" s="56"/>
      <c r="CN2998" s="56"/>
      <c r="CO2998" s="56"/>
      <c r="CP2998" s="56"/>
      <c r="CQ2998" s="56"/>
      <c r="CR2998" s="56"/>
      <c r="CS2998" s="56"/>
      <c r="CT2998" s="56"/>
      <c r="CU2998" s="56"/>
      <c r="CV2998" s="56"/>
      <c r="CW2998" s="56"/>
      <c r="CX2998" s="56"/>
      <c r="CY2998" s="56"/>
      <c r="CZ2998" s="56"/>
    </row>
    <row r="2999" spans="27:104" s="5" customFormat="1" x14ac:dyDescent="0.25">
      <c r="AA2999" s="56"/>
      <c r="AB2999" s="56"/>
      <c r="AC2999" s="56"/>
      <c r="AD2999" s="56"/>
      <c r="AE2999" s="56"/>
      <c r="AF2999" s="56"/>
      <c r="AG2999" s="56"/>
      <c r="AH2999" s="56"/>
      <c r="AI2999" s="56"/>
      <c r="AJ2999" s="56"/>
      <c r="AK2999" s="56"/>
      <c r="AL2999" s="56"/>
      <c r="AM2999" s="56"/>
      <c r="AN2999" s="56"/>
      <c r="AO2999" s="56"/>
      <c r="AP2999" s="56"/>
      <c r="AQ2999" s="56"/>
      <c r="AR2999" s="56"/>
      <c r="AS2999" s="56"/>
      <c r="AT2999" s="56"/>
      <c r="AU2999" s="56"/>
      <c r="AV2999" s="56"/>
      <c r="AW2999" s="56"/>
      <c r="AX2999" s="56"/>
      <c r="AY2999" s="56"/>
      <c r="AZ2999" s="56"/>
      <c r="BA2999" s="56"/>
      <c r="BB2999" s="16"/>
      <c r="BC2999" s="56"/>
      <c r="BD2999" s="56"/>
      <c r="BE2999" s="56"/>
      <c r="BF2999" s="56"/>
      <c r="BG2999" s="56"/>
      <c r="BH2999" s="56"/>
      <c r="BI2999" s="56"/>
      <c r="BJ2999" s="56"/>
      <c r="BK2999" s="56"/>
      <c r="BL2999" s="56"/>
      <c r="BM2999" s="56"/>
      <c r="BN2999" s="56"/>
      <c r="BO2999" s="56"/>
      <c r="BP2999" s="56"/>
      <c r="BQ2999" s="56"/>
      <c r="BR2999" s="56"/>
      <c r="BS2999" s="56"/>
      <c r="BT2999" s="56"/>
      <c r="BU2999" s="56"/>
      <c r="BV2999" s="56"/>
      <c r="BW2999" s="56"/>
      <c r="BX2999" s="56"/>
      <c r="BY2999" s="56"/>
      <c r="BZ2999" s="56"/>
      <c r="CA2999" s="56"/>
      <c r="CB2999" s="56"/>
      <c r="CC2999" s="56"/>
      <c r="CD2999" s="56"/>
      <c r="CE2999" s="56"/>
      <c r="CF2999" s="56"/>
      <c r="CG2999" s="56"/>
      <c r="CH2999" s="56"/>
      <c r="CI2999" s="56"/>
      <c r="CJ2999" s="56"/>
      <c r="CK2999" s="56"/>
      <c r="CL2999" s="56"/>
      <c r="CM2999" s="56"/>
      <c r="CN2999" s="56"/>
      <c r="CO2999" s="56"/>
      <c r="CP2999" s="56"/>
      <c r="CQ2999" s="56"/>
      <c r="CR2999" s="56"/>
      <c r="CS2999" s="56"/>
      <c r="CT2999" s="56"/>
      <c r="CU2999" s="56"/>
      <c r="CV2999" s="56"/>
      <c r="CW2999" s="56"/>
      <c r="CX2999" s="56"/>
      <c r="CY2999" s="56"/>
      <c r="CZ2999" s="56"/>
    </row>
    <row r="3000" spans="27:104" s="5" customFormat="1" x14ac:dyDescent="0.25">
      <c r="AA3000" s="56"/>
      <c r="AB3000" s="56"/>
      <c r="AC3000" s="56"/>
      <c r="AD3000" s="56"/>
      <c r="AE3000" s="56"/>
      <c r="AF3000" s="56"/>
      <c r="AG3000" s="56"/>
      <c r="AH3000" s="56"/>
      <c r="AI3000" s="56"/>
      <c r="AJ3000" s="56"/>
      <c r="AK3000" s="56"/>
      <c r="AL3000" s="56"/>
      <c r="AM3000" s="56"/>
      <c r="AN3000" s="56"/>
      <c r="AO3000" s="56"/>
      <c r="AP3000" s="56"/>
      <c r="AQ3000" s="56"/>
      <c r="AR3000" s="56"/>
      <c r="AS3000" s="56"/>
      <c r="AT3000" s="56"/>
      <c r="AU3000" s="56"/>
      <c r="AV3000" s="56"/>
      <c r="AW3000" s="56"/>
      <c r="AX3000" s="56"/>
      <c r="AY3000" s="56"/>
      <c r="AZ3000" s="56"/>
      <c r="BA3000" s="56"/>
      <c r="BB3000" s="16"/>
      <c r="BC3000" s="56"/>
      <c r="BD3000" s="56"/>
      <c r="BE3000" s="56"/>
      <c r="BF3000" s="56"/>
      <c r="BG3000" s="56"/>
      <c r="BH3000" s="56"/>
      <c r="BI3000" s="56"/>
      <c r="BJ3000" s="56"/>
      <c r="BK3000" s="56"/>
      <c r="BL3000" s="56"/>
      <c r="BM3000" s="56"/>
      <c r="BN3000" s="56"/>
      <c r="BO3000" s="56"/>
      <c r="BP3000" s="56"/>
      <c r="BQ3000" s="56"/>
      <c r="BR3000" s="56"/>
      <c r="BS3000" s="56"/>
      <c r="BT3000" s="56"/>
      <c r="BU3000" s="56"/>
      <c r="BV3000" s="56"/>
      <c r="BW3000" s="56"/>
      <c r="BX3000" s="56"/>
      <c r="BY3000" s="56"/>
      <c r="BZ3000" s="56"/>
      <c r="CA3000" s="56"/>
      <c r="CB3000" s="56"/>
      <c r="CC3000" s="56"/>
      <c r="CD3000" s="56"/>
      <c r="CE3000" s="56"/>
      <c r="CF3000" s="56"/>
      <c r="CG3000" s="56"/>
      <c r="CH3000" s="56"/>
      <c r="CI3000" s="56"/>
      <c r="CJ3000" s="56"/>
      <c r="CK3000" s="56"/>
      <c r="CL3000" s="56"/>
      <c r="CM3000" s="56"/>
      <c r="CN3000" s="56"/>
      <c r="CO3000" s="56"/>
      <c r="CP3000" s="56"/>
      <c r="CQ3000" s="56"/>
      <c r="CR3000" s="56"/>
      <c r="CS3000" s="56"/>
      <c r="CT3000" s="56"/>
      <c r="CU3000" s="56"/>
      <c r="CV3000" s="56"/>
      <c r="CW3000" s="56"/>
      <c r="CX3000" s="56"/>
      <c r="CY3000" s="56"/>
      <c r="CZ3000" s="56"/>
    </row>
    <row r="3001" spans="27:104" s="5" customFormat="1" x14ac:dyDescent="0.25">
      <c r="AA3001" s="56"/>
      <c r="AB3001" s="56"/>
      <c r="AC3001" s="56"/>
      <c r="AD3001" s="56"/>
      <c r="AE3001" s="56"/>
      <c r="AF3001" s="56"/>
      <c r="AG3001" s="56"/>
      <c r="AH3001" s="56"/>
      <c r="AI3001" s="56"/>
      <c r="AJ3001" s="56"/>
      <c r="AK3001" s="56"/>
      <c r="AL3001" s="56"/>
      <c r="AM3001" s="56"/>
      <c r="AN3001" s="56"/>
      <c r="AO3001" s="56"/>
      <c r="AP3001" s="56"/>
      <c r="AQ3001" s="56"/>
      <c r="AR3001" s="56"/>
      <c r="AS3001" s="56"/>
      <c r="AT3001" s="56"/>
      <c r="AU3001" s="56"/>
      <c r="AV3001" s="56"/>
      <c r="AW3001" s="56"/>
      <c r="AX3001" s="56"/>
      <c r="AY3001" s="56"/>
      <c r="AZ3001" s="56"/>
      <c r="BA3001" s="56"/>
      <c r="BB3001" s="16"/>
      <c r="BC3001" s="56"/>
      <c r="BD3001" s="56"/>
      <c r="BE3001" s="56"/>
      <c r="BF3001" s="56"/>
      <c r="BG3001" s="56"/>
      <c r="BH3001" s="56"/>
      <c r="BI3001" s="56"/>
      <c r="BJ3001" s="56"/>
      <c r="BK3001" s="56"/>
      <c r="BL3001" s="56"/>
      <c r="BM3001" s="56"/>
      <c r="BN3001" s="56"/>
      <c r="BO3001" s="56"/>
      <c r="BP3001" s="56"/>
      <c r="BQ3001" s="56"/>
      <c r="BR3001" s="56"/>
      <c r="BS3001" s="56"/>
      <c r="BT3001" s="56"/>
      <c r="BU3001" s="56"/>
      <c r="BV3001" s="56"/>
      <c r="BW3001" s="56"/>
      <c r="BX3001" s="56"/>
      <c r="BY3001" s="56"/>
      <c r="BZ3001" s="56"/>
      <c r="CA3001" s="56"/>
      <c r="CB3001" s="56"/>
      <c r="CC3001" s="56"/>
      <c r="CD3001" s="56"/>
      <c r="CE3001" s="56"/>
      <c r="CF3001" s="56"/>
      <c r="CG3001" s="56"/>
      <c r="CH3001" s="56"/>
      <c r="CI3001" s="56"/>
      <c r="CJ3001" s="56"/>
      <c r="CK3001" s="56"/>
      <c r="CL3001" s="56"/>
      <c r="CM3001" s="56"/>
      <c r="CN3001" s="56"/>
      <c r="CO3001" s="56"/>
      <c r="CP3001" s="56"/>
      <c r="CQ3001" s="56"/>
      <c r="CR3001" s="56"/>
      <c r="CS3001" s="56"/>
      <c r="CT3001" s="56"/>
      <c r="CU3001" s="56"/>
      <c r="CV3001" s="56"/>
      <c r="CW3001" s="56"/>
      <c r="CX3001" s="56"/>
      <c r="CY3001" s="56"/>
      <c r="CZ3001" s="56"/>
    </row>
    <row r="3002" spans="27:104" s="5" customFormat="1" x14ac:dyDescent="0.25">
      <c r="AA3002" s="56"/>
      <c r="AB3002" s="56"/>
      <c r="AC3002" s="56"/>
      <c r="AD3002" s="56"/>
      <c r="AE3002" s="56"/>
      <c r="AF3002" s="56"/>
      <c r="AG3002" s="56"/>
      <c r="AH3002" s="56"/>
      <c r="AI3002" s="56"/>
      <c r="AJ3002" s="56"/>
      <c r="AK3002" s="56"/>
      <c r="AL3002" s="56"/>
      <c r="AM3002" s="56"/>
      <c r="AN3002" s="56"/>
      <c r="AO3002" s="56"/>
      <c r="AP3002" s="56"/>
      <c r="AQ3002" s="56"/>
      <c r="AR3002" s="56"/>
      <c r="AS3002" s="56"/>
      <c r="AT3002" s="56"/>
      <c r="AU3002" s="56"/>
      <c r="AV3002" s="56"/>
      <c r="AW3002" s="56"/>
      <c r="AX3002" s="56"/>
      <c r="AY3002" s="56"/>
      <c r="AZ3002" s="56"/>
      <c r="BA3002" s="56"/>
      <c r="BB3002" s="16"/>
      <c r="BC3002" s="56"/>
      <c r="BD3002" s="56"/>
      <c r="BE3002" s="56"/>
      <c r="BF3002" s="56"/>
      <c r="BG3002" s="56"/>
      <c r="BH3002" s="56"/>
      <c r="BI3002" s="56"/>
      <c r="BJ3002" s="56"/>
      <c r="BK3002" s="56"/>
      <c r="BL3002" s="56"/>
      <c r="BM3002" s="56"/>
      <c r="BN3002" s="56"/>
      <c r="BO3002" s="56"/>
      <c r="BP3002" s="56"/>
      <c r="BQ3002" s="56"/>
      <c r="BR3002" s="56"/>
      <c r="BS3002" s="56"/>
      <c r="BT3002" s="56"/>
      <c r="BU3002" s="56"/>
      <c r="BV3002" s="56"/>
      <c r="BW3002" s="56"/>
      <c r="BX3002" s="56"/>
      <c r="BY3002" s="56"/>
      <c r="BZ3002" s="56"/>
      <c r="CA3002" s="56"/>
      <c r="CB3002" s="56"/>
      <c r="CC3002" s="56"/>
      <c r="CD3002" s="56"/>
      <c r="CE3002" s="56"/>
      <c r="CF3002" s="56"/>
      <c r="CG3002" s="56"/>
      <c r="CH3002" s="56"/>
      <c r="CI3002" s="56"/>
      <c r="CJ3002" s="56"/>
      <c r="CK3002" s="56"/>
      <c r="CL3002" s="56"/>
      <c r="CM3002" s="56"/>
      <c r="CN3002" s="56"/>
      <c r="CO3002" s="56"/>
      <c r="CP3002" s="56"/>
      <c r="CQ3002" s="56"/>
      <c r="CR3002" s="56"/>
      <c r="CS3002" s="56"/>
      <c r="CT3002" s="56"/>
      <c r="CU3002" s="56"/>
      <c r="CV3002" s="56"/>
      <c r="CW3002" s="56"/>
      <c r="CX3002" s="56"/>
      <c r="CY3002" s="56"/>
      <c r="CZ3002" s="56"/>
    </row>
    <row r="3003" spans="27:104" s="5" customFormat="1" x14ac:dyDescent="0.25">
      <c r="AA3003" s="56"/>
      <c r="AB3003" s="56"/>
      <c r="AC3003" s="56"/>
      <c r="AD3003" s="56"/>
      <c r="AE3003" s="56"/>
      <c r="AF3003" s="56"/>
      <c r="AG3003" s="56"/>
      <c r="AH3003" s="56"/>
      <c r="AI3003" s="56"/>
      <c r="AJ3003" s="56"/>
      <c r="AK3003" s="56"/>
      <c r="AL3003" s="56"/>
      <c r="AM3003" s="56"/>
      <c r="AN3003" s="56"/>
      <c r="AO3003" s="56"/>
      <c r="AP3003" s="56"/>
      <c r="AQ3003" s="56"/>
      <c r="AR3003" s="56"/>
      <c r="AS3003" s="56"/>
      <c r="AT3003" s="56"/>
      <c r="AU3003" s="56"/>
      <c r="AV3003" s="56"/>
      <c r="AW3003" s="56"/>
      <c r="AX3003" s="56"/>
      <c r="AY3003" s="56"/>
      <c r="AZ3003" s="56"/>
      <c r="BA3003" s="56"/>
      <c r="BB3003" s="16"/>
      <c r="BC3003" s="56"/>
      <c r="BD3003" s="56"/>
      <c r="BE3003" s="56"/>
      <c r="BF3003" s="56"/>
      <c r="BG3003" s="56"/>
      <c r="BH3003" s="56"/>
      <c r="BI3003" s="56"/>
      <c r="BJ3003" s="56"/>
      <c r="BK3003" s="56"/>
      <c r="BL3003" s="56"/>
      <c r="BM3003" s="56"/>
      <c r="BN3003" s="56"/>
      <c r="BO3003" s="56"/>
      <c r="BP3003" s="56"/>
      <c r="BQ3003" s="56"/>
      <c r="BR3003" s="56"/>
      <c r="BS3003" s="56"/>
      <c r="BT3003" s="56"/>
      <c r="BU3003" s="56"/>
      <c r="BV3003" s="56"/>
      <c r="BW3003" s="56"/>
      <c r="BX3003" s="56"/>
      <c r="BY3003" s="56"/>
      <c r="BZ3003" s="56"/>
      <c r="CA3003" s="56"/>
      <c r="CB3003" s="56"/>
      <c r="CC3003" s="56"/>
      <c r="CD3003" s="56"/>
      <c r="CE3003" s="56"/>
      <c r="CF3003" s="56"/>
      <c r="CG3003" s="56"/>
      <c r="CH3003" s="56"/>
      <c r="CI3003" s="56"/>
      <c r="CJ3003" s="56"/>
      <c r="CK3003" s="56"/>
      <c r="CL3003" s="56"/>
      <c r="CM3003" s="56"/>
      <c r="CN3003" s="56"/>
      <c r="CO3003" s="56"/>
      <c r="CP3003" s="56"/>
      <c r="CQ3003" s="56"/>
      <c r="CR3003" s="56"/>
      <c r="CS3003" s="56"/>
      <c r="CT3003" s="56"/>
      <c r="CU3003" s="56"/>
      <c r="CV3003" s="56"/>
      <c r="CW3003" s="56"/>
      <c r="CX3003" s="56"/>
      <c r="CY3003" s="56"/>
      <c r="CZ3003" s="56"/>
    </row>
    <row r="3004" spans="27:104" s="5" customFormat="1" x14ac:dyDescent="0.25">
      <c r="AA3004" s="56"/>
      <c r="AB3004" s="56"/>
      <c r="AC3004" s="56"/>
      <c r="AD3004" s="56"/>
      <c r="AE3004" s="56"/>
      <c r="AF3004" s="56"/>
      <c r="AG3004" s="56"/>
      <c r="AH3004" s="56"/>
      <c r="AI3004" s="56"/>
      <c r="AJ3004" s="56"/>
      <c r="AK3004" s="56"/>
      <c r="AL3004" s="56"/>
      <c r="AM3004" s="56"/>
      <c r="AN3004" s="56"/>
      <c r="AO3004" s="56"/>
      <c r="AP3004" s="56"/>
      <c r="AQ3004" s="56"/>
      <c r="AR3004" s="56"/>
      <c r="AS3004" s="56"/>
      <c r="AT3004" s="56"/>
      <c r="AU3004" s="56"/>
      <c r="AV3004" s="56"/>
      <c r="AW3004" s="56"/>
      <c r="AX3004" s="56"/>
      <c r="AY3004" s="56"/>
      <c r="AZ3004" s="56"/>
      <c r="BA3004" s="56"/>
      <c r="BB3004" s="16"/>
      <c r="BC3004" s="56"/>
      <c r="BD3004" s="56"/>
      <c r="BE3004" s="56"/>
      <c r="BF3004" s="56"/>
      <c r="BG3004" s="56"/>
      <c r="BH3004" s="56"/>
      <c r="BI3004" s="56"/>
      <c r="BJ3004" s="56"/>
      <c r="BK3004" s="56"/>
      <c r="BL3004" s="56"/>
      <c r="BM3004" s="56"/>
      <c r="BN3004" s="56"/>
      <c r="BO3004" s="56"/>
      <c r="BP3004" s="56"/>
      <c r="BQ3004" s="56"/>
      <c r="BR3004" s="56"/>
      <c r="BS3004" s="56"/>
      <c r="BT3004" s="56"/>
      <c r="BU3004" s="56"/>
      <c r="BV3004" s="56"/>
      <c r="BW3004" s="56"/>
      <c r="BX3004" s="56"/>
      <c r="BY3004" s="56"/>
      <c r="BZ3004" s="56"/>
      <c r="CA3004" s="56"/>
      <c r="CB3004" s="56"/>
      <c r="CC3004" s="56"/>
      <c r="CD3004" s="56"/>
      <c r="CE3004" s="56"/>
      <c r="CF3004" s="56"/>
      <c r="CG3004" s="56"/>
      <c r="CH3004" s="56"/>
      <c r="CI3004" s="56"/>
      <c r="CJ3004" s="56"/>
      <c r="CK3004" s="56"/>
      <c r="CL3004" s="56"/>
      <c r="CM3004" s="56"/>
      <c r="CN3004" s="56"/>
      <c r="CO3004" s="56"/>
      <c r="CP3004" s="56"/>
      <c r="CQ3004" s="56"/>
      <c r="CR3004" s="56"/>
      <c r="CS3004" s="56"/>
      <c r="CT3004" s="56"/>
      <c r="CU3004" s="56"/>
      <c r="CV3004" s="56"/>
      <c r="CW3004" s="56"/>
      <c r="CX3004" s="56"/>
      <c r="CY3004" s="56"/>
      <c r="CZ3004" s="56"/>
    </row>
    <row r="3005" spans="27:104" s="5" customFormat="1" x14ac:dyDescent="0.25">
      <c r="AA3005" s="56"/>
      <c r="AB3005" s="56"/>
      <c r="AC3005" s="56"/>
      <c r="AD3005" s="56"/>
      <c r="AE3005" s="56"/>
      <c r="AF3005" s="56"/>
      <c r="AG3005" s="56"/>
      <c r="AH3005" s="56"/>
      <c r="AI3005" s="56"/>
      <c r="AJ3005" s="56"/>
      <c r="AK3005" s="56"/>
      <c r="AL3005" s="56"/>
      <c r="AM3005" s="56"/>
      <c r="AN3005" s="56"/>
      <c r="AO3005" s="56"/>
      <c r="AP3005" s="56"/>
      <c r="AQ3005" s="56"/>
      <c r="AR3005" s="56"/>
      <c r="AS3005" s="56"/>
      <c r="AT3005" s="56"/>
      <c r="AU3005" s="56"/>
      <c r="AV3005" s="56"/>
      <c r="AW3005" s="56"/>
      <c r="AX3005" s="56"/>
      <c r="AY3005" s="56"/>
      <c r="AZ3005" s="56"/>
      <c r="BA3005" s="56"/>
      <c r="BB3005" s="16"/>
      <c r="BC3005" s="56"/>
      <c r="BD3005" s="56"/>
      <c r="BE3005" s="56"/>
      <c r="BF3005" s="56"/>
      <c r="BG3005" s="56"/>
      <c r="BH3005" s="56"/>
      <c r="BI3005" s="56"/>
      <c r="BJ3005" s="56"/>
      <c r="BK3005" s="56"/>
      <c r="BL3005" s="56"/>
      <c r="BM3005" s="56"/>
      <c r="BN3005" s="56"/>
      <c r="BO3005" s="56"/>
      <c r="BP3005" s="56"/>
      <c r="BQ3005" s="56"/>
      <c r="BR3005" s="56"/>
      <c r="BS3005" s="56"/>
      <c r="BT3005" s="56"/>
      <c r="BU3005" s="56"/>
      <c r="BV3005" s="56"/>
      <c r="BW3005" s="56"/>
      <c r="BX3005" s="56"/>
      <c r="BY3005" s="56"/>
      <c r="BZ3005" s="56"/>
      <c r="CA3005" s="56"/>
      <c r="CB3005" s="56"/>
      <c r="CC3005" s="56"/>
      <c r="CD3005" s="56"/>
      <c r="CE3005" s="56"/>
      <c r="CF3005" s="56"/>
      <c r="CG3005" s="56"/>
      <c r="CH3005" s="56"/>
      <c r="CI3005" s="56"/>
      <c r="CJ3005" s="56"/>
      <c r="CK3005" s="56"/>
      <c r="CL3005" s="56"/>
      <c r="CM3005" s="56"/>
      <c r="CN3005" s="56"/>
      <c r="CO3005" s="56"/>
      <c r="CP3005" s="56"/>
      <c r="CQ3005" s="56"/>
      <c r="CR3005" s="56"/>
      <c r="CS3005" s="56"/>
      <c r="CT3005" s="56"/>
      <c r="CU3005" s="56"/>
      <c r="CV3005" s="56"/>
      <c r="CW3005" s="56"/>
      <c r="CX3005" s="56"/>
      <c r="CY3005" s="56"/>
      <c r="CZ3005" s="56"/>
    </row>
    <row r="3006" spans="27:104" s="5" customFormat="1" x14ac:dyDescent="0.25">
      <c r="AA3006" s="56"/>
      <c r="AB3006" s="56"/>
      <c r="AC3006" s="56"/>
      <c r="AD3006" s="56"/>
      <c r="AE3006" s="56"/>
      <c r="AF3006" s="56"/>
      <c r="AG3006" s="56"/>
      <c r="AH3006" s="56"/>
      <c r="AI3006" s="56"/>
      <c r="AJ3006" s="56"/>
      <c r="AK3006" s="56"/>
      <c r="AL3006" s="56"/>
      <c r="AM3006" s="56"/>
      <c r="AN3006" s="56"/>
      <c r="AO3006" s="56"/>
      <c r="AP3006" s="56"/>
      <c r="AQ3006" s="56"/>
      <c r="AR3006" s="56"/>
      <c r="AS3006" s="56"/>
      <c r="AT3006" s="56"/>
      <c r="AU3006" s="56"/>
      <c r="AV3006" s="56"/>
      <c r="AW3006" s="56"/>
      <c r="AX3006" s="56"/>
      <c r="AY3006" s="56"/>
      <c r="AZ3006" s="56"/>
      <c r="BA3006" s="56"/>
      <c r="BB3006" s="16"/>
      <c r="BC3006" s="56"/>
      <c r="BD3006" s="56"/>
      <c r="BE3006" s="56"/>
      <c r="BF3006" s="56"/>
      <c r="BG3006" s="56"/>
      <c r="BH3006" s="56"/>
      <c r="BI3006" s="56"/>
      <c r="BJ3006" s="56"/>
      <c r="BK3006" s="56"/>
      <c r="BL3006" s="56"/>
      <c r="BM3006" s="56"/>
      <c r="BN3006" s="56"/>
      <c r="BO3006" s="56"/>
      <c r="BP3006" s="56"/>
      <c r="BQ3006" s="56"/>
      <c r="BR3006" s="56"/>
      <c r="BS3006" s="56"/>
      <c r="BT3006" s="56"/>
      <c r="BU3006" s="56"/>
      <c r="BV3006" s="56"/>
      <c r="BW3006" s="56"/>
      <c r="BX3006" s="56"/>
      <c r="BY3006" s="56"/>
      <c r="BZ3006" s="56"/>
      <c r="CA3006" s="56"/>
      <c r="CB3006" s="56"/>
      <c r="CC3006" s="56"/>
      <c r="CD3006" s="56"/>
      <c r="CE3006" s="56"/>
      <c r="CF3006" s="56"/>
      <c r="CG3006" s="56"/>
      <c r="CH3006" s="56"/>
      <c r="CI3006" s="56"/>
      <c r="CJ3006" s="56"/>
      <c r="CK3006" s="56"/>
      <c r="CL3006" s="56"/>
      <c r="CM3006" s="56"/>
      <c r="CN3006" s="56"/>
      <c r="CO3006" s="56"/>
      <c r="CP3006" s="56"/>
      <c r="CQ3006" s="56"/>
      <c r="CR3006" s="56"/>
      <c r="CS3006" s="56"/>
      <c r="CT3006" s="56"/>
      <c r="CU3006" s="56"/>
      <c r="CV3006" s="56"/>
      <c r="CW3006" s="56"/>
      <c r="CX3006" s="56"/>
      <c r="CY3006" s="56"/>
      <c r="CZ3006" s="56"/>
    </row>
    <row r="3007" spans="27:104" s="5" customFormat="1" x14ac:dyDescent="0.25">
      <c r="AA3007" s="56"/>
      <c r="AB3007" s="56"/>
      <c r="AC3007" s="56"/>
      <c r="AD3007" s="56"/>
      <c r="AE3007" s="56"/>
      <c r="AF3007" s="56"/>
      <c r="AG3007" s="56"/>
      <c r="AH3007" s="56"/>
      <c r="AI3007" s="56"/>
      <c r="AJ3007" s="56"/>
      <c r="AK3007" s="56"/>
      <c r="AL3007" s="56"/>
      <c r="AM3007" s="56"/>
      <c r="AN3007" s="56"/>
      <c r="AO3007" s="56"/>
      <c r="AP3007" s="56"/>
      <c r="AQ3007" s="56"/>
      <c r="AR3007" s="56"/>
      <c r="AS3007" s="56"/>
      <c r="AT3007" s="56"/>
      <c r="AU3007" s="56"/>
      <c r="AV3007" s="56"/>
      <c r="AW3007" s="56"/>
      <c r="AX3007" s="56"/>
      <c r="AY3007" s="56"/>
      <c r="AZ3007" s="56"/>
      <c r="BA3007" s="56"/>
      <c r="BB3007" s="16"/>
      <c r="BC3007" s="56"/>
      <c r="BD3007" s="56"/>
      <c r="BE3007" s="56"/>
      <c r="BF3007" s="56"/>
      <c r="BG3007" s="56"/>
      <c r="BH3007" s="56"/>
      <c r="BI3007" s="56"/>
      <c r="BJ3007" s="56"/>
      <c r="BK3007" s="56"/>
      <c r="BL3007" s="56"/>
      <c r="BM3007" s="56"/>
      <c r="BN3007" s="56"/>
      <c r="BO3007" s="56"/>
      <c r="BP3007" s="56"/>
      <c r="BQ3007" s="56"/>
      <c r="BR3007" s="56"/>
      <c r="BS3007" s="56"/>
      <c r="BT3007" s="56"/>
      <c r="BU3007" s="56"/>
      <c r="BV3007" s="56"/>
      <c r="BW3007" s="56"/>
      <c r="BX3007" s="56"/>
      <c r="BY3007" s="56"/>
      <c r="BZ3007" s="56"/>
      <c r="CA3007" s="56"/>
      <c r="CB3007" s="56"/>
      <c r="CC3007" s="56"/>
      <c r="CD3007" s="56"/>
      <c r="CE3007" s="56"/>
      <c r="CF3007" s="56"/>
      <c r="CG3007" s="56"/>
      <c r="CH3007" s="56"/>
      <c r="CI3007" s="56"/>
      <c r="CJ3007" s="56"/>
      <c r="CK3007" s="56"/>
      <c r="CL3007" s="56"/>
      <c r="CM3007" s="56"/>
      <c r="CN3007" s="56"/>
      <c r="CO3007" s="56"/>
      <c r="CP3007" s="56"/>
      <c r="CQ3007" s="56"/>
      <c r="CR3007" s="56"/>
      <c r="CS3007" s="56"/>
      <c r="CT3007" s="56"/>
      <c r="CU3007" s="56"/>
      <c r="CV3007" s="56"/>
      <c r="CW3007" s="56"/>
      <c r="CX3007" s="56"/>
      <c r="CY3007" s="56"/>
      <c r="CZ3007" s="56"/>
    </row>
    <row r="3008" spans="27:104" s="5" customFormat="1" x14ac:dyDescent="0.25">
      <c r="AA3008" s="56"/>
      <c r="AB3008" s="56"/>
      <c r="AC3008" s="56"/>
      <c r="AD3008" s="56"/>
      <c r="AE3008" s="56"/>
      <c r="AF3008" s="56"/>
      <c r="AG3008" s="56"/>
      <c r="AH3008" s="56"/>
      <c r="AI3008" s="56"/>
      <c r="AJ3008" s="56"/>
      <c r="AK3008" s="56"/>
      <c r="AL3008" s="56"/>
      <c r="AM3008" s="56"/>
      <c r="AN3008" s="56"/>
      <c r="AO3008" s="56"/>
      <c r="AP3008" s="56"/>
      <c r="AQ3008" s="56"/>
      <c r="AR3008" s="56"/>
      <c r="AS3008" s="56"/>
      <c r="AT3008" s="56"/>
      <c r="AU3008" s="56"/>
      <c r="AV3008" s="56"/>
      <c r="AW3008" s="56"/>
      <c r="AX3008" s="56"/>
      <c r="AY3008" s="56"/>
      <c r="AZ3008" s="56"/>
      <c r="BA3008" s="56"/>
      <c r="BB3008" s="16"/>
      <c r="BC3008" s="56"/>
      <c r="BD3008" s="56"/>
      <c r="BE3008" s="56"/>
      <c r="BF3008" s="56"/>
      <c r="BG3008" s="56"/>
      <c r="BH3008" s="56"/>
      <c r="BI3008" s="56"/>
      <c r="BJ3008" s="56"/>
      <c r="BK3008" s="56"/>
      <c r="BL3008" s="56"/>
      <c r="BM3008" s="56"/>
      <c r="BN3008" s="56"/>
      <c r="BO3008" s="56"/>
      <c r="BP3008" s="56"/>
      <c r="BQ3008" s="56"/>
      <c r="BR3008" s="56"/>
      <c r="BS3008" s="56"/>
      <c r="BT3008" s="56"/>
      <c r="BU3008" s="56"/>
      <c r="BV3008" s="56"/>
      <c r="BW3008" s="56"/>
      <c r="BX3008" s="56"/>
      <c r="BY3008" s="56"/>
      <c r="BZ3008" s="56"/>
      <c r="CA3008" s="56"/>
      <c r="CB3008" s="56"/>
      <c r="CC3008" s="56"/>
      <c r="CD3008" s="56"/>
      <c r="CE3008" s="56"/>
      <c r="CF3008" s="56"/>
      <c r="CG3008" s="56"/>
      <c r="CH3008" s="56"/>
      <c r="CI3008" s="56"/>
      <c r="CJ3008" s="56"/>
      <c r="CK3008" s="56"/>
      <c r="CL3008" s="56"/>
      <c r="CM3008" s="56"/>
      <c r="CN3008" s="56"/>
      <c r="CO3008" s="56"/>
      <c r="CP3008" s="56"/>
      <c r="CQ3008" s="56"/>
      <c r="CR3008" s="56"/>
      <c r="CS3008" s="56"/>
      <c r="CT3008" s="56"/>
      <c r="CU3008" s="56"/>
      <c r="CV3008" s="56"/>
      <c r="CW3008" s="56"/>
      <c r="CX3008" s="56"/>
      <c r="CY3008" s="56"/>
      <c r="CZ3008" s="56"/>
    </row>
    <row r="3009" spans="27:104" s="5" customFormat="1" x14ac:dyDescent="0.25">
      <c r="AA3009" s="56"/>
      <c r="AB3009" s="56"/>
      <c r="AC3009" s="56"/>
      <c r="AD3009" s="56"/>
      <c r="AE3009" s="56"/>
      <c r="AF3009" s="56"/>
      <c r="AG3009" s="56"/>
      <c r="AH3009" s="56"/>
      <c r="AI3009" s="56"/>
      <c r="AJ3009" s="56"/>
      <c r="AK3009" s="56"/>
      <c r="AL3009" s="56"/>
      <c r="AM3009" s="56"/>
      <c r="AN3009" s="56"/>
      <c r="AO3009" s="56"/>
      <c r="AP3009" s="56"/>
      <c r="AQ3009" s="56"/>
      <c r="AR3009" s="56"/>
      <c r="AS3009" s="56"/>
      <c r="AT3009" s="56"/>
      <c r="AU3009" s="56"/>
      <c r="AV3009" s="56"/>
      <c r="AW3009" s="56"/>
      <c r="AX3009" s="56"/>
      <c r="AY3009" s="56"/>
      <c r="AZ3009" s="56"/>
      <c r="BA3009" s="56"/>
      <c r="BB3009" s="16"/>
      <c r="BC3009" s="56"/>
      <c r="BD3009" s="56"/>
      <c r="BE3009" s="56"/>
      <c r="BF3009" s="56"/>
      <c r="BG3009" s="56"/>
      <c r="BH3009" s="56"/>
      <c r="BI3009" s="56"/>
      <c r="BJ3009" s="56"/>
      <c r="BK3009" s="56"/>
      <c r="BL3009" s="56"/>
      <c r="BM3009" s="56"/>
      <c r="BN3009" s="56"/>
      <c r="BO3009" s="56"/>
      <c r="BP3009" s="56"/>
      <c r="BQ3009" s="56"/>
      <c r="BR3009" s="56"/>
      <c r="BS3009" s="56"/>
      <c r="BT3009" s="56"/>
      <c r="BU3009" s="56"/>
      <c r="BV3009" s="56"/>
      <c r="BW3009" s="56"/>
      <c r="BX3009" s="56"/>
      <c r="BY3009" s="56"/>
      <c r="BZ3009" s="56"/>
      <c r="CA3009" s="56"/>
      <c r="CB3009" s="56"/>
      <c r="CC3009" s="56"/>
      <c r="CD3009" s="56"/>
      <c r="CE3009" s="56"/>
      <c r="CF3009" s="56"/>
      <c r="CG3009" s="56"/>
      <c r="CH3009" s="56"/>
      <c r="CI3009" s="56"/>
      <c r="CJ3009" s="56"/>
      <c r="CK3009" s="56"/>
      <c r="CL3009" s="56"/>
      <c r="CM3009" s="56"/>
      <c r="CN3009" s="56"/>
      <c r="CO3009" s="56"/>
      <c r="CP3009" s="56"/>
      <c r="CQ3009" s="56"/>
      <c r="CR3009" s="56"/>
      <c r="CS3009" s="56"/>
      <c r="CT3009" s="56"/>
      <c r="CU3009" s="56"/>
      <c r="CV3009" s="56"/>
      <c r="CW3009" s="56"/>
      <c r="CX3009" s="56"/>
      <c r="CY3009" s="56"/>
      <c r="CZ3009" s="56"/>
    </row>
    <row r="3010" spans="27:104" s="5" customFormat="1" x14ac:dyDescent="0.25">
      <c r="AA3010" s="56"/>
      <c r="AB3010" s="56"/>
      <c r="AC3010" s="56"/>
      <c r="AD3010" s="56"/>
      <c r="AE3010" s="56"/>
      <c r="AF3010" s="56"/>
      <c r="AG3010" s="56"/>
      <c r="AH3010" s="56"/>
      <c r="AI3010" s="56"/>
      <c r="AJ3010" s="56"/>
      <c r="AK3010" s="56"/>
      <c r="AL3010" s="56"/>
      <c r="AM3010" s="56"/>
      <c r="AN3010" s="56"/>
      <c r="AO3010" s="56"/>
      <c r="AP3010" s="56"/>
      <c r="AQ3010" s="56"/>
      <c r="AR3010" s="56"/>
      <c r="AS3010" s="56"/>
      <c r="AT3010" s="56"/>
      <c r="AU3010" s="56"/>
      <c r="AV3010" s="56"/>
      <c r="AW3010" s="56"/>
      <c r="AX3010" s="56"/>
      <c r="AY3010" s="56"/>
      <c r="AZ3010" s="56"/>
      <c r="BA3010" s="56"/>
      <c r="BB3010" s="16"/>
      <c r="BC3010" s="56"/>
      <c r="BD3010" s="56"/>
      <c r="BE3010" s="56"/>
      <c r="BF3010" s="56"/>
      <c r="BG3010" s="56"/>
      <c r="BH3010" s="56"/>
      <c r="BI3010" s="56"/>
      <c r="BJ3010" s="56"/>
      <c r="BK3010" s="56"/>
      <c r="BL3010" s="56"/>
      <c r="BM3010" s="56"/>
      <c r="BN3010" s="56"/>
      <c r="BO3010" s="56"/>
      <c r="BP3010" s="56"/>
      <c r="BQ3010" s="56"/>
      <c r="BR3010" s="56"/>
      <c r="BS3010" s="56"/>
      <c r="BT3010" s="56"/>
      <c r="BU3010" s="56"/>
      <c r="BV3010" s="56"/>
      <c r="BW3010" s="56"/>
      <c r="BX3010" s="56"/>
      <c r="BY3010" s="56"/>
      <c r="BZ3010" s="56"/>
      <c r="CA3010" s="56"/>
      <c r="CB3010" s="56"/>
      <c r="CC3010" s="56"/>
      <c r="CD3010" s="56"/>
      <c r="CE3010" s="56"/>
      <c r="CF3010" s="56"/>
      <c r="CG3010" s="56"/>
      <c r="CH3010" s="56"/>
      <c r="CI3010" s="56"/>
      <c r="CJ3010" s="56"/>
      <c r="CK3010" s="56"/>
      <c r="CL3010" s="56"/>
      <c r="CM3010" s="56"/>
      <c r="CN3010" s="56"/>
      <c r="CO3010" s="56"/>
      <c r="CP3010" s="56"/>
      <c r="CQ3010" s="56"/>
      <c r="CR3010" s="56"/>
      <c r="CS3010" s="56"/>
      <c r="CT3010" s="56"/>
      <c r="CU3010" s="56"/>
      <c r="CV3010" s="56"/>
      <c r="CW3010" s="56"/>
      <c r="CX3010" s="56"/>
      <c r="CY3010" s="56"/>
      <c r="CZ3010" s="56"/>
    </row>
    <row r="3011" spans="27:104" s="5" customFormat="1" x14ac:dyDescent="0.25">
      <c r="AA3011" s="56"/>
      <c r="AB3011" s="56"/>
      <c r="AC3011" s="56"/>
      <c r="AD3011" s="56"/>
      <c r="AE3011" s="56"/>
      <c r="AF3011" s="56"/>
      <c r="AG3011" s="56"/>
      <c r="AH3011" s="56"/>
      <c r="AI3011" s="56"/>
      <c r="AJ3011" s="56"/>
      <c r="AK3011" s="56"/>
      <c r="AL3011" s="56"/>
      <c r="AM3011" s="56"/>
      <c r="AN3011" s="56"/>
      <c r="AO3011" s="56"/>
      <c r="AP3011" s="56"/>
      <c r="AQ3011" s="56"/>
      <c r="AR3011" s="56"/>
      <c r="AS3011" s="56"/>
      <c r="AT3011" s="56"/>
      <c r="AU3011" s="56"/>
      <c r="AV3011" s="56"/>
      <c r="AW3011" s="56"/>
      <c r="AX3011" s="56"/>
      <c r="AY3011" s="56"/>
      <c r="AZ3011" s="56"/>
      <c r="BA3011" s="56"/>
      <c r="BB3011" s="16"/>
      <c r="BC3011" s="56"/>
      <c r="BD3011" s="56"/>
      <c r="BE3011" s="56"/>
      <c r="BF3011" s="56"/>
      <c r="BG3011" s="56"/>
      <c r="BH3011" s="56"/>
      <c r="BI3011" s="56"/>
      <c r="BJ3011" s="56"/>
      <c r="BK3011" s="56"/>
      <c r="BL3011" s="56"/>
      <c r="BM3011" s="56"/>
      <c r="BN3011" s="56"/>
      <c r="BO3011" s="56"/>
      <c r="BP3011" s="56"/>
      <c r="BQ3011" s="56"/>
      <c r="BR3011" s="56"/>
      <c r="BS3011" s="56"/>
      <c r="BT3011" s="56"/>
      <c r="BU3011" s="56"/>
      <c r="BV3011" s="56"/>
      <c r="BW3011" s="56"/>
      <c r="BX3011" s="56"/>
      <c r="BY3011" s="56"/>
      <c r="BZ3011" s="56"/>
      <c r="CA3011" s="56"/>
      <c r="CB3011" s="56"/>
      <c r="CC3011" s="56"/>
      <c r="CD3011" s="56"/>
      <c r="CE3011" s="56"/>
      <c r="CF3011" s="56"/>
      <c r="CG3011" s="56"/>
      <c r="CH3011" s="56"/>
      <c r="CI3011" s="56"/>
      <c r="CJ3011" s="56"/>
      <c r="CK3011" s="56"/>
      <c r="CL3011" s="56"/>
      <c r="CM3011" s="56"/>
      <c r="CN3011" s="56"/>
      <c r="CO3011" s="56"/>
      <c r="CP3011" s="56"/>
      <c r="CQ3011" s="56"/>
      <c r="CR3011" s="56"/>
      <c r="CS3011" s="56"/>
      <c r="CT3011" s="56"/>
      <c r="CU3011" s="56"/>
      <c r="CV3011" s="56"/>
      <c r="CW3011" s="56"/>
      <c r="CX3011" s="56"/>
      <c r="CY3011" s="56"/>
      <c r="CZ3011" s="56"/>
    </row>
    <row r="3012" spans="27:104" s="5" customFormat="1" x14ac:dyDescent="0.25">
      <c r="AA3012" s="56"/>
      <c r="AB3012" s="56"/>
      <c r="AC3012" s="56"/>
      <c r="AD3012" s="56"/>
      <c r="AE3012" s="56"/>
      <c r="AF3012" s="56"/>
      <c r="AG3012" s="56"/>
      <c r="AH3012" s="56"/>
      <c r="AI3012" s="56"/>
      <c r="AJ3012" s="56"/>
      <c r="AK3012" s="56"/>
      <c r="AL3012" s="56"/>
      <c r="AM3012" s="56"/>
      <c r="AN3012" s="56"/>
      <c r="AO3012" s="56"/>
      <c r="AP3012" s="56"/>
      <c r="AQ3012" s="56"/>
      <c r="AR3012" s="56"/>
      <c r="AS3012" s="56"/>
      <c r="AT3012" s="56"/>
      <c r="AU3012" s="56"/>
      <c r="AV3012" s="56"/>
      <c r="AW3012" s="56"/>
      <c r="AX3012" s="56"/>
      <c r="AY3012" s="56"/>
      <c r="AZ3012" s="56"/>
      <c r="BA3012" s="56"/>
      <c r="BB3012" s="16"/>
      <c r="BC3012" s="56"/>
      <c r="BD3012" s="56"/>
      <c r="BE3012" s="56"/>
      <c r="BF3012" s="56"/>
      <c r="BG3012" s="56"/>
      <c r="BH3012" s="56"/>
      <c r="BI3012" s="56"/>
      <c r="BJ3012" s="56"/>
      <c r="BK3012" s="56"/>
      <c r="BL3012" s="56"/>
      <c r="BM3012" s="56"/>
      <c r="BN3012" s="56"/>
      <c r="BO3012" s="56"/>
      <c r="BP3012" s="56"/>
      <c r="BQ3012" s="56"/>
      <c r="BR3012" s="56"/>
      <c r="BS3012" s="56"/>
      <c r="BT3012" s="56"/>
      <c r="BU3012" s="56"/>
      <c r="BV3012" s="56"/>
      <c r="BW3012" s="56"/>
      <c r="BX3012" s="56"/>
      <c r="BY3012" s="56"/>
      <c r="BZ3012" s="56"/>
      <c r="CA3012" s="56"/>
      <c r="CB3012" s="56"/>
      <c r="CC3012" s="56"/>
      <c r="CD3012" s="56"/>
      <c r="CE3012" s="56"/>
      <c r="CF3012" s="56"/>
      <c r="CG3012" s="56"/>
      <c r="CH3012" s="56"/>
      <c r="CI3012" s="56"/>
      <c r="CJ3012" s="56"/>
      <c r="CK3012" s="56"/>
      <c r="CL3012" s="56"/>
      <c r="CM3012" s="56"/>
      <c r="CN3012" s="56"/>
      <c r="CO3012" s="56"/>
      <c r="CP3012" s="56"/>
      <c r="CQ3012" s="56"/>
      <c r="CR3012" s="56"/>
      <c r="CS3012" s="56"/>
      <c r="CT3012" s="56"/>
      <c r="CU3012" s="56"/>
      <c r="CV3012" s="56"/>
      <c r="CW3012" s="56"/>
      <c r="CX3012" s="56"/>
      <c r="CY3012" s="56"/>
      <c r="CZ3012" s="56"/>
    </row>
    <row r="3013" spans="27:104" s="5" customFormat="1" x14ac:dyDescent="0.25">
      <c r="AA3013" s="56"/>
      <c r="AB3013" s="56"/>
      <c r="AC3013" s="56"/>
      <c r="AD3013" s="56"/>
      <c r="AE3013" s="56"/>
      <c r="AF3013" s="56"/>
      <c r="AG3013" s="56"/>
      <c r="AH3013" s="56"/>
      <c r="AI3013" s="56"/>
      <c r="AJ3013" s="56"/>
      <c r="AK3013" s="56"/>
      <c r="AL3013" s="56"/>
      <c r="AM3013" s="56"/>
      <c r="AN3013" s="56"/>
      <c r="AO3013" s="56"/>
      <c r="AP3013" s="56"/>
      <c r="AQ3013" s="56"/>
      <c r="AR3013" s="56"/>
      <c r="AS3013" s="56"/>
      <c r="AT3013" s="56"/>
      <c r="AU3013" s="56"/>
      <c r="AV3013" s="56"/>
      <c r="AW3013" s="56"/>
      <c r="AX3013" s="56"/>
      <c r="AY3013" s="56"/>
      <c r="AZ3013" s="56"/>
      <c r="BA3013" s="56"/>
      <c r="BB3013" s="16"/>
      <c r="BC3013" s="56"/>
      <c r="BD3013" s="56"/>
      <c r="BE3013" s="56"/>
      <c r="BF3013" s="56"/>
      <c r="BG3013" s="56"/>
      <c r="BH3013" s="56"/>
      <c r="BI3013" s="56"/>
      <c r="BJ3013" s="56"/>
      <c r="BK3013" s="56"/>
      <c r="BL3013" s="56"/>
      <c r="BM3013" s="56"/>
      <c r="BN3013" s="56"/>
      <c r="BO3013" s="56"/>
      <c r="BP3013" s="56"/>
      <c r="BQ3013" s="56"/>
      <c r="BR3013" s="56"/>
      <c r="BS3013" s="56"/>
      <c r="BT3013" s="56"/>
      <c r="BU3013" s="56"/>
      <c r="BV3013" s="56"/>
      <c r="BW3013" s="56"/>
      <c r="BX3013" s="56"/>
      <c r="BY3013" s="56"/>
      <c r="BZ3013" s="56"/>
      <c r="CA3013" s="56"/>
      <c r="CB3013" s="56"/>
      <c r="CC3013" s="56"/>
      <c r="CD3013" s="56"/>
      <c r="CE3013" s="56"/>
      <c r="CF3013" s="56"/>
      <c r="CG3013" s="56"/>
      <c r="CH3013" s="56"/>
      <c r="CI3013" s="56"/>
      <c r="CJ3013" s="56"/>
      <c r="CK3013" s="56"/>
      <c r="CL3013" s="56"/>
      <c r="CM3013" s="56"/>
      <c r="CN3013" s="56"/>
      <c r="CO3013" s="56"/>
      <c r="CP3013" s="56"/>
      <c r="CQ3013" s="56"/>
      <c r="CR3013" s="56"/>
      <c r="CS3013" s="56"/>
      <c r="CT3013" s="56"/>
      <c r="CU3013" s="56"/>
      <c r="CV3013" s="56"/>
      <c r="CW3013" s="56"/>
      <c r="CX3013" s="56"/>
      <c r="CY3013" s="56"/>
      <c r="CZ3013" s="56"/>
    </row>
  </sheetData>
  <mergeCells count="597">
    <mergeCell ref="A1643:E1645"/>
    <mergeCell ref="AM2160:AN2160"/>
    <mergeCell ref="C1634:D1635"/>
    <mergeCell ref="AH1634:AI1634"/>
    <mergeCell ref="C1637:D1638"/>
    <mergeCell ref="AH1637:AI1637"/>
    <mergeCell ref="C1640:D1641"/>
    <mergeCell ref="AH1640:AI1640"/>
    <mergeCell ref="C1628:D1629"/>
    <mergeCell ref="AH1628:AI1628"/>
    <mergeCell ref="C1631:D1632"/>
    <mergeCell ref="AH1631:AI1631"/>
    <mergeCell ref="AJ1631:AK1631"/>
    <mergeCell ref="BD1631:BF1631"/>
    <mergeCell ref="BD1632:BF1632"/>
    <mergeCell ref="C1622:D1623"/>
    <mergeCell ref="AH1622:AI1622"/>
    <mergeCell ref="C1625:D1626"/>
    <mergeCell ref="AH1625:AI1625"/>
    <mergeCell ref="AJ1625:AK1625"/>
    <mergeCell ref="BD1625:BF1625"/>
    <mergeCell ref="BD1626:BF1626"/>
    <mergeCell ref="C1616:D1617"/>
    <mergeCell ref="AH1616:AI1616"/>
    <mergeCell ref="AJ1616:AK1616"/>
    <mergeCell ref="BD1616:BF1616"/>
    <mergeCell ref="BD1617:BF1617"/>
    <mergeCell ref="C1619:D1620"/>
    <mergeCell ref="AH1619:AI1619"/>
    <mergeCell ref="AJ1619:AK1619"/>
    <mergeCell ref="BD1619:BF1619"/>
    <mergeCell ref="BD1620:BF1620"/>
    <mergeCell ref="BD1611:BF1611"/>
    <mergeCell ref="C1613:D1614"/>
    <mergeCell ref="AC1613:AD1613"/>
    <mergeCell ref="AH1613:AI1613"/>
    <mergeCell ref="BD1613:BF1613"/>
    <mergeCell ref="BD1614:BF1614"/>
    <mergeCell ref="AH1607:AI1607"/>
    <mergeCell ref="AJ1607:AK1607"/>
    <mergeCell ref="BD1607:BF1607"/>
    <mergeCell ref="BD1608:BF1608"/>
    <mergeCell ref="C1610:D1611"/>
    <mergeCell ref="AC1610:AD1610"/>
    <mergeCell ref="AE1610:AF1610"/>
    <mergeCell ref="AH1610:AI1610"/>
    <mergeCell ref="AJ1610:AK1610"/>
    <mergeCell ref="BD1610:BF1610"/>
    <mergeCell ref="AC1603:AE1603"/>
    <mergeCell ref="AC1604:AE1604"/>
    <mergeCell ref="AC1605:AE1605"/>
    <mergeCell ref="C1607:D1608"/>
    <mergeCell ref="AC1607:AD1607"/>
    <mergeCell ref="AE1607:AF1607"/>
    <mergeCell ref="AC1581:AD1581"/>
    <mergeCell ref="AI1581:AK1581"/>
    <mergeCell ref="AO1581:AP1581"/>
    <mergeCell ref="B1598:E1598"/>
    <mergeCell ref="AC1601:AE1601"/>
    <mergeCell ref="AC1602:AE1602"/>
    <mergeCell ref="AC1575:AD1575"/>
    <mergeCell ref="AI1575:AK1575"/>
    <mergeCell ref="AO1575:AP1575"/>
    <mergeCell ref="AC1580:AD1580"/>
    <mergeCell ref="AI1580:AK1580"/>
    <mergeCell ref="AO1580:AP1580"/>
    <mergeCell ref="AC1569:AD1569"/>
    <mergeCell ref="AI1569:AK1569"/>
    <mergeCell ref="AO1569:AP1569"/>
    <mergeCell ref="AC1574:AD1574"/>
    <mergeCell ref="AI1574:AK1574"/>
    <mergeCell ref="AO1574:AP1574"/>
    <mergeCell ref="AC1563:AD1563"/>
    <mergeCell ref="AI1563:AK1563"/>
    <mergeCell ref="AO1563:AP1563"/>
    <mergeCell ref="AC1568:AD1568"/>
    <mergeCell ref="AI1568:AK1568"/>
    <mergeCell ref="AO1568:AP1568"/>
    <mergeCell ref="AC1557:AD1557"/>
    <mergeCell ref="AI1557:AK1557"/>
    <mergeCell ref="AO1557:AP1557"/>
    <mergeCell ref="AC1562:AD1562"/>
    <mergeCell ref="AI1562:AK1562"/>
    <mergeCell ref="AO1562:AP1562"/>
    <mergeCell ref="C1533:D1533"/>
    <mergeCell ref="C1537:D1537"/>
    <mergeCell ref="B1551:D1551"/>
    <mergeCell ref="AC1556:AD1556"/>
    <mergeCell ref="AI1556:AK1556"/>
    <mergeCell ref="AO1556:AP1556"/>
    <mergeCell ref="C1513:D1513"/>
    <mergeCell ref="C1517:D1517"/>
    <mergeCell ref="C1522:D1522"/>
    <mergeCell ref="C1523:D1523"/>
    <mergeCell ref="C1527:D1527"/>
    <mergeCell ref="C1532:D1532"/>
    <mergeCell ref="C1493:D1493"/>
    <mergeCell ref="C1497:D1497"/>
    <mergeCell ref="C1502:D1502"/>
    <mergeCell ref="C1503:D1503"/>
    <mergeCell ref="C1507:D1507"/>
    <mergeCell ref="C1512:D1512"/>
    <mergeCell ref="B1477:D1477"/>
    <mergeCell ref="B1478:D1478"/>
    <mergeCell ref="B1479:D1479"/>
    <mergeCell ref="C1482:D1482"/>
    <mergeCell ref="C1483:D1483"/>
    <mergeCell ref="C1492:D1492"/>
    <mergeCell ref="AI1416:AJ1416"/>
    <mergeCell ref="AH1425:AI1425"/>
    <mergeCell ref="AI1426:AJ1426"/>
    <mergeCell ref="AH1435:AI1435"/>
    <mergeCell ref="AI1436:AJ1436"/>
    <mergeCell ref="C1442:D1442"/>
    <mergeCell ref="AI1386:AJ1386"/>
    <mergeCell ref="AH1395:AI1395"/>
    <mergeCell ref="AI1396:AJ1396"/>
    <mergeCell ref="AH1405:AI1405"/>
    <mergeCell ref="AI1406:AJ1406"/>
    <mergeCell ref="AH1415:AI1415"/>
    <mergeCell ref="AI1356:AJ1356"/>
    <mergeCell ref="AH1365:AI1365"/>
    <mergeCell ref="AI1366:AJ1366"/>
    <mergeCell ref="AH1375:AI1375"/>
    <mergeCell ref="AI1376:AJ1376"/>
    <mergeCell ref="AH1385:AI1385"/>
    <mergeCell ref="AI1326:AJ1326"/>
    <mergeCell ref="AH1335:AI1335"/>
    <mergeCell ref="AI1336:AJ1336"/>
    <mergeCell ref="AH1345:AI1345"/>
    <mergeCell ref="AI1346:AJ1346"/>
    <mergeCell ref="AH1355:AI1355"/>
    <mergeCell ref="AI1296:AJ1296"/>
    <mergeCell ref="AH1305:AI1305"/>
    <mergeCell ref="AI1306:AJ1306"/>
    <mergeCell ref="AH1315:AI1315"/>
    <mergeCell ref="AI1316:AJ1316"/>
    <mergeCell ref="AH1325:AI1325"/>
    <mergeCell ref="AI1266:AJ1266"/>
    <mergeCell ref="AH1275:AI1275"/>
    <mergeCell ref="AI1276:AJ1276"/>
    <mergeCell ref="AH1285:AI1285"/>
    <mergeCell ref="AI1286:AJ1286"/>
    <mergeCell ref="AH1295:AI1295"/>
    <mergeCell ref="AI1236:AJ1236"/>
    <mergeCell ref="AH1245:AI1245"/>
    <mergeCell ref="AI1246:AJ1246"/>
    <mergeCell ref="AH1255:AI1255"/>
    <mergeCell ref="AI1256:AJ1256"/>
    <mergeCell ref="AH1265:AI1265"/>
    <mergeCell ref="AI1206:AJ1206"/>
    <mergeCell ref="AH1215:AI1215"/>
    <mergeCell ref="AI1216:AJ1216"/>
    <mergeCell ref="AH1225:AI1225"/>
    <mergeCell ref="AI1226:AJ1226"/>
    <mergeCell ref="AH1235:AI1235"/>
    <mergeCell ref="B1197:D1197"/>
    <mergeCell ref="C1199:D1199"/>
    <mergeCell ref="AC1199:AE1199"/>
    <mergeCell ref="AF1199:AH1199"/>
    <mergeCell ref="AI1199:AK1199"/>
    <mergeCell ref="AH1205:AI1205"/>
    <mergeCell ref="C1066:D1066"/>
    <mergeCell ref="C1068:D1074"/>
    <mergeCell ref="C1076:D1078"/>
    <mergeCell ref="C1080:D1081"/>
    <mergeCell ref="B1102:D1102"/>
    <mergeCell ref="B1105:D1105"/>
    <mergeCell ref="AN1039:AO1039"/>
    <mergeCell ref="AT1039:BB1039"/>
    <mergeCell ref="B1040:D1040"/>
    <mergeCell ref="B1042:D1042"/>
    <mergeCell ref="B1045:D1045"/>
    <mergeCell ref="B1063:D1063"/>
    <mergeCell ref="C1001:D1001"/>
    <mergeCell ref="C1006:D1006"/>
    <mergeCell ref="C1011:D1011"/>
    <mergeCell ref="C1016:D1016"/>
    <mergeCell ref="C1021:D1021"/>
    <mergeCell ref="C1026:D1026"/>
    <mergeCell ref="C971:D971"/>
    <mergeCell ref="C976:D976"/>
    <mergeCell ref="C981:D981"/>
    <mergeCell ref="C986:D986"/>
    <mergeCell ref="C991:D991"/>
    <mergeCell ref="C996:D996"/>
    <mergeCell ref="C941:D941"/>
    <mergeCell ref="C946:D946"/>
    <mergeCell ref="C951:D951"/>
    <mergeCell ref="C956:D956"/>
    <mergeCell ref="C961:D961"/>
    <mergeCell ref="C966:D966"/>
    <mergeCell ref="B917:D917"/>
    <mergeCell ref="B919:D919"/>
    <mergeCell ref="B923:D923"/>
    <mergeCell ref="C926:D926"/>
    <mergeCell ref="C931:D931"/>
    <mergeCell ref="C936:D936"/>
    <mergeCell ref="B869:D869"/>
    <mergeCell ref="B870:D870"/>
    <mergeCell ref="B871:D879"/>
    <mergeCell ref="B883:D883"/>
    <mergeCell ref="AO883:AQ883"/>
    <mergeCell ref="B886:D886"/>
    <mergeCell ref="C858:D858"/>
    <mergeCell ref="B861:D861"/>
    <mergeCell ref="B862:D862"/>
    <mergeCell ref="B865:D865"/>
    <mergeCell ref="B867:D867"/>
    <mergeCell ref="B868:D868"/>
    <mergeCell ref="C852:D852"/>
    <mergeCell ref="C853:D853"/>
    <mergeCell ref="C854:D854"/>
    <mergeCell ref="C855:D855"/>
    <mergeCell ref="C856:D856"/>
    <mergeCell ref="C857:D857"/>
    <mergeCell ref="B844:D844"/>
    <mergeCell ref="B845:D845"/>
    <mergeCell ref="B848:D848"/>
    <mergeCell ref="C849:D849"/>
    <mergeCell ref="C850:D850"/>
    <mergeCell ref="C851:D851"/>
    <mergeCell ref="B817:D817"/>
    <mergeCell ref="B827:D827"/>
    <mergeCell ref="B836:D836"/>
    <mergeCell ref="AC836:BH836"/>
    <mergeCell ref="B840:D840"/>
    <mergeCell ref="B841:D841"/>
    <mergeCell ref="B736:D736"/>
    <mergeCell ref="B737:D737"/>
    <mergeCell ref="B757:D760"/>
    <mergeCell ref="B792:D792"/>
    <mergeCell ref="AC792:BD792"/>
    <mergeCell ref="B811:D811"/>
    <mergeCell ref="AC811:BD811"/>
    <mergeCell ref="B724:D724"/>
    <mergeCell ref="B727:D727"/>
    <mergeCell ref="B728:D728"/>
    <mergeCell ref="B731:D731"/>
    <mergeCell ref="B732:D732"/>
    <mergeCell ref="B735:D735"/>
    <mergeCell ref="E712:F712"/>
    <mergeCell ref="B714:D714"/>
    <mergeCell ref="B715:D715"/>
    <mergeCell ref="E716:F716"/>
    <mergeCell ref="E717:F717"/>
    <mergeCell ref="B723:D723"/>
    <mergeCell ref="B705:D705"/>
    <mergeCell ref="E706:F706"/>
    <mergeCell ref="E707:F707"/>
    <mergeCell ref="B709:D709"/>
    <mergeCell ref="B710:D710"/>
    <mergeCell ref="E711:F711"/>
    <mergeCell ref="E697:F697"/>
    <mergeCell ref="B699:D699"/>
    <mergeCell ref="B700:D700"/>
    <mergeCell ref="E701:F701"/>
    <mergeCell ref="E702:F702"/>
    <mergeCell ref="B704:D704"/>
    <mergeCell ref="E686:F686"/>
    <mergeCell ref="E687:F687"/>
    <mergeCell ref="B689:D689"/>
    <mergeCell ref="B694:D694"/>
    <mergeCell ref="B695:D695"/>
    <mergeCell ref="E696:F696"/>
    <mergeCell ref="B676:D676"/>
    <mergeCell ref="B677:D677"/>
    <mergeCell ref="E678:F678"/>
    <mergeCell ref="E679:F679"/>
    <mergeCell ref="B684:D684"/>
    <mergeCell ref="B685:D685"/>
    <mergeCell ref="E668:F668"/>
    <mergeCell ref="E669:F669"/>
    <mergeCell ref="B671:D671"/>
    <mergeCell ref="B672:D672"/>
    <mergeCell ref="E673:F673"/>
    <mergeCell ref="E674:F674"/>
    <mergeCell ref="B661:D661"/>
    <mergeCell ref="B662:D662"/>
    <mergeCell ref="E663:F663"/>
    <mergeCell ref="E664:F664"/>
    <mergeCell ref="B666:D666"/>
    <mergeCell ref="B667:D667"/>
    <mergeCell ref="E652:F652"/>
    <mergeCell ref="E653:F653"/>
    <mergeCell ref="B655:D655"/>
    <mergeCell ref="B656:D656"/>
    <mergeCell ref="E657:F657"/>
    <mergeCell ref="E658:F658"/>
    <mergeCell ref="B645:D645"/>
    <mergeCell ref="B646:D646"/>
    <mergeCell ref="E647:F647"/>
    <mergeCell ref="E648:F648"/>
    <mergeCell ref="B650:D650"/>
    <mergeCell ref="B651:D651"/>
    <mergeCell ref="E631:F631"/>
    <mergeCell ref="B634:D634"/>
    <mergeCell ref="B635:D635"/>
    <mergeCell ref="E636:F636"/>
    <mergeCell ref="E637:F637"/>
    <mergeCell ref="B640:D640"/>
    <mergeCell ref="B624:D624"/>
    <mergeCell ref="E625:F625"/>
    <mergeCell ref="E626:F626"/>
    <mergeCell ref="B628:D628"/>
    <mergeCell ref="B629:D629"/>
    <mergeCell ref="E630:F630"/>
    <mergeCell ref="E615:F615"/>
    <mergeCell ref="B618:D618"/>
    <mergeCell ref="B619:D619"/>
    <mergeCell ref="E620:F620"/>
    <mergeCell ref="E621:F621"/>
    <mergeCell ref="B623:D623"/>
    <mergeCell ref="B608:D608"/>
    <mergeCell ref="E609:F609"/>
    <mergeCell ref="E610:F610"/>
    <mergeCell ref="B612:D612"/>
    <mergeCell ref="B613:D613"/>
    <mergeCell ref="E614:F614"/>
    <mergeCell ref="E597:F597"/>
    <mergeCell ref="B602:D602"/>
    <mergeCell ref="B603:D603"/>
    <mergeCell ref="E604:F604"/>
    <mergeCell ref="E605:F605"/>
    <mergeCell ref="B607:D607"/>
    <mergeCell ref="B590:D590"/>
    <mergeCell ref="E591:F591"/>
    <mergeCell ref="E592:F592"/>
    <mergeCell ref="B594:D594"/>
    <mergeCell ref="B595:D595"/>
    <mergeCell ref="E596:F596"/>
    <mergeCell ref="E581:F581"/>
    <mergeCell ref="B584:D584"/>
    <mergeCell ref="B585:D585"/>
    <mergeCell ref="E586:F586"/>
    <mergeCell ref="E587:F587"/>
    <mergeCell ref="B589:D589"/>
    <mergeCell ref="B574:D574"/>
    <mergeCell ref="E575:F575"/>
    <mergeCell ref="E576:F576"/>
    <mergeCell ref="B578:D578"/>
    <mergeCell ref="B579:D579"/>
    <mergeCell ref="E580:F580"/>
    <mergeCell ref="E563:F563"/>
    <mergeCell ref="B568:D568"/>
    <mergeCell ref="B569:D569"/>
    <mergeCell ref="E570:F570"/>
    <mergeCell ref="E571:F571"/>
    <mergeCell ref="B573:D573"/>
    <mergeCell ref="B556:D556"/>
    <mergeCell ref="E557:F557"/>
    <mergeCell ref="E558:F558"/>
    <mergeCell ref="B560:D560"/>
    <mergeCell ref="B561:D561"/>
    <mergeCell ref="E562:F562"/>
    <mergeCell ref="E547:F547"/>
    <mergeCell ref="B550:D550"/>
    <mergeCell ref="B551:D551"/>
    <mergeCell ref="E552:F552"/>
    <mergeCell ref="E553:F553"/>
    <mergeCell ref="B555:D555"/>
    <mergeCell ref="B540:D540"/>
    <mergeCell ref="E541:F541"/>
    <mergeCell ref="E542:F542"/>
    <mergeCell ref="B544:D544"/>
    <mergeCell ref="B545:D545"/>
    <mergeCell ref="E546:F546"/>
    <mergeCell ref="E529:F529"/>
    <mergeCell ref="B534:D534"/>
    <mergeCell ref="B535:D535"/>
    <mergeCell ref="E536:F536"/>
    <mergeCell ref="E537:F537"/>
    <mergeCell ref="B539:D539"/>
    <mergeCell ref="B522:D522"/>
    <mergeCell ref="E523:F523"/>
    <mergeCell ref="E524:F524"/>
    <mergeCell ref="B526:D526"/>
    <mergeCell ref="B527:D527"/>
    <mergeCell ref="E528:F528"/>
    <mergeCell ref="E513:F513"/>
    <mergeCell ref="B516:D516"/>
    <mergeCell ref="B517:D517"/>
    <mergeCell ref="E518:F518"/>
    <mergeCell ref="E519:F519"/>
    <mergeCell ref="B521:D521"/>
    <mergeCell ref="B506:D506"/>
    <mergeCell ref="E507:F507"/>
    <mergeCell ref="E508:F508"/>
    <mergeCell ref="B510:D510"/>
    <mergeCell ref="B511:D511"/>
    <mergeCell ref="E512:F512"/>
    <mergeCell ref="E495:F495"/>
    <mergeCell ref="B500:D500"/>
    <mergeCell ref="B501:D501"/>
    <mergeCell ref="E502:F502"/>
    <mergeCell ref="E503:F503"/>
    <mergeCell ref="B505:D505"/>
    <mergeCell ref="B488:D488"/>
    <mergeCell ref="E489:F489"/>
    <mergeCell ref="E490:F490"/>
    <mergeCell ref="B492:D492"/>
    <mergeCell ref="B493:D493"/>
    <mergeCell ref="E494:F494"/>
    <mergeCell ref="E479:F479"/>
    <mergeCell ref="B481:D481"/>
    <mergeCell ref="B482:D482"/>
    <mergeCell ref="E483:F483"/>
    <mergeCell ref="E484:F484"/>
    <mergeCell ref="B487:D487"/>
    <mergeCell ref="B471:D471"/>
    <mergeCell ref="E472:F472"/>
    <mergeCell ref="E473:F473"/>
    <mergeCell ref="B476:D476"/>
    <mergeCell ref="B477:D477"/>
    <mergeCell ref="E478:F478"/>
    <mergeCell ref="BD440:BE440"/>
    <mergeCell ref="B465:D465"/>
    <mergeCell ref="B466:D466"/>
    <mergeCell ref="E467:F467"/>
    <mergeCell ref="E468:F468"/>
    <mergeCell ref="B470:D470"/>
    <mergeCell ref="B430:D430"/>
    <mergeCell ref="AK430:AL430"/>
    <mergeCell ref="AN430:AO430"/>
    <mergeCell ref="B431:D431"/>
    <mergeCell ref="B433:D433"/>
    <mergeCell ref="BB440:BC440"/>
    <mergeCell ref="B420:D420"/>
    <mergeCell ref="AK420:AL420"/>
    <mergeCell ref="AN420:AO420"/>
    <mergeCell ref="B421:D421"/>
    <mergeCell ref="B423:D423"/>
    <mergeCell ref="B429:D429"/>
    <mergeCell ref="B410:D410"/>
    <mergeCell ref="AK410:AL410"/>
    <mergeCell ref="AN410:AO410"/>
    <mergeCell ref="B411:D411"/>
    <mergeCell ref="B413:D413"/>
    <mergeCell ref="B419:D419"/>
    <mergeCell ref="B400:D400"/>
    <mergeCell ref="AK400:AL400"/>
    <mergeCell ref="AN400:AO400"/>
    <mergeCell ref="B401:D401"/>
    <mergeCell ref="B403:D403"/>
    <mergeCell ref="B409:D409"/>
    <mergeCell ref="B390:D390"/>
    <mergeCell ref="AK390:AL390"/>
    <mergeCell ref="AN390:AO390"/>
    <mergeCell ref="B391:D391"/>
    <mergeCell ref="B393:D393"/>
    <mergeCell ref="B399:D399"/>
    <mergeCell ref="B380:D380"/>
    <mergeCell ref="AK380:AL380"/>
    <mergeCell ref="AN380:AO380"/>
    <mergeCell ref="B381:D381"/>
    <mergeCell ref="B383:D383"/>
    <mergeCell ref="B389:D389"/>
    <mergeCell ref="B370:D370"/>
    <mergeCell ref="AK370:AL370"/>
    <mergeCell ref="AN370:AO370"/>
    <mergeCell ref="B371:D371"/>
    <mergeCell ref="B373:D373"/>
    <mergeCell ref="B379:D379"/>
    <mergeCell ref="B360:D360"/>
    <mergeCell ref="AK360:AL360"/>
    <mergeCell ref="AN360:AO360"/>
    <mergeCell ref="B361:D361"/>
    <mergeCell ref="B363:D363"/>
    <mergeCell ref="B369:D369"/>
    <mergeCell ref="B350:D350"/>
    <mergeCell ref="AK350:AL350"/>
    <mergeCell ref="AN350:AO350"/>
    <mergeCell ref="B351:D351"/>
    <mergeCell ref="B353:D353"/>
    <mergeCell ref="B359:D359"/>
    <mergeCell ref="B340:D340"/>
    <mergeCell ref="AK340:AL340"/>
    <mergeCell ref="AN340:AO340"/>
    <mergeCell ref="B341:D341"/>
    <mergeCell ref="B343:D343"/>
    <mergeCell ref="B349:D349"/>
    <mergeCell ref="B329:D329"/>
    <mergeCell ref="B330:D330"/>
    <mergeCell ref="AK330:AL330"/>
    <mergeCell ref="AN330:AO330"/>
    <mergeCell ref="B331:D331"/>
    <mergeCell ref="B333:D333"/>
    <mergeCell ref="B319:D319"/>
    <mergeCell ref="B320:D320"/>
    <mergeCell ref="AK320:AL320"/>
    <mergeCell ref="AN320:AO320"/>
    <mergeCell ref="B321:D321"/>
    <mergeCell ref="B323:D323"/>
    <mergeCell ref="B309:D309"/>
    <mergeCell ref="B310:D310"/>
    <mergeCell ref="AK310:AL310"/>
    <mergeCell ref="AN310:AO310"/>
    <mergeCell ref="B311:D311"/>
    <mergeCell ref="B313:D313"/>
    <mergeCell ref="B299:D299"/>
    <mergeCell ref="B300:D300"/>
    <mergeCell ref="AK300:AL300"/>
    <mergeCell ref="AN300:AO300"/>
    <mergeCell ref="B301:D301"/>
    <mergeCell ref="B303:D303"/>
    <mergeCell ref="B284:C284"/>
    <mergeCell ref="B286:D286"/>
    <mergeCell ref="B289:D289"/>
    <mergeCell ref="B291:D291"/>
    <mergeCell ref="B292:D292"/>
    <mergeCell ref="B294:D294"/>
    <mergeCell ref="AF271:AG271"/>
    <mergeCell ref="B272:C272"/>
    <mergeCell ref="B278:C278"/>
    <mergeCell ref="AT278:AU278"/>
    <mergeCell ref="B280:D280"/>
    <mergeCell ref="B281:D281"/>
    <mergeCell ref="AB265:AC265"/>
    <mergeCell ref="B267:C267"/>
    <mergeCell ref="B269:C269"/>
    <mergeCell ref="B270:C270"/>
    <mergeCell ref="B271:C271"/>
    <mergeCell ref="AB271:AC271"/>
    <mergeCell ref="AD208:AH208"/>
    <mergeCell ref="C217:D217"/>
    <mergeCell ref="B221:D221"/>
    <mergeCell ref="B247:D247"/>
    <mergeCell ref="B255:D255"/>
    <mergeCell ref="AB264:AC264"/>
    <mergeCell ref="B188:D188"/>
    <mergeCell ref="B190:D190"/>
    <mergeCell ref="B192:D192"/>
    <mergeCell ref="AI196:AK196"/>
    <mergeCell ref="B200:D200"/>
    <mergeCell ref="B204:D204"/>
    <mergeCell ref="B150:D150"/>
    <mergeCell ref="AJ155:AL155"/>
    <mergeCell ref="AQ155:AR155"/>
    <mergeCell ref="C160:D160"/>
    <mergeCell ref="B182:D182"/>
    <mergeCell ref="B184:D184"/>
    <mergeCell ref="B98:B99"/>
    <mergeCell ref="C98:C99"/>
    <mergeCell ref="D98:E99"/>
    <mergeCell ref="B100:B101"/>
    <mergeCell ref="C100:C101"/>
    <mergeCell ref="D100:E101"/>
    <mergeCell ref="B94:B95"/>
    <mergeCell ref="C94:C95"/>
    <mergeCell ref="D94:E95"/>
    <mergeCell ref="B96:B97"/>
    <mergeCell ref="C96:C97"/>
    <mergeCell ref="D96:E97"/>
    <mergeCell ref="B90:B91"/>
    <mergeCell ref="C90:C91"/>
    <mergeCell ref="D90:E91"/>
    <mergeCell ref="B92:B93"/>
    <mergeCell ref="C92:C93"/>
    <mergeCell ref="D92:E93"/>
    <mergeCell ref="C84:C85"/>
    <mergeCell ref="D84:E85"/>
    <mergeCell ref="B86:B87"/>
    <mergeCell ref="C86:C87"/>
    <mergeCell ref="D86:E87"/>
    <mergeCell ref="B88:B89"/>
    <mergeCell ref="C88:C89"/>
    <mergeCell ref="D88:E89"/>
    <mergeCell ref="B56:D56"/>
    <mergeCell ref="B58:D58"/>
    <mergeCell ref="B59:D59"/>
    <mergeCell ref="B60:D60"/>
    <mergeCell ref="B62:D62"/>
    <mergeCell ref="B63:D63"/>
    <mergeCell ref="B46:D46"/>
    <mergeCell ref="B48:D48"/>
    <mergeCell ref="B49:D49"/>
    <mergeCell ref="B51:D51"/>
    <mergeCell ref="B52:D52"/>
    <mergeCell ref="B55:D55"/>
    <mergeCell ref="B33:D33"/>
    <mergeCell ref="B43:D43"/>
    <mergeCell ref="B45:D45"/>
    <mergeCell ref="C18:D18"/>
    <mergeCell ref="C19:D19"/>
    <mergeCell ref="C20:D20"/>
    <mergeCell ref="C21:D21"/>
    <mergeCell ref="C22:D22"/>
    <mergeCell ref="C23:D23"/>
    <mergeCell ref="B2:B3"/>
    <mergeCell ref="C2:C3"/>
    <mergeCell ref="D3:D11"/>
    <mergeCell ref="B14:D14"/>
    <mergeCell ref="C16:D16"/>
    <mergeCell ref="C17:D17"/>
    <mergeCell ref="C24:D24"/>
    <mergeCell ref="C25:D25"/>
    <mergeCell ref="B28:D28"/>
  </mergeCells>
  <conditionalFormatting sqref="E480">
    <cfRule type="cellIs" dxfId="862" priority="853" operator="equal">
      <formula>E475</formula>
    </cfRule>
  </conditionalFormatting>
  <conditionalFormatting sqref="E486">
    <cfRule type="cellIs" dxfId="861" priority="852" operator="equal">
      <formula>E480</formula>
    </cfRule>
  </conditionalFormatting>
  <conditionalFormatting sqref="E491">
    <cfRule type="cellIs" dxfId="860" priority="851" operator="equal">
      <formula>E486</formula>
    </cfRule>
  </conditionalFormatting>
  <conditionalFormatting sqref="C17:C23">
    <cfRule type="containsText" dxfId="859" priority="850" operator="containsText" text="Highlight">
      <formula>NOT(ISERROR(SEARCH("Highlight",C17)))</formula>
    </cfRule>
  </conditionalFormatting>
  <conditionalFormatting sqref="C17:C23">
    <cfRule type="containsText" dxfId="858" priority="849" operator="containsText" text="Hightlight">
      <formula>NOT(ISERROR(SEARCH("Hightlight",C17)))</formula>
    </cfRule>
  </conditionalFormatting>
  <conditionalFormatting sqref="AN468">
    <cfRule type="cellIs" dxfId="857" priority="847" operator="lessThan">
      <formula>0</formula>
    </cfRule>
    <cfRule type="cellIs" dxfId="856" priority="848" operator="greaterThan">
      <formula>0</formula>
    </cfRule>
  </conditionalFormatting>
  <conditionalFormatting sqref="AO468:AU468">
    <cfRule type="cellIs" dxfId="855" priority="845" operator="lessThan">
      <formula>0</formula>
    </cfRule>
    <cfRule type="cellIs" dxfId="854" priority="846" operator="greaterThan">
      <formula>0</formula>
    </cfRule>
  </conditionalFormatting>
  <conditionalFormatting sqref="AG468:AL468">
    <cfRule type="cellIs" dxfId="853" priority="843" operator="lessThan">
      <formula>0</formula>
    </cfRule>
    <cfRule type="cellIs" dxfId="852" priority="844" operator="greaterThan">
      <formula>0</formula>
    </cfRule>
  </conditionalFormatting>
  <conditionalFormatting sqref="AZ469">
    <cfRule type="cellIs" dxfId="851" priority="841" operator="lessThan">
      <formula>0</formula>
    </cfRule>
    <cfRule type="cellIs" dxfId="850" priority="842" operator="greaterThan">
      <formula>0</formula>
    </cfRule>
  </conditionalFormatting>
  <conditionalFormatting sqref="AN473">
    <cfRule type="cellIs" dxfId="849" priority="839" operator="lessThan">
      <formula>0</formula>
    </cfRule>
    <cfRule type="cellIs" dxfId="848" priority="840" operator="greaterThan">
      <formula>0</formula>
    </cfRule>
  </conditionalFormatting>
  <conditionalFormatting sqref="AO473:AU473">
    <cfRule type="cellIs" dxfId="847" priority="837" operator="lessThan">
      <formula>0</formula>
    </cfRule>
    <cfRule type="cellIs" dxfId="846" priority="838" operator="greaterThan">
      <formula>0</formula>
    </cfRule>
  </conditionalFormatting>
  <conditionalFormatting sqref="AG473:AL473">
    <cfRule type="cellIs" dxfId="845" priority="835" operator="lessThan">
      <formula>0</formula>
    </cfRule>
    <cfRule type="cellIs" dxfId="844" priority="836" operator="greaterThan">
      <formula>0</formula>
    </cfRule>
  </conditionalFormatting>
  <conditionalFormatting sqref="AN479">
    <cfRule type="cellIs" dxfId="843" priority="833" operator="lessThan">
      <formula>0</formula>
    </cfRule>
    <cfRule type="cellIs" dxfId="842" priority="834" operator="greaterThan">
      <formula>0</formula>
    </cfRule>
  </conditionalFormatting>
  <conditionalFormatting sqref="AO479:AU479">
    <cfRule type="cellIs" dxfId="841" priority="831" operator="lessThan">
      <formula>0</formula>
    </cfRule>
    <cfRule type="cellIs" dxfId="840" priority="832" operator="greaterThan">
      <formula>0</formula>
    </cfRule>
  </conditionalFormatting>
  <conditionalFormatting sqref="AG479:AL479">
    <cfRule type="cellIs" dxfId="839" priority="829" operator="lessThan">
      <formula>0</formula>
    </cfRule>
    <cfRule type="cellIs" dxfId="838" priority="830" operator="greaterThan">
      <formula>0</formula>
    </cfRule>
  </conditionalFormatting>
  <conditionalFormatting sqref="AN484">
    <cfRule type="cellIs" dxfId="837" priority="827" operator="lessThan">
      <formula>0</formula>
    </cfRule>
    <cfRule type="cellIs" dxfId="836" priority="828" operator="greaterThan">
      <formula>0</formula>
    </cfRule>
  </conditionalFormatting>
  <conditionalFormatting sqref="AO484:AU484">
    <cfRule type="cellIs" dxfId="835" priority="825" operator="lessThan">
      <formula>0</formula>
    </cfRule>
    <cfRule type="cellIs" dxfId="834" priority="826" operator="greaterThan">
      <formula>0</formula>
    </cfRule>
  </conditionalFormatting>
  <conditionalFormatting sqref="AG484:AL484">
    <cfRule type="cellIs" dxfId="833" priority="823" operator="lessThan">
      <formula>0</formula>
    </cfRule>
    <cfRule type="cellIs" dxfId="832" priority="824" operator="greaterThan">
      <formula>0</formula>
    </cfRule>
  </conditionalFormatting>
  <conditionalFormatting sqref="AN490">
    <cfRule type="cellIs" dxfId="831" priority="821" operator="lessThan">
      <formula>0</formula>
    </cfRule>
    <cfRule type="cellIs" dxfId="830" priority="822" operator="greaterThan">
      <formula>0</formula>
    </cfRule>
  </conditionalFormatting>
  <conditionalFormatting sqref="AO490:AU490">
    <cfRule type="cellIs" dxfId="829" priority="819" operator="lessThan">
      <formula>0</formula>
    </cfRule>
    <cfRule type="cellIs" dxfId="828" priority="820" operator="greaterThan">
      <formula>0</formula>
    </cfRule>
  </conditionalFormatting>
  <conditionalFormatting sqref="AG490:AL490">
    <cfRule type="cellIs" dxfId="827" priority="817" operator="lessThan">
      <formula>0</formula>
    </cfRule>
    <cfRule type="cellIs" dxfId="826" priority="818" operator="greaterThan">
      <formula>0</formula>
    </cfRule>
  </conditionalFormatting>
  <conditionalFormatting sqref="AN495">
    <cfRule type="cellIs" dxfId="825" priority="815" operator="lessThan">
      <formula>0</formula>
    </cfRule>
    <cfRule type="cellIs" dxfId="824" priority="816" operator="greaterThan">
      <formula>0</formula>
    </cfRule>
  </conditionalFormatting>
  <conditionalFormatting sqref="AO495:AU495">
    <cfRule type="cellIs" dxfId="823" priority="813" operator="lessThan">
      <formula>0</formula>
    </cfRule>
    <cfRule type="cellIs" dxfId="822" priority="814" operator="greaterThan">
      <formula>0</formula>
    </cfRule>
  </conditionalFormatting>
  <conditionalFormatting sqref="AG495:AL495">
    <cfRule type="cellIs" dxfId="821" priority="811" operator="lessThan">
      <formula>0</formula>
    </cfRule>
    <cfRule type="cellIs" dxfId="820" priority="812" operator="greaterThan">
      <formula>0</formula>
    </cfRule>
  </conditionalFormatting>
  <conditionalFormatting sqref="AN503">
    <cfRule type="cellIs" dxfId="819" priority="809" operator="lessThan">
      <formula>0</formula>
    </cfRule>
    <cfRule type="cellIs" dxfId="818" priority="810" operator="greaterThan">
      <formula>0</formula>
    </cfRule>
  </conditionalFormatting>
  <conditionalFormatting sqref="AO503:AU503">
    <cfRule type="cellIs" dxfId="817" priority="807" operator="lessThan">
      <formula>0</formula>
    </cfRule>
    <cfRule type="cellIs" dxfId="816" priority="808" operator="greaterThan">
      <formula>0</formula>
    </cfRule>
  </conditionalFormatting>
  <conditionalFormatting sqref="AG503:AL503">
    <cfRule type="cellIs" dxfId="815" priority="805" operator="lessThan">
      <formula>0</formula>
    </cfRule>
    <cfRule type="cellIs" dxfId="814" priority="806" operator="greaterThan">
      <formula>0</formula>
    </cfRule>
  </conditionalFormatting>
  <conditionalFormatting sqref="AN508">
    <cfRule type="cellIs" dxfId="813" priority="803" operator="lessThan">
      <formula>0</formula>
    </cfRule>
    <cfRule type="cellIs" dxfId="812" priority="804" operator="greaterThan">
      <formula>0</formula>
    </cfRule>
  </conditionalFormatting>
  <conditionalFormatting sqref="AO508:AU508">
    <cfRule type="cellIs" dxfId="811" priority="801" operator="lessThan">
      <formula>0</formula>
    </cfRule>
    <cfRule type="cellIs" dxfId="810" priority="802" operator="greaterThan">
      <formula>0</formula>
    </cfRule>
  </conditionalFormatting>
  <conditionalFormatting sqref="AG508:AL508">
    <cfRule type="cellIs" dxfId="809" priority="799" operator="lessThan">
      <formula>0</formula>
    </cfRule>
    <cfRule type="cellIs" dxfId="808" priority="800" operator="greaterThan">
      <formula>0</formula>
    </cfRule>
  </conditionalFormatting>
  <conditionalFormatting sqref="AN513">
    <cfRule type="cellIs" dxfId="807" priority="797" operator="lessThan">
      <formula>0</formula>
    </cfRule>
    <cfRule type="cellIs" dxfId="806" priority="798" operator="greaterThan">
      <formula>0</formula>
    </cfRule>
  </conditionalFormatting>
  <conditionalFormatting sqref="AO513:AU513">
    <cfRule type="cellIs" dxfId="805" priority="795" operator="lessThan">
      <formula>0</formula>
    </cfRule>
    <cfRule type="cellIs" dxfId="804" priority="796" operator="greaterThan">
      <formula>0</formula>
    </cfRule>
  </conditionalFormatting>
  <conditionalFormatting sqref="AG513:AL513">
    <cfRule type="cellIs" dxfId="803" priority="793" operator="lessThan">
      <formula>0</formula>
    </cfRule>
    <cfRule type="cellIs" dxfId="802" priority="794" operator="greaterThan">
      <formula>0</formula>
    </cfRule>
  </conditionalFormatting>
  <conditionalFormatting sqref="AN519">
    <cfRule type="cellIs" dxfId="801" priority="791" operator="lessThan">
      <formula>0</formula>
    </cfRule>
    <cfRule type="cellIs" dxfId="800" priority="792" operator="greaterThan">
      <formula>0</formula>
    </cfRule>
  </conditionalFormatting>
  <conditionalFormatting sqref="AO519:AU519">
    <cfRule type="cellIs" dxfId="799" priority="789" operator="lessThan">
      <formula>0</formula>
    </cfRule>
    <cfRule type="cellIs" dxfId="798" priority="790" operator="greaterThan">
      <formula>0</formula>
    </cfRule>
  </conditionalFormatting>
  <conditionalFormatting sqref="AG519:AL519">
    <cfRule type="cellIs" dxfId="797" priority="787" operator="lessThan">
      <formula>0</formula>
    </cfRule>
    <cfRule type="cellIs" dxfId="796" priority="788" operator="greaterThan">
      <formula>0</formula>
    </cfRule>
  </conditionalFormatting>
  <conditionalFormatting sqref="AN524">
    <cfRule type="cellIs" dxfId="795" priority="785" operator="lessThan">
      <formula>0</formula>
    </cfRule>
    <cfRule type="cellIs" dxfId="794" priority="786" operator="greaterThan">
      <formula>0</formula>
    </cfRule>
  </conditionalFormatting>
  <conditionalFormatting sqref="AO524:AU524">
    <cfRule type="cellIs" dxfId="793" priority="783" operator="lessThan">
      <formula>0</formula>
    </cfRule>
    <cfRule type="cellIs" dxfId="792" priority="784" operator="greaterThan">
      <formula>0</formula>
    </cfRule>
  </conditionalFormatting>
  <conditionalFormatting sqref="AG524:AL524">
    <cfRule type="cellIs" dxfId="791" priority="781" operator="lessThan">
      <formula>0</formula>
    </cfRule>
    <cfRule type="cellIs" dxfId="790" priority="782" operator="greaterThan">
      <formula>0</formula>
    </cfRule>
  </conditionalFormatting>
  <conditionalFormatting sqref="AN529">
    <cfRule type="cellIs" dxfId="789" priority="779" operator="lessThan">
      <formula>0</formula>
    </cfRule>
    <cfRule type="cellIs" dxfId="788" priority="780" operator="greaterThan">
      <formula>0</formula>
    </cfRule>
  </conditionalFormatting>
  <conditionalFormatting sqref="AO529:AU529">
    <cfRule type="cellIs" dxfId="787" priority="777" operator="lessThan">
      <formula>0</formula>
    </cfRule>
    <cfRule type="cellIs" dxfId="786" priority="778" operator="greaterThan">
      <formula>0</formula>
    </cfRule>
  </conditionalFormatting>
  <conditionalFormatting sqref="AG529:AL529">
    <cfRule type="cellIs" dxfId="785" priority="775" operator="lessThan">
      <formula>0</formula>
    </cfRule>
    <cfRule type="cellIs" dxfId="784" priority="776" operator="greaterThan">
      <formula>0</formula>
    </cfRule>
  </conditionalFormatting>
  <conditionalFormatting sqref="AN537">
    <cfRule type="cellIs" dxfId="783" priority="773" operator="lessThan">
      <formula>0</formula>
    </cfRule>
    <cfRule type="cellIs" dxfId="782" priority="774" operator="greaterThan">
      <formula>0</formula>
    </cfRule>
  </conditionalFormatting>
  <conditionalFormatting sqref="AO537:AU537">
    <cfRule type="cellIs" dxfId="781" priority="771" operator="lessThan">
      <formula>0</formula>
    </cfRule>
    <cfRule type="cellIs" dxfId="780" priority="772" operator="greaterThan">
      <formula>0</formula>
    </cfRule>
  </conditionalFormatting>
  <conditionalFormatting sqref="AG537:AL537">
    <cfRule type="cellIs" dxfId="779" priority="769" operator="lessThan">
      <formula>0</formula>
    </cfRule>
    <cfRule type="cellIs" dxfId="778" priority="770" operator="greaterThan">
      <formula>0</formula>
    </cfRule>
  </conditionalFormatting>
  <conditionalFormatting sqref="AN542">
    <cfRule type="cellIs" dxfId="777" priority="767" operator="lessThan">
      <formula>0</formula>
    </cfRule>
    <cfRule type="cellIs" dxfId="776" priority="768" operator="greaterThan">
      <formula>0</formula>
    </cfRule>
  </conditionalFormatting>
  <conditionalFormatting sqref="AO542:AU542">
    <cfRule type="cellIs" dxfId="775" priority="765" operator="lessThan">
      <formula>0</formula>
    </cfRule>
    <cfRule type="cellIs" dxfId="774" priority="766" operator="greaterThan">
      <formula>0</formula>
    </cfRule>
  </conditionalFormatting>
  <conditionalFormatting sqref="AG542:AL542">
    <cfRule type="cellIs" dxfId="773" priority="763" operator="lessThan">
      <formula>0</formula>
    </cfRule>
    <cfRule type="cellIs" dxfId="772" priority="764" operator="greaterThan">
      <formula>0</formula>
    </cfRule>
  </conditionalFormatting>
  <conditionalFormatting sqref="AN547">
    <cfRule type="cellIs" dxfId="771" priority="761" operator="lessThan">
      <formula>0</formula>
    </cfRule>
    <cfRule type="cellIs" dxfId="770" priority="762" operator="greaterThan">
      <formula>0</formula>
    </cfRule>
  </conditionalFormatting>
  <conditionalFormatting sqref="AO547:AU547">
    <cfRule type="cellIs" dxfId="769" priority="759" operator="lessThan">
      <formula>0</formula>
    </cfRule>
    <cfRule type="cellIs" dxfId="768" priority="760" operator="greaterThan">
      <formula>0</formula>
    </cfRule>
  </conditionalFormatting>
  <conditionalFormatting sqref="AG547:AL547">
    <cfRule type="cellIs" dxfId="767" priority="757" operator="lessThan">
      <formula>0</formula>
    </cfRule>
    <cfRule type="cellIs" dxfId="766" priority="758" operator="greaterThan">
      <formula>0</formula>
    </cfRule>
  </conditionalFormatting>
  <conditionalFormatting sqref="AN553">
    <cfRule type="cellIs" dxfId="765" priority="755" operator="lessThan">
      <formula>0</formula>
    </cfRule>
    <cfRule type="cellIs" dxfId="764" priority="756" operator="greaterThan">
      <formula>0</formula>
    </cfRule>
  </conditionalFormatting>
  <conditionalFormatting sqref="AO553:AU553">
    <cfRule type="cellIs" dxfId="763" priority="753" operator="lessThan">
      <formula>0</formula>
    </cfRule>
    <cfRule type="cellIs" dxfId="762" priority="754" operator="greaterThan">
      <formula>0</formula>
    </cfRule>
  </conditionalFormatting>
  <conditionalFormatting sqref="AG553:AL553">
    <cfRule type="cellIs" dxfId="761" priority="751" operator="lessThan">
      <formula>0</formula>
    </cfRule>
    <cfRule type="cellIs" dxfId="760" priority="752" operator="greaterThan">
      <formula>0</formula>
    </cfRule>
  </conditionalFormatting>
  <conditionalFormatting sqref="AN558">
    <cfRule type="cellIs" dxfId="759" priority="749" operator="lessThan">
      <formula>0</formula>
    </cfRule>
    <cfRule type="cellIs" dxfId="758" priority="750" operator="greaterThan">
      <formula>0</formula>
    </cfRule>
  </conditionalFormatting>
  <conditionalFormatting sqref="AO558:AU558">
    <cfRule type="cellIs" dxfId="757" priority="747" operator="lessThan">
      <formula>0</formula>
    </cfRule>
    <cfRule type="cellIs" dxfId="756" priority="748" operator="greaterThan">
      <formula>0</formula>
    </cfRule>
  </conditionalFormatting>
  <conditionalFormatting sqref="AG558:AL558">
    <cfRule type="cellIs" dxfId="755" priority="745" operator="lessThan">
      <formula>0</formula>
    </cfRule>
    <cfRule type="cellIs" dxfId="754" priority="746" operator="greaterThan">
      <formula>0</formula>
    </cfRule>
  </conditionalFormatting>
  <conditionalFormatting sqref="AN563">
    <cfRule type="cellIs" dxfId="753" priority="743" operator="lessThan">
      <formula>0</formula>
    </cfRule>
    <cfRule type="cellIs" dxfId="752" priority="744" operator="greaterThan">
      <formula>0</formula>
    </cfRule>
  </conditionalFormatting>
  <conditionalFormatting sqref="AO563:AU563">
    <cfRule type="cellIs" dxfId="751" priority="741" operator="lessThan">
      <formula>0</formula>
    </cfRule>
    <cfRule type="cellIs" dxfId="750" priority="742" operator="greaterThan">
      <formula>0</formula>
    </cfRule>
  </conditionalFormatting>
  <conditionalFormatting sqref="AG563:AL563">
    <cfRule type="cellIs" dxfId="749" priority="739" operator="lessThan">
      <formula>0</formula>
    </cfRule>
    <cfRule type="cellIs" dxfId="748" priority="740" operator="greaterThan">
      <formula>0</formula>
    </cfRule>
  </conditionalFormatting>
  <conditionalFormatting sqref="AN571">
    <cfRule type="cellIs" dxfId="747" priority="737" operator="lessThan">
      <formula>0</formula>
    </cfRule>
    <cfRule type="cellIs" dxfId="746" priority="738" operator="greaterThan">
      <formula>0</formula>
    </cfRule>
  </conditionalFormatting>
  <conditionalFormatting sqref="AO571:AU571">
    <cfRule type="cellIs" dxfId="745" priority="735" operator="lessThan">
      <formula>0</formula>
    </cfRule>
    <cfRule type="cellIs" dxfId="744" priority="736" operator="greaterThan">
      <formula>0</formula>
    </cfRule>
  </conditionalFormatting>
  <conditionalFormatting sqref="AG571:AL571">
    <cfRule type="cellIs" dxfId="743" priority="733" operator="lessThan">
      <formula>0</formula>
    </cfRule>
    <cfRule type="cellIs" dxfId="742" priority="734" operator="greaterThan">
      <formula>0</formula>
    </cfRule>
  </conditionalFormatting>
  <conditionalFormatting sqref="AN576">
    <cfRule type="cellIs" dxfId="741" priority="731" operator="lessThan">
      <formula>0</formula>
    </cfRule>
    <cfRule type="cellIs" dxfId="740" priority="732" operator="greaterThan">
      <formula>0</formula>
    </cfRule>
  </conditionalFormatting>
  <conditionalFormatting sqref="AO576:AU576">
    <cfRule type="cellIs" dxfId="739" priority="729" operator="lessThan">
      <formula>0</formula>
    </cfRule>
    <cfRule type="cellIs" dxfId="738" priority="730" operator="greaterThan">
      <formula>0</formula>
    </cfRule>
  </conditionalFormatting>
  <conditionalFormatting sqref="AG576:AL576">
    <cfRule type="cellIs" dxfId="737" priority="727" operator="lessThan">
      <formula>0</formula>
    </cfRule>
    <cfRule type="cellIs" dxfId="736" priority="728" operator="greaterThan">
      <formula>0</formula>
    </cfRule>
  </conditionalFormatting>
  <conditionalFormatting sqref="AN581">
    <cfRule type="cellIs" dxfId="735" priority="725" operator="lessThan">
      <formula>0</formula>
    </cfRule>
    <cfRule type="cellIs" dxfId="734" priority="726" operator="greaterThan">
      <formula>0</formula>
    </cfRule>
  </conditionalFormatting>
  <conditionalFormatting sqref="AO581:AU581">
    <cfRule type="cellIs" dxfId="733" priority="723" operator="lessThan">
      <formula>0</formula>
    </cfRule>
    <cfRule type="cellIs" dxfId="732" priority="724" operator="greaterThan">
      <formula>0</formula>
    </cfRule>
  </conditionalFormatting>
  <conditionalFormatting sqref="AG581:AL581">
    <cfRule type="cellIs" dxfId="731" priority="721" operator="lessThan">
      <formula>0</formula>
    </cfRule>
    <cfRule type="cellIs" dxfId="730" priority="722" operator="greaterThan">
      <formula>0</formula>
    </cfRule>
  </conditionalFormatting>
  <conditionalFormatting sqref="AN587">
    <cfRule type="cellIs" dxfId="729" priority="719" operator="lessThan">
      <formula>0</formula>
    </cfRule>
    <cfRule type="cellIs" dxfId="728" priority="720" operator="greaterThan">
      <formula>0</formula>
    </cfRule>
  </conditionalFormatting>
  <conditionalFormatting sqref="AO587:AU587">
    <cfRule type="cellIs" dxfId="727" priority="717" operator="lessThan">
      <formula>0</formula>
    </cfRule>
    <cfRule type="cellIs" dxfId="726" priority="718" operator="greaterThan">
      <formula>0</formula>
    </cfRule>
  </conditionalFormatting>
  <conditionalFormatting sqref="AG587:AL587">
    <cfRule type="cellIs" dxfId="725" priority="715" operator="lessThan">
      <formula>0</formula>
    </cfRule>
    <cfRule type="cellIs" dxfId="724" priority="716" operator="greaterThan">
      <formula>0</formula>
    </cfRule>
  </conditionalFormatting>
  <conditionalFormatting sqref="AN592">
    <cfRule type="cellIs" dxfId="723" priority="713" operator="lessThan">
      <formula>0</formula>
    </cfRule>
    <cfRule type="cellIs" dxfId="722" priority="714" operator="greaterThan">
      <formula>0</formula>
    </cfRule>
  </conditionalFormatting>
  <conditionalFormatting sqref="AO592:AU592">
    <cfRule type="cellIs" dxfId="721" priority="711" operator="lessThan">
      <formula>0</formula>
    </cfRule>
    <cfRule type="cellIs" dxfId="720" priority="712" operator="greaterThan">
      <formula>0</formula>
    </cfRule>
  </conditionalFormatting>
  <conditionalFormatting sqref="AG592:AL592">
    <cfRule type="cellIs" dxfId="719" priority="709" operator="lessThan">
      <formula>0</formula>
    </cfRule>
    <cfRule type="cellIs" dxfId="718" priority="710" operator="greaterThan">
      <formula>0</formula>
    </cfRule>
  </conditionalFormatting>
  <conditionalFormatting sqref="AN597">
    <cfRule type="cellIs" dxfId="717" priority="707" operator="lessThan">
      <formula>0</formula>
    </cfRule>
    <cfRule type="cellIs" dxfId="716" priority="708" operator="greaterThan">
      <formula>0</formula>
    </cfRule>
  </conditionalFormatting>
  <conditionalFormatting sqref="AO597:AU597">
    <cfRule type="cellIs" dxfId="715" priority="705" operator="lessThan">
      <formula>0</formula>
    </cfRule>
    <cfRule type="cellIs" dxfId="714" priority="706" operator="greaterThan">
      <formula>0</formula>
    </cfRule>
  </conditionalFormatting>
  <conditionalFormatting sqref="AG597:AL597">
    <cfRule type="cellIs" dxfId="713" priority="703" operator="lessThan">
      <formula>0</formula>
    </cfRule>
    <cfRule type="cellIs" dxfId="712" priority="704" operator="greaterThan">
      <formula>0</formula>
    </cfRule>
  </conditionalFormatting>
  <conditionalFormatting sqref="AN605">
    <cfRule type="cellIs" dxfId="711" priority="701" operator="lessThan">
      <formula>0</formula>
    </cfRule>
    <cfRule type="cellIs" dxfId="710" priority="702" operator="greaterThan">
      <formula>0</formula>
    </cfRule>
  </conditionalFormatting>
  <conditionalFormatting sqref="AO605:AU605">
    <cfRule type="cellIs" dxfId="709" priority="699" operator="lessThan">
      <formula>0</formula>
    </cfRule>
    <cfRule type="cellIs" dxfId="708" priority="700" operator="greaterThan">
      <formula>0</formula>
    </cfRule>
  </conditionalFormatting>
  <conditionalFormatting sqref="AG605:AL605">
    <cfRule type="cellIs" dxfId="707" priority="697" operator="lessThan">
      <formula>0</formula>
    </cfRule>
    <cfRule type="cellIs" dxfId="706" priority="698" operator="greaterThan">
      <formula>0</formula>
    </cfRule>
  </conditionalFormatting>
  <conditionalFormatting sqref="AN610">
    <cfRule type="cellIs" dxfId="705" priority="695" operator="lessThan">
      <formula>0</formula>
    </cfRule>
    <cfRule type="cellIs" dxfId="704" priority="696" operator="greaterThan">
      <formula>0</formula>
    </cfRule>
  </conditionalFormatting>
  <conditionalFormatting sqref="AO610:AU610">
    <cfRule type="cellIs" dxfId="703" priority="693" operator="lessThan">
      <formula>0</formula>
    </cfRule>
    <cfRule type="cellIs" dxfId="702" priority="694" operator="greaterThan">
      <formula>0</formula>
    </cfRule>
  </conditionalFormatting>
  <conditionalFormatting sqref="AG610:AL610">
    <cfRule type="cellIs" dxfId="701" priority="691" operator="lessThan">
      <formula>0</formula>
    </cfRule>
    <cfRule type="cellIs" dxfId="700" priority="692" operator="greaterThan">
      <formula>0</formula>
    </cfRule>
  </conditionalFormatting>
  <conditionalFormatting sqref="AN615">
    <cfRule type="cellIs" dxfId="699" priority="689" operator="lessThan">
      <formula>0</formula>
    </cfRule>
    <cfRule type="cellIs" dxfId="698" priority="690" operator="greaterThan">
      <formula>0</formula>
    </cfRule>
  </conditionalFormatting>
  <conditionalFormatting sqref="AO615:AU615">
    <cfRule type="cellIs" dxfId="697" priority="687" operator="lessThan">
      <formula>0</formula>
    </cfRule>
    <cfRule type="cellIs" dxfId="696" priority="688" operator="greaterThan">
      <formula>0</formula>
    </cfRule>
  </conditionalFormatting>
  <conditionalFormatting sqref="AG615:AL615">
    <cfRule type="cellIs" dxfId="695" priority="685" operator="lessThan">
      <formula>0</formula>
    </cfRule>
    <cfRule type="cellIs" dxfId="694" priority="686" operator="greaterThan">
      <formula>0</formula>
    </cfRule>
  </conditionalFormatting>
  <conditionalFormatting sqref="AN621">
    <cfRule type="cellIs" dxfId="693" priority="683" operator="lessThan">
      <formula>0</formula>
    </cfRule>
    <cfRule type="cellIs" dxfId="692" priority="684" operator="greaterThan">
      <formula>0</formula>
    </cfRule>
  </conditionalFormatting>
  <conditionalFormatting sqref="AO621:AU621">
    <cfRule type="cellIs" dxfId="691" priority="681" operator="lessThan">
      <formula>0</formula>
    </cfRule>
    <cfRule type="cellIs" dxfId="690" priority="682" operator="greaterThan">
      <formula>0</formula>
    </cfRule>
  </conditionalFormatting>
  <conditionalFormatting sqref="AG621:AL621">
    <cfRule type="cellIs" dxfId="689" priority="679" operator="lessThan">
      <formula>0</formula>
    </cfRule>
    <cfRule type="cellIs" dxfId="688" priority="680" operator="greaterThan">
      <formula>0</formula>
    </cfRule>
  </conditionalFormatting>
  <conditionalFormatting sqref="AN626">
    <cfRule type="cellIs" dxfId="687" priority="677" operator="lessThan">
      <formula>0</formula>
    </cfRule>
    <cfRule type="cellIs" dxfId="686" priority="678" operator="greaterThan">
      <formula>0</formula>
    </cfRule>
  </conditionalFormatting>
  <conditionalFormatting sqref="AO626:AU626">
    <cfRule type="cellIs" dxfId="685" priority="675" operator="lessThan">
      <formula>0</formula>
    </cfRule>
    <cfRule type="cellIs" dxfId="684" priority="676" operator="greaterThan">
      <formula>0</formula>
    </cfRule>
  </conditionalFormatting>
  <conditionalFormatting sqref="AG626:AL626">
    <cfRule type="cellIs" dxfId="683" priority="673" operator="lessThan">
      <formula>0</formula>
    </cfRule>
    <cfRule type="cellIs" dxfId="682" priority="674" operator="greaterThan">
      <formula>0</formula>
    </cfRule>
  </conditionalFormatting>
  <conditionalFormatting sqref="AN631:AN632">
    <cfRule type="cellIs" dxfId="681" priority="671" operator="lessThan">
      <formula>0</formula>
    </cfRule>
    <cfRule type="cellIs" dxfId="680" priority="672" operator="greaterThan">
      <formula>0</formula>
    </cfRule>
  </conditionalFormatting>
  <conditionalFormatting sqref="AO631:AU632">
    <cfRule type="cellIs" dxfId="679" priority="669" operator="lessThan">
      <formula>0</formula>
    </cfRule>
    <cfRule type="cellIs" dxfId="678" priority="670" operator="greaterThan">
      <formula>0</formula>
    </cfRule>
  </conditionalFormatting>
  <conditionalFormatting sqref="AG631:AL632">
    <cfRule type="cellIs" dxfId="677" priority="667" operator="lessThan">
      <formula>0</formula>
    </cfRule>
    <cfRule type="cellIs" dxfId="676" priority="668" operator="greaterThan">
      <formula>0</formula>
    </cfRule>
  </conditionalFormatting>
  <conditionalFormatting sqref="AN637">
    <cfRule type="cellIs" dxfId="675" priority="665" operator="lessThan">
      <formula>0</formula>
    </cfRule>
    <cfRule type="cellIs" dxfId="674" priority="666" operator="greaterThan">
      <formula>0</formula>
    </cfRule>
  </conditionalFormatting>
  <conditionalFormatting sqref="AO637:AU637">
    <cfRule type="cellIs" dxfId="673" priority="663" operator="lessThan">
      <formula>0</formula>
    </cfRule>
    <cfRule type="cellIs" dxfId="672" priority="664" operator="greaterThan">
      <formula>0</formula>
    </cfRule>
  </conditionalFormatting>
  <conditionalFormatting sqref="AG637:AL637">
    <cfRule type="cellIs" dxfId="671" priority="661" operator="lessThan">
      <formula>0</formula>
    </cfRule>
    <cfRule type="cellIs" dxfId="670" priority="662" operator="greaterThan">
      <formula>0</formula>
    </cfRule>
  </conditionalFormatting>
  <conditionalFormatting sqref="AN648">
    <cfRule type="cellIs" dxfId="669" priority="659" operator="lessThan">
      <formula>0</formula>
    </cfRule>
    <cfRule type="cellIs" dxfId="668" priority="660" operator="greaterThan">
      <formula>0</formula>
    </cfRule>
  </conditionalFormatting>
  <conditionalFormatting sqref="AO648:AU648">
    <cfRule type="cellIs" dxfId="667" priority="657" operator="lessThan">
      <formula>0</formula>
    </cfRule>
    <cfRule type="cellIs" dxfId="666" priority="658" operator="greaterThan">
      <formula>0</formula>
    </cfRule>
  </conditionalFormatting>
  <conditionalFormatting sqref="AG648:AL648">
    <cfRule type="cellIs" dxfId="665" priority="655" operator="lessThan">
      <formula>0</formula>
    </cfRule>
    <cfRule type="cellIs" dxfId="664" priority="656" operator="greaterThan">
      <formula>0</formula>
    </cfRule>
  </conditionalFormatting>
  <conditionalFormatting sqref="AN653">
    <cfRule type="cellIs" dxfId="663" priority="653" operator="lessThan">
      <formula>0</formula>
    </cfRule>
    <cfRule type="cellIs" dxfId="662" priority="654" operator="greaterThan">
      <formula>0</formula>
    </cfRule>
  </conditionalFormatting>
  <conditionalFormatting sqref="AO653:AU653">
    <cfRule type="cellIs" dxfId="661" priority="651" operator="lessThan">
      <formula>0</formula>
    </cfRule>
    <cfRule type="cellIs" dxfId="660" priority="652" operator="greaterThan">
      <formula>0</formula>
    </cfRule>
  </conditionalFormatting>
  <conditionalFormatting sqref="AG653:AL653">
    <cfRule type="cellIs" dxfId="659" priority="649" operator="lessThan">
      <formula>0</formula>
    </cfRule>
    <cfRule type="cellIs" dxfId="658" priority="650" operator="greaterThan">
      <formula>0</formula>
    </cfRule>
  </conditionalFormatting>
  <conditionalFormatting sqref="AN658:AN659">
    <cfRule type="cellIs" dxfId="657" priority="647" operator="lessThan">
      <formula>0</formula>
    </cfRule>
    <cfRule type="cellIs" dxfId="656" priority="648" operator="greaterThan">
      <formula>0</formula>
    </cfRule>
  </conditionalFormatting>
  <conditionalFormatting sqref="AO658:AU659">
    <cfRule type="cellIs" dxfId="655" priority="645" operator="lessThan">
      <formula>0</formula>
    </cfRule>
    <cfRule type="cellIs" dxfId="654" priority="646" operator="greaterThan">
      <formula>0</formula>
    </cfRule>
  </conditionalFormatting>
  <conditionalFormatting sqref="AG658:AL659">
    <cfRule type="cellIs" dxfId="653" priority="643" operator="lessThan">
      <formula>0</formula>
    </cfRule>
    <cfRule type="cellIs" dxfId="652" priority="644" operator="greaterThan">
      <formula>0</formula>
    </cfRule>
  </conditionalFormatting>
  <conditionalFormatting sqref="AN664">
    <cfRule type="cellIs" dxfId="651" priority="641" operator="lessThan">
      <formula>0</formula>
    </cfRule>
    <cfRule type="cellIs" dxfId="650" priority="642" operator="greaterThan">
      <formula>0</formula>
    </cfRule>
  </conditionalFormatting>
  <conditionalFormatting sqref="AO664:AU664">
    <cfRule type="cellIs" dxfId="649" priority="639" operator="lessThan">
      <formula>0</formula>
    </cfRule>
    <cfRule type="cellIs" dxfId="648" priority="640" operator="greaterThan">
      <formula>0</formula>
    </cfRule>
  </conditionalFormatting>
  <conditionalFormatting sqref="AG664:AL664">
    <cfRule type="cellIs" dxfId="647" priority="637" operator="lessThan">
      <formula>0</formula>
    </cfRule>
    <cfRule type="cellIs" dxfId="646" priority="638" operator="greaterThan">
      <formula>0</formula>
    </cfRule>
  </conditionalFormatting>
  <conditionalFormatting sqref="AN669">
    <cfRule type="cellIs" dxfId="645" priority="635" operator="lessThan">
      <formula>0</formula>
    </cfRule>
    <cfRule type="cellIs" dxfId="644" priority="636" operator="greaterThan">
      <formula>0</formula>
    </cfRule>
  </conditionalFormatting>
  <conditionalFormatting sqref="AO669:AU669">
    <cfRule type="cellIs" dxfId="643" priority="633" operator="lessThan">
      <formula>0</formula>
    </cfRule>
    <cfRule type="cellIs" dxfId="642" priority="634" operator="greaterThan">
      <formula>0</formula>
    </cfRule>
  </conditionalFormatting>
  <conditionalFormatting sqref="AG669:AL669">
    <cfRule type="cellIs" dxfId="641" priority="631" operator="lessThan">
      <formula>0</formula>
    </cfRule>
    <cfRule type="cellIs" dxfId="640" priority="632" operator="greaterThan">
      <formula>0</formula>
    </cfRule>
  </conditionalFormatting>
  <conditionalFormatting sqref="AN674">
    <cfRule type="cellIs" dxfId="639" priority="629" operator="lessThan">
      <formula>0</formula>
    </cfRule>
    <cfRule type="cellIs" dxfId="638" priority="630" operator="greaterThan">
      <formula>0</formula>
    </cfRule>
  </conditionalFormatting>
  <conditionalFormatting sqref="AO674:AU674">
    <cfRule type="cellIs" dxfId="637" priority="627" operator="lessThan">
      <formula>0</formula>
    </cfRule>
    <cfRule type="cellIs" dxfId="636" priority="628" operator="greaterThan">
      <formula>0</formula>
    </cfRule>
  </conditionalFormatting>
  <conditionalFormatting sqref="AG674:AL674">
    <cfRule type="cellIs" dxfId="635" priority="625" operator="lessThan">
      <formula>0</formula>
    </cfRule>
    <cfRule type="cellIs" dxfId="634" priority="626" operator="greaterThan">
      <formula>0</formula>
    </cfRule>
  </conditionalFormatting>
  <conditionalFormatting sqref="AN679">
    <cfRule type="cellIs" dxfId="633" priority="623" operator="lessThan">
      <formula>0</formula>
    </cfRule>
    <cfRule type="cellIs" dxfId="632" priority="624" operator="greaterThan">
      <formula>0</formula>
    </cfRule>
  </conditionalFormatting>
  <conditionalFormatting sqref="AO679:AU679">
    <cfRule type="cellIs" dxfId="631" priority="621" operator="lessThan">
      <formula>0</formula>
    </cfRule>
    <cfRule type="cellIs" dxfId="630" priority="622" operator="greaterThan">
      <formula>0</formula>
    </cfRule>
  </conditionalFormatting>
  <conditionalFormatting sqref="AG679:AL679">
    <cfRule type="cellIs" dxfId="629" priority="619" operator="lessThan">
      <formula>0</formula>
    </cfRule>
    <cfRule type="cellIs" dxfId="628" priority="620" operator="greaterThan">
      <formula>0</formula>
    </cfRule>
  </conditionalFormatting>
  <conditionalFormatting sqref="AN687">
    <cfRule type="cellIs" dxfId="627" priority="617" operator="lessThan">
      <formula>0</formula>
    </cfRule>
    <cfRule type="cellIs" dxfId="626" priority="618" operator="greaterThan">
      <formula>0</formula>
    </cfRule>
  </conditionalFormatting>
  <conditionalFormatting sqref="AO687:AU687">
    <cfRule type="cellIs" dxfId="625" priority="615" operator="lessThan">
      <formula>0</formula>
    </cfRule>
    <cfRule type="cellIs" dxfId="624" priority="616" operator="greaterThan">
      <formula>0</formula>
    </cfRule>
  </conditionalFormatting>
  <conditionalFormatting sqref="AG687:AL687">
    <cfRule type="cellIs" dxfId="623" priority="613" operator="lessThan">
      <formula>0</formula>
    </cfRule>
    <cfRule type="cellIs" dxfId="622" priority="614" operator="greaterThan">
      <formula>0</formula>
    </cfRule>
  </conditionalFormatting>
  <conditionalFormatting sqref="AN697">
    <cfRule type="cellIs" dxfId="621" priority="611" operator="lessThan">
      <formula>0</formula>
    </cfRule>
    <cfRule type="cellIs" dxfId="620" priority="612" operator="greaterThan">
      <formula>0</formula>
    </cfRule>
  </conditionalFormatting>
  <conditionalFormatting sqref="AO697:AU697">
    <cfRule type="cellIs" dxfId="619" priority="609" operator="lessThan">
      <formula>0</formula>
    </cfRule>
    <cfRule type="cellIs" dxfId="618" priority="610" operator="greaterThan">
      <formula>0</formula>
    </cfRule>
  </conditionalFormatting>
  <conditionalFormatting sqref="AG697:AL697">
    <cfRule type="cellIs" dxfId="617" priority="607" operator="lessThan">
      <formula>0</formula>
    </cfRule>
    <cfRule type="cellIs" dxfId="616" priority="608" operator="greaterThan">
      <formula>0</formula>
    </cfRule>
  </conditionalFormatting>
  <conditionalFormatting sqref="AN702">
    <cfRule type="cellIs" dxfId="615" priority="605" operator="lessThan">
      <formula>0</formula>
    </cfRule>
    <cfRule type="cellIs" dxfId="614" priority="606" operator="greaterThan">
      <formula>0</formula>
    </cfRule>
  </conditionalFormatting>
  <conditionalFormatting sqref="AO702:AU702">
    <cfRule type="cellIs" dxfId="613" priority="603" operator="lessThan">
      <formula>0</formula>
    </cfRule>
    <cfRule type="cellIs" dxfId="612" priority="604" operator="greaterThan">
      <formula>0</formula>
    </cfRule>
  </conditionalFormatting>
  <conditionalFormatting sqref="AG702:AL702">
    <cfRule type="cellIs" dxfId="611" priority="601" operator="lessThan">
      <formula>0</formula>
    </cfRule>
    <cfRule type="cellIs" dxfId="610" priority="602" operator="greaterThan">
      <formula>0</formula>
    </cfRule>
  </conditionalFormatting>
  <conditionalFormatting sqref="AN707">
    <cfRule type="cellIs" dxfId="609" priority="599" operator="lessThan">
      <formula>0</formula>
    </cfRule>
    <cfRule type="cellIs" dxfId="608" priority="600" operator="greaterThan">
      <formula>0</formula>
    </cfRule>
  </conditionalFormatting>
  <conditionalFormatting sqref="AO707:AU707">
    <cfRule type="cellIs" dxfId="607" priority="597" operator="lessThan">
      <formula>0</formula>
    </cfRule>
    <cfRule type="cellIs" dxfId="606" priority="598" operator="greaterThan">
      <formula>0</formula>
    </cfRule>
  </conditionalFormatting>
  <conditionalFormatting sqref="AG707:AL707">
    <cfRule type="cellIs" dxfId="605" priority="595" operator="lessThan">
      <formula>0</formula>
    </cfRule>
    <cfRule type="cellIs" dxfId="604" priority="596" operator="greaterThan">
      <formula>0</formula>
    </cfRule>
  </conditionalFormatting>
  <conditionalFormatting sqref="AN712">
    <cfRule type="cellIs" dxfId="603" priority="593" operator="lessThan">
      <formula>0</formula>
    </cfRule>
    <cfRule type="cellIs" dxfId="602" priority="594" operator="greaterThan">
      <formula>0</formula>
    </cfRule>
  </conditionalFormatting>
  <conditionalFormatting sqref="AO712:AU712">
    <cfRule type="cellIs" dxfId="601" priority="591" operator="lessThan">
      <formula>0</formula>
    </cfRule>
    <cfRule type="cellIs" dxfId="600" priority="592" operator="greaterThan">
      <formula>0</formula>
    </cfRule>
  </conditionalFormatting>
  <conditionalFormatting sqref="AG712:AL712">
    <cfRule type="cellIs" dxfId="599" priority="589" operator="lessThan">
      <formula>0</formula>
    </cfRule>
    <cfRule type="cellIs" dxfId="598" priority="590" operator="greaterThan">
      <formula>0</formula>
    </cfRule>
  </conditionalFormatting>
  <conditionalFormatting sqref="AN717">
    <cfRule type="cellIs" dxfId="597" priority="587" operator="lessThan">
      <formula>0</formula>
    </cfRule>
    <cfRule type="cellIs" dxfId="596" priority="588" operator="greaterThan">
      <formula>0</formula>
    </cfRule>
  </conditionalFormatting>
  <conditionalFormatting sqref="AO717:AU717">
    <cfRule type="cellIs" dxfId="595" priority="585" operator="lessThan">
      <formula>0</formula>
    </cfRule>
    <cfRule type="cellIs" dxfId="594" priority="586" operator="greaterThan">
      <formula>0</formula>
    </cfRule>
  </conditionalFormatting>
  <conditionalFormatting sqref="AG717:AL717">
    <cfRule type="cellIs" dxfId="593" priority="583" operator="lessThan">
      <formula>0</formula>
    </cfRule>
    <cfRule type="cellIs" dxfId="592" priority="584" operator="greaterThan">
      <formula>0</formula>
    </cfRule>
  </conditionalFormatting>
  <conditionalFormatting sqref="E484">
    <cfRule type="cellIs" dxfId="591" priority="582" operator="equal">
      <formula>$E$479</formula>
    </cfRule>
  </conditionalFormatting>
  <conditionalFormatting sqref="E483">
    <cfRule type="cellIs" dxfId="590" priority="581" operator="equal">
      <formula>$E478</formula>
    </cfRule>
  </conditionalFormatting>
  <conditionalFormatting sqref="E490">
    <cfRule type="cellIs" dxfId="589" priority="580" operator="equal">
      <formula>$E484</formula>
    </cfRule>
  </conditionalFormatting>
  <conditionalFormatting sqref="E489">
    <cfRule type="cellIs" dxfId="588" priority="579" operator="equal">
      <formula>$E$483</formula>
    </cfRule>
  </conditionalFormatting>
  <conditionalFormatting sqref="E495">
    <cfRule type="cellIs" dxfId="587" priority="578" operator="equal">
      <formula>$E490</formula>
    </cfRule>
  </conditionalFormatting>
  <conditionalFormatting sqref="E503">
    <cfRule type="cellIs" dxfId="586" priority="577" operator="equal">
      <formula>$E495</formula>
    </cfRule>
  </conditionalFormatting>
  <conditionalFormatting sqref="E508">
    <cfRule type="cellIs" dxfId="585" priority="576" operator="equal">
      <formula>$E503</formula>
    </cfRule>
  </conditionalFormatting>
  <conditionalFormatting sqref="E523">
    <cfRule type="cellIs" dxfId="584" priority="575" operator="equal">
      <formula>$E518</formula>
    </cfRule>
  </conditionalFormatting>
  <conditionalFormatting sqref="E494">
    <cfRule type="cellIs" dxfId="583" priority="574" operator="equal">
      <formula>$E$489</formula>
    </cfRule>
  </conditionalFormatting>
  <conditionalFormatting sqref="E502">
    <cfRule type="cellIs" dxfId="582" priority="573" operator="equal">
      <formula>$E$494</formula>
    </cfRule>
  </conditionalFormatting>
  <conditionalFormatting sqref="E528">
    <cfRule type="cellIs" dxfId="581" priority="572" operator="equal">
      <formula>$E523</formula>
    </cfRule>
  </conditionalFormatting>
  <conditionalFormatting sqref="E507">
    <cfRule type="cellIs" dxfId="580" priority="571" operator="equal">
      <formula>$E502</formula>
    </cfRule>
  </conditionalFormatting>
  <conditionalFormatting sqref="E524">
    <cfRule type="cellIs" dxfId="579" priority="570" operator="equal">
      <formula>$E519</formula>
    </cfRule>
  </conditionalFormatting>
  <conditionalFormatting sqref="E529">
    <cfRule type="cellIs" dxfId="578" priority="569" operator="equal">
      <formula>$E524</formula>
    </cfRule>
  </conditionalFormatting>
  <conditionalFormatting sqref="E541">
    <cfRule type="cellIs" dxfId="577" priority="568" operator="equal">
      <formula>$E536</formula>
    </cfRule>
  </conditionalFormatting>
  <conditionalFormatting sqref="E542">
    <cfRule type="cellIs" dxfId="576" priority="567" operator="equal">
      <formula>$E537</formula>
    </cfRule>
  </conditionalFormatting>
  <conditionalFormatting sqref="E546">
    <cfRule type="cellIs" dxfId="575" priority="566" operator="equal">
      <formula>$E541</formula>
    </cfRule>
  </conditionalFormatting>
  <conditionalFormatting sqref="E536">
    <cfRule type="cellIs" dxfId="574" priority="565" operator="equal">
      <formula>$E528</formula>
    </cfRule>
  </conditionalFormatting>
  <conditionalFormatting sqref="E537">
    <cfRule type="cellIs" dxfId="573" priority="564" operator="equal">
      <formula>$E529</formula>
    </cfRule>
  </conditionalFormatting>
  <conditionalFormatting sqref="E570">
    <cfRule type="cellIs" dxfId="572" priority="563" operator="equal">
      <formula>$E562</formula>
    </cfRule>
  </conditionalFormatting>
  <conditionalFormatting sqref="E571">
    <cfRule type="cellIs" dxfId="571" priority="562" operator="equal">
      <formula>$E563</formula>
    </cfRule>
  </conditionalFormatting>
  <conditionalFormatting sqref="E604">
    <cfRule type="cellIs" dxfId="570" priority="561" operator="equal">
      <formula>$E596</formula>
    </cfRule>
  </conditionalFormatting>
  <conditionalFormatting sqref="E647">
    <cfRule type="cellIs" dxfId="569" priority="560" operator="equal">
      <formula>$E636</formula>
    </cfRule>
  </conditionalFormatting>
  <conditionalFormatting sqref="E686">
    <cfRule type="cellIs" dxfId="568" priority="559" operator="equal">
      <formula>$E678</formula>
    </cfRule>
  </conditionalFormatting>
  <conditionalFormatting sqref="E696">
    <cfRule type="cellIs" dxfId="567" priority="558" operator="equal">
      <formula>$E686</formula>
    </cfRule>
  </conditionalFormatting>
  <conditionalFormatting sqref="E513">
    <cfRule type="cellIs" dxfId="566" priority="557" operator="equal">
      <formula>$E508</formula>
    </cfRule>
  </conditionalFormatting>
  <conditionalFormatting sqref="E512">
    <cfRule type="cellIs" dxfId="565" priority="556" operator="equal">
      <formula>$E507</formula>
    </cfRule>
  </conditionalFormatting>
  <conditionalFormatting sqref="E518">
    <cfRule type="cellIs" dxfId="564" priority="555" operator="equal">
      <formula>$E512</formula>
    </cfRule>
  </conditionalFormatting>
  <conditionalFormatting sqref="E519">
    <cfRule type="cellIs" dxfId="563" priority="554" operator="equal">
      <formula>$E513</formula>
    </cfRule>
  </conditionalFormatting>
  <conditionalFormatting sqref="E472">
    <cfRule type="cellIs" dxfId="562" priority="553" operator="equal">
      <formula>$E467</formula>
    </cfRule>
  </conditionalFormatting>
  <conditionalFormatting sqref="E473">
    <cfRule type="cellIs" dxfId="561" priority="552" operator="equal">
      <formula>$E468</formula>
    </cfRule>
  </conditionalFormatting>
  <conditionalFormatting sqref="E478">
    <cfRule type="cellIs" dxfId="560" priority="551" operator="equal">
      <formula>$E$472</formula>
    </cfRule>
  </conditionalFormatting>
  <conditionalFormatting sqref="E479">
    <cfRule type="cellIs" dxfId="559" priority="550" operator="equal">
      <formula>$E473</formula>
    </cfRule>
  </conditionalFormatting>
  <conditionalFormatting sqref="E547">
    <cfRule type="cellIs" dxfId="558" priority="549" operator="equal">
      <formula>$E542</formula>
    </cfRule>
  </conditionalFormatting>
  <conditionalFormatting sqref="E552">
    <cfRule type="cellIs" dxfId="557" priority="548" operator="equal">
      <formula>$E546</formula>
    </cfRule>
  </conditionalFormatting>
  <conditionalFormatting sqref="E553">
    <cfRule type="cellIs" dxfId="556" priority="547" operator="equal">
      <formula>$E547</formula>
    </cfRule>
  </conditionalFormatting>
  <conditionalFormatting sqref="E557">
    <cfRule type="cellIs" dxfId="555" priority="546" operator="equal">
      <formula>$E552</formula>
    </cfRule>
  </conditionalFormatting>
  <conditionalFormatting sqref="E558">
    <cfRule type="cellIs" dxfId="554" priority="545" operator="equal">
      <formula>$E553</formula>
    </cfRule>
  </conditionalFormatting>
  <conditionalFormatting sqref="E562">
    <cfRule type="cellIs" dxfId="553" priority="544" operator="equal">
      <formula>$E557</formula>
    </cfRule>
  </conditionalFormatting>
  <conditionalFormatting sqref="E563">
    <cfRule type="cellIs" dxfId="552" priority="543" operator="equal">
      <formula>$E558</formula>
    </cfRule>
  </conditionalFormatting>
  <conditionalFormatting sqref="E575">
    <cfRule type="cellIs" dxfId="551" priority="542" operator="equal">
      <formula>$E570</formula>
    </cfRule>
  </conditionalFormatting>
  <conditionalFormatting sqref="E576">
    <cfRule type="cellIs" dxfId="550" priority="541" operator="equal">
      <formula>$E571</formula>
    </cfRule>
  </conditionalFormatting>
  <conditionalFormatting sqref="E580">
    <cfRule type="cellIs" dxfId="549" priority="540" operator="equal">
      <formula>$E575</formula>
    </cfRule>
  </conditionalFormatting>
  <conditionalFormatting sqref="E581">
    <cfRule type="cellIs" dxfId="548" priority="539" operator="equal">
      <formula>$E576</formula>
    </cfRule>
  </conditionalFormatting>
  <conditionalFormatting sqref="E591">
    <cfRule type="cellIs" dxfId="547" priority="538" operator="equal">
      <formula>$E586</formula>
    </cfRule>
  </conditionalFormatting>
  <conditionalFormatting sqref="E592">
    <cfRule type="cellIs" dxfId="546" priority="537" operator="equal">
      <formula>$E587</formula>
    </cfRule>
  </conditionalFormatting>
  <conditionalFormatting sqref="E596">
    <cfRule type="cellIs" dxfId="545" priority="536" operator="equal">
      <formula>$E591</formula>
    </cfRule>
  </conditionalFormatting>
  <conditionalFormatting sqref="E597">
    <cfRule type="cellIs" dxfId="544" priority="535" operator="equal">
      <formula>$E592</formula>
    </cfRule>
  </conditionalFormatting>
  <conditionalFormatting sqref="E586">
    <cfRule type="cellIs" dxfId="543" priority="534" operator="equal">
      <formula>$E580</formula>
    </cfRule>
  </conditionalFormatting>
  <conditionalFormatting sqref="E587">
    <cfRule type="cellIs" dxfId="542" priority="533" operator="equal">
      <formula>$E581</formula>
    </cfRule>
  </conditionalFormatting>
  <conditionalFormatting sqref="E609">
    <cfRule type="cellIs" dxfId="541" priority="532" operator="equal">
      <formula>$E604</formula>
    </cfRule>
  </conditionalFormatting>
  <conditionalFormatting sqref="E610">
    <cfRule type="cellIs" dxfId="540" priority="531" operator="equal">
      <formula>$E605</formula>
    </cfRule>
  </conditionalFormatting>
  <conditionalFormatting sqref="E614">
    <cfRule type="cellIs" dxfId="539" priority="530" operator="equal">
      <formula>$E609</formula>
    </cfRule>
  </conditionalFormatting>
  <conditionalFormatting sqref="E615">
    <cfRule type="cellIs" dxfId="538" priority="529" operator="equal">
      <formula>$E610</formula>
    </cfRule>
  </conditionalFormatting>
  <conditionalFormatting sqref="E630">
    <cfRule type="cellIs" dxfId="537" priority="528" operator="equal">
      <formula>$E625</formula>
    </cfRule>
  </conditionalFormatting>
  <conditionalFormatting sqref="E631">
    <cfRule type="cellIs" dxfId="536" priority="527" operator="equal">
      <formula>$E626</formula>
    </cfRule>
  </conditionalFormatting>
  <conditionalFormatting sqref="E636">
    <cfRule type="cellIs" dxfId="535" priority="526" operator="equal">
      <formula>$E630</formula>
    </cfRule>
  </conditionalFormatting>
  <conditionalFormatting sqref="E637">
    <cfRule type="cellIs" dxfId="534" priority="525" operator="equal">
      <formula>$E631</formula>
    </cfRule>
  </conditionalFormatting>
  <conditionalFormatting sqref="E652">
    <cfRule type="cellIs" dxfId="533" priority="524" operator="equal">
      <formula>$E647</formula>
    </cfRule>
  </conditionalFormatting>
  <conditionalFormatting sqref="E653">
    <cfRule type="cellIs" dxfId="532" priority="523" operator="equal">
      <formula>$E648</formula>
    </cfRule>
  </conditionalFormatting>
  <conditionalFormatting sqref="E657">
    <cfRule type="cellIs" dxfId="531" priority="522" operator="equal">
      <formula>$E652</formula>
    </cfRule>
  </conditionalFormatting>
  <conditionalFormatting sqref="E658">
    <cfRule type="cellIs" dxfId="530" priority="521" operator="equal">
      <formula>$E653</formula>
    </cfRule>
  </conditionalFormatting>
  <conditionalFormatting sqref="E663">
    <cfRule type="cellIs" dxfId="529" priority="520" operator="equal">
      <formula>$E657</formula>
    </cfRule>
  </conditionalFormatting>
  <conditionalFormatting sqref="E664">
    <cfRule type="cellIs" dxfId="528" priority="519" operator="equal">
      <formula>$E658</formula>
    </cfRule>
  </conditionalFormatting>
  <conditionalFormatting sqref="E668">
    <cfRule type="cellIs" dxfId="527" priority="518" operator="equal">
      <formula>$E663</formula>
    </cfRule>
  </conditionalFormatting>
  <conditionalFormatting sqref="E669">
    <cfRule type="cellIs" dxfId="526" priority="517" operator="equal">
      <formula>$E664</formula>
    </cfRule>
  </conditionalFormatting>
  <conditionalFormatting sqref="E673">
    <cfRule type="cellIs" dxfId="525" priority="516" operator="equal">
      <formula>$E668</formula>
    </cfRule>
  </conditionalFormatting>
  <conditionalFormatting sqref="E674">
    <cfRule type="cellIs" dxfId="524" priority="515" operator="equal">
      <formula>$E669</formula>
    </cfRule>
  </conditionalFormatting>
  <conditionalFormatting sqref="E678">
    <cfRule type="cellIs" dxfId="523" priority="514" operator="equal">
      <formula>$E673</formula>
    </cfRule>
  </conditionalFormatting>
  <conditionalFormatting sqref="E679">
    <cfRule type="cellIs" dxfId="522" priority="513" operator="equal">
      <formula>$E674</formula>
    </cfRule>
  </conditionalFormatting>
  <conditionalFormatting sqref="E687">
    <cfRule type="cellIs" dxfId="521" priority="512" operator="equal">
      <formula>$E679</formula>
    </cfRule>
  </conditionalFormatting>
  <conditionalFormatting sqref="E648">
    <cfRule type="cellIs" dxfId="520" priority="511" operator="equal">
      <formula>$E637</formula>
    </cfRule>
  </conditionalFormatting>
  <conditionalFormatting sqref="E625">
    <cfRule type="cellIs" dxfId="519" priority="510" operator="equal">
      <formula>$E620</formula>
    </cfRule>
  </conditionalFormatting>
  <conditionalFormatting sqref="E626">
    <cfRule type="cellIs" dxfId="518" priority="509" operator="equal">
      <formula>$E621</formula>
    </cfRule>
  </conditionalFormatting>
  <conditionalFormatting sqref="E605">
    <cfRule type="cellIs" dxfId="517" priority="508" operator="equal">
      <formula>$E597</formula>
    </cfRule>
  </conditionalFormatting>
  <conditionalFormatting sqref="E620">
    <cfRule type="cellIs" dxfId="516" priority="507" operator="equal">
      <formula>$E614</formula>
    </cfRule>
  </conditionalFormatting>
  <conditionalFormatting sqref="E621">
    <cfRule type="cellIs" dxfId="515" priority="506" operator="equal">
      <formula>$E615</formula>
    </cfRule>
  </conditionalFormatting>
  <conditionalFormatting sqref="E701">
    <cfRule type="cellIs" dxfId="514" priority="505" operator="equal">
      <formula>$E696</formula>
    </cfRule>
  </conditionalFormatting>
  <conditionalFormatting sqref="E702">
    <cfRule type="cellIs" dxfId="513" priority="504" operator="equal">
      <formula>$E697</formula>
    </cfRule>
  </conditionalFormatting>
  <conditionalFormatting sqref="E706">
    <cfRule type="cellIs" dxfId="512" priority="503" operator="equal">
      <formula>$E701</formula>
    </cfRule>
  </conditionalFormatting>
  <conditionalFormatting sqref="E707">
    <cfRule type="cellIs" dxfId="511" priority="502" operator="equal">
      <formula>$E702</formula>
    </cfRule>
  </conditionalFormatting>
  <conditionalFormatting sqref="E711">
    <cfRule type="cellIs" dxfId="510" priority="501" operator="equal">
      <formula>$E706</formula>
    </cfRule>
  </conditionalFormatting>
  <conditionalFormatting sqref="E712">
    <cfRule type="cellIs" dxfId="509" priority="500" operator="equal">
      <formula>$E707</formula>
    </cfRule>
  </conditionalFormatting>
  <conditionalFormatting sqref="E716">
    <cfRule type="cellIs" dxfId="508" priority="499" operator="equal">
      <formula>$E711</formula>
    </cfRule>
  </conditionalFormatting>
  <conditionalFormatting sqref="E717">
    <cfRule type="cellIs" dxfId="507" priority="498" operator="equal">
      <formula>$E712</formula>
    </cfRule>
  </conditionalFormatting>
  <conditionalFormatting sqref="E697">
    <cfRule type="cellIs" dxfId="506" priority="497" operator="equal">
      <formula>$E687</formula>
    </cfRule>
  </conditionalFormatting>
  <conditionalFormatting sqref="B1">
    <cfRule type="cellIs" dxfId="505" priority="492" operator="between">
      <formula>0.8</formula>
      <formula>1</formula>
    </cfRule>
    <cfRule type="cellIs" dxfId="504" priority="493" operator="between">
      <formula>0.6</formula>
      <formula>0.799999</formula>
    </cfRule>
    <cfRule type="cellIs" dxfId="503" priority="494" operator="between">
      <formula>0.4</formula>
      <formula>0.599999</formula>
    </cfRule>
    <cfRule type="cellIs" dxfId="502" priority="495" operator="between">
      <formula>0.2</formula>
      <formula>0.399999</formula>
    </cfRule>
    <cfRule type="cellIs" dxfId="501" priority="496" operator="between">
      <formula>0</formula>
      <formula>0.199999</formula>
    </cfRule>
  </conditionalFormatting>
  <conditionalFormatting sqref="B2">
    <cfRule type="cellIs" dxfId="500" priority="487" operator="between">
      <formula>0.8</formula>
      <formula>1</formula>
    </cfRule>
    <cfRule type="cellIs" dxfId="499" priority="488" operator="between">
      <formula>0.6</formula>
      <formula>0.799999</formula>
    </cfRule>
    <cfRule type="cellIs" dxfId="498" priority="489" operator="between">
      <formula>0.4</formula>
      <formula>0.599999</formula>
    </cfRule>
    <cfRule type="cellIs" dxfId="497" priority="490" operator="between">
      <formula>0.2</formula>
      <formula>0.399999</formula>
    </cfRule>
    <cfRule type="cellIs" dxfId="496" priority="491" operator="between">
      <formula>0</formula>
      <formula>0.199999</formula>
    </cfRule>
  </conditionalFormatting>
  <conditionalFormatting sqref="AO770:AO789">
    <cfRule type="cellIs" dxfId="495" priority="476" operator="equal">
      <formula>0</formula>
    </cfRule>
  </conditionalFormatting>
  <conditionalFormatting sqref="C332">
    <cfRule type="containsText" dxfId="494" priority="475" operator="containsText" text="URL">
      <formula>NOT(ISERROR(SEARCH("URL",C332)))</formula>
    </cfRule>
  </conditionalFormatting>
  <conditionalFormatting sqref="D339">
    <cfRule type="containsText" dxfId="493" priority="474" operator="containsText" text="URL">
      <formula>NOT(ISERROR(SEARCH("URL",D339)))</formula>
    </cfRule>
  </conditionalFormatting>
  <conditionalFormatting sqref="C332">
    <cfRule type="containsText" dxfId="492" priority="473" operator="containsText" text="URL">
      <formula>NOT(ISERROR(SEARCH("URL",C332)))</formula>
    </cfRule>
  </conditionalFormatting>
  <conditionalFormatting sqref="D332">
    <cfRule type="containsText" dxfId="491" priority="472" operator="containsText" text="URL">
      <formula>NOT(ISERROR(SEARCH("URL",D332)))</formula>
    </cfRule>
  </conditionalFormatting>
  <conditionalFormatting sqref="B305">
    <cfRule type="containsText" dxfId="490" priority="471" operator="containsText" text="URL">
      <formula>NOT(ISERROR(SEARCH("URL",B305)))</formula>
    </cfRule>
  </conditionalFormatting>
  <conditionalFormatting sqref="D305">
    <cfRule type="containsText" dxfId="489" priority="470" operator="containsText" text="URL">
      <formula>NOT(ISERROR(SEARCH("URL",D305)))</formula>
    </cfRule>
  </conditionalFormatting>
  <conditionalFormatting sqref="D306">
    <cfRule type="containsText" dxfId="488" priority="469" operator="containsText" text="URL">
      <formula>NOT(ISERROR(SEARCH("URL",D306)))</formula>
    </cfRule>
  </conditionalFormatting>
  <conditionalFormatting sqref="B325">
    <cfRule type="containsText" dxfId="487" priority="468" operator="containsText" text="URL">
      <formula>NOT(ISERROR(SEARCH("URL",B325)))</formula>
    </cfRule>
  </conditionalFormatting>
  <conditionalFormatting sqref="D325">
    <cfRule type="containsText" dxfId="486" priority="467" operator="containsText" text="URL">
      <formula>NOT(ISERROR(SEARCH("URL",D325)))</formula>
    </cfRule>
  </conditionalFormatting>
  <conditionalFormatting sqref="D326">
    <cfRule type="containsText" dxfId="485" priority="466" operator="containsText" text="URL">
      <formula>NOT(ISERROR(SEARCH("URL",D326)))</formula>
    </cfRule>
  </conditionalFormatting>
  <conditionalFormatting sqref="B315">
    <cfRule type="containsText" dxfId="484" priority="465" operator="containsText" text="URL">
      <formula>NOT(ISERROR(SEARCH("URL",B315)))</formula>
    </cfRule>
  </conditionalFormatting>
  <conditionalFormatting sqref="D315">
    <cfRule type="containsText" dxfId="483" priority="464" operator="containsText" text="URL">
      <formula>NOT(ISERROR(SEARCH("URL",D315)))</formula>
    </cfRule>
  </conditionalFormatting>
  <conditionalFormatting sqref="D316">
    <cfRule type="containsText" dxfId="482" priority="463" operator="containsText" text="URL">
      <formula>NOT(ISERROR(SEARCH("URL",D316)))</formula>
    </cfRule>
  </conditionalFormatting>
  <conditionalFormatting sqref="B335">
    <cfRule type="containsText" dxfId="481" priority="462" operator="containsText" text="URL">
      <formula>NOT(ISERROR(SEARCH("URL",B335)))</formula>
    </cfRule>
  </conditionalFormatting>
  <conditionalFormatting sqref="D335">
    <cfRule type="containsText" dxfId="480" priority="461" operator="containsText" text="URL">
      <formula>NOT(ISERROR(SEARCH("URL",D335)))</formula>
    </cfRule>
  </conditionalFormatting>
  <conditionalFormatting sqref="D336">
    <cfRule type="containsText" dxfId="479" priority="460" operator="containsText" text="URL">
      <formula>NOT(ISERROR(SEARCH("URL",D336)))</formula>
    </cfRule>
  </conditionalFormatting>
  <conditionalFormatting sqref="D436">
    <cfRule type="containsText" dxfId="478" priority="401" operator="containsText" text="URL">
      <formula>NOT(ISERROR(SEARCH("URL",D436)))</formula>
    </cfRule>
  </conditionalFormatting>
  <conditionalFormatting sqref="C342">
    <cfRule type="containsText" dxfId="477" priority="459" operator="containsText" text="URL">
      <formula>NOT(ISERROR(SEARCH("URL",C342)))</formula>
    </cfRule>
  </conditionalFormatting>
  <conditionalFormatting sqref="B342:C342">
    <cfRule type="containsText" dxfId="476" priority="458" operator="containsText" text="URL">
      <formula>NOT(ISERROR(SEARCH("URL",B342)))</formula>
    </cfRule>
  </conditionalFormatting>
  <conditionalFormatting sqref="D342">
    <cfRule type="containsText" dxfId="475" priority="457" operator="containsText" text="URL">
      <formula>NOT(ISERROR(SEARCH("URL",D342)))</formula>
    </cfRule>
  </conditionalFormatting>
  <conditionalFormatting sqref="B345">
    <cfRule type="containsText" dxfId="474" priority="456" operator="containsText" text="URL">
      <formula>NOT(ISERROR(SEARCH("URL",B345)))</formula>
    </cfRule>
  </conditionalFormatting>
  <conditionalFormatting sqref="D345">
    <cfRule type="containsText" dxfId="473" priority="455" operator="containsText" text="URL">
      <formula>NOT(ISERROR(SEARCH("URL",D345)))</formula>
    </cfRule>
  </conditionalFormatting>
  <conditionalFormatting sqref="D346">
    <cfRule type="containsText" dxfId="472" priority="454" operator="containsText" text="URL">
      <formula>NOT(ISERROR(SEARCH("URL",D346)))</formula>
    </cfRule>
  </conditionalFormatting>
  <conditionalFormatting sqref="C352">
    <cfRule type="containsText" dxfId="471" priority="453" operator="containsText" text="URL">
      <formula>NOT(ISERROR(SEARCH("URL",C352)))</formula>
    </cfRule>
  </conditionalFormatting>
  <conditionalFormatting sqref="B352:C352">
    <cfRule type="containsText" dxfId="470" priority="452" operator="containsText" text="URL">
      <formula>NOT(ISERROR(SEARCH("URL",B352)))</formula>
    </cfRule>
  </conditionalFormatting>
  <conditionalFormatting sqref="D352">
    <cfRule type="containsText" dxfId="469" priority="451" operator="containsText" text="URL">
      <formula>NOT(ISERROR(SEARCH("URL",D352)))</formula>
    </cfRule>
  </conditionalFormatting>
  <conditionalFormatting sqref="B355">
    <cfRule type="containsText" dxfId="468" priority="450" operator="containsText" text="URL">
      <formula>NOT(ISERROR(SEARCH("URL",B355)))</formula>
    </cfRule>
  </conditionalFormatting>
  <conditionalFormatting sqref="D355">
    <cfRule type="containsText" dxfId="467" priority="449" operator="containsText" text="URL">
      <formula>NOT(ISERROR(SEARCH("URL",D355)))</formula>
    </cfRule>
  </conditionalFormatting>
  <conditionalFormatting sqref="D356">
    <cfRule type="containsText" dxfId="466" priority="448" operator="containsText" text="URL">
      <formula>NOT(ISERROR(SEARCH("URL",D356)))</formula>
    </cfRule>
  </conditionalFormatting>
  <conditionalFormatting sqref="C362">
    <cfRule type="containsText" dxfId="465" priority="447" operator="containsText" text="URL">
      <formula>NOT(ISERROR(SEARCH("URL",C362)))</formula>
    </cfRule>
  </conditionalFormatting>
  <conditionalFormatting sqref="B362:C362">
    <cfRule type="containsText" dxfId="464" priority="446" operator="containsText" text="URL">
      <formula>NOT(ISERROR(SEARCH("URL",B362)))</formula>
    </cfRule>
  </conditionalFormatting>
  <conditionalFormatting sqref="D362">
    <cfRule type="containsText" dxfId="463" priority="445" operator="containsText" text="URL">
      <formula>NOT(ISERROR(SEARCH("URL",D362)))</formula>
    </cfRule>
  </conditionalFormatting>
  <conditionalFormatting sqref="B365">
    <cfRule type="containsText" dxfId="462" priority="444" operator="containsText" text="URL">
      <formula>NOT(ISERROR(SEARCH("URL",B365)))</formula>
    </cfRule>
  </conditionalFormatting>
  <conditionalFormatting sqref="D365">
    <cfRule type="containsText" dxfId="461" priority="443" operator="containsText" text="URL">
      <formula>NOT(ISERROR(SEARCH("URL",D365)))</formula>
    </cfRule>
  </conditionalFormatting>
  <conditionalFormatting sqref="D366">
    <cfRule type="containsText" dxfId="460" priority="442" operator="containsText" text="URL">
      <formula>NOT(ISERROR(SEARCH("URL",D366)))</formula>
    </cfRule>
  </conditionalFormatting>
  <conditionalFormatting sqref="C372">
    <cfRule type="containsText" dxfId="459" priority="441" operator="containsText" text="URL">
      <formula>NOT(ISERROR(SEARCH("URL",C372)))</formula>
    </cfRule>
  </conditionalFormatting>
  <conditionalFormatting sqref="B372:C372">
    <cfRule type="containsText" dxfId="458" priority="440" operator="containsText" text="URL">
      <formula>NOT(ISERROR(SEARCH("URL",B372)))</formula>
    </cfRule>
  </conditionalFormatting>
  <conditionalFormatting sqref="D372">
    <cfRule type="containsText" dxfId="457" priority="439" operator="containsText" text="URL">
      <formula>NOT(ISERROR(SEARCH("URL",D372)))</formula>
    </cfRule>
  </conditionalFormatting>
  <conditionalFormatting sqref="B375">
    <cfRule type="containsText" dxfId="456" priority="438" operator="containsText" text="URL">
      <formula>NOT(ISERROR(SEARCH("URL",B375)))</formula>
    </cfRule>
  </conditionalFormatting>
  <conditionalFormatting sqref="D375">
    <cfRule type="containsText" dxfId="455" priority="437" operator="containsText" text="URL">
      <formula>NOT(ISERROR(SEARCH("URL",D375)))</formula>
    </cfRule>
  </conditionalFormatting>
  <conditionalFormatting sqref="D376">
    <cfRule type="containsText" dxfId="454" priority="436" operator="containsText" text="URL">
      <formula>NOT(ISERROR(SEARCH("URL",D376)))</formula>
    </cfRule>
  </conditionalFormatting>
  <conditionalFormatting sqref="C382">
    <cfRule type="containsText" dxfId="453" priority="435" operator="containsText" text="URL">
      <formula>NOT(ISERROR(SEARCH("URL",C382)))</formula>
    </cfRule>
  </conditionalFormatting>
  <conditionalFormatting sqref="B382:C382">
    <cfRule type="containsText" dxfId="452" priority="434" operator="containsText" text="URL">
      <formula>NOT(ISERROR(SEARCH("URL",B382)))</formula>
    </cfRule>
  </conditionalFormatting>
  <conditionalFormatting sqref="D382">
    <cfRule type="containsText" dxfId="451" priority="433" operator="containsText" text="URL">
      <formula>NOT(ISERROR(SEARCH("URL",D382)))</formula>
    </cfRule>
  </conditionalFormatting>
  <conditionalFormatting sqref="B385">
    <cfRule type="containsText" dxfId="450" priority="432" operator="containsText" text="URL">
      <formula>NOT(ISERROR(SEARCH("URL",B385)))</formula>
    </cfRule>
  </conditionalFormatting>
  <conditionalFormatting sqref="C392">
    <cfRule type="containsText" dxfId="449" priority="430" operator="containsText" text="URL">
      <formula>NOT(ISERROR(SEARCH("URL",C392)))</formula>
    </cfRule>
  </conditionalFormatting>
  <conditionalFormatting sqref="D386">
    <cfRule type="containsText" dxfId="448" priority="431" operator="containsText" text="URL">
      <formula>NOT(ISERROR(SEARCH("URL",D386)))</formula>
    </cfRule>
  </conditionalFormatting>
  <conditionalFormatting sqref="B392:C392">
    <cfRule type="containsText" dxfId="447" priority="429" operator="containsText" text="URL">
      <formula>NOT(ISERROR(SEARCH("URL",B392)))</formula>
    </cfRule>
  </conditionalFormatting>
  <conditionalFormatting sqref="D392">
    <cfRule type="containsText" dxfId="446" priority="428" operator="containsText" text="URL">
      <formula>NOT(ISERROR(SEARCH("URL",D392)))</formula>
    </cfRule>
  </conditionalFormatting>
  <conditionalFormatting sqref="B395">
    <cfRule type="containsText" dxfId="445" priority="427" operator="containsText" text="URL">
      <formula>NOT(ISERROR(SEARCH("URL",B395)))</formula>
    </cfRule>
  </conditionalFormatting>
  <conditionalFormatting sqref="D395">
    <cfRule type="containsText" dxfId="444" priority="426" operator="containsText" text="URL">
      <formula>NOT(ISERROR(SEARCH("URL",D395)))</formula>
    </cfRule>
  </conditionalFormatting>
  <conditionalFormatting sqref="D396">
    <cfRule type="containsText" dxfId="443" priority="425" operator="containsText" text="URL">
      <formula>NOT(ISERROR(SEARCH("URL",D396)))</formula>
    </cfRule>
  </conditionalFormatting>
  <conditionalFormatting sqref="C402">
    <cfRule type="containsText" dxfId="442" priority="424" operator="containsText" text="URL">
      <formula>NOT(ISERROR(SEARCH("URL",C402)))</formula>
    </cfRule>
  </conditionalFormatting>
  <conditionalFormatting sqref="B402:C402">
    <cfRule type="containsText" dxfId="441" priority="423" operator="containsText" text="URL">
      <formula>NOT(ISERROR(SEARCH("URL",B402)))</formula>
    </cfRule>
  </conditionalFormatting>
  <conditionalFormatting sqref="D402">
    <cfRule type="containsText" dxfId="440" priority="422" operator="containsText" text="URL">
      <formula>NOT(ISERROR(SEARCH("URL",D402)))</formula>
    </cfRule>
  </conditionalFormatting>
  <conditionalFormatting sqref="B405">
    <cfRule type="containsText" dxfId="439" priority="421" operator="containsText" text="URL">
      <formula>NOT(ISERROR(SEARCH("URL",B405)))</formula>
    </cfRule>
  </conditionalFormatting>
  <conditionalFormatting sqref="D405">
    <cfRule type="containsText" dxfId="438" priority="420" operator="containsText" text="URL">
      <formula>NOT(ISERROR(SEARCH("URL",D405)))</formula>
    </cfRule>
  </conditionalFormatting>
  <conditionalFormatting sqref="D406">
    <cfRule type="containsText" dxfId="437" priority="419" operator="containsText" text="URL">
      <formula>NOT(ISERROR(SEARCH("URL",D406)))</formula>
    </cfRule>
  </conditionalFormatting>
  <conditionalFormatting sqref="C412">
    <cfRule type="containsText" dxfId="436" priority="418" operator="containsText" text="URL">
      <formula>NOT(ISERROR(SEARCH("URL",C412)))</formula>
    </cfRule>
  </conditionalFormatting>
  <conditionalFormatting sqref="B412:C412">
    <cfRule type="containsText" dxfId="435" priority="417" operator="containsText" text="URL">
      <formula>NOT(ISERROR(SEARCH("URL",B412)))</formula>
    </cfRule>
  </conditionalFormatting>
  <conditionalFormatting sqref="D412">
    <cfRule type="containsText" dxfId="434" priority="416" operator="containsText" text="URL">
      <formula>NOT(ISERROR(SEARCH("URL",D412)))</formula>
    </cfRule>
  </conditionalFormatting>
  <conditionalFormatting sqref="B415">
    <cfRule type="containsText" dxfId="433" priority="415" operator="containsText" text="URL">
      <formula>NOT(ISERROR(SEARCH("URL",B415)))</formula>
    </cfRule>
  </conditionalFormatting>
  <conditionalFormatting sqref="D415">
    <cfRule type="containsText" dxfId="432" priority="414" operator="containsText" text="URL">
      <formula>NOT(ISERROR(SEARCH("URL",D415)))</formula>
    </cfRule>
  </conditionalFormatting>
  <conditionalFormatting sqref="D416">
    <cfRule type="containsText" dxfId="431" priority="413" operator="containsText" text="URL">
      <formula>NOT(ISERROR(SEARCH("URL",D416)))</formula>
    </cfRule>
  </conditionalFormatting>
  <conditionalFormatting sqref="C422">
    <cfRule type="containsText" dxfId="430" priority="412" operator="containsText" text="URL">
      <formula>NOT(ISERROR(SEARCH("URL",C422)))</formula>
    </cfRule>
  </conditionalFormatting>
  <conditionalFormatting sqref="B422:C422">
    <cfRule type="containsText" dxfId="429" priority="411" operator="containsText" text="URL">
      <formula>NOT(ISERROR(SEARCH("URL",B422)))</formula>
    </cfRule>
  </conditionalFormatting>
  <conditionalFormatting sqref="D422">
    <cfRule type="containsText" dxfId="428" priority="410" operator="containsText" text="URL">
      <formula>NOT(ISERROR(SEARCH("URL",D422)))</formula>
    </cfRule>
  </conditionalFormatting>
  <conditionalFormatting sqref="B425">
    <cfRule type="containsText" dxfId="427" priority="409" operator="containsText" text="URL">
      <formula>NOT(ISERROR(SEARCH("URL",B425)))</formula>
    </cfRule>
  </conditionalFormatting>
  <conditionalFormatting sqref="D425">
    <cfRule type="containsText" dxfId="426" priority="408" operator="containsText" text="URL">
      <formula>NOT(ISERROR(SEARCH("URL",D425)))</formula>
    </cfRule>
  </conditionalFormatting>
  <conditionalFormatting sqref="D426">
    <cfRule type="containsText" dxfId="425" priority="407" operator="containsText" text="URL">
      <formula>NOT(ISERROR(SEARCH("URL",D426)))</formula>
    </cfRule>
  </conditionalFormatting>
  <conditionalFormatting sqref="C432">
    <cfRule type="containsText" dxfId="424" priority="406" operator="containsText" text="URL">
      <formula>NOT(ISERROR(SEARCH("URL",C432)))</formula>
    </cfRule>
  </conditionalFormatting>
  <conditionalFormatting sqref="B432:C432">
    <cfRule type="containsText" dxfId="423" priority="405" operator="containsText" text="URL">
      <formula>NOT(ISERROR(SEARCH("URL",B432)))</formula>
    </cfRule>
  </conditionalFormatting>
  <conditionalFormatting sqref="D432">
    <cfRule type="containsText" dxfId="422" priority="404" operator="containsText" text="URL">
      <formula>NOT(ISERROR(SEARCH("URL",D432)))</formula>
    </cfRule>
  </conditionalFormatting>
  <conditionalFormatting sqref="B435">
    <cfRule type="containsText" dxfId="421" priority="403" operator="containsText" text="URL">
      <formula>NOT(ISERROR(SEARCH("URL",B435)))</formula>
    </cfRule>
  </conditionalFormatting>
  <conditionalFormatting sqref="D435">
    <cfRule type="containsText" dxfId="420" priority="402" operator="containsText" text="URL">
      <formula>NOT(ISERROR(SEARCH("URL",D435)))</formula>
    </cfRule>
  </conditionalFormatting>
  <conditionalFormatting sqref="D298">
    <cfRule type="cellIs" dxfId="419" priority="399" operator="equal">
      <formula>0</formula>
    </cfRule>
    <cfRule type="cellIs" dxfId="418" priority="400" operator="greaterThan">
      <formula>0</formula>
    </cfRule>
  </conditionalFormatting>
  <conditionalFormatting sqref="D308">
    <cfRule type="cellIs" dxfId="417" priority="397" operator="equal">
      <formula>0</formula>
    </cfRule>
    <cfRule type="cellIs" dxfId="416" priority="398" operator="greaterThan">
      <formula>0</formula>
    </cfRule>
  </conditionalFormatting>
  <conditionalFormatting sqref="D328">
    <cfRule type="cellIs" dxfId="415" priority="393" operator="equal">
      <formula>0</formula>
    </cfRule>
    <cfRule type="cellIs" dxfId="414" priority="394" operator="greaterThan">
      <formula>0</formula>
    </cfRule>
  </conditionalFormatting>
  <conditionalFormatting sqref="D348">
    <cfRule type="cellIs" dxfId="413" priority="389" operator="equal">
      <formula>0</formula>
    </cfRule>
    <cfRule type="cellIs" dxfId="412" priority="390" operator="greaterThan">
      <formula>0</formula>
    </cfRule>
  </conditionalFormatting>
  <conditionalFormatting sqref="D378">
    <cfRule type="cellIs" dxfId="411" priority="383" operator="equal">
      <formula>0</formula>
    </cfRule>
    <cfRule type="cellIs" dxfId="410" priority="384" operator="greaterThan">
      <formula>0</formula>
    </cfRule>
  </conditionalFormatting>
  <conditionalFormatting sqref="D398">
    <cfRule type="cellIs" dxfId="409" priority="379" operator="equal">
      <formula>0</formula>
    </cfRule>
    <cfRule type="cellIs" dxfId="408" priority="380" operator="greaterThan">
      <formula>0</formula>
    </cfRule>
  </conditionalFormatting>
  <conditionalFormatting sqref="D428">
    <cfRule type="cellIs" dxfId="407" priority="373" operator="equal">
      <formula>0</formula>
    </cfRule>
    <cfRule type="cellIs" dxfId="406" priority="374" operator="greaterThan">
      <formula>0</formula>
    </cfRule>
  </conditionalFormatting>
  <conditionalFormatting sqref="B439">
    <cfRule type="cellIs" dxfId="405" priority="371" operator="equal">
      <formula>0</formula>
    </cfRule>
    <cfRule type="cellIs" dxfId="404" priority="372" operator="greaterThan">
      <formula>0</formula>
    </cfRule>
  </conditionalFormatting>
  <conditionalFormatting sqref="D318">
    <cfRule type="cellIs" dxfId="403" priority="395" operator="equal">
      <formula>0</formula>
    </cfRule>
    <cfRule type="cellIs" dxfId="402" priority="396" operator="greaterThan">
      <formula>0</formula>
    </cfRule>
  </conditionalFormatting>
  <conditionalFormatting sqref="D338">
    <cfRule type="cellIs" dxfId="401" priority="391" operator="equal">
      <formula>0</formula>
    </cfRule>
    <cfRule type="cellIs" dxfId="400" priority="392" operator="greaterThan">
      <formula>0</formula>
    </cfRule>
  </conditionalFormatting>
  <conditionalFormatting sqref="D358">
    <cfRule type="cellIs" dxfId="399" priority="387" operator="equal">
      <formula>0</formula>
    </cfRule>
    <cfRule type="cellIs" dxfId="398" priority="388" operator="greaterThan">
      <formula>0</formula>
    </cfRule>
  </conditionalFormatting>
  <conditionalFormatting sqref="D368">
    <cfRule type="cellIs" dxfId="397" priority="385" operator="equal">
      <formula>0</formula>
    </cfRule>
    <cfRule type="cellIs" dxfId="396" priority="386" operator="greaterThan">
      <formula>0</formula>
    </cfRule>
  </conditionalFormatting>
  <conditionalFormatting sqref="D388">
    <cfRule type="cellIs" dxfId="395" priority="381" operator="equal">
      <formula>0</formula>
    </cfRule>
    <cfRule type="cellIs" dxfId="394" priority="382" operator="greaterThan">
      <formula>0</formula>
    </cfRule>
  </conditionalFormatting>
  <conditionalFormatting sqref="D408">
    <cfRule type="cellIs" dxfId="393" priority="377" operator="equal">
      <formula>0</formula>
    </cfRule>
    <cfRule type="cellIs" dxfId="392" priority="378" operator="greaterThan">
      <formula>0</formula>
    </cfRule>
  </conditionalFormatting>
  <conditionalFormatting sqref="D418">
    <cfRule type="cellIs" dxfId="391" priority="375" operator="equal">
      <formula>0</formula>
    </cfRule>
    <cfRule type="cellIs" dxfId="390" priority="376" operator="greaterThan">
      <formula>0</formula>
    </cfRule>
  </conditionalFormatting>
  <conditionalFormatting sqref="C439">
    <cfRule type="cellIs" dxfId="389" priority="370" operator="equal">
      <formula>0</formula>
    </cfRule>
  </conditionalFormatting>
  <conditionalFormatting sqref="A1440">
    <cfRule type="cellIs" dxfId="388" priority="369" operator="equal">
      <formula>0</formula>
    </cfRule>
  </conditionalFormatting>
  <conditionalFormatting sqref="A1202:A1208">
    <cfRule type="cellIs" dxfId="387" priority="368" operator="equal">
      <formula>0</formula>
    </cfRule>
  </conditionalFormatting>
  <conditionalFormatting sqref="C156">
    <cfRule type="cellIs" dxfId="386" priority="367" operator="equal">
      <formula>"YYYY-MM-DD"</formula>
    </cfRule>
  </conditionalFormatting>
  <conditionalFormatting sqref="D156">
    <cfRule type="cellIs" dxfId="385" priority="366" operator="equal">
      <formula>"YYYY-MM-DD"</formula>
    </cfRule>
  </conditionalFormatting>
  <conditionalFormatting sqref="D158">
    <cfRule type="cellIs" dxfId="384" priority="365" operator="equal">
      <formula>"YYYY-MM-DD"</formula>
    </cfRule>
  </conditionalFormatting>
  <conditionalFormatting sqref="C158">
    <cfRule type="cellIs" dxfId="383" priority="364" operator="equal">
      <formula>"YYYY-MM-DD"</formula>
    </cfRule>
  </conditionalFormatting>
  <conditionalFormatting sqref="B259:D261">
    <cfRule type="cellIs" dxfId="382" priority="363" operator="greaterThan">
      <formula>0</formula>
    </cfRule>
  </conditionalFormatting>
  <conditionalFormatting sqref="B226:D228">
    <cfRule type="containsText" dxfId="381" priority="362" operator="containsText" text="NAME ">
      <formula>NOT(ISERROR(SEARCH("NAME ",B226)))</formula>
    </cfRule>
  </conditionalFormatting>
  <conditionalFormatting sqref="C226:D228 B227:B228">
    <cfRule type="containsText" dxfId="380" priority="359" operator="containsText" text="claims to know real culprit?">
      <formula>NOT(ISERROR(SEARCH("claims to know real culprit?",B226)))</formula>
    </cfRule>
    <cfRule type="containsText" dxfId="379" priority="360" operator="containsText" text="charged as?">
      <formula>NOT(ISERROR(SEARCH("charged as?",B226)))</formula>
    </cfRule>
    <cfRule type="containsText" dxfId="378" priority="361" operator="containsText" text="convicted as?">
      <formula>NOT(ISERROR(SEARCH("convicted as?",B226)))</formula>
    </cfRule>
  </conditionalFormatting>
  <conditionalFormatting sqref="B227:B228">
    <cfRule type="containsText" dxfId="377" priority="358" operator="containsText" text="relation?">
      <formula>NOT(ISERROR(SEARCH("relation?",B227)))</formula>
    </cfRule>
  </conditionalFormatting>
  <conditionalFormatting sqref="D226">
    <cfRule type="containsText" dxfId="376" priority="357" operator="containsText" text="how adjudicated?">
      <formula>NOT(ISERROR(SEARCH("how adjudicated?",D226)))</formula>
    </cfRule>
  </conditionalFormatting>
  <conditionalFormatting sqref="D227">
    <cfRule type="containsText" dxfId="375" priority="356" operator="containsText" text="verdict?">
      <formula>NOT(ISERROR(SEARCH("verdict?",D227)))</formula>
    </cfRule>
  </conditionalFormatting>
  <conditionalFormatting sqref="D228">
    <cfRule type="containsText" dxfId="374" priority="355" operator="containsText" text="also claims innocence?">
      <formula>NOT(ISERROR(SEARCH("also claims innocence?",D228)))</formula>
    </cfRule>
  </conditionalFormatting>
  <conditionalFormatting sqref="B228">
    <cfRule type="containsText" dxfId="373" priority="354" operator="containsText" text="know location?">
      <formula>NOT(ISERROR(SEARCH("know location?",B228)))</formula>
    </cfRule>
  </conditionalFormatting>
  <conditionalFormatting sqref="B230:D232">
    <cfRule type="containsText" dxfId="372" priority="353" operator="containsText" text="NAME ">
      <formula>NOT(ISERROR(SEARCH("NAME ",B230)))</formula>
    </cfRule>
  </conditionalFormatting>
  <conditionalFormatting sqref="C230:D232 B231:B232">
    <cfRule type="containsText" dxfId="371" priority="350" operator="containsText" text="claims to know real culprit?">
      <formula>NOT(ISERROR(SEARCH("claims to know real culprit?",B230)))</formula>
    </cfRule>
    <cfRule type="containsText" dxfId="370" priority="351" operator="containsText" text="charged as?">
      <formula>NOT(ISERROR(SEARCH("charged as?",B230)))</formula>
    </cfRule>
    <cfRule type="containsText" dxfId="369" priority="352" operator="containsText" text="convicted as?">
      <formula>NOT(ISERROR(SEARCH("convicted as?",B230)))</formula>
    </cfRule>
  </conditionalFormatting>
  <conditionalFormatting sqref="B231:B232">
    <cfRule type="containsText" dxfId="368" priority="349" operator="containsText" text="relation?">
      <formula>NOT(ISERROR(SEARCH("relation?",B231)))</formula>
    </cfRule>
  </conditionalFormatting>
  <conditionalFormatting sqref="D230">
    <cfRule type="containsText" dxfId="367" priority="348" operator="containsText" text="how adjudicated?">
      <formula>NOT(ISERROR(SEARCH("how adjudicated?",D230)))</formula>
    </cfRule>
  </conditionalFormatting>
  <conditionalFormatting sqref="D231">
    <cfRule type="containsText" dxfId="366" priority="347" operator="containsText" text="verdict?">
      <formula>NOT(ISERROR(SEARCH("verdict?",D231)))</formula>
    </cfRule>
  </conditionalFormatting>
  <conditionalFormatting sqref="D232">
    <cfRule type="containsText" dxfId="365" priority="346" operator="containsText" text="also claims innocence?">
      <formula>NOT(ISERROR(SEARCH("also claims innocence?",D232)))</formula>
    </cfRule>
  </conditionalFormatting>
  <conditionalFormatting sqref="B232">
    <cfRule type="containsText" dxfId="364" priority="345" operator="containsText" text="know location?">
      <formula>NOT(ISERROR(SEARCH("know location?",B232)))</formula>
    </cfRule>
  </conditionalFormatting>
  <conditionalFormatting sqref="B234:D236">
    <cfRule type="containsText" dxfId="363" priority="344" operator="containsText" text="NAME ">
      <formula>NOT(ISERROR(SEARCH("NAME ",B234)))</formula>
    </cfRule>
  </conditionalFormatting>
  <conditionalFormatting sqref="C234:D236 B235:B236">
    <cfRule type="containsText" dxfId="362" priority="341" operator="containsText" text="claims to know real culprit?">
      <formula>NOT(ISERROR(SEARCH("claims to know real culprit?",B234)))</formula>
    </cfRule>
    <cfRule type="containsText" dxfId="361" priority="342" operator="containsText" text="charged as?">
      <formula>NOT(ISERROR(SEARCH("charged as?",B234)))</formula>
    </cfRule>
    <cfRule type="containsText" dxfId="360" priority="343" operator="containsText" text="convicted as?">
      <formula>NOT(ISERROR(SEARCH("convicted as?",B234)))</formula>
    </cfRule>
  </conditionalFormatting>
  <conditionalFormatting sqref="B235:B236">
    <cfRule type="containsText" dxfId="359" priority="340" operator="containsText" text="relation?">
      <formula>NOT(ISERROR(SEARCH("relation?",B235)))</formula>
    </cfRule>
  </conditionalFormatting>
  <conditionalFormatting sqref="D234">
    <cfRule type="containsText" dxfId="358" priority="339" operator="containsText" text="how adjudicated?">
      <formula>NOT(ISERROR(SEARCH("how adjudicated?",D234)))</formula>
    </cfRule>
  </conditionalFormatting>
  <conditionalFormatting sqref="D235">
    <cfRule type="containsText" dxfId="357" priority="338" operator="containsText" text="verdict?">
      <formula>NOT(ISERROR(SEARCH("verdict?",D235)))</formula>
    </cfRule>
  </conditionalFormatting>
  <conditionalFormatting sqref="D236">
    <cfRule type="containsText" dxfId="356" priority="337" operator="containsText" text="also claims innocence?">
      <formula>NOT(ISERROR(SEARCH("also claims innocence?",D236)))</formula>
    </cfRule>
  </conditionalFormatting>
  <conditionalFormatting sqref="B236">
    <cfRule type="containsText" dxfId="355" priority="336" operator="containsText" text="know location?">
      <formula>NOT(ISERROR(SEARCH("know location?",B236)))</formula>
    </cfRule>
  </conditionalFormatting>
  <conditionalFormatting sqref="B238:D240">
    <cfRule type="containsText" dxfId="354" priority="335" operator="containsText" text="NAME ">
      <formula>NOT(ISERROR(SEARCH("NAME ",B238)))</formula>
    </cfRule>
  </conditionalFormatting>
  <conditionalFormatting sqref="C238:D240 B239:B240">
    <cfRule type="containsText" dxfId="353" priority="332" operator="containsText" text="claims to know real culprit?">
      <formula>NOT(ISERROR(SEARCH("claims to know real culprit?",B238)))</formula>
    </cfRule>
    <cfRule type="containsText" dxfId="352" priority="333" operator="containsText" text="charged as?">
      <formula>NOT(ISERROR(SEARCH("charged as?",B238)))</formula>
    </cfRule>
    <cfRule type="containsText" dxfId="351" priority="334" operator="containsText" text="convicted as?">
      <formula>NOT(ISERROR(SEARCH("convicted as?",B238)))</formula>
    </cfRule>
  </conditionalFormatting>
  <conditionalFormatting sqref="B239:B240">
    <cfRule type="containsText" dxfId="350" priority="331" operator="containsText" text="relation?">
      <formula>NOT(ISERROR(SEARCH("relation?",B239)))</formula>
    </cfRule>
  </conditionalFormatting>
  <conditionalFormatting sqref="D238">
    <cfRule type="containsText" dxfId="349" priority="330" operator="containsText" text="how adjudicated?">
      <formula>NOT(ISERROR(SEARCH("how adjudicated?",D238)))</formula>
    </cfRule>
  </conditionalFormatting>
  <conditionalFormatting sqref="D239">
    <cfRule type="containsText" dxfId="348" priority="329" operator="containsText" text="verdict?">
      <formula>NOT(ISERROR(SEARCH("verdict?",D239)))</formula>
    </cfRule>
  </conditionalFormatting>
  <conditionalFormatting sqref="D240">
    <cfRule type="containsText" dxfId="347" priority="328" operator="containsText" text="also claims innocence?">
      <formula>NOT(ISERROR(SEARCH("also claims innocence?",D240)))</formula>
    </cfRule>
  </conditionalFormatting>
  <conditionalFormatting sqref="B240">
    <cfRule type="containsText" dxfId="346" priority="327" operator="containsText" text="know location?">
      <formula>NOT(ISERROR(SEARCH("know location?",B240)))</formula>
    </cfRule>
  </conditionalFormatting>
  <conditionalFormatting sqref="B242:D244">
    <cfRule type="containsText" dxfId="345" priority="326" operator="containsText" text="NAME ">
      <formula>NOT(ISERROR(SEARCH("NAME ",B242)))</formula>
    </cfRule>
  </conditionalFormatting>
  <conditionalFormatting sqref="C242:D244 B243:B244">
    <cfRule type="containsText" dxfId="344" priority="323" operator="containsText" text="claims to know real culprit?">
      <formula>NOT(ISERROR(SEARCH("claims to know real culprit?",B242)))</formula>
    </cfRule>
    <cfRule type="containsText" dxfId="343" priority="324" operator="containsText" text="charged as?">
      <formula>NOT(ISERROR(SEARCH("charged as?",B242)))</formula>
    </cfRule>
    <cfRule type="containsText" dxfId="342" priority="325" operator="containsText" text="convicted as?">
      <formula>NOT(ISERROR(SEARCH("convicted as?",B242)))</formula>
    </cfRule>
  </conditionalFormatting>
  <conditionalFormatting sqref="B243:B244">
    <cfRule type="containsText" dxfId="341" priority="322" operator="containsText" text="relation?">
      <formula>NOT(ISERROR(SEARCH("relation?",B243)))</formula>
    </cfRule>
  </conditionalFormatting>
  <conditionalFormatting sqref="D242">
    <cfRule type="containsText" dxfId="340" priority="321" operator="containsText" text="how adjudicated?">
      <formula>NOT(ISERROR(SEARCH("how adjudicated?",D242)))</formula>
    </cfRule>
  </conditionalFormatting>
  <conditionalFormatting sqref="D243">
    <cfRule type="containsText" dxfId="339" priority="320" operator="containsText" text="verdict?">
      <formula>NOT(ISERROR(SEARCH("verdict?",D243)))</formula>
    </cfRule>
  </conditionalFormatting>
  <conditionalFormatting sqref="D244">
    <cfRule type="containsText" dxfId="338" priority="319" operator="containsText" text="also claims innocence?">
      <formula>NOT(ISERROR(SEARCH("also claims innocence?",D244)))</formula>
    </cfRule>
  </conditionalFormatting>
  <conditionalFormatting sqref="B244">
    <cfRule type="containsText" dxfId="337" priority="318" operator="containsText" text="know location?">
      <formula>NOT(ISERROR(SEARCH("know location?",B244)))</formula>
    </cfRule>
  </conditionalFormatting>
  <conditionalFormatting sqref="B222">
    <cfRule type="containsText" dxfId="336" priority="317" operator="containsText" text="NAME ">
      <formula>NOT(ISERROR(SEARCH("NAME ",B222)))</formula>
    </cfRule>
  </conditionalFormatting>
  <conditionalFormatting sqref="C222:D223 C224">
    <cfRule type="containsText" dxfId="335" priority="316" operator="containsText" text="NAME ">
      <formula>NOT(ISERROR(SEARCH("NAME ",C222)))</formula>
    </cfRule>
  </conditionalFormatting>
  <conditionalFormatting sqref="C222:D223 C224">
    <cfRule type="containsText" dxfId="334" priority="313" operator="containsText" text="claims to know real culprit?">
      <formula>NOT(ISERROR(SEARCH("claims to know real culprit?",C222)))</formula>
    </cfRule>
    <cfRule type="containsText" dxfId="333" priority="314" operator="containsText" text="charged as?">
      <formula>NOT(ISERROR(SEARCH("charged as?",C222)))</formula>
    </cfRule>
    <cfRule type="containsText" dxfId="332" priority="315" operator="containsText" text="convicted as?">
      <formula>NOT(ISERROR(SEARCH("convicted as?",C222)))</formula>
    </cfRule>
  </conditionalFormatting>
  <conditionalFormatting sqref="D222">
    <cfRule type="containsText" dxfId="331" priority="312" operator="containsText" text="how adjudicated?">
      <formula>NOT(ISERROR(SEARCH("how adjudicated?",D222)))</formula>
    </cfRule>
  </conditionalFormatting>
  <conditionalFormatting sqref="D223">
    <cfRule type="containsText" dxfId="330" priority="311" operator="containsText" text="verdict?">
      <formula>NOT(ISERROR(SEARCH("verdict?",D223)))</formula>
    </cfRule>
  </conditionalFormatting>
  <conditionalFormatting sqref="B223:B224">
    <cfRule type="containsText" dxfId="329" priority="310" operator="containsText" text="NAME ">
      <formula>NOT(ISERROR(SEARCH("NAME ",B223)))</formula>
    </cfRule>
  </conditionalFormatting>
  <conditionalFormatting sqref="B223:B224">
    <cfRule type="containsText" dxfId="328" priority="307" operator="containsText" text="claims to know real culprit?">
      <formula>NOT(ISERROR(SEARCH("claims to know real culprit?",B223)))</formula>
    </cfRule>
    <cfRule type="containsText" dxfId="327" priority="308" operator="containsText" text="charged as?">
      <formula>NOT(ISERROR(SEARCH("charged as?",B223)))</formula>
    </cfRule>
    <cfRule type="containsText" dxfId="326" priority="309" operator="containsText" text="convicted as?">
      <formula>NOT(ISERROR(SEARCH("convicted as?",B223)))</formula>
    </cfRule>
  </conditionalFormatting>
  <conditionalFormatting sqref="B223:B224">
    <cfRule type="containsText" dxfId="325" priority="306" operator="containsText" text="relation?">
      <formula>NOT(ISERROR(SEARCH("relation?",B223)))</formula>
    </cfRule>
  </conditionalFormatting>
  <conditionalFormatting sqref="B224">
    <cfRule type="containsText" dxfId="324" priority="305" operator="containsText" text="know location?">
      <formula>NOT(ISERROR(SEARCH("know location?",B224)))</formula>
    </cfRule>
  </conditionalFormatting>
  <conditionalFormatting sqref="D196">
    <cfRule type="cellIs" dxfId="323" priority="304" operator="greaterThan">
      <formula>$AI$196</formula>
    </cfRule>
  </conditionalFormatting>
  <conditionalFormatting sqref="BG5:BH5">
    <cfRule type="cellIs" dxfId="322" priority="854" operator="equal">
      <formula>$B$1906</formula>
    </cfRule>
    <cfRule type="cellIs" dxfId="321" priority="855" operator="equal">
      <formula>$B$1905</formula>
    </cfRule>
    <cfRule type="cellIs" dxfId="320" priority="856" operator="equal">
      <formula>$B$1904</formula>
    </cfRule>
  </conditionalFormatting>
  <conditionalFormatting sqref="C926">
    <cfRule type="cellIs" dxfId="319" priority="303" operator="equal">
      <formula>AD926</formula>
    </cfRule>
  </conditionalFormatting>
  <conditionalFormatting sqref="C931">
    <cfRule type="cellIs" dxfId="318" priority="302" operator="equal">
      <formula>AD931</formula>
    </cfRule>
  </conditionalFormatting>
  <conditionalFormatting sqref="C936">
    <cfRule type="cellIs" dxfId="317" priority="301" operator="equal">
      <formula>AD936</formula>
    </cfRule>
  </conditionalFormatting>
  <conditionalFormatting sqref="C941">
    <cfRule type="cellIs" dxfId="316" priority="300" operator="equal">
      <formula>AD941</formula>
    </cfRule>
  </conditionalFormatting>
  <conditionalFormatting sqref="C946">
    <cfRule type="cellIs" dxfId="315" priority="299" operator="equal">
      <formula>AD946</formula>
    </cfRule>
  </conditionalFormatting>
  <conditionalFormatting sqref="C951">
    <cfRule type="cellIs" dxfId="314" priority="298" operator="equal">
      <formula>AD951</formula>
    </cfRule>
  </conditionalFormatting>
  <conditionalFormatting sqref="C956">
    <cfRule type="cellIs" dxfId="313" priority="297" operator="equal">
      <formula>AD956</formula>
    </cfRule>
  </conditionalFormatting>
  <conditionalFormatting sqref="C961">
    <cfRule type="cellIs" dxfId="312" priority="296" operator="equal">
      <formula>AD961</formula>
    </cfRule>
  </conditionalFormatting>
  <conditionalFormatting sqref="C966">
    <cfRule type="cellIs" dxfId="311" priority="295" operator="equal">
      <formula>AD966</formula>
    </cfRule>
  </conditionalFormatting>
  <conditionalFormatting sqref="C971">
    <cfRule type="cellIs" dxfId="310" priority="294" operator="equal">
      <formula>AD971</formula>
    </cfRule>
  </conditionalFormatting>
  <conditionalFormatting sqref="C976">
    <cfRule type="cellIs" dxfId="309" priority="293" operator="equal">
      <formula>AD976</formula>
    </cfRule>
  </conditionalFormatting>
  <conditionalFormatting sqref="C981">
    <cfRule type="cellIs" dxfId="308" priority="292" operator="equal">
      <formula>AD981</formula>
    </cfRule>
  </conditionalFormatting>
  <conditionalFormatting sqref="C986">
    <cfRule type="cellIs" dxfId="307" priority="291" operator="equal">
      <formula>AD986</formula>
    </cfRule>
  </conditionalFormatting>
  <conditionalFormatting sqref="C991">
    <cfRule type="cellIs" dxfId="306" priority="290" operator="equal">
      <formula>AD991</formula>
    </cfRule>
  </conditionalFormatting>
  <conditionalFormatting sqref="C996">
    <cfRule type="cellIs" dxfId="305" priority="289" operator="equal">
      <formula>AD996</formula>
    </cfRule>
  </conditionalFormatting>
  <conditionalFormatting sqref="C1001">
    <cfRule type="cellIs" dxfId="304" priority="288" operator="equal">
      <formula>AD1001</formula>
    </cfRule>
  </conditionalFormatting>
  <conditionalFormatting sqref="C1006">
    <cfRule type="cellIs" dxfId="303" priority="287" operator="equal">
      <formula>AD1006</formula>
    </cfRule>
  </conditionalFormatting>
  <conditionalFormatting sqref="C1011">
    <cfRule type="cellIs" dxfId="302" priority="286" operator="equal">
      <formula>AD1011</formula>
    </cfRule>
  </conditionalFormatting>
  <conditionalFormatting sqref="C1016">
    <cfRule type="cellIs" dxfId="301" priority="285" operator="equal">
      <formula>AD1016</formula>
    </cfRule>
  </conditionalFormatting>
  <conditionalFormatting sqref="C1021">
    <cfRule type="cellIs" dxfId="300" priority="284" operator="equal">
      <formula>AD1021</formula>
    </cfRule>
  </conditionalFormatting>
  <conditionalFormatting sqref="C1026">
    <cfRule type="cellIs" dxfId="299" priority="283" operator="equal">
      <formula>AD1026</formula>
    </cfRule>
  </conditionalFormatting>
  <conditionalFormatting sqref="C16">
    <cfRule type="containsText" dxfId="298" priority="282" operator="containsText" text="Highlight">
      <formula>NOT(ISERROR(SEARCH("Highlight",C16)))</formula>
    </cfRule>
  </conditionalFormatting>
  <conditionalFormatting sqref="C16">
    <cfRule type="containsText" dxfId="297" priority="281" operator="containsText" text="Hightlight">
      <formula>NOT(ISERROR(SEARCH("Hightlight",C16)))</formula>
    </cfRule>
  </conditionalFormatting>
  <conditionalFormatting sqref="B33:D33">
    <cfRule type="cellIs" dxfId="296" priority="280" operator="equal">
      <formula>$AG$33</formula>
    </cfRule>
  </conditionalFormatting>
  <conditionalFormatting sqref="B46:D46">
    <cfRule type="containsText" dxfId="295" priority="278" operator="containsText" text="being">
      <formula>NOT(ISERROR(SEARCH("being",B46)))</formula>
    </cfRule>
  </conditionalFormatting>
  <conditionalFormatting sqref="B49:D49">
    <cfRule type="containsText" dxfId="294" priority="277" operator="containsText" text="from">
      <formula>NOT(ISERROR(SEARCH("from",B49)))</formula>
    </cfRule>
  </conditionalFormatting>
  <conditionalFormatting sqref="B52:D52">
    <cfRule type="containsText" dxfId="293" priority="276" operator="containsText" text="and other">
      <formula>NOT(ISERROR(SEARCH("and other",B52)))</formula>
    </cfRule>
  </conditionalFormatting>
  <conditionalFormatting sqref="D191 D193">
    <cfRule type="cellIs" dxfId="292" priority="857" operator="equal">
      <formula>$D$1845</formula>
    </cfRule>
  </conditionalFormatting>
  <conditionalFormatting sqref="B56:D56">
    <cfRule type="containsText" dxfId="291" priority="274" operator="containsText" text="background check">
      <formula>NOT(ISERROR(SEARCH("background check",B56)))</formula>
    </cfRule>
    <cfRule type="containsText" dxfId="290" priority="275" operator="containsText" text="and other">
      <formula>NOT(ISERROR(SEARCH("and other",B56)))</formula>
    </cfRule>
  </conditionalFormatting>
  <conditionalFormatting sqref="E467">
    <cfRule type="cellIs" dxfId="289" priority="273" operator="equal">
      <formula>$B$439</formula>
    </cfRule>
  </conditionalFormatting>
  <conditionalFormatting sqref="E468">
    <cfRule type="cellIs" dxfId="288" priority="272" operator="equal">
      <formula>$B439</formula>
    </cfRule>
  </conditionalFormatting>
  <conditionalFormatting sqref="C152">
    <cfRule type="containsText" dxfId="287" priority="269" operator="containsText" text="FIRST NAME">
      <formula>NOT(ISERROR(SEARCH("FIRST NAME",C152)))</formula>
    </cfRule>
  </conditionalFormatting>
  <conditionalFormatting sqref="D152">
    <cfRule type="containsText" dxfId="286" priority="268" operator="containsText" text="LAST NAME">
      <formula>NOT(ISERROR(SEARCH("LAST NAME",D152)))</formula>
    </cfRule>
  </conditionalFormatting>
  <conditionalFormatting sqref="C7">
    <cfRule type="containsText" dxfId="285" priority="267" operator="containsText" text="FIRST NAME">
      <formula>NOT(ISERROR(SEARCH("FIRST NAME",C7)))</formula>
    </cfRule>
  </conditionalFormatting>
  <conditionalFormatting sqref="C162">
    <cfRule type="containsText" dxfId="284" priority="266" operator="containsText" text="FIRST NAME">
      <formula>NOT(ISERROR(SEARCH("FIRST NAME",C162)))</formula>
    </cfRule>
  </conditionalFormatting>
  <conditionalFormatting sqref="D162">
    <cfRule type="containsText" dxfId="283" priority="265" operator="containsText" text="LAST NAME">
      <formula>NOT(ISERROR(SEARCH("LAST NAME",D162)))</formula>
    </cfRule>
  </conditionalFormatting>
  <conditionalFormatting sqref="C10">
    <cfRule type="containsText" dxfId="282" priority="264" operator="containsText" text="FIRST NAME">
      <formula>NOT(ISERROR(SEARCH("FIRST NAME",C10)))</formula>
    </cfRule>
  </conditionalFormatting>
  <conditionalFormatting sqref="C8">
    <cfRule type="notContainsText" dxfId="281" priority="263" operator="notContains" text="@">
      <formula>ISERROR(SEARCH("@",C8))</formula>
    </cfRule>
  </conditionalFormatting>
  <conditionalFormatting sqref="C11">
    <cfRule type="notContainsText" dxfId="280" priority="262" operator="notContains" text="@">
      <formula>ISERROR(SEARCH("@",C11))</formula>
    </cfRule>
  </conditionalFormatting>
  <conditionalFormatting sqref="C1482:D1482">
    <cfRule type="cellIs" dxfId="279" priority="251" operator="equal">
      <formula>$BN$1482</formula>
    </cfRule>
  </conditionalFormatting>
  <conditionalFormatting sqref="C1492:D1492">
    <cfRule type="cellIs" dxfId="278" priority="249" operator="equal">
      <formula>$BN$1482</formula>
    </cfRule>
  </conditionalFormatting>
  <conditionalFormatting sqref="D1481">
    <cfRule type="cellIs" dxfId="277" priority="250" operator="equal">
      <formula>$AJ$1480</formula>
    </cfRule>
  </conditionalFormatting>
  <conditionalFormatting sqref="C1502:D1502">
    <cfRule type="cellIs" dxfId="276" priority="247" operator="equal">
      <formula>$BN$1482</formula>
    </cfRule>
  </conditionalFormatting>
  <conditionalFormatting sqref="D1491">
    <cfRule type="cellIs" dxfId="275" priority="248" operator="equal">
      <formula>$AJ$1480</formula>
    </cfRule>
  </conditionalFormatting>
  <conditionalFormatting sqref="D1501">
    <cfRule type="cellIs" dxfId="274" priority="246" operator="equal">
      <formula>$AJ$1480</formula>
    </cfRule>
  </conditionalFormatting>
  <conditionalFormatting sqref="C1512:D1512">
    <cfRule type="cellIs" dxfId="273" priority="245" operator="equal">
      <formula>$BN$1482</formula>
    </cfRule>
  </conditionalFormatting>
  <conditionalFormatting sqref="D1511">
    <cfRule type="cellIs" dxfId="272" priority="244" operator="equal">
      <formula>$AJ$1480</formula>
    </cfRule>
  </conditionalFormatting>
  <conditionalFormatting sqref="C1522:D1522">
    <cfRule type="cellIs" dxfId="271" priority="243" operator="equal">
      <formula>$BN$1482</formula>
    </cfRule>
  </conditionalFormatting>
  <conditionalFormatting sqref="D1521">
    <cfRule type="cellIs" dxfId="270" priority="242" operator="equal">
      <formula>$AJ$1480</formula>
    </cfRule>
  </conditionalFormatting>
  <conditionalFormatting sqref="C1532:D1532">
    <cfRule type="cellIs" dxfId="269" priority="241" operator="equal">
      <formula>$BN$1482</formula>
    </cfRule>
  </conditionalFormatting>
  <conditionalFormatting sqref="D1531">
    <cfRule type="cellIs" dxfId="268" priority="240" operator="equal">
      <formula>$AJ$1480</formula>
    </cfRule>
  </conditionalFormatting>
  <conditionalFormatting sqref="A1201">
    <cfRule type="cellIs" dxfId="267" priority="239" operator="equal">
      <formula>0</formula>
    </cfRule>
  </conditionalFormatting>
  <conditionalFormatting sqref="B445 B447 B457">
    <cfRule type="cellIs" dxfId="266" priority="859" operator="equal">
      <formula>$AK$457</formula>
    </cfRule>
    <cfRule type="cellIs" dxfId="265" priority="860" operator="equal">
      <formula>$AK$459</formula>
    </cfRule>
    <cfRule type="cellIs" dxfId="264" priority="861" operator="equal">
      <formula>$AK$458</formula>
    </cfRule>
  </conditionalFormatting>
  <conditionalFormatting sqref="B444">
    <cfRule type="containsText" dxfId="263" priority="238" operator="containsText" text="Great!">
      <formula>NOT(ISERROR(SEARCH("Great!",B444)))</formula>
    </cfRule>
  </conditionalFormatting>
  <conditionalFormatting sqref="C1201">
    <cfRule type="cellIs" dxfId="262" priority="862" operator="equal">
      <formula>$AM$1201</formula>
    </cfRule>
  </conditionalFormatting>
  <conditionalFormatting sqref="D1201">
    <cfRule type="cellIs" dxfId="261" priority="863" operator="equal">
      <formula>$AQ$1201</formula>
    </cfRule>
  </conditionalFormatting>
  <conditionalFormatting sqref="C1205">
    <cfRule type="timePeriod" dxfId="260" priority="233" timePeriod="lastWeek">
      <formula>AND(TODAY()-ROUNDDOWN(C1205,0)&gt;=(WEEKDAY(TODAY())),TODAY()-ROUNDDOWN(C1205,0)&lt;(WEEKDAY(TODAY())+7))</formula>
    </cfRule>
    <cfRule type="timePeriod" dxfId="259" priority="235" timePeriod="lastMonth">
      <formula>AND(MONTH(C1205)=MONTH(EDATE(TODAY(),0-1)),YEAR(C1205)=YEAR(EDATE(TODAY(),0-1)))</formula>
    </cfRule>
    <cfRule type="cellIs" dxfId="258" priority="237" operator="equal">
      <formula>$AM$1205</formula>
    </cfRule>
  </conditionalFormatting>
  <conditionalFormatting sqref="D1205">
    <cfRule type="timePeriod" dxfId="257" priority="232" timePeriod="lastWeek">
      <formula>AND(TODAY()-ROUNDDOWN(D1205,0)&gt;=(WEEKDAY(TODAY())),TODAY()-ROUNDDOWN(D1205,0)&lt;(WEEKDAY(TODAY())+7))</formula>
    </cfRule>
    <cfRule type="timePeriod" dxfId="256" priority="234" timePeriod="lastMonth">
      <formula>AND(MONTH(D1205)=MONTH(EDATE(TODAY(),0-1)),YEAR(D1205)=YEAR(EDATE(TODAY(),0-1)))</formula>
    </cfRule>
    <cfRule type="cellIs" dxfId="255" priority="236" operator="equal">
      <formula>$AM$1205</formula>
    </cfRule>
  </conditionalFormatting>
  <conditionalFormatting sqref="A1212:A1219 A1222:A1229 A1232:A1239 A1242:A1249 A1252:A1259 A1262:A1269 A1272:A1279 A1282:A1289 A1292:A1299 A1302:A1309 A1312:A1319 A1322:A1329 A1332:A1339 A1342:A1349 A1352:A1359 A1362:A1369 A1372:A1379 A1382:A1389 A1392:A1399 A1402:A1409 A1412:A1419 A1422:A1429">
    <cfRule type="cellIs" dxfId="254" priority="230" operator="equal">
      <formula>0</formula>
    </cfRule>
  </conditionalFormatting>
  <conditionalFormatting sqref="D1211">
    <cfRule type="cellIs" dxfId="253" priority="231" operator="equal">
      <formula>$AQ$1201</formula>
    </cfRule>
  </conditionalFormatting>
  <conditionalFormatting sqref="C1215">
    <cfRule type="timePeriod" dxfId="252" priority="225" timePeriod="lastWeek">
      <formula>AND(TODAY()-ROUNDDOWN(C1215,0)&gt;=(WEEKDAY(TODAY())),TODAY()-ROUNDDOWN(C1215,0)&lt;(WEEKDAY(TODAY())+7))</formula>
    </cfRule>
    <cfRule type="timePeriod" dxfId="251" priority="227" timePeriod="lastMonth">
      <formula>AND(MONTH(C1215)=MONTH(EDATE(TODAY(),0-1)),YEAR(C1215)=YEAR(EDATE(TODAY(),0-1)))</formula>
    </cfRule>
    <cfRule type="cellIs" dxfId="250" priority="229" operator="equal">
      <formula>$AM$1205</formula>
    </cfRule>
  </conditionalFormatting>
  <conditionalFormatting sqref="D1215">
    <cfRule type="timePeriod" dxfId="249" priority="224" timePeriod="lastWeek">
      <formula>AND(TODAY()-ROUNDDOWN(D1215,0)&gt;=(WEEKDAY(TODAY())),TODAY()-ROUNDDOWN(D1215,0)&lt;(WEEKDAY(TODAY())+7))</formula>
    </cfRule>
    <cfRule type="timePeriod" dxfId="248" priority="226" timePeriod="lastMonth">
      <formula>AND(MONTH(D1215)=MONTH(EDATE(TODAY(),0-1)),YEAR(D1215)=YEAR(EDATE(TODAY(),0-1)))</formula>
    </cfRule>
    <cfRule type="cellIs" dxfId="247" priority="228" operator="equal">
      <formula>$AM$1205</formula>
    </cfRule>
  </conditionalFormatting>
  <conditionalFormatting sqref="C1221">
    <cfRule type="cellIs" dxfId="246" priority="222" operator="equal">
      <formula>$AM$1201</formula>
    </cfRule>
  </conditionalFormatting>
  <conditionalFormatting sqref="D1221">
    <cfRule type="cellIs" dxfId="245" priority="223" operator="equal">
      <formula>$AQ$1201</formula>
    </cfRule>
  </conditionalFormatting>
  <conditionalFormatting sqref="C1225">
    <cfRule type="timePeriod" dxfId="244" priority="217" timePeriod="lastWeek">
      <formula>AND(TODAY()-ROUNDDOWN(C1225,0)&gt;=(WEEKDAY(TODAY())),TODAY()-ROUNDDOWN(C1225,0)&lt;(WEEKDAY(TODAY())+7))</formula>
    </cfRule>
    <cfRule type="timePeriod" dxfId="243" priority="219" timePeriod="lastMonth">
      <formula>AND(MONTH(C1225)=MONTH(EDATE(TODAY(),0-1)),YEAR(C1225)=YEAR(EDATE(TODAY(),0-1)))</formula>
    </cfRule>
    <cfRule type="cellIs" dxfId="242" priority="221" operator="equal">
      <formula>$AM$1205</formula>
    </cfRule>
  </conditionalFormatting>
  <conditionalFormatting sqref="D1225">
    <cfRule type="timePeriod" dxfId="241" priority="216" timePeriod="lastWeek">
      <formula>AND(TODAY()-ROUNDDOWN(D1225,0)&gt;=(WEEKDAY(TODAY())),TODAY()-ROUNDDOWN(D1225,0)&lt;(WEEKDAY(TODAY())+7))</formula>
    </cfRule>
    <cfRule type="timePeriod" dxfId="240" priority="218" timePeriod="lastMonth">
      <formula>AND(MONTH(D1225)=MONTH(EDATE(TODAY(),0-1)),YEAR(D1225)=YEAR(EDATE(TODAY(),0-1)))</formula>
    </cfRule>
    <cfRule type="cellIs" dxfId="239" priority="220" operator="equal">
      <formula>$AM$1205</formula>
    </cfRule>
  </conditionalFormatting>
  <conditionalFormatting sqref="C1231">
    <cfRule type="cellIs" dxfId="238" priority="214" operator="equal">
      <formula>$AM$1201</formula>
    </cfRule>
  </conditionalFormatting>
  <conditionalFormatting sqref="D1231">
    <cfRule type="cellIs" dxfId="237" priority="215" operator="equal">
      <formula>$AQ$1201</formula>
    </cfRule>
  </conditionalFormatting>
  <conditionalFormatting sqref="C1235">
    <cfRule type="timePeriod" dxfId="236" priority="209" timePeriod="lastWeek">
      <formula>AND(TODAY()-ROUNDDOWN(C1235,0)&gt;=(WEEKDAY(TODAY())),TODAY()-ROUNDDOWN(C1235,0)&lt;(WEEKDAY(TODAY())+7))</formula>
    </cfRule>
    <cfRule type="timePeriod" dxfId="235" priority="211" timePeriod="lastMonth">
      <formula>AND(MONTH(C1235)=MONTH(EDATE(TODAY(),0-1)),YEAR(C1235)=YEAR(EDATE(TODAY(),0-1)))</formula>
    </cfRule>
    <cfRule type="cellIs" dxfId="234" priority="213" operator="equal">
      <formula>$AM$1205</formula>
    </cfRule>
  </conditionalFormatting>
  <conditionalFormatting sqref="D1235">
    <cfRule type="timePeriod" dxfId="233" priority="208" timePeriod="lastWeek">
      <formula>AND(TODAY()-ROUNDDOWN(D1235,0)&gt;=(WEEKDAY(TODAY())),TODAY()-ROUNDDOWN(D1235,0)&lt;(WEEKDAY(TODAY())+7))</formula>
    </cfRule>
    <cfRule type="timePeriod" dxfId="232" priority="210" timePeriod="lastMonth">
      <formula>AND(MONTH(D1235)=MONTH(EDATE(TODAY(),0-1)),YEAR(D1235)=YEAR(EDATE(TODAY(),0-1)))</formula>
    </cfRule>
    <cfRule type="cellIs" dxfId="231" priority="212" operator="equal">
      <formula>$AM$1205</formula>
    </cfRule>
  </conditionalFormatting>
  <conditionalFormatting sqref="C1241">
    <cfRule type="cellIs" dxfId="230" priority="206" operator="equal">
      <formula>$AM$1201</formula>
    </cfRule>
  </conditionalFormatting>
  <conditionalFormatting sqref="D1241">
    <cfRule type="cellIs" dxfId="229" priority="207" operator="equal">
      <formula>$AQ$1201</formula>
    </cfRule>
  </conditionalFormatting>
  <conditionalFormatting sqref="C1245">
    <cfRule type="timePeriod" dxfId="228" priority="201" timePeriod="lastWeek">
      <formula>AND(TODAY()-ROUNDDOWN(C1245,0)&gt;=(WEEKDAY(TODAY())),TODAY()-ROUNDDOWN(C1245,0)&lt;(WEEKDAY(TODAY())+7))</formula>
    </cfRule>
    <cfRule type="timePeriod" dxfId="227" priority="203" timePeriod="lastMonth">
      <formula>AND(MONTH(C1245)=MONTH(EDATE(TODAY(),0-1)),YEAR(C1245)=YEAR(EDATE(TODAY(),0-1)))</formula>
    </cfRule>
    <cfRule type="cellIs" dxfId="226" priority="205" operator="equal">
      <formula>$AM$1205</formula>
    </cfRule>
  </conditionalFormatting>
  <conditionalFormatting sqref="D1245">
    <cfRule type="timePeriod" dxfId="225" priority="200" timePeriod="lastWeek">
      <formula>AND(TODAY()-ROUNDDOWN(D1245,0)&gt;=(WEEKDAY(TODAY())),TODAY()-ROUNDDOWN(D1245,0)&lt;(WEEKDAY(TODAY())+7))</formula>
    </cfRule>
    <cfRule type="timePeriod" dxfId="224" priority="202" timePeriod="lastMonth">
      <formula>AND(MONTH(D1245)=MONTH(EDATE(TODAY(),0-1)),YEAR(D1245)=YEAR(EDATE(TODAY(),0-1)))</formula>
    </cfRule>
    <cfRule type="cellIs" dxfId="223" priority="204" operator="equal">
      <formula>$AM$1205</formula>
    </cfRule>
  </conditionalFormatting>
  <conditionalFormatting sqref="A1209">
    <cfRule type="cellIs" dxfId="222" priority="199" operator="equal">
      <formula>0</formula>
    </cfRule>
  </conditionalFormatting>
  <conditionalFormatting sqref="C1251">
    <cfRule type="cellIs" dxfId="221" priority="197" operator="equal">
      <formula>$AM$1201</formula>
    </cfRule>
  </conditionalFormatting>
  <conditionalFormatting sqref="D1251">
    <cfRule type="cellIs" dxfId="220" priority="198" operator="equal">
      <formula>$AQ$1201</formula>
    </cfRule>
  </conditionalFormatting>
  <conditionalFormatting sqref="C1255">
    <cfRule type="timePeriod" dxfId="219" priority="192" timePeriod="lastWeek">
      <formula>AND(TODAY()-ROUNDDOWN(C1255,0)&gt;=(WEEKDAY(TODAY())),TODAY()-ROUNDDOWN(C1255,0)&lt;(WEEKDAY(TODAY())+7))</formula>
    </cfRule>
    <cfRule type="timePeriod" dxfId="218" priority="194" timePeriod="lastMonth">
      <formula>AND(MONTH(C1255)=MONTH(EDATE(TODAY(),0-1)),YEAR(C1255)=YEAR(EDATE(TODAY(),0-1)))</formula>
    </cfRule>
    <cfRule type="cellIs" dxfId="217" priority="196" operator="equal">
      <formula>$AM$1205</formula>
    </cfRule>
  </conditionalFormatting>
  <conditionalFormatting sqref="D1255">
    <cfRule type="timePeriod" dxfId="216" priority="191" timePeriod="lastWeek">
      <formula>AND(TODAY()-ROUNDDOWN(D1255,0)&gt;=(WEEKDAY(TODAY())),TODAY()-ROUNDDOWN(D1255,0)&lt;(WEEKDAY(TODAY())+7))</formula>
    </cfRule>
    <cfRule type="timePeriod" dxfId="215" priority="193" timePeriod="lastMonth">
      <formula>AND(MONTH(D1255)=MONTH(EDATE(TODAY(),0-1)),YEAR(D1255)=YEAR(EDATE(TODAY(),0-1)))</formula>
    </cfRule>
    <cfRule type="cellIs" dxfId="214" priority="195" operator="equal">
      <formula>$AM$1205</formula>
    </cfRule>
  </conditionalFormatting>
  <conditionalFormatting sqref="C1261">
    <cfRule type="cellIs" dxfId="213" priority="189" operator="equal">
      <formula>$AM$1201</formula>
    </cfRule>
  </conditionalFormatting>
  <conditionalFormatting sqref="D1261">
    <cfRule type="cellIs" dxfId="212" priority="190" operator="equal">
      <formula>$AQ$1201</formula>
    </cfRule>
  </conditionalFormatting>
  <conditionalFormatting sqref="C1265">
    <cfRule type="timePeriod" dxfId="211" priority="184" timePeriod="lastWeek">
      <formula>AND(TODAY()-ROUNDDOWN(C1265,0)&gt;=(WEEKDAY(TODAY())),TODAY()-ROUNDDOWN(C1265,0)&lt;(WEEKDAY(TODAY())+7))</formula>
    </cfRule>
    <cfRule type="timePeriod" dxfId="210" priority="186" timePeriod="lastMonth">
      <formula>AND(MONTH(C1265)=MONTH(EDATE(TODAY(),0-1)),YEAR(C1265)=YEAR(EDATE(TODAY(),0-1)))</formula>
    </cfRule>
    <cfRule type="cellIs" dxfId="209" priority="188" operator="equal">
      <formula>$AM$1205</formula>
    </cfRule>
  </conditionalFormatting>
  <conditionalFormatting sqref="D1265">
    <cfRule type="timePeriod" dxfId="208" priority="183" timePeriod="lastWeek">
      <formula>AND(TODAY()-ROUNDDOWN(D1265,0)&gt;=(WEEKDAY(TODAY())),TODAY()-ROUNDDOWN(D1265,0)&lt;(WEEKDAY(TODAY())+7))</formula>
    </cfRule>
    <cfRule type="timePeriod" dxfId="207" priority="185" timePeriod="lastMonth">
      <formula>AND(MONTH(D1265)=MONTH(EDATE(TODAY(),0-1)),YEAR(D1265)=YEAR(EDATE(TODAY(),0-1)))</formula>
    </cfRule>
    <cfRule type="cellIs" dxfId="206" priority="187" operator="equal">
      <formula>$AM$1205</formula>
    </cfRule>
  </conditionalFormatting>
  <conditionalFormatting sqref="C1271">
    <cfRule type="cellIs" dxfId="205" priority="181" operator="equal">
      <formula>$AM$1201</formula>
    </cfRule>
  </conditionalFormatting>
  <conditionalFormatting sqref="D1271">
    <cfRule type="cellIs" dxfId="204" priority="182" operator="equal">
      <formula>$AQ$1201</formula>
    </cfRule>
  </conditionalFormatting>
  <conditionalFormatting sqref="C1275">
    <cfRule type="timePeriod" dxfId="203" priority="176" timePeriod="lastWeek">
      <formula>AND(TODAY()-ROUNDDOWN(C1275,0)&gt;=(WEEKDAY(TODAY())),TODAY()-ROUNDDOWN(C1275,0)&lt;(WEEKDAY(TODAY())+7))</formula>
    </cfRule>
    <cfRule type="timePeriod" dxfId="202" priority="178" timePeriod="lastMonth">
      <formula>AND(MONTH(C1275)=MONTH(EDATE(TODAY(),0-1)),YEAR(C1275)=YEAR(EDATE(TODAY(),0-1)))</formula>
    </cfRule>
    <cfRule type="cellIs" dxfId="201" priority="180" operator="equal">
      <formula>$AM$1205</formula>
    </cfRule>
  </conditionalFormatting>
  <conditionalFormatting sqref="D1275">
    <cfRule type="timePeriod" dxfId="200" priority="175" timePeriod="lastWeek">
      <formula>AND(TODAY()-ROUNDDOWN(D1275,0)&gt;=(WEEKDAY(TODAY())),TODAY()-ROUNDDOWN(D1275,0)&lt;(WEEKDAY(TODAY())+7))</formula>
    </cfRule>
    <cfRule type="timePeriod" dxfId="199" priority="177" timePeriod="lastMonth">
      <formula>AND(MONTH(D1275)=MONTH(EDATE(TODAY(),0-1)),YEAR(D1275)=YEAR(EDATE(TODAY(),0-1)))</formula>
    </cfRule>
    <cfRule type="cellIs" dxfId="198" priority="179" operator="equal">
      <formula>$AM$1205</formula>
    </cfRule>
  </conditionalFormatting>
  <conditionalFormatting sqref="C1281">
    <cfRule type="cellIs" dxfId="197" priority="173" operator="equal">
      <formula>$AM$1201</formula>
    </cfRule>
  </conditionalFormatting>
  <conditionalFormatting sqref="D1281">
    <cfRule type="cellIs" dxfId="196" priority="174" operator="equal">
      <formula>$AQ$1201</formula>
    </cfRule>
  </conditionalFormatting>
  <conditionalFormatting sqref="C1285">
    <cfRule type="timePeriod" dxfId="195" priority="168" timePeriod="lastWeek">
      <formula>AND(TODAY()-ROUNDDOWN(C1285,0)&gt;=(WEEKDAY(TODAY())),TODAY()-ROUNDDOWN(C1285,0)&lt;(WEEKDAY(TODAY())+7))</formula>
    </cfRule>
    <cfRule type="timePeriod" dxfId="194" priority="170" timePeriod="lastMonth">
      <formula>AND(MONTH(C1285)=MONTH(EDATE(TODAY(),0-1)),YEAR(C1285)=YEAR(EDATE(TODAY(),0-1)))</formula>
    </cfRule>
    <cfRule type="cellIs" dxfId="193" priority="172" operator="equal">
      <formula>$AM$1205</formula>
    </cfRule>
  </conditionalFormatting>
  <conditionalFormatting sqref="D1285">
    <cfRule type="timePeriod" dxfId="192" priority="167" timePeriod="lastWeek">
      <formula>AND(TODAY()-ROUNDDOWN(D1285,0)&gt;=(WEEKDAY(TODAY())),TODAY()-ROUNDDOWN(D1285,0)&lt;(WEEKDAY(TODAY())+7))</formula>
    </cfRule>
    <cfRule type="timePeriod" dxfId="191" priority="169" timePeriod="lastMonth">
      <formula>AND(MONTH(D1285)=MONTH(EDATE(TODAY(),0-1)),YEAR(D1285)=YEAR(EDATE(TODAY(),0-1)))</formula>
    </cfRule>
    <cfRule type="cellIs" dxfId="190" priority="171" operator="equal">
      <formula>$AM$1205</formula>
    </cfRule>
  </conditionalFormatting>
  <conditionalFormatting sqref="C1291">
    <cfRule type="cellIs" dxfId="189" priority="165" operator="equal">
      <formula>$AM$1201</formula>
    </cfRule>
  </conditionalFormatting>
  <conditionalFormatting sqref="D1291">
    <cfRule type="cellIs" dxfId="188" priority="166" operator="equal">
      <formula>$AQ$1201</formula>
    </cfRule>
  </conditionalFormatting>
  <conditionalFormatting sqref="C1295">
    <cfRule type="timePeriod" dxfId="187" priority="160" timePeriod="lastWeek">
      <formula>AND(TODAY()-ROUNDDOWN(C1295,0)&gt;=(WEEKDAY(TODAY())),TODAY()-ROUNDDOWN(C1295,0)&lt;(WEEKDAY(TODAY())+7))</formula>
    </cfRule>
    <cfRule type="timePeriod" dxfId="186" priority="162" timePeriod="lastMonth">
      <formula>AND(MONTH(C1295)=MONTH(EDATE(TODAY(),0-1)),YEAR(C1295)=YEAR(EDATE(TODAY(),0-1)))</formula>
    </cfRule>
    <cfRule type="cellIs" dxfId="185" priority="164" operator="equal">
      <formula>$AM$1205</formula>
    </cfRule>
  </conditionalFormatting>
  <conditionalFormatting sqref="D1295">
    <cfRule type="timePeriod" dxfId="184" priority="159" timePeriod="lastWeek">
      <formula>AND(TODAY()-ROUNDDOWN(D1295,0)&gt;=(WEEKDAY(TODAY())),TODAY()-ROUNDDOWN(D1295,0)&lt;(WEEKDAY(TODAY())+7))</formula>
    </cfRule>
    <cfRule type="timePeriod" dxfId="183" priority="161" timePeriod="lastMonth">
      <formula>AND(MONTH(D1295)=MONTH(EDATE(TODAY(),0-1)),YEAR(D1295)=YEAR(EDATE(TODAY(),0-1)))</formula>
    </cfRule>
    <cfRule type="cellIs" dxfId="182" priority="163" operator="equal">
      <formula>$AM$1205</formula>
    </cfRule>
  </conditionalFormatting>
  <conditionalFormatting sqref="C1301">
    <cfRule type="cellIs" dxfId="181" priority="157" operator="equal">
      <formula>$AM$1201</formula>
    </cfRule>
  </conditionalFormatting>
  <conditionalFormatting sqref="D1301">
    <cfRule type="cellIs" dxfId="180" priority="158" operator="equal">
      <formula>$AQ$1201</formula>
    </cfRule>
  </conditionalFormatting>
  <conditionalFormatting sqref="C1305">
    <cfRule type="timePeriod" dxfId="179" priority="152" timePeriod="lastWeek">
      <formula>AND(TODAY()-ROUNDDOWN(C1305,0)&gt;=(WEEKDAY(TODAY())),TODAY()-ROUNDDOWN(C1305,0)&lt;(WEEKDAY(TODAY())+7))</formula>
    </cfRule>
    <cfRule type="timePeriod" dxfId="178" priority="154" timePeriod="lastMonth">
      <formula>AND(MONTH(C1305)=MONTH(EDATE(TODAY(),0-1)),YEAR(C1305)=YEAR(EDATE(TODAY(),0-1)))</formula>
    </cfRule>
    <cfRule type="cellIs" dxfId="177" priority="156" operator="equal">
      <formula>$AM$1205</formula>
    </cfRule>
  </conditionalFormatting>
  <conditionalFormatting sqref="D1305">
    <cfRule type="timePeriod" dxfId="176" priority="151" timePeriod="lastWeek">
      <formula>AND(TODAY()-ROUNDDOWN(D1305,0)&gt;=(WEEKDAY(TODAY())),TODAY()-ROUNDDOWN(D1305,0)&lt;(WEEKDAY(TODAY())+7))</formula>
    </cfRule>
    <cfRule type="timePeriod" dxfId="175" priority="153" timePeriod="lastMonth">
      <formula>AND(MONTH(D1305)=MONTH(EDATE(TODAY(),0-1)),YEAR(D1305)=YEAR(EDATE(TODAY(),0-1)))</formula>
    </cfRule>
    <cfRule type="cellIs" dxfId="174" priority="155" operator="equal">
      <formula>$AM$1205</formula>
    </cfRule>
  </conditionalFormatting>
  <conditionalFormatting sqref="C1311">
    <cfRule type="cellIs" dxfId="173" priority="149" operator="equal">
      <formula>$AM$1201</formula>
    </cfRule>
  </conditionalFormatting>
  <conditionalFormatting sqref="D1311">
    <cfRule type="cellIs" dxfId="172" priority="150" operator="equal">
      <formula>$AQ$1201</formula>
    </cfRule>
  </conditionalFormatting>
  <conditionalFormatting sqref="C1315">
    <cfRule type="timePeriod" dxfId="171" priority="144" timePeriod="lastWeek">
      <formula>AND(TODAY()-ROUNDDOWN(C1315,0)&gt;=(WEEKDAY(TODAY())),TODAY()-ROUNDDOWN(C1315,0)&lt;(WEEKDAY(TODAY())+7))</formula>
    </cfRule>
    <cfRule type="timePeriod" dxfId="170" priority="146" timePeriod="lastMonth">
      <formula>AND(MONTH(C1315)=MONTH(EDATE(TODAY(),0-1)),YEAR(C1315)=YEAR(EDATE(TODAY(),0-1)))</formula>
    </cfRule>
    <cfRule type="cellIs" dxfId="169" priority="148" operator="equal">
      <formula>$AM$1205</formula>
    </cfRule>
  </conditionalFormatting>
  <conditionalFormatting sqref="D1315">
    <cfRule type="timePeriod" dxfId="168" priority="143" timePeriod="lastWeek">
      <formula>AND(TODAY()-ROUNDDOWN(D1315,0)&gt;=(WEEKDAY(TODAY())),TODAY()-ROUNDDOWN(D1315,0)&lt;(WEEKDAY(TODAY())+7))</formula>
    </cfRule>
    <cfRule type="timePeriod" dxfId="167" priority="145" timePeriod="lastMonth">
      <formula>AND(MONTH(D1315)=MONTH(EDATE(TODAY(),0-1)),YEAR(D1315)=YEAR(EDATE(TODAY(),0-1)))</formula>
    </cfRule>
    <cfRule type="cellIs" dxfId="166" priority="147" operator="equal">
      <formula>$AM$1205</formula>
    </cfRule>
  </conditionalFormatting>
  <conditionalFormatting sqref="C1321">
    <cfRule type="cellIs" dxfId="165" priority="141" operator="equal">
      <formula>$AM$1201</formula>
    </cfRule>
  </conditionalFormatting>
  <conditionalFormatting sqref="D1321">
    <cfRule type="cellIs" dxfId="164" priority="142" operator="equal">
      <formula>$AQ$1201</formula>
    </cfRule>
  </conditionalFormatting>
  <conditionalFormatting sqref="C1325">
    <cfRule type="timePeriod" dxfId="163" priority="136" timePeriod="lastWeek">
      <formula>AND(TODAY()-ROUNDDOWN(C1325,0)&gt;=(WEEKDAY(TODAY())),TODAY()-ROUNDDOWN(C1325,0)&lt;(WEEKDAY(TODAY())+7))</formula>
    </cfRule>
    <cfRule type="timePeriod" dxfId="162" priority="138" timePeriod="lastMonth">
      <formula>AND(MONTH(C1325)=MONTH(EDATE(TODAY(),0-1)),YEAR(C1325)=YEAR(EDATE(TODAY(),0-1)))</formula>
    </cfRule>
    <cfRule type="cellIs" dxfId="161" priority="140" operator="equal">
      <formula>$AM$1205</formula>
    </cfRule>
  </conditionalFormatting>
  <conditionalFormatting sqref="D1325">
    <cfRule type="timePeriod" dxfId="160" priority="135" timePeriod="lastWeek">
      <formula>AND(TODAY()-ROUNDDOWN(D1325,0)&gt;=(WEEKDAY(TODAY())),TODAY()-ROUNDDOWN(D1325,0)&lt;(WEEKDAY(TODAY())+7))</formula>
    </cfRule>
    <cfRule type="timePeriod" dxfId="159" priority="137" timePeriod="lastMonth">
      <formula>AND(MONTH(D1325)=MONTH(EDATE(TODAY(),0-1)),YEAR(D1325)=YEAR(EDATE(TODAY(),0-1)))</formula>
    </cfRule>
    <cfRule type="cellIs" dxfId="158" priority="139" operator="equal">
      <formula>$AM$1205</formula>
    </cfRule>
  </conditionalFormatting>
  <conditionalFormatting sqref="C1331">
    <cfRule type="cellIs" dxfId="157" priority="133" operator="equal">
      <formula>$AM$1201</formula>
    </cfRule>
  </conditionalFormatting>
  <conditionalFormatting sqref="D1331">
    <cfRule type="cellIs" dxfId="156" priority="134" operator="equal">
      <formula>$AQ$1201</formula>
    </cfRule>
  </conditionalFormatting>
  <conditionalFormatting sqref="C1335">
    <cfRule type="timePeriod" dxfId="155" priority="128" timePeriod="lastWeek">
      <formula>AND(TODAY()-ROUNDDOWN(C1335,0)&gt;=(WEEKDAY(TODAY())),TODAY()-ROUNDDOWN(C1335,0)&lt;(WEEKDAY(TODAY())+7))</formula>
    </cfRule>
    <cfRule type="timePeriod" dxfId="154" priority="130" timePeriod="lastMonth">
      <formula>AND(MONTH(C1335)=MONTH(EDATE(TODAY(),0-1)),YEAR(C1335)=YEAR(EDATE(TODAY(),0-1)))</formula>
    </cfRule>
    <cfRule type="cellIs" dxfId="153" priority="132" operator="equal">
      <formula>$AM$1205</formula>
    </cfRule>
  </conditionalFormatting>
  <conditionalFormatting sqref="D1335">
    <cfRule type="timePeriod" dxfId="152" priority="127" timePeriod="lastWeek">
      <formula>AND(TODAY()-ROUNDDOWN(D1335,0)&gt;=(WEEKDAY(TODAY())),TODAY()-ROUNDDOWN(D1335,0)&lt;(WEEKDAY(TODAY())+7))</formula>
    </cfRule>
    <cfRule type="timePeriod" dxfId="151" priority="129" timePeriod="lastMonth">
      <formula>AND(MONTH(D1335)=MONTH(EDATE(TODAY(),0-1)),YEAR(D1335)=YEAR(EDATE(TODAY(),0-1)))</formula>
    </cfRule>
    <cfRule type="cellIs" dxfId="150" priority="131" operator="equal">
      <formula>$AM$1205</formula>
    </cfRule>
  </conditionalFormatting>
  <conditionalFormatting sqref="C1341">
    <cfRule type="cellIs" dxfId="149" priority="125" operator="equal">
      <formula>$AM$1201</formula>
    </cfRule>
  </conditionalFormatting>
  <conditionalFormatting sqref="D1341">
    <cfRule type="cellIs" dxfId="148" priority="126" operator="equal">
      <formula>$AQ$1201</formula>
    </cfRule>
  </conditionalFormatting>
  <conditionalFormatting sqref="C1345">
    <cfRule type="timePeriod" dxfId="147" priority="120" timePeriod="lastWeek">
      <formula>AND(TODAY()-ROUNDDOWN(C1345,0)&gt;=(WEEKDAY(TODAY())),TODAY()-ROUNDDOWN(C1345,0)&lt;(WEEKDAY(TODAY())+7))</formula>
    </cfRule>
    <cfRule type="timePeriod" dxfId="146" priority="122" timePeriod="lastMonth">
      <formula>AND(MONTH(C1345)=MONTH(EDATE(TODAY(),0-1)),YEAR(C1345)=YEAR(EDATE(TODAY(),0-1)))</formula>
    </cfRule>
    <cfRule type="cellIs" dxfId="145" priority="124" operator="equal">
      <formula>$AM$1205</formula>
    </cfRule>
  </conditionalFormatting>
  <conditionalFormatting sqref="D1345">
    <cfRule type="timePeriod" dxfId="144" priority="119" timePeriod="lastWeek">
      <formula>AND(TODAY()-ROUNDDOWN(D1345,0)&gt;=(WEEKDAY(TODAY())),TODAY()-ROUNDDOWN(D1345,0)&lt;(WEEKDAY(TODAY())+7))</formula>
    </cfRule>
    <cfRule type="timePeriod" dxfId="143" priority="121" timePeriod="lastMonth">
      <formula>AND(MONTH(D1345)=MONTH(EDATE(TODAY(),0-1)),YEAR(D1345)=YEAR(EDATE(TODAY(),0-1)))</formula>
    </cfRule>
    <cfRule type="cellIs" dxfId="142" priority="123" operator="equal">
      <formula>$AM$1205</formula>
    </cfRule>
  </conditionalFormatting>
  <conditionalFormatting sqref="C1351">
    <cfRule type="cellIs" dxfId="141" priority="117" operator="equal">
      <formula>$AM$1201</formula>
    </cfRule>
  </conditionalFormatting>
  <conditionalFormatting sqref="D1351">
    <cfRule type="cellIs" dxfId="140" priority="118" operator="equal">
      <formula>$AQ$1201</formula>
    </cfRule>
  </conditionalFormatting>
  <conditionalFormatting sqref="C1355">
    <cfRule type="timePeriod" dxfId="139" priority="112" timePeriod="lastWeek">
      <formula>AND(TODAY()-ROUNDDOWN(C1355,0)&gt;=(WEEKDAY(TODAY())),TODAY()-ROUNDDOWN(C1355,0)&lt;(WEEKDAY(TODAY())+7))</formula>
    </cfRule>
    <cfRule type="timePeriod" dxfId="138" priority="114" timePeriod="lastMonth">
      <formula>AND(MONTH(C1355)=MONTH(EDATE(TODAY(),0-1)),YEAR(C1355)=YEAR(EDATE(TODAY(),0-1)))</formula>
    </cfRule>
    <cfRule type="cellIs" dxfId="137" priority="116" operator="equal">
      <formula>$AM$1205</formula>
    </cfRule>
  </conditionalFormatting>
  <conditionalFormatting sqref="D1355">
    <cfRule type="timePeriod" dxfId="136" priority="111" timePeriod="lastWeek">
      <formula>AND(TODAY()-ROUNDDOWN(D1355,0)&gt;=(WEEKDAY(TODAY())),TODAY()-ROUNDDOWN(D1355,0)&lt;(WEEKDAY(TODAY())+7))</formula>
    </cfRule>
    <cfRule type="timePeriod" dxfId="135" priority="113" timePeriod="lastMonth">
      <formula>AND(MONTH(D1355)=MONTH(EDATE(TODAY(),0-1)),YEAR(D1355)=YEAR(EDATE(TODAY(),0-1)))</formula>
    </cfRule>
    <cfRule type="cellIs" dxfId="134" priority="115" operator="equal">
      <formula>$AM$1205</formula>
    </cfRule>
  </conditionalFormatting>
  <conditionalFormatting sqref="C1361">
    <cfRule type="cellIs" dxfId="133" priority="109" operator="equal">
      <formula>$AM$1201</formula>
    </cfRule>
  </conditionalFormatting>
  <conditionalFormatting sqref="D1361">
    <cfRule type="cellIs" dxfId="132" priority="110" operator="equal">
      <formula>$AQ$1201</formula>
    </cfRule>
  </conditionalFormatting>
  <conditionalFormatting sqref="C1365">
    <cfRule type="timePeriod" dxfId="131" priority="104" timePeriod="lastWeek">
      <formula>AND(TODAY()-ROUNDDOWN(C1365,0)&gt;=(WEEKDAY(TODAY())),TODAY()-ROUNDDOWN(C1365,0)&lt;(WEEKDAY(TODAY())+7))</formula>
    </cfRule>
    <cfRule type="timePeriod" dxfId="130" priority="106" timePeriod="lastMonth">
      <formula>AND(MONTH(C1365)=MONTH(EDATE(TODAY(),0-1)),YEAR(C1365)=YEAR(EDATE(TODAY(),0-1)))</formula>
    </cfRule>
    <cfRule type="cellIs" dxfId="129" priority="108" operator="equal">
      <formula>$AM$1205</formula>
    </cfRule>
  </conditionalFormatting>
  <conditionalFormatting sqref="D1365">
    <cfRule type="timePeriod" dxfId="128" priority="103" timePeriod="lastWeek">
      <formula>AND(TODAY()-ROUNDDOWN(D1365,0)&gt;=(WEEKDAY(TODAY())),TODAY()-ROUNDDOWN(D1365,0)&lt;(WEEKDAY(TODAY())+7))</formula>
    </cfRule>
    <cfRule type="timePeriod" dxfId="127" priority="105" timePeriod="lastMonth">
      <formula>AND(MONTH(D1365)=MONTH(EDATE(TODAY(),0-1)),YEAR(D1365)=YEAR(EDATE(TODAY(),0-1)))</formula>
    </cfRule>
    <cfRule type="cellIs" dxfId="126" priority="107" operator="equal">
      <formula>$AM$1205</formula>
    </cfRule>
  </conditionalFormatting>
  <conditionalFormatting sqref="C1371">
    <cfRule type="cellIs" dxfId="125" priority="101" operator="equal">
      <formula>$AM$1201</formula>
    </cfRule>
  </conditionalFormatting>
  <conditionalFormatting sqref="D1371">
    <cfRule type="cellIs" dxfId="124" priority="102" operator="equal">
      <formula>$AQ$1201</formula>
    </cfRule>
  </conditionalFormatting>
  <conditionalFormatting sqref="C1375">
    <cfRule type="timePeriod" dxfId="123" priority="96" timePeriod="lastWeek">
      <formula>AND(TODAY()-ROUNDDOWN(C1375,0)&gt;=(WEEKDAY(TODAY())),TODAY()-ROUNDDOWN(C1375,0)&lt;(WEEKDAY(TODAY())+7))</formula>
    </cfRule>
    <cfRule type="timePeriod" dxfId="122" priority="98" timePeriod="lastMonth">
      <formula>AND(MONTH(C1375)=MONTH(EDATE(TODAY(),0-1)),YEAR(C1375)=YEAR(EDATE(TODAY(),0-1)))</formula>
    </cfRule>
    <cfRule type="cellIs" dxfId="121" priority="100" operator="equal">
      <formula>$AM$1205</formula>
    </cfRule>
  </conditionalFormatting>
  <conditionalFormatting sqref="D1375">
    <cfRule type="timePeriod" dxfId="120" priority="95" timePeriod="lastWeek">
      <formula>AND(TODAY()-ROUNDDOWN(D1375,0)&gt;=(WEEKDAY(TODAY())),TODAY()-ROUNDDOWN(D1375,0)&lt;(WEEKDAY(TODAY())+7))</formula>
    </cfRule>
    <cfRule type="timePeriod" dxfId="119" priority="97" timePeriod="lastMonth">
      <formula>AND(MONTH(D1375)=MONTH(EDATE(TODAY(),0-1)),YEAR(D1375)=YEAR(EDATE(TODAY(),0-1)))</formula>
    </cfRule>
    <cfRule type="cellIs" dxfId="118" priority="99" operator="equal">
      <formula>$AM$1205</formula>
    </cfRule>
  </conditionalFormatting>
  <conditionalFormatting sqref="C1381">
    <cfRule type="cellIs" dxfId="117" priority="93" operator="equal">
      <formula>$AM$1201</formula>
    </cfRule>
  </conditionalFormatting>
  <conditionalFormatting sqref="D1381">
    <cfRule type="cellIs" dxfId="116" priority="94" operator="equal">
      <formula>$AQ$1201</formula>
    </cfRule>
  </conditionalFormatting>
  <conditionalFormatting sqref="C1385">
    <cfRule type="timePeriod" dxfId="115" priority="88" timePeriod="lastWeek">
      <formula>AND(TODAY()-ROUNDDOWN(C1385,0)&gt;=(WEEKDAY(TODAY())),TODAY()-ROUNDDOWN(C1385,0)&lt;(WEEKDAY(TODAY())+7))</formula>
    </cfRule>
    <cfRule type="timePeriod" dxfId="114" priority="90" timePeriod="lastMonth">
      <formula>AND(MONTH(C1385)=MONTH(EDATE(TODAY(),0-1)),YEAR(C1385)=YEAR(EDATE(TODAY(),0-1)))</formula>
    </cfRule>
    <cfRule type="cellIs" dxfId="113" priority="92" operator="equal">
      <formula>$AM$1205</formula>
    </cfRule>
  </conditionalFormatting>
  <conditionalFormatting sqref="D1385">
    <cfRule type="timePeriod" dxfId="112" priority="87" timePeriod="lastWeek">
      <formula>AND(TODAY()-ROUNDDOWN(D1385,0)&gt;=(WEEKDAY(TODAY())),TODAY()-ROUNDDOWN(D1385,0)&lt;(WEEKDAY(TODAY())+7))</formula>
    </cfRule>
    <cfRule type="timePeriod" dxfId="111" priority="89" timePeriod="lastMonth">
      <formula>AND(MONTH(D1385)=MONTH(EDATE(TODAY(),0-1)),YEAR(D1385)=YEAR(EDATE(TODAY(),0-1)))</formula>
    </cfRule>
    <cfRule type="cellIs" dxfId="110" priority="91" operator="equal">
      <formula>$AM$1205</formula>
    </cfRule>
  </conditionalFormatting>
  <conditionalFormatting sqref="C1391">
    <cfRule type="cellIs" dxfId="109" priority="85" operator="equal">
      <formula>$AM$1201</formula>
    </cfRule>
  </conditionalFormatting>
  <conditionalFormatting sqref="D1391">
    <cfRule type="cellIs" dxfId="108" priority="86" operator="equal">
      <formula>$AQ$1201</formula>
    </cfRule>
  </conditionalFormatting>
  <conditionalFormatting sqref="C1395">
    <cfRule type="timePeriod" dxfId="107" priority="80" timePeriod="lastWeek">
      <formula>AND(TODAY()-ROUNDDOWN(C1395,0)&gt;=(WEEKDAY(TODAY())),TODAY()-ROUNDDOWN(C1395,0)&lt;(WEEKDAY(TODAY())+7))</formula>
    </cfRule>
    <cfRule type="timePeriod" dxfId="106" priority="82" timePeriod="lastMonth">
      <formula>AND(MONTH(C1395)=MONTH(EDATE(TODAY(),0-1)),YEAR(C1395)=YEAR(EDATE(TODAY(),0-1)))</formula>
    </cfRule>
    <cfRule type="cellIs" dxfId="105" priority="84" operator="equal">
      <formula>$AM$1205</formula>
    </cfRule>
  </conditionalFormatting>
  <conditionalFormatting sqref="D1395">
    <cfRule type="timePeriod" dxfId="104" priority="79" timePeriod="lastWeek">
      <formula>AND(TODAY()-ROUNDDOWN(D1395,0)&gt;=(WEEKDAY(TODAY())),TODAY()-ROUNDDOWN(D1395,0)&lt;(WEEKDAY(TODAY())+7))</formula>
    </cfRule>
    <cfRule type="timePeriod" dxfId="103" priority="81" timePeriod="lastMonth">
      <formula>AND(MONTH(D1395)=MONTH(EDATE(TODAY(),0-1)),YEAR(D1395)=YEAR(EDATE(TODAY(),0-1)))</formula>
    </cfRule>
    <cfRule type="cellIs" dxfId="102" priority="83" operator="equal">
      <formula>$AM$1205</formula>
    </cfRule>
  </conditionalFormatting>
  <conditionalFormatting sqref="C1401">
    <cfRule type="cellIs" dxfId="101" priority="77" operator="equal">
      <formula>$AM$1201</formula>
    </cfRule>
  </conditionalFormatting>
  <conditionalFormatting sqref="D1401">
    <cfRule type="cellIs" dxfId="100" priority="78" operator="equal">
      <formula>$AQ$1201</formula>
    </cfRule>
  </conditionalFormatting>
  <conditionalFormatting sqref="C1405">
    <cfRule type="timePeriod" dxfId="99" priority="72" timePeriod="lastWeek">
      <formula>AND(TODAY()-ROUNDDOWN(C1405,0)&gt;=(WEEKDAY(TODAY())),TODAY()-ROUNDDOWN(C1405,0)&lt;(WEEKDAY(TODAY())+7))</formula>
    </cfRule>
    <cfRule type="timePeriod" dxfId="98" priority="74" timePeriod="lastMonth">
      <formula>AND(MONTH(C1405)=MONTH(EDATE(TODAY(),0-1)),YEAR(C1405)=YEAR(EDATE(TODAY(),0-1)))</formula>
    </cfRule>
    <cfRule type="cellIs" dxfId="97" priority="76" operator="equal">
      <formula>$AM$1205</formula>
    </cfRule>
  </conditionalFormatting>
  <conditionalFormatting sqref="D1405">
    <cfRule type="timePeriod" dxfId="96" priority="71" timePeriod="lastWeek">
      <formula>AND(TODAY()-ROUNDDOWN(D1405,0)&gt;=(WEEKDAY(TODAY())),TODAY()-ROUNDDOWN(D1405,0)&lt;(WEEKDAY(TODAY())+7))</formula>
    </cfRule>
    <cfRule type="timePeriod" dxfId="95" priority="73" timePeriod="lastMonth">
      <formula>AND(MONTH(D1405)=MONTH(EDATE(TODAY(),0-1)),YEAR(D1405)=YEAR(EDATE(TODAY(),0-1)))</formula>
    </cfRule>
    <cfRule type="cellIs" dxfId="94" priority="75" operator="equal">
      <formula>$AM$1205</formula>
    </cfRule>
  </conditionalFormatting>
  <conditionalFormatting sqref="C1411">
    <cfRule type="cellIs" dxfId="93" priority="69" operator="equal">
      <formula>$AM$1201</formula>
    </cfRule>
  </conditionalFormatting>
  <conditionalFormatting sqref="D1411">
    <cfRule type="cellIs" dxfId="92" priority="70" operator="equal">
      <formula>$AQ$1201</formula>
    </cfRule>
  </conditionalFormatting>
  <conditionalFormatting sqref="C1415">
    <cfRule type="timePeriod" dxfId="91" priority="64" timePeriod="lastWeek">
      <formula>AND(TODAY()-ROUNDDOWN(C1415,0)&gt;=(WEEKDAY(TODAY())),TODAY()-ROUNDDOWN(C1415,0)&lt;(WEEKDAY(TODAY())+7))</formula>
    </cfRule>
    <cfRule type="timePeriod" dxfId="90" priority="66" timePeriod="lastMonth">
      <formula>AND(MONTH(C1415)=MONTH(EDATE(TODAY(),0-1)),YEAR(C1415)=YEAR(EDATE(TODAY(),0-1)))</formula>
    </cfRule>
    <cfRule type="cellIs" dxfId="89" priority="68" operator="equal">
      <formula>$AM$1205</formula>
    </cfRule>
  </conditionalFormatting>
  <conditionalFormatting sqref="D1415">
    <cfRule type="timePeriod" dxfId="88" priority="63" timePeriod="lastWeek">
      <formula>AND(TODAY()-ROUNDDOWN(D1415,0)&gt;=(WEEKDAY(TODAY())),TODAY()-ROUNDDOWN(D1415,0)&lt;(WEEKDAY(TODAY())+7))</formula>
    </cfRule>
    <cfRule type="timePeriod" dxfId="87" priority="65" timePeriod="lastMonth">
      <formula>AND(MONTH(D1415)=MONTH(EDATE(TODAY(),0-1)),YEAR(D1415)=YEAR(EDATE(TODAY(),0-1)))</formula>
    </cfRule>
    <cfRule type="cellIs" dxfId="86" priority="67" operator="equal">
      <formula>$AM$1205</formula>
    </cfRule>
  </conditionalFormatting>
  <conditionalFormatting sqref="C1421">
    <cfRule type="cellIs" dxfId="85" priority="61" operator="equal">
      <formula>$AM$1201</formula>
    </cfRule>
  </conditionalFormatting>
  <conditionalFormatting sqref="D1421">
    <cfRule type="cellIs" dxfId="84" priority="62" operator="equal">
      <formula>$AQ$1201</formula>
    </cfRule>
  </conditionalFormatting>
  <conditionalFormatting sqref="C1425">
    <cfRule type="timePeriod" dxfId="83" priority="56" timePeriod="lastWeek">
      <formula>AND(TODAY()-ROUNDDOWN(C1425,0)&gt;=(WEEKDAY(TODAY())),TODAY()-ROUNDDOWN(C1425,0)&lt;(WEEKDAY(TODAY())+7))</formula>
    </cfRule>
    <cfRule type="timePeriod" dxfId="82" priority="58" timePeriod="lastMonth">
      <formula>AND(MONTH(C1425)=MONTH(EDATE(TODAY(),0-1)),YEAR(C1425)=YEAR(EDATE(TODAY(),0-1)))</formula>
    </cfRule>
    <cfRule type="cellIs" dxfId="81" priority="60" operator="equal">
      <formula>$AM$1205</formula>
    </cfRule>
  </conditionalFormatting>
  <conditionalFormatting sqref="D1425">
    <cfRule type="timePeriod" dxfId="80" priority="55" timePeriod="lastWeek">
      <formula>AND(TODAY()-ROUNDDOWN(D1425,0)&gt;=(WEEKDAY(TODAY())),TODAY()-ROUNDDOWN(D1425,0)&lt;(WEEKDAY(TODAY())+7))</formula>
    </cfRule>
    <cfRule type="timePeriod" dxfId="79" priority="57" timePeriod="lastMonth">
      <formula>AND(MONTH(D1425)=MONTH(EDATE(TODAY(),0-1)),YEAR(D1425)=YEAR(EDATE(TODAY(),0-1)))</formula>
    </cfRule>
    <cfRule type="cellIs" dxfId="78" priority="59" operator="equal">
      <formula>$AM$1205</formula>
    </cfRule>
  </conditionalFormatting>
  <conditionalFormatting sqref="A1432:A1439">
    <cfRule type="cellIs" dxfId="77" priority="54" operator="equal">
      <formula>0</formula>
    </cfRule>
  </conditionalFormatting>
  <conditionalFormatting sqref="C1431">
    <cfRule type="cellIs" dxfId="76" priority="52" operator="equal">
      <formula>$AM$1201</formula>
    </cfRule>
  </conditionalFormatting>
  <conditionalFormatting sqref="D1431">
    <cfRule type="cellIs" dxfId="75" priority="53" operator="equal">
      <formula>$AQ$1201</formula>
    </cfRule>
  </conditionalFormatting>
  <conditionalFormatting sqref="C1435">
    <cfRule type="timePeriod" dxfId="74" priority="47" timePeriod="lastWeek">
      <formula>AND(TODAY()-ROUNDDOWN(C1435,0)&gt;=(WEEKDAY(TODAY())),TODAY()-ROUNDDOWN(C1435,0)&lt;(WEEKDAY(TODAY())+7))</formula>
    </cfRule>
    <cfRule type="timePeriod" dxfId="73" priority="49" timePeriod="lastMonth">
      <formula>AND(MONTH(C1435)=MONTH(EDATE(TODAY(),0-1)),YEAR(C1435)=YEAR(EDATE(TODAY(),0-1)))</formula>
    </cfRule>
    <cfRule type="cellIs" dxfId="72" priority="51" operator="equal">
      <formula>$AM$1205</formula>
    </cfRule>
  </conditionalFormatting>
  <conditionalFormatting sqref="D1435">
    <cfRule type="timePeriod" dxfId="71" priority="46" timePeriod="lastWeek">
      <formula>AND(TODAY()-ROUNDDOWN(D1435,0)&gt;=(WEEKDAY(TODAY())),TODAY()-ROUNDDOWN(D1435,0)&lt;(WEEKDAY(TODAY())+7))</formula>
    </cfRule>
    <cfRule type="timePeriod" dxfId="70" priority="48" timePeriod="lastMonth">
      <formula>AND(MONTH(D1435)=MONTH(EDATE(TODAY(),0-1)),YEAR(D1435)=YEAR(EDATE(TODAY(),0-1)))</formula>
    </cfRule>
    <cfRule type="cellIs" dxfId="69" priority="50" operator="equal">
      <formula>$AM$1205</formula>
    </cfRule>
  </conditionalFormatting>
  <conditionalFormatting sqref="A1211 A1221 A1231 A1241 A1251 A1261 A1271 A1281 A1291 A1301 A1311 A1321 A1331 A1341 A1351 A1361 A1371 A1381 A1391 A1401 A1411 A1421 A1431">
    <cfRule type="cellIs" dxfId="68" priority="45" operator="equal">
      <formula>0</formula>
    </cfRule>
  </conditionalFormatting>
  <conditionalFormatting sqref="D1203">
    <cfRule type="cellIs" dxfId="67" priority="44" operator="equal">
      <formula>$AS$1203</formula>
    </cfRule>
  </conditionalFormatting>
  <conditionalFormatting sqref="D1233">
    <cfRule type="cellIs" dxfId="66" priority="42" operator="equal">
      <formula>$AS$1203</formula>
    </cfRule>
  </conditionalFormatting>
  <conditionalFormatting sqref="D1223">
    <cfRule type="cellIs" dxfId="65" priority="43" operator="equal">
      <formula>$AS$1203</formula>
    </cfRule>
  </conditionalFormatting>
  <conditionalFormatting sqref="D1243">
    <cfRule type="cellIs" dxfId="64" priority="41" operator="equal">
      <formula>$AS$1203</formula>
    </cfRule>
  </conditionalFormatting>
  <conditionalFormatting sqref="D1253">
    <cfRule type="cellIs" dxfId="63" priority="40" operator="equal">
      <formula>$AS$1203</formula>
    </cfRule>
  </conditionalFormatting>
  <conditionalFormatting sqref="D1263">
    <cfRule type="cellIs" dxfId="62" priority="39" operator="equal">
      <formula>$AS$1203</formula>
    </cfRule>
  </conditionalFormatting>
  <conditionalFormatting sqref="D1273">
    <cfRule type="cellIs" dxfId="61" priority="38" operator="equal">
      <formula>$AS$1203</formula>
    </cfRule>
  </conditionalFormatting>
  <conditionalFormatting sqref="D1283">
    <cfRule type="cellIs" dxfId="60" priority="37" operator="equal">
      <formula>$AS$1203</formula>
    </cfRule>
  </conditionalFormatting>
  <conditionalFormatting sqref="D1293">
    <cfRule type="cellIs" dxfId="59" priority="36" operator="equal">
      <formula>$AS$1203</formula>
    </cfRule>
  </conditionalFormatting>
  <conditionalFormatting sqref="D1303">
    <cfRule type="cellIs" dxfId="58" priority="35" operator="equal">
      <formula>$AS$1203</formula>
    </cfRule>
  </conditionalFormatting>
  <conditionalFormatting sqref="D1313">
    <cfRule type="cellIs" dxfId="57" priority="34" operator="equal">
      <formula>$AS$1203</formula>
    </cfRule>
  </conditionalFormatting>
  <conditionalFormatting sqref="D1323">
    <cfRule type="cellIs" dxfId="56" priority="33" operator="equal">
      <formula>$AS$1203</formula>
    </cfRule>
  </conditionalFormatting>
  <conditionalFormatting sqref="D1333">
    <cfRule type="cellIs" dxfId="55" priority="32" operator="equal">
      <formula>$AS$1203</formula>
    </cfRule>
  </conditionalFormatting>
  <conditionalFormatting sqref="D1433">
    <cfRule type="cellIs" dxfId="54" priority="22" operator="equal">
      <formula>$AS$1203</formula>
    </cfRule>
  </conditionalFormatting>
  <conditionalFormatting sqref="D1343">
    <cfRule type="cellIs" dxfId="53" priority="31" operator="equal">
      <formula>$AS$1203</formula>
    </cfRule>
  </conditionalFormatting>
  <conditionalFormatting sqref="D1353">
    <cfRule type="cellIs" dxfId="52" priority="30" operator="equal">
      <formula>$AS$1203</formula>
    </cfRule>
  </conditionalFormatting>
  <conditionalFormatting sqref="D1363">
    <cfRule type="cellIs" dxfId="51" priority="29" operator="equal">
      <formula>$AS$1203</formula>
    </cfRule>
  </conditionalFormatting>
  <conditionalFormatting sqref="D1373">
    <cfRule type="cellIs" dxfId="50" priority="28" operator="equal">
      <formula>$AS$1203</formula>
    </cfRule>
  </conditionalFormatting>
  <conditionalFormatting sqref="D1383">
    <cfRule type="cellIs" dxfId="49" priority="27" operator="equal">
      <formula>$AS$1203</formula>
    </cfRule>
  </conditionalFormatting>
  <conditionalFormatting sqref="D1393">
    <cfRule type="cellIs" dxfId="48" priority="26" operator="equal">
      <formula>$AS$1203</formula>
    </cfRule>
  </conditionalFormatting>
  <conditionalFormatting sqref="D1403">
    <cfRule type="cellIs" dxfId="47" priority="25" operator="equal">
      <formula>$AS$1203</formula>
    </cfRule>
  </conditionalFormatting>
  <conditionalFormatting sqref="D1413">
    <cfRule type="cellIs" dxfId="46" priority="24" operator="equal">
      <formula>$AS$1203</formula>
    </cfRule>
  </conditionalFormatting>
  <conditionalFormatting sqref="D1423">
    <cfRule type="cellIs" dxfId="45" priority="23" operator="equal">
      <formula>$AS$1203</formula>
    </cfRule>
  </conditionalFormatting>
  <conditionalFormatting sqref="D1213">
    <cfRule type="cellIs" dxfId="44" priority="21" operator="equal">
      <formula>$AS$1203</formula>
    </cfRule>
  </conditionalFormatting>
  <conditionalFormatting sqref="B28:D28">
    <cfRule type="containsText" dxfId="43" priority="20" operator="containsText" text="FLIPSIDE">
      <formula>NOT(ISERROR(SEARCH("FLIPSIDE",B28)))</formula>
    </cfRule>
  </conditionalFormatting>
  <conditionalFormatting sqref="B63:D63">
    <cfRule type="notContainsText" dxfId="42" priority="19" operator="notContains" text="claimant">
      <formula>ISERROR(SEARCH("claimant",B63))</formula>
    </cfRule>
  </conditionalFormatting>
  <conditionalFormatting sqref="A1198">
    <cfRule type="cellIs" dxfId="41" priority="18" operator="equal">
      <formula>0</formula>
    </cfRule>
  </conditionalFormatting>
  <conditionalFormatting sqref="C1513:D1513">
    <cfRule type="beginsWith" dxfId="40" priority="14" operator="beginsWith" text="click">
      <formula>LEFT(C1513,LEN("click"))="click"</formula>
    </cfRule>
  </conditionalFormatting>
  <conditionalFormatting sqref="C1483:D1483">
    <cfRule type="beginsWith" dxfId="39" priority="17" operator="beginsWith" text="click">
      <formula>LEFT(C1483,LEN("click"))="click"</formula>
    </cfRule>
  </conditionalFormatting>
  <conditionalFormatting sqref="C1533:D1533">
    <cfRule type="beginsWith" dxfId="38" priority="12" operator="beginsWith" text="click">
      <formula>LEFT(C1533,LEN("click"))="click"</formula>
    </cfRule>
  </conditionalFormatting>
  <conditionalFormatting sqref="C1493:D1493">
    <cfRule type="beginsWith" dxfId="37" priority="16" operator="beginsWith" text="click">
      <formula>LEFT(C1493,LEN("click"))="click"</formula>
    </cfRule>
  </conditionalFormatting>
  <conditionalFormatting sqref="C1503:D1503">
    <cfRule type="beginsWith" dxfId="36" priority="15" operator="beginsWith" text="click">
      <formula>LEFT(C1503,LEN("click"))="click"</formula>
    </cfRule>
  </conditionalFormatting>
  <conditionalFormatting sqref="C1523:D1523">
    <cfRule type="beginsWith" dxfId="35" priority="13" operator="beginsWith" text="click">
      <formula>LEFT(C1523,LEN("click"))="click"</formula>
    </cfRule>
  </conditionalFormatting>
  <conditionalFormatting sqref="C24:C25">
    <cfRule type="containsText" dxfId="34" priority="11" operator="containsText" text="Highlight">
      <formula>NOT(ISERROR(SEARCH("Highlight",C24)))</formula>
    </cfRule>
  </conditionalFormatting>
  <conditionalFormatting sqref="C24:C25">
    <cfRule type="containsText" dxfId="33" priority="10" operator="containsText" text="Hightlight">
      <formula>NOT(ISERROR(SEARCH("Hightlight",C24)))</formula>
    </cfRule>
  </conditionalFormatting>
  <conditionalFormatting sqref="D224">
    <cfRule type="containsText" dxfId="32" priority="9" operator="containsText" text="NAME ">
      <formula>NOT(ISERROR(SEARCH("NAME ",D224)))</formula>
    </cfRule>
  </conditionalFormatting>
  <conditionalFormatting sqref="D224">
    <cfRule type="containsText" dxfId="31" priority="6" operator="containsText" text="claims to know real culprit?">
      <formula>NOT(ISERROR(SEARCH("claims to know real culprit?",D224)))</formula>
    </cfRule>
    <cfRule type="containsText" dxfId="30" priority="7" operator="containsText" text="charged as?">
      <formula>NOT(ISERROR(SEARCH("charged as?",D224)))</formula>
    </cfRule>
    <cfRule type="containsText" dxfId="29" priority="8" operator="containsText" text="convicted as?">
      <formula>NOT(ISERROR(SEARCH("convicted as?",D224)))</formula>
    </cfRule>
  </conditionalFormatting>
  <conditionalFormatting sqref="D224">
    <cfRule type="containsText" dxfId="28" priority="5" operator="containsText" text="also claims innocence?">
      <formula>NOT(ISERROR(SEARCH("also claims innocence?",D224)))</formula>
    </cfRule>
  </conditionalFormatting>
  <conditionalFormatting sqref="D385">
    <cfRule type="containsText" dxfId="27" priority="4" operator="containsText" text="URL">
      <formula>NOT(ISERROR(SEARCH("URL",D385)))</formula>
    </cfRule>
  </conditionalFormatting>
  <conditionalFormatting sqref="C1211">
    <cfRule type="cellIs" dxfId="26" priority="3" operator="equal">
      <formula>$AM$1201</formula>
    </cfRule>
  </conditionalFormatting>
  <conditionalFormatting sqref="C154">
    <cfRule type="cellIs" dxfId="25" priority="2" operator="equal">
      <formula>"YYYY-MM-DD"</formula>
    </cfRule>
  </conditionalFormatting>
  <conditionalFormatting sqref="C164">
    <cfRule type="cellIs" dxfId="24" priority="1" operator="equal">
      <formula>"YYYY-MM-DD"</formula>
    </cfRule>
  </conditionalFormatting>
  <dataValidations count="108">
    <dataValidation type="list" errorStyle="warning" allowBlank="1" showInputMessage="1" showErrorMessage="1" sqref="D755" xr:uid="{2BBBA246-133C-4D3D-A06D-416770C3B15B}">
      <formula1>$AR$749:$AR$753</formula1>
    </dataValidation>
    <dataValidation type="list" errorStyle="warning" allowBlank="1" showInputMessage="1" showErrorMessage="1" sqref="D754" xr:uid="{D6E80825-FE15-4A0D-8E65-3AA58C48651D}">
      <formula1>$AP$749:$AP$753</formula1>
    </dataValidation>
    <dataValidation type="list" errorStyle="warning" allowBlank="1" showInputMessage="1" showErrorMessage="1" sqref="D753" xr:uid="{6CEFEC0F-D560-4283-8AB6-5F64CA578254}">
      <formula1>$AN$749:$AN$753</formula1>
    </dataValidation>
    <dataValidation type="list" errorStyle="warning" allowBlank="1" showInputMessage="1" showErrorMessage="1" sqref="D752" xr:uid="{2D3CDF31-6981-4562-8D0B-78208CF5D9E5}">
      <formula1>$AL$749:$AL$753</formula1>
    </dataValidation>
    <dataValidation type="list" errorStyle="warning" allowBlank="1" showInputMessage="1" showErrorMessage="1" sqref="D751" xr:uid="{61536E2F-B303-4A79-B2BC-665D1EF92104}">
      <formula1>$AJ$749:$AJ$753</formula1>
    </dataValidation>
    <dataValidation type="list" errorStyle="warning" allowBlank="1" showInputMessage="1" showErrorMessage="1" sqref="D750" xr:uid="{B0923494-CBD6-49CA-B84D-2BFB613B0AE7}">
      <formula1>$AH$749:$AH$753</formula1>
    </dataValidation>
    <dataValidation type="list" errorStyle="warning" allowBlank="1" showInputMessage="1" showErrorMessage="1" sqref="D749" xr:uid="{4FEC1A0E-2AAF-470C-8EA2-589526C17BCA}">
      <formula1>$AF$749:$AF$754</formula1>
    </dataValidation>
    <dataValidation type="list" errorStyle="warning" allowBlank="1" showInputMessage="1" showErrorMessage="1" sqref="D748" xr:uid="{09104AF0-AE61-4BA1-9599-B3CA787F9066}">
      <formula1>$AD$749:$AD$754</formula1>
    </dataValidation>
    <dataValidation type="list" errorStyle="warning" allowBlank="1" showInputMessage="1" showErrorMessage="1" error="Choose one of these four options, unless you've got one better." sqref="D1203 D1213 D1423 D1413 D1403 D1393 D1383 D1373 D1363 D1353 D1343 D1333 D1323 D1313 D1303 D1293 D1283 D1273 D1263 D1253 D1243 D1233 D1223 D1433" xr:uid="{BE5DD004-3913-4959-A63F-316EF7B08D6B}">
      <formula1>$BQ$1206:$BQ$1209</formula1>
    </dataValidation>
    <dataValidation type="list" errorStyle="warning" allowBlank="1" showInputMessage="1" showErrorMessage="1" sqref="C1206 C1436 C1406 C1416 C1426 C1376 C1386 C1396 C1336 C1346 C1356 C1366 C1296 C1306 C1316 C1326 C1256 C1266 C1276 C1286 C1216 C1226 C1236 C1246" xr:uid="{BA82C5CC-9BE9-4D0A-B481-6EED2734CE44}">
      <formula1>$BN$1201:$BN$1205</formula1>
    </dataValidation>
    <dataValidation type="list" errorStyle="warning" allowBlank="1" showInputMessage="1" showErrorMessage="1" sqref="D1206 D1436 D1406 D1416 D1426 D1376 D1386 D1396 D1336 D1346 D1356 D1366 D1296 D1306 D1316 D1326 D1256 D1266 D1276 D1286 D1216 D1226 D1236 D1246" xr:uid="{CEC8A08F-27A6-442B-B1D4-08E19013213C}">
      <formula1>$BM$1201:$BM$1205</formula1>
    </dataValidation>
    <dataValidation allowBlank="1" showInputMessage="1" showErrorMessage="1" sqref="D1212 D1222 D1232 D1242 D1252 D1262 D1272 D1282 D1292 D1302 D1312 D1322 D1332 D1342 D1352 D1362 D1372 D1382 D1392 D1402 D1412 D1422 D1432" xr:uid="{C1E2C8A4-9D87-4A79-84DC-748A5E3866C6}"/>
    <dataValidation type="date" errorStyle="warning" operator="lessThanOrEqual" allowBlank="1" showInputMessage="1" showErrorMessage="1" error="Use format: YEAR-MONTH-DAY" sqref="C1205:D1205 C1215:D1215 C1225:D1225 C1235:D1235 C1245:D1245 C1255:D1255 C1265:D1265 C1275:D1275 C1285:D1285 C1295:D1295 C1305:D1305 C1315:D1315 C1325:D1325 C1335:D1335 C1345:D1345 C1355:D1355 C1365:D1365 C1375:D1375 C1385:D1385 C1395:D1395 C1405:D1405 C1415:D1415 C1425:D1425 C1435:D1435" xr:uid="{3DAB2AE3-F9DD-442F-9E99-92FCB8C485B9}">
      <formula1>$AI$1199</formula1>
    </dataValidation>
    <dataValidation errorStyle="information" allowBlank="1" showInputMessage="1" showErrorMessage="1" error="Make sure you provide a working email address, or we may not be able to include this one." sqref="C1202 C1212 C1222 C1232 C1242 C1252 C1262 C1272 C1282 C1292 C1302 C1312 C1322 C1332 C1342 C1352 C1362 C1372 C1382 C1392 C1402 C1412 C1422 C1432" xr:uid="{AABD94F3-C6DA-439F-BDEF-3F0EF19D586D}"/>
    <dataValidation type="list" allowBlank="1" showInputMessage="1" showErrorMessage="1" sqref="C1207 C1437 C1427 C1417 C1407 C1397 C1387 C1377 C1327 C1317 C1307 C1297 C1287 C1277 C1267 C1257 C1247 C1237 C1227 C1217 C1367 C1357 C1347 C1337" xr:uid="{96A37194-F476-489E-9EF3-248661939CFA}">
      <formula1>$B$2043:$B$2048</formula1>
    </dataValidation>
    <dataValidation type="list" allowBlank="1" showInputMessage="1" showErrorMessage="1" sqref="B445 B457 B447" xr:uid="{7826BB03-CCB5-44BE-8E2E-352710773375}">
      <formula1>$AK$457:$AK$459</formula1>
    </dataValidation>
    <dataValidation type="list" errorStyle="information" allowBlank="1" showInputMessage="1" showErrorMessage="1" prompt="Select option that best fits your need" sqref="C1482:D1482 C1532:D1532 C1522:D1522 C1512:D1512 C1502:D1502 C1492:D1492" xr:uid="{EBB0E728-6A01-4DAB-B113-3DD2DC1A2281}">
      <formula1>$CI$1483:$CI$1485</formula1>
    </dataValidation>
    <dataValidation allowBlank="1" showInputMessage="1" showErrorMessage="1" prompt="Click on link" sqref="C1483:D1483 C1493:D1493 C1503:D1503 C1513:D1513 C1523:D1523 C1533:D1533" xr:uid="{334F3D6B-09ED-4404-8825-76DCF4F1F3FD}"/>
    <dataValidation type="list" errorStyle="information" allowBlank="1" showInputMessage="1" showErrorMessage="1" errorTitle="Select recipient type to notify" promptTitle="Change to recipient type: " prompt="Employer_x000a_Housing_x000a_Debt collector" sqref="B1491 B1481 B1501 B1521 B1511 B1531" xr:uid="{6220F96B-8826-4EA4-B7E3-732B0C2E1709}">
      <formula1>$BB$1483:$BB$1485</formula1>
    </dataValidation>
    <dataValidation type="textLength" errorStyle="information" allowBlank="1" showInputMessage="1" showErrorMessage="1" error="Use either 5-digit or full zip code" prompt="Zip code" sqref="B1489 B1499 B1509 B1519 B1529 B1539" xr:uid="{152F4ADD-319D-43AE-9B47-012E5781BA25}">
      <formula1>5</formula1>
      <formula2>10</formula2>
    </dataValidation>
    <dataValidation type="list" operator="lessThanOrEqual" allowBlank="1" showInputMessage="1" showErrorMessage="1" error="Pick from list in dropdown menu" prompt="State" sqref="D1489 D1509 D1499 D1519 D1539 D1529" xr:uid="{CB7A3C9E-A431-4EFC-9362-253F4A5197B6}">
      <formula1>$B$2167:$B$2218</formula1>
    </dataValidation>
    <dataValidation type="textLength" errorStyle="information" operator="lessThanOrEqual" allowBlank="1" showInputMessage="1" showErrorMessage="1" errorTitle="Before you go..." error="Make sure email is spelled correctly. It's up to you to provide a working email address." prompt="City" sqref="C1489 C1499 C1509 C1519 C1529 C1539" xr:uid="{D21B0E68-52C6-4A3B-AC63-AF6C74DF28F1}">
      <formula1>35</formula1>
    </dataValidation>
    <dataValidation type="textLength" errorStyle="information" operator="lessThanOrEqual" allowBlank="1" showInputMessage="1" showErrorMessage="1" prompt="Suite or apt" sqref="D1488 D1538 D1508 D1518 D1528 D1498" xr:uid="{F878147C-1E60-4557-9AEA-0962D4A70AFB}">
      <formula1>20</formula1>
    </dataValidation>
    <dataValidation type="textLength" errorStyle="information" operator="lessThanOrEqual" allowBlank="1" showInputMessage="1" showErrorMessage="1" errorTitle="Before you go..." error="Make sure this city is spelled correctly" prompt="Street address" sqref="C1488 C1538 C1508 C1518 C1528 C1498" xr:uid="{55C648FF-181A-4F4D-889F-E800AEA31A07}">
      <formula1>60</formula1>
    </dataValidation>
    <dataValidation type="textLength" errorStyle="information" operator="lessThanOrEqual" allowBlank="1" showInputMessage="1" showErrorMessage="1" errorTitle="Before you go..." error="Make sure email is spelled correctly. It's up to you to provide a working email address." sqref="C1487:D1487 C1537:D1537 C1507:D1507 C1517:D1517 C1527:D1527 C1497:D1497" xr:uid="{1B2E7012-9AF2-4245-9028-F3AD9CBACBCE}">
      <formula1>60</formula1>
    </dataValidation>
    <dataValidation type="list" allowBlank="1" showInputMessage="1" showErrorMessage="1" errorTitle="Oops!" error="Select only from the pulldown list." promptTitle="Custody status" prompt="Select item from list that best characterizes claimant's current custody status." sqref="D257" xr:uid="{1884B9D8-9D4D-4216-87F9-34797FFA0499}">
      <formula1>$C$2017:$C$2038</formula1>
    </dataValidation>
    <dataValidation type="list" allowBlank="1" showInputMessage="1" showErrorMessage="1" sqref="D797:D808" xr:uid="{238029C5-FFBB-4319-8E25-CB9510F0C7F7}">
      <formula1>$C$2002:$C$2009</formula1>
    </dataValidation>
    <dataValidation type="list" allowBlank="1" showInputMessage="1" showErrorMessage="1" sqref="B797:B808" xr:uid="{A1BD1321-1703-4AFE-8E57-9313A1E08327}">
      <formula1>$C$1995:$C$1998</formula1>
    </dataValidation>
    <dataValidation type="list" allowBlank="1" showInputMessage="1" showErrorMessage="1" sqref="D267" xr:uid="{FD722754-DB4D-488D-A4D7-E4BBD43EA8FA}">
      <formula1>$D$2017:$D$2024</formula1>
    </dataValidation>
    <dataValidation type="list" allowBlank="1" showInputMessage="1" showErrorMessage="1" sqref="D199" xr:uid="{329CD6B7-A3FE-4DF8-83DD-7E3F08C1E5AA}">
      <formula1>$AM$194:$AM$199</formula1>
    </dataValidation>
    <dataValidation type="list" allowBlank="1" showInputMessage="1" showErrorMessage="1" sqref="D270" xr:uid="{350C8164-DBC2-427A-ACD0-DF227E17F336}">
      <formula1>$B$1988:$B$1991</formula1>
    </dataValidation>
    <dataValidation type="list" allowBlank="1" showInputMessage="1" showErrorMessage="1" sqref="D279" xr:uid="{DDFA2B0F-5F3E-4D75-8533-BFEA96D831ED}">
      <formula1>$B$1859:$B$1863</formula1>
    </dataValidation>
    <dataValidation type="list" allowBlank="1" showInputMessage="1" showErrorMessage="1" sqref="B276:D276" xr:uid="{39E7510C-FC42-4AB6-B80F-6A6EA98C7AFE}">
      <formula1>$B$1853:$B$1856</formula1>
    </dataValidation>
    <dataValidation type="list" allowBlank="1" showInputMessage="1" showErrorMessage="1" sqref="D191" xr:uid="{A1AE9D3F-0507-4CA4-90C7-3CA88485D818}">
      <formula1>$D$1845:$D$1850</formula1>
    </dataValidation>
    <dataValidation type="list" allowBlank="1" showInputMessage="1" showErrorMessage="1" sqref="D187" xr:uid="{3286F35E-E14C-451F-A678-09E1AFD25CF7}">
      <formula1>$B$1845:$B$1847</formula1>
    </dataValidation>
    <dataValidation type="list" allowBlank="1" showInputMessage="1" showErrorMessage="1" sqref="D189" xr:uid="{5CA22AF7-8E63-4241-9038-2460F7B353C1}">
      <formula1>$B$1848:$B$1849</formula1>
    </dataValidation>
    <dataValidation type="list" allowBlank="1" showInputMessage="1" showErrorMessage="1" sqref="D193" xr:uid="{ED1E557E-08D4-4D9A-84C3-3DCA395C442D}">
      <formula1>$D$2473:$D$2478</formula1>
    </dataValidation>
    <dataValidation type="list" allowBlank="1" showInputMessage="1" showErrorMessage="1" sqref="B284" xr:uid="{1E58EB70-FBE4-4F44-964F-E07C94AD66C7}">
      <formula1>$B$2473:$B$2482</formula1>
    </dataValidation>
    <dataValidation type="list" allowBlank="1" showInputMessage="1" showErrorMessage="1" promptTitle="Choose one" prompt="Select which best fits your current experience." sqref="D889:D909" xr:uid="{658639F8-3FE1-4C42-9AB5-FA6F77F25EB8}">
      <formula1>$D$911:$D$914</formula1>
    </dataValidation>
    <dataValidation type="list" allowBlank="1" showInputMessage="1" showErrorMessage="1" promptTitle="2 of 21" prompt="hope" sqref="C931:D931" xr:uid="{78E01A1A-2514-4195-8A65-C7A3428D7F8A}">
      <formula1>$C$932:$C$935</formula1>
    </dataValidation>
    <dataValidation type="list" allowBlank="1" showInputMessage="1" showErrorMessage="1" promptTitle="4 of 21" prompt="satisfaction" sqref="C941:D941" xr:uid="{FE1FF265-F267-4947-8007-D55E2A69FC4E}">
      <formula1>$C$942:$C$945</formula1>
    </dataValidation>
    <dataValidation type="list" allowBlank="1" showInputMessage="1" showErrorMessage="1" promptTitle="5 of 21" prompt="guilt" sqref="C946:D946" xr:uid="{F1D9EA9B-B99D-4F4D-93DD-A3356508CC1E}">
      <formula1>$C$947:$C$950</formula1>
    </dataValidation>
    <dataValidation type="list" allowBlank="1" showInputMessage="1" showErrorMessage="1" promptTitle="6 of 21" prompt="punished" sqref="C951:D951" xr:uid="{82902DB7-44A5-4500-ABD4-7285818B4A1F}">
      <formula1>$C$952:$C$955</formula1>
    </dataValidation>
    <dataValidation type="list" allowBlank="1" showInputMessage="1" showErrorMessage="1" promptTitle="7 of 21" prompt="self-loath" sqref="C956:D956" xr:uid="{E0E543F9-D0AB-4288-A754-E8B3E2920A17}">
      <formula1>$C$957:$C$960</formula1>
    </dataValidation>
    <dataValidation type="list" allowBlank="1" showInputMessage="1" showErrorMessage="1" promptTitle="8 of 21" prompt="faults" sqref="C961:D961" xr:uid="{7C2751B4-7339-49BE-92AF-F6EF50061AA9}">
      <formula1>$C$962:$C$965</formula1>
    </dataValidation>
    <dataValidation type="list" allowBlank="1" showInputMessage="1" showErrorMessage="1" promptTitle="9 of 21" prompt="suicidal thoughts" sqref="C966:D966" xr:uid="{EB2EC51E-335D-435A-A3B7-03E293E5C9E7}">
      <formula1>$C$967:$C$970</formula1>
    </dataValidation>
    <dataValidation type="list" allowBlank="1" showInputMessage="1" showErrorMessage="1" promptTitle="10 of 21" prompt="crying" sqref="C971:D971" xr:uid="{FB129C1E-ED81-4C06-B106-6B641D5E8A49}">
      <formula1>$C$972:$C$975</formula1>
    </dataValidation>
    <dataValidation type="list" allowBlank="1" showInputMessage="1" showErrorMessage="1" promptTitle="11 of 21" prompt="irritability" sqref="C976:D976" xr:uid="{A3A6E207-EFD0-40C1-AD20-4C6F7690FE05}">
      <formula1>$C$977:$C$980</formula1>
    </dataValidation>
    <dataValidation type="list" allowBlank="1" showInputMessage="1" showErrorMessage="1" promptTitle="12 of 21" prompt="socializing" sqref="C981:D981" xr:uid="{62469CB7-8E45-421A-8597-64E83248EA9F}">
      <formula1>$C$982:$C$985</formula1>
    </dataValidation>
    <dataValidation type="list" allowBlank="1" showInputMessage="1" showErrorMessage="1" promptTitle="13 of 21" prompt="decisiveness" sqref="C986:D986" xr:uid="{BE5EDC07-F971-47F9-857E-5E15703EAA17}">
      <formula1>$C$987:$C$990</formula1>
    </dataValidation>
    <dataValidation type="list" allowBlank="1" showInputMessage="1" showErrorMessage="1" promptTitle="14 of 21" prompt="self-image" sqref="C991:D991" xr:uid="{680B1F94-98CF-48BE-AD3A-12806A105E16}">
      <formula1>$C$992:$C$995</formula1>
    </dataValidation>
    <dataValidation type="list" allowBlank="1" showInputMessage="1" showErrorMessage="1" promptTitle="15 of 21" prompt="effort" sqref="C996:D996" xr:uid="{ACC163C4-9551-42FF-8D34-59BEE2FF1690}">
      <formula1>$C$997:$C$1000</formula1>
    </dataValidation>
    <dataValidation type="list" allowBlank="1" showInputMessage="1" showErrorMessage="1" promptTitle="16 of 21" prompt="sleep" sqref="C1001:D1001" xr:uid="{7279A8C9-B673-4F61-A445-71374007FC55}">
      <formula1>$C$1002:$C$1005</formula1>
    </dataValidation>
    <dataValidation type="list" allowBlank="1" showInputMessage="1" showErrorMessage="1" promptTitle="17 of 21" prompt="tiredness" sqref="C1006:D1006" xr:uid="{2D39BC31-A034-487C-95A8-BDE933AC49A4}">
      <formula1>$C$1007:$C$1010</formula1>
    </dataValidation>
    <dataValidation type="list" allowBlank="1" showInputMessage="1" showErrorMessage="1" promptTitle="18 of 21" prompt="appetite" sqref="C1011:D1011" xr:uid="{D39AE964-EFBC-431B-8CCB-DE787B98B3F5}">
      <formula1>$C$1012:$C$1015</formula1>
    </dataValidation>
    <dataValidation type="list" allowBlank="1" showInputMessage="1" showErrorMessage="1" promptTitle="19 of 21" prompt="weight loss" sqref="C1016:D1016" xr:uid="{70FB6669-8CDA-4D9D-90DC-BCCDAAB1DD8D}">
      <formula1>$C$1017:$C$1020</formula1>
    </dataValidation>
    <dataValidation type="list" allowBlank="1" showInputMessage="1" showErrorMessage="1" promptTitle="20 of 21" prompt="worries" sqref="C1021:D1021" xr:uid="{F3C7B0DC-3629-4513-81F7-ABC33AB2D0FC}">
      <formula1>$C$1022:$C$1025</formula1>
    </dataValidation>
    <dataValidation type="list" allowBlank="1" showInputMessage="1" showErrorMessage="1" promptTitle="21 of 21" prompt="sexual interest" sqref="C1026:D1026" xr:uid="{08B65681-9783-4A4A-929D-608F0DEE2008}">
      <formula1>$C$1027:$C$1030</formula1>
    </dataValidation>
    <dataValidation type="list" allowBlank="1" showInputMessage="1" showErrorMessage="1" promptTitle="3 of 21" prompt="failures" sqref="C936:D936" xr:uid="{B96A9B65-186C-4984-BB83-2DE770E1EFB9}">
      <formula1>$C$937:$C$940</formula1>
    </dataValidation>
    <dataValidation type="list" allowBlank="1" showInputMessage="1" showErrorMessage="1" promptTitle="1 of 21" prompt="sadness" sqref="C926:D926" xr:uid="{B35A318F-78EE-4AD5-937D-0053C7030D22}">
      <formula1>$C$927:$C$930</formula1>
    </dataValidation>
    <dataValidation type="textLength" errorStyle="warning" operator="lessThanOrEqual" allowBlank="1" showInputMessage="1" showErrorMessage="1" errorTitle="Oops! Too many words." error="Try using fewer words, or fewer characters, to make sure this displays correctly above. Click &quot;No&quot; to edit. Click &quot;Yes&quot; to accept as is. Click &quot;Cancel&quot; to start over." sqref="C849:D858" xr:uid="{F58354B2-0CFC-4F7D-AC85-34123AB9732F}">
      <formula1>75</formula1>
    </dataValidation>
    <dataValidation type="textLength" operator="lessThanOrEqual" allowBlank="1" showInputMessage="1" showErrorMessage="1" errorTitle="Oops!" error="You've reached the limit of 250 characters. Use fewer words." sqref="B845:D845" xr:uid="{E69717D5-9EF4-412E-9D0B-E33312E53654}">
      <formula1>250</formula1>
    </dataValidation>
    <dataValidation type="textLength" errorStyle="warning" operator="lessThanOrEqual" allowBlank="1" showInputMessage="1" showErrorMessage="1" errorTitle="Oops!" error="You've reached the 2000-characters maximum. Try using fewer words." sqref="B871" xr:uid="{9EF3A0C7-0FEF-4B32-94AF-BCACDF731C64}">
      <formula1>2000</formula1>
    </dataValidation>
    <dataValidation type="list" allowBlank="1" showInputMessage="1" showErrorMessage="1" sqref="D738:D744" xr:uid="{5DDDDF67-9204-4504-B205-12361DB06413}">
      <formula1>$B$1936:$B$1941</formula1>
    </dataValidation>
    <dataValidation type="list" allowBlank="1" showInputMessage="1" showErrorMessage="1" sqref="D828:D833" xr:uid="{AEEDB008-3428-4A68-8931-66DBE0182CDB}">
      <formula1>$B$1926:$B$1932</formula1>
    </dataValidation>
    <dataValidation type="list" allowBlank="1" showInputMessage="1" showErrorMessage="1" sqref="D818:D823" xr:uid="{5346F622-1D4E-4624-B8EA-680085932BE9}">
      <formula1>$B$1918:$B$1922</formula1>
    </dataValidation>
    <dataValidation type="list" allowBlank="1" showInputMessage="1" showErrorMessage="1" sqref="D468 D631 D712 D707 D702 D697 D581 D679 D674 D669 D664 D615 D653 D648 D637 D687 D626 D621 D547 D610 D605 D597 D592 D587 D484 D576 D571 D563 D558 D553 D513 D542 D537 D529 D524 D519 D473 D508 D503 D495 D479 D717 D490 D658" xr:uid="{BEF9A5FA-561F-4BF4-8559-CF1C36A2C5DA}">
      <formula1>$B$1885:$B$1892</formula1>
    </dataValidation>
    <dataValidation type="list" allowBlank="1" showInputMessage="1" showErrorMessage="1" error="You can only select one of the options given. Contact us if we missed an option vital to your case." promptTitle="Choose one" prompt="Select best option" sqref="B717 B631 B707 B702 B697 B581 B679 B674 B669 B664 B615 B653 B537 B542 B648 B553 B558 B563 B571 B576 B712 B587 B592 B597 B605 B610 B547 B621 B626 B687 B637 B658" xr:uid="{2AE7D6D2-F5E9-4F56-92C5-5D149AE93D18}">
      <formula1>$B$1871:$B$1874</formula1>
    </dataValidation>
    <dataValidation type="list" allowBlank="1" showInputMessage="1" showErrorMessage="1" sqref="C717 C631 C707 C702 C697 C581 C679 C674 C669 C664 C615 C653 C537 C542 C648 C553 C558 C563 C571 C576 C712 C587 C592 C597 C605 C610 C547 C621 C626 C687 C637 C658" xr:uid="{E7C72801-DF25-4185-A475-454D520B9CFC}">
      <formula1>$B$1877:$B$1882</formula1>
    </dataValidation>
    <dataValidation type="list" allowBlank="1" showInputMessage="1" showErrorMessage="1" errorTitle="Oops!" error="You can only select one of the options given. Contact us if we missed an option vital to your case." promptTitle="Choose one" prompt="Select best option" sqref="C468 C513 C479 C529 C490 C495 C503 C508 C473 C519 C524 C484" xr:uid="{B71E1CB4-5379-403A-B9AF-37FC28FE1C49}">
      <formula1>$B$1877:$B$1882</formula1>
    </dataValidation>
    <dataValidation type="list" allowBlank="1" showInputMessage="1" showErrorMessage="1" errorTitle="Oops!" error="You can only select one of the options given. Contact us if we missed an option vital to your case." promptTitle="Choose one" prompt="Select best option" sqref="B468 B513 B479 B529 B490 B495 B503 B508 B473 B519 B524 B484" xr:uid="{D627BE83-043D-466D-B9C5-D5F056177A7A}">
      <formula1>$B$1871:$B$1874</formula1>
    </dataValidation>
    <dataValidation type="list" allowBlank="1" showInputMessage="1" showErrorMessage="1" error="Only three options available for now" promptTitle="Choose one" prompt="Select best option available. Be sure spelling is exact. An inaccessible URL or unresponsive email address may lower the score." sqref="B330 B320:D320 B430:D430 B340:D340 B350:D350 B360:D360 B370:D370 B380:D380 B390:D390 B400:D400 B410:D410 B420:D420 B310:D310 B300 B723:D723" xr:uid="{4EB82FDC-8D32-4450-A0FC-377E2847F85F}">
      <formula1>$B$1896:$B$1901</formula1>
    </dataValidation>
    <dataValidation type="list" allowBlank="1" showInputMessage="1" showErrorMessage="1" sqref="BG5:BH5" xr:uid="{3594C189-12E8-426A-9419-2BD9AEF00759}">
      <formula1>$B$1904:$B$1906</formula1>
    </dataValidation>
    <dataValidation type="list" allowBlank="1" showInputMessage="1" showErrorMessage="1" error="Only three options available for now" promptTitle="Choose one" prompt="Select best option available. Be sure spelling is exact. An inaccessible URL or unresponsive email address may lower the score." sqref="C326 C316 C336 C346 C356 C366 C376 C386 C396 C406 C416 C426 C436 C306" xr:uid="{3655FF13-7C26-46D3-A5AE-CBDA8F5C4D9E}">
      <formula1>$D$1896:$D$1901</formula1>
    </dataValidation>
    <dataValidation type="list" allowBlank="1" showInputMessage="1" showErrorMessage="1" promptTitle="Applicability" prompt="How does this item apply to claimant?" sqref="B770:B789" xr:uid="{0205BCD1-6C25-4D84-992D-56F9012B7E87}">
      <formula1>$B$1908:$B$1910</formula1>
    </dataValidation>
    <dataValidation type="list" allowBlank="1" showInputMessage="1" showErrorMessage="1" promptTitle="Time of impact" prompt="When did or does this item impact claimant?" sqref="D770:D789" xr:uid="{B2F0858C-D4F3-4EA6-BBC4-D0B101283567}">
      <formula1>$B$1912:$B$1914</formula1>
    </dataValidation>
    <dataValidation type="list" allowBlank="1" showInputMessage="1" showErrorMessage="1" sqref="D278 D269" xr:uid="{D8B7F386-04AA-465D-9BE1-0D9313161FA6}">
      <formula1>$AE$218:$AE$219</formula1>
    </dataValidation>
    <dataValidation type="list" allowBlank="1" showInputMessage="1" showErrorMessage="1" prompt="claim to know real culprit?" sqref="C224" xr:uid="{261E57BA-A572-4BAE-A1F0-93B7F98CE78D}">
      <formula1>$AE$218:$AE$219</formula1>
    </dataValidation>
    <dataValidation type="list" allowBlank="1" showInputMessage="1" showErrorMessage="1" prompt="know where this codefendant currently lives?" sqref="B244 B232 B236 B240 B224" xr:uid="{F5F5B6C1-D982-4463-828D-6BD34FB29D2F}">
      <formula1>$AE$218:$AE$219</formula1>
    </dataValidation>
    <dataValidation type="list" allowBlank="1" showInputMessage="1" showErrorMessage="1" prompt="also claims innocence?" sqref="D228 D244 D232 D236 D240 D224" xr:uid="{E8B073E6-DC6C-44FC-9BAC-4767BD0A5786}">
      <formula1>$AG$218:$AG$220</formula1>
    </dataValidation>
    <dataValidation type="list" allowBlank="1" showInputMessage="1" showErrorMessage="1" prompt="know location where this codefendant currently lives?" sqref="B228" xr:uid="{DF64B3A5-3684-4162-B5EB-A392EC0F00BA}">
      <formula1>$AE$218:$AE$219</formula1>
    </dataValidation>
    <dataValidation type="list" allowBlank="1" showInputMessage="1" showErrorMessage="1" prompt="relation to claimant?" sqref="B227 B231 B243 B235 B239 B223" xr:uid="{2AD326A3-9752-43E6-BA97-DD4AA3590FBF}">
      <formula1>$AP$218:$AP$223</formula1>
    </dataValidation>
    <dataValidation type="list" allowBlank="1" showInputMessage="1" showErrorMessage="1" prompt="claims to know real culprit?" sqref="C228 C232 C236 C240 C244" xr:uid="{339A3E80-C7D9-4013-B7FE-7F50D0439CA4}">
      <formula1>$AE$218:$AE$219</formula1>
    </dataValidation>
    <dataValidation type="list" allowBlank="1" showInputMessage="1" showErrorMessage="1" promptTitle="US State or Federal" prompt="Select US State or federal jurisdiction for prosecuting this case." sqref="B208" xr:uid="{B5A64FB6-6380-4FC0-BABB-9C120CF43854}">
      <formula1>$B$2242:$B$2294</formula1>
    </dataValidation>
    <dataValidation type="list" allowBlank="1" showInputMessage="1" showErrorMessage="1" sqref="D284" xr:uid="{6C86D2EF-E2EA-451D-B941-97AF207AA07E}">
      <formula1>$C$2489:$C$2493</formula1>
    </dataValidation>
    <dataValidation type="list" allowBlank="1" showInputMessage="1" showErrorMessage="1" sqref="D218" xr:uid="{A7E323D7-D895-462C-80BA-BF0A3508F5B0}">
      <formula1>$C$2464:$C$2469</formula1>
    </dataValidation>
    <dataValidation type="list" allowBlank="1" showInputMessage="1" showErrorMessage="1" sqref="C218" xr:uid="{DE29532B-C20F-46E1-A647-357C4B35004B}">
      <formula1>$C$2456:$C$2460</formula1>
    </dataValidation>
    <dataValidation type="list" allowBlank="1" showInputMessage="1" showErrorMessage="1" sqref="D250" xr:uid="{D1D74F11-BA40-4CEB-AC05-3E36A7E9906B}">
      <formula1>$AC$249:$AC$250</formula1>
    </dataValidation>
    <dataValidation type="list" allowBlank="1" showInputMessage="1" showErrorMessage="1" sqref="D253" xr:uid="{ECA286AE-0AB7-4C9E-8D61-2320E7798F23}">
      <formula1>$C$2447:$C$2451</formula1>
    </dataValidation>
    <dataValidation type="list" allowBlank="1" showInputMessage="1" showErrorMessage="1" sqref="D170:D179" xr:uid="{4E8DB889-B139-41D9-B2CA-C1769F870FFC}">
      <formula1>$C$2395:$C$2405</formula1>
    </dataValidation>
    <dataValidation type="list" allowBlank="1" showInputMessage="1" showErrorMessage="1" prompt="how adjudicated?" sqref="D242 D222 D226 D230 D234 D238" xr:uid="{2B5C8425-5D59-46C8-92B9-6C58450521B7}">
      <formula1>$AL$221:$AL$224</formula1>
    </dataValidation>
    <dataValidation allowBlank="1" showInputMessage="1" showErrorMessage="1" prompt="Name of codefendant" sqref="B226 B222" xr:uid="{1989F37C-88A9-4785-9E77-22181727DB96}"/>
    <dataValidation type="list" allowBlank="1" showInputMessage="1" showErrorMessage="1" prompt="verdict?" sqref="D243 D223 D227 D231 D235 D239" xr:uid="{B15AD20F-EFF0-4988-8313-8AE5A6524430}">
      <formula1>$AD$226:$AD$228</formula1>
    </dataValidation>
    <dataValidation type="list" allowBlank="1" showInputMessage="1" showErrorMessage="1" sqref="D229 D233 D237 D241 D245" xr:uid="{92B1E70E-93F0-44EB-A997-1B7ACB7BFF73}">
      <formula1>$AC$221:$AC$222</formula1>
    </dataValidation>
    <dataValidation type="list" allowBlank="1" showInputMessage="1" showErrorMessage="1" prompt="convicted as?" sqref="C227 C243 C231 C235 C239 C223" xr:uid="{AA3FC724-FA37-4427-B977-B484971ACC69}">
      <formula1>$AH$221:$AH$223</formula1>
    </dataValidation>
    <dataValidation type="list" allowBlank="1" showInputMessage="1" showErrorMessage="1" prompt="charged as?" sqref="C226 C242 C230 C234 C238 C222" xr:uid="{34208648-A643-42A3-B7C3-B2E3EA59F1DB}">
      <formula1>$AH$221:$AH$223</formula1>
    </dataValidation>
    <dataValidation type="list" allowBlank="1" showInputMessage="1" showErrorMessage="1" sqref="C229 C233 C237 C241 C245" xr:uid="{B6D45BB9-291A-45C9-BF03-16C13074C873}">
      <formula1>$AH$221:$AH$223</formula1>
    </dataValidation>
    <dataValidation type="list" allowBlank="1" showInputMessage="1" showErrorMessage="1" sqref="B170:B179" xr:uid="{A2FF28A6-F9D9-448A-B8F9-723CD32A99E5}">
      <formula1>$B$2384:$B$2391</formula1>
    </dataValidation>
    <dataValidation allowBlank="1" showInputMessage="1" showErrorMessage="1" prompt="If still incarcerated or under custody conditions prohibiting direct calling, then write in &quot;see proxy&quot;." sqref="D154" xr:uid="{9870A3B6-A802-4463-A679-9FDC69378FF9}"/>
    <dataValidation allowBlank="1" showInputMessage="1" showErrorMessage="1" prompt="If still incarcerated or under custody conditions prohibiting Internet access, then write in &quot;see proxy&quot;." sqref="C154" xr:uid="{57BAA7C0-7DDA-4B14-86BA-BE6201ED4122}"/>
    <dataValidation allowBlank="1" showInputMessage="1" showErrorMessage="1" prompt="Be sure to spell exacdtly, or we may lose you. Check your email inbox to verify. Thanks." sqref="C164" xr:uid="{4D5EC9E4-3106-4EA0-A059-7047D544CB95}"/>
    <dataValidation type="list" allowBlank="1" showInputMessage="1" showErrorMessage="1" errorTitle="Oops" error="Choose from dropdown list" prompt="from list" sqref="D166" xr:uid="{EBF94AB6-72F5-4414-9941-7D807F8A59FC}">
      <formula1>$C$2440:$C$2443</formula1>
    </dataValidation>
    <dataValidation type="list" allowBlank="1" showInputMessage="1" showErrorMessage="1" sqref="D158" xr:uid="{E0E03081-42F9-4790-B6FC-C843D950183B}">
      <formula1>$C$2434:$C$2436</formula1>
    </dataValidation>
    <dataValidation type="list" allowBlank="1" showInputMessage="1" showErrorMessage="1" sqref="C158" xr:uid="{B3C46022-0FE9-468A-B14E-F7D684B3DB0F}">
      <formula1>$C$2428:$C$2431</formula1>
    </dataValidation>
    <dataValidation type="list" allowBlank="1" showInputMessage="1" showErrorMessage="1" sqref="D156" xr:uid="{5FDD92C0-390A-4269-B3A1-714B47E0DE03}">
      <formula1>$C$2423:$C$2425</formula1>
    </dataValidation>
    <dataValidation type="list" allowBlank="1" showInputMessage="1" showErrorMessage="1" sqref="C170:C179" xr:uid="{D049B26B-7198-471A-9F98-162E9E6A1391}">
      <formula1>$D$2384:$D$2386</formula1>
    </dataValidation>
    <dataValidation type="list" allowBlank="1" showInputMessage="1" showErrorMessage="1" errorTitle="Oops" error="Choose from dropdown list" prompt="from list" sqref="C166" xr:uid="{C0E939D7-D0E3-4FBE-9369-E3E021D2ABFE}">
      <formula1>$C$2409:$C$2420</formula1>
    </dataValidation>
    <dataValidation type="list" errorStyle="warning" allowBlank="1" showInputMessage="1" showErrorMessage="1" sqref="B1603" xr:uid="{0E17B0A3-1925-4795-AF8B-5A5270722DEF}">
      <formula1>$AF$1601:$AF$1605</formula1>
    </dataValidation>
  </dataValidations>
  <hyperlinks>
    <hyperlink ref="B464" r:id="rId1" xr:uid="{F9ABA327-063D-4AB3-BF50-F94B6CA14385}"/>
    <hyperlink ref="A532" r:id="rId2" xr:uid="{646F0A42-2DB4-4845-AAC5-400C099E7C99}"/>
    <hyperlink ref="B843" location="input!B12" display="Claim Synopsis" xr:uid="{22897E2A-10C2-44D1-97B1-72DAABD35020}"/>
    <hyperlink ref="A108" location="'EIF-Steph'!A149:F295" tooltip="&gt;&gt; click to go to section A &lt;&lt;" display="A" xr:uid="{B2706B73-02C3-4F3F-BE85-CC4F56B094AA}"/>
    <hyperlink ref="A110" location="'EIF-Steph'!A296:F461" tooltip="&gt;&gt; click to go to section B &lt;&lt;" display="B" xr:uid="{34019782-8B41-4865-AD9F-CFDD7F1A341A}"/>
    <hyperlink ref="A130" location="'EIF-Steph'!A762:F838" tooltip="&gt;&gt; click to go to section E &lt;&lt;" display="E." xr:uid="{F7324DED-F2EB-4A09-8B3A-11E344580816}"/>
    <hyperlink ref="A462" location="'EIF-Steph'!A112" tooltip="Contents menu" display="C.1" xr:uid="{E5AE9858-6DF5-47D8-802B-0C654EAF5D1D}"/>
    <hyperlink ref="A497" location="'EIF-Steph'!A114" tooltip="Contents menu" display="C.2" xr:uid="{CC8D5D75-25C9-4296-B86C-885095921458}"/>
    <hyperlink ref="A531" location="'EIF-Steph'!A116" tooltip="Contents menu" display="C.3" xr:uid="{A2BE1B73-1320-4A19-9988-0C16352A5A84}"/>
    <hyperlink ref="A599" location="'EIF-Steph'!A120" tooltip="Contents menu" display="C.5" xr:uid="{66B0AB0B-3EB9-472F-AF97-0DEC75EAB836}"/>
    <hyperlink ref="A642" location="'EIF-Steph'!A122" tooltip="Contents menu" display="C.6" xr:uid="{EF19FDA3-412D-4383-9254-DFF244178CF1}"/>
    <hyperlink ref="A681" location="'EIF-Steph'!A124" tooltip="Contents menu" display="C.7" xr:uid="{F695AC5A-F1E2-4BAB-93E7-F58753BCE4DF}"/>
    <hyperlink ref="A691" location="'EIF-Steph'!A126" tooltip="Contents menu" display="C.8" xr:uid="{5A6691C1-79BF-4CE9-B781-6AE79A6ACE40}"/>
    <hyperlink ref="A719" location="'EIF-Steph'!A128" tooltip="Contents menu" display="D." xr:uid="{948BED27-B11A-4C91-8183-DBD7235D3B86}"/>
    <hyperlink ref="A762" location="'EIF-Steph'!A130" tooltip="Contents menu" display="E." xr:uid="{43606602-89B6-4CE7-8CF9-566E9C0BED27}"/>
    <hyperlink ref="A839" location="'EIF-Steph'!A132" tooltip="Contents menu" display="F." xr:uid="{D9E53B5D-0D4B-4773-BAA0-E8DBA14A246F}"/>
    <hyperlink ref="AD2241" r:id="rId3" xr:uid="{291A9B0B-B2C4-42AF-9E0F-51812E8DFD95}"/>
    <hyperlink ref="AB2264" r:id="rId4" xr:uid="{615849E3-83A5-404E-AE44-B435DB6C11F8}"/>
    <hyperlink ref="B767" r:id="rId5" xr:uid="{957B4403-AE3C-4119-8364-05163C9E2D9D}"/>
    <hyperlink ref="A296" location="'EIF-Steph'!A110" tooltip="Contents menu" display="B." xr:uid="{7275F72F-CB8D-4CDC-BC1C-E9248FCBAB37}"/>
    <hyperlink ref="B441" r:id="rId6" xr:uid="{A7D69848-5562-43C0-A50C-67686F4AA532}"/>
    <hyperlink ref="B408" r:id="rId7" xr:uid="{96DFEB9F-808F-4779-A598-C667D641461D}"/>
    <hyperlink ref="C2369" r:id="rId8" display="https://www.sao4th.com/about/programs-and-initiatives/community-engagement/" xr:uid="{6A3FBD2B-9475-4054-B08B-14FBC496E973}"/>
    <hyperlink ref="C2370" r:id="rId9" display="https://www.sao4th.com/about/programs-and-initiatives/community-prosecution/" xr:uid="{A2831AE7-C620-44A1-9E98-B2BFFB5FA5A9}"/>
    <hyperlink ref="C2371" r:id="rId10" display="https://www.sao4th.com/about/programs-and-initiatives/diversion/" xr:uid="{CEE24525-F258-4A18-BA12-79BDCE4FE8E2}"/>
    <hyperlink ref="C2372" r:id="rId11" display="https://www.sao4th.com/about/programs-and-initiatives/human-rights-division/" xr:uid="{85D7B803-428D-4AC3-A499-60110ACB65C2}"/>
    <hyperlink ref="C2373" r:id="rId12" display="https://www.sao4th.com/about/programs-and-initiatives/juvenile-justice/" xr:uid="{DAFE5F63-2B3A-45C1-8668-F52BEC884F49}"/>
    <hyperlink ref="C2374" r:id="rId13" display="https://www.sao4th.com/about/programs-and-initiatives/mental-health/" xr:uid="{029D5381-571D-4953-A63D-CBEFEDABF938}"/>
    <hyperlink ref="C2375" r:id="rId14" display="https://www.sao4th.com/about/programs-and-initiatives/public-corruption/" xr:uid="{287C5574-8051-4D78-B456-EF8178827EA3}"/>
    <hyperlink ref="C2376" r:id="rId15" display="https://www.sao4th.com/about/programs-and-initiatives/restitution/" xr:uid="{394CF45D-CB3E-41AD-8905-DF8FDA663909}"/>
    <hyperlink ref="C2377" r:id="rId16" display="https://www.sao4th.com/about/programs-and-initiatives/restorative-justice/" xr:uid="{2A60C18D-A3DA-4F96-B72A-E66B127F1428}"/>
    <hyperlink ref="C2378" r:id="rId17" display="https://www.sao4th.com/about/programs-and-initiatives/violent-crime/" xr:uid="{E30A3225-CB66-4DE2-9C55-3A96858577D4}"/>
    <hyperlink ref="BB1" location="input!A1360" display="input!A1360" xr:uid="{E9BC7DD0-AF8C-457E-B3E3-94459A8130F8}"/>
    <hyperlink ref="B1055" r:id="rId18" xr:uid="{F46210F3-4A01-4332-8356-D9C4F89A65C6}"/>
    <hyperlink ref="A114" location="'EIF-Steph'!A497:F530" tooltip="&gt;&gt; click to go to section C.2 &lt;&lt;" display="C.2" xr:uid="{3168BE14-40B2-4F2C-8254-5F7B6AD4818C}"/>
    <hyperlink ref="A116" location="'EIF-Steph'!A531:F564" tooltip="&gt;&gt; click to go to section C.3 &lt;&lt;" display="C.3" xr:uid="{97017D97-2B9B-4D77-B547-5B1CAF2E718F}"/>
    <hyperlink ref="A118" location="'EIF-Steph'!A565:F598" tooltip="&gt;&gt; click to go section C.4 &lt;&lt;" display="C.4" xr:uid="{8E52D5E9-93A9-44C4-894B-91FB3227D9C4}"/>
    <hyperlink ref="A120" location="'EIF-Steph'!A599:F641" tooltip="&gt;&gt; click to go to section C.5 &lt;&lt;" display="C.5" xr:uid="{0D2667B6-79E8-4FB8-B9D2-F0E7C509FF07}"/>
    <hyperlink ref="A122" location="'EIF-Steph'!A642:F680" tooltip="&gt;&gt; click to go to section C.6 &lt;&lt;" display="C.6" xr:uid="{EDC80636-3EC1-461E-9BCA-4DA3F1386E89}"/>
    <hyperlink ref="A124" location="'EIF-Steph'!A681:F690" tooltip="&gt;&gt; click to go to section C.7 &lt;&lt;" display="C.7" xr:uid="{1A02AECA-8B0D-47D1-9BF7-97817E5028BE}"/>
    <hyperlink ref="A126" location="'EIF-Steph'!A691:F718" tooltip="&gt;&gt; click to go to section C.8 &lt;&lt;" display="C.8" xr:uid="{DBD6AE6B-7149-46F6-8CBC-1749ED2A8254}"/>
    <hyperlink ref="A128" location="'EIF-Steph'!A719:F761" tooltip="&gt;&gt; click to go to section D &lt;&lt;" display="D." xr:uid="{DEC9C4F9-8818-49B8-8333-89DF8677439F}"/>
    <hyperlink ref="A132" location="'EIF-Steph'!A839:F881" tooltip="&gt;&gt; click to go to section F &lt;&lt;" display="F." xr:uid="{E8CED42E-89A0-4932-B868-CAAF72B51FE7}"/>
    <hyperlink ref="A149" location="'EIF-Steph'!A108" tooltip="Contents menu above" display="A." xr:uid="{05EA3B87-4B79-4A0E-B267-17880AAD9F04}"/>
    <hyperlink ref="A1062" location="'EIF-Steph'!A134" tooltip="Contents menu" display="G." xr:uid="{4E990761-B343-4806-8699-9E43C82A5AA5}"/>
    <hyperlink ref="A1196" location="input!A140" tooltip="Contents menu" display="J." xr:uid="{0C84041B-1EF1-4642-B5B6-8018C1E0B827}"/>
    <hyperlink ref="A1550" location="input!A144" tooltip="Contents menu" display="L." xr:uid="{A39DE212-BAB3-437E-9A0D-7A9567A2668E}"/>
    <hyperlink ref="AR781" location="input!W214" display="GO" xr:uid="{43188ABE-AA93-4144-BCEF-C72E48CED53E}"/>
    <hyperlink ref="AZ257" location="input!Z725" display="Z725" xr:uid="{976FE3A4-E5BE-4123-B464-828D30A18F89}"/>
    <hyperlink ref="B272:C272" location="input!A1030:F1072" display="If exonerated, expect to seek compensation?" xr:uid="{E6765380-4EA0-40E2-90F8-23485A396B5A}"/>
    <hyperlink ref="B278:C278" location="input!B595" display="Asked an Innocence Project for help or something like it?" xr:uid="{1D391553-AD2B-444E-A46C-8F411040DD8B}"/>
    <hyperlink ref="A882" location="input!A134" tooltip="Contents menu" display="G." xr:uid="{2A249574-C850-4043-A5E6-4097C4CCF3FB}"/>
    <hyperlink ref="C1493" location="'AI01'!A1" display="'AI01'!A1" xr:uid="{2D88DB6B-00C6-4204-8DCB-3F4AEEB17F01}"/>
    <hyperlink ref="C1493:D1493" location="'N2'!A1" tooltip="&gt;&gt; click to go to N2 notification &lt;&lt;" display="'N2'!A1" xr:uid="{057124A4-34B7-41EB-904C-B1ECC29DCF70}"/>
    <hyperlink ref="C1513" location="'AI01'!A1" display="'AI01'!A1" xr:uid="{9633655B-6C45-45F6-96BB-D9137842C89C}"/>
    <hyperlink ref="C1513:D1513" location="'N4'!A1" tooltip="&gt;&gt; click to go to N4 notification &lt;&lt;" display="'N4'!A1" xr:uid="{9A54FB3A-256B-467B-9B1B-3621A3287D5C}"/>
    <hyperlink ref="C1523" location="'AI01'!A1" display="'AI01'!A1" xr:uid="{9DC7E00D-E168-4172-B19E-DA22D36A83EB}"/>
    <hyperlink ref="C1523:D1523" location="'N5'!A1" tooltip="&gt;&gt; click to go to N5 notification &lt;&lt;" display="'N5'!A1" xr:uid="{12AE5DEE-BA02-4DFA-B5C5-072384170843}"/>
    <hyperlink ref="C1533" location="'AI01'!A1" display="'AI01'!A1" xr:uid="{7D92722D-C99D-4DD3-8A9D-C1656E59F41B}"/>
    <hyperlink ref="C1533:D1533" location="'N6'!A1" tooltip="&gt;&gt; click to go to N6 notification &lt;&lt;" display="'N6'!A1" xr:uid="{0CA7D753-5FA5-432D-BE90-AE99729336AF}"/>
    <hyperlink ref="A1201:B1201" location="'S01'!C4" display="'S01'!C4" xr:uid="{54A239EC-1ADA-478C-AA1F-A10F3AF7445C}"/>
    <hyperlink ref="C1483:D1483" location="'N1'!A1:J1" tooltip="&gt;&gt; go to N1 notification &lt;&lt;" display="'N1'!A1:J1" xr:uid="{9AEAC0C2-3A67-4774-B125-57C186D6D756}"/>
    <hyperlink ref="B1201" location="'S01'!A1:F1" tooltip="CLICK to go to Supporter 1 tab" display="Supporter 01:" xr:uid="{2E5A892D-AA98-40BF-A21C-02126EF69BC9}"/>
    <hyperlink ref="C1110" location="'AI01'!A1:J1" tooltip="click to go to AI01 tab, first place for receiving your notification of estimated innocence" display="(AI01 and so forth) and review the information. " xr:uid="{04127D7B-30E1-43B7-A509-86DCCF90A760}"/>
    <hyperlink ref="C1503" location="'AI01'!A1" display="'AI01'!A1" xr:uid="{A79E60DF-C785-4157-ACB0-F44DA7685380}"/>
    <hyperlink ref="C1503:D1503" location="'N3'!A1" tooltip="&gt;&gt; click to go to N3 notification &lt;&lt;" display="'N3'!A1" xr:uid="{BDC8AC1B-674C-43A3-A57E-DEC9C685837B}"/>
    <hyperlink ref="A1104" location="input!A138" tooltip="Contents menu" display="I. " xr:uid="{5B550264-E37C-4838-B02C-7B75B3FA88D0}"/>
    <hyperlink ref="B149:E149" location="input!A1" tooltip="back to top" display="Case Information" xr:uid="{B2B8C972-45D1-4AEE-B9E4-24CEB56AF502}"/>
    <hyperlink ref="B296:E296" location="input!A1" tooltip="back to top" display="Documentation for verification" xr:uid="{8FDD2197-51F3-45A6-96C5-20A1BE887BF1}"/>
    <hyperlink ref="B462:E462" location="input!A1" tooltip="back to top" display="Common Factors in Wrongful Convictions" xr:uid="{4BBCF9C0-0092-4C6F-B940-D96639EAF756}"/>
    <hyperlink ref="B497:E497" location="input!A1" tooltip="back to top" display="Evidentiary Factors" xr:uid="{DEF995BD-F458-4624-80EF-1D3ECBD356C1}"/>
    <hyperlink ref="B531:E531" location="input!A1" tooltip="back to top" display="Investigative Factors" xr:uid="{7DF03C92-537D-49A1-A8E9-43BA6A44B8DD}"/>
    <hyperlink ref="B565:E565" location="input!A1" tooltip="back to top" display="Complicating Factors" xr:uid="{2B21EE48-F6FD-45DB-8419-FF8B0CEF1949}"/>
    <hyperlink ref="B599:E599" location="input!A1" tooltip="back to top" display="Claimant’s demonstratable innocence" xr:uid="{2BAA27F0-C97C-4090-B14E-42BF5C10DD2D}"/>
    <hyperlink ref="B642:E642" location="input!A1" tooltip="back to top" display="Claimant’s innocence recognized by others" xr:uid="{F5CC0923-3FC3-4FBC-9E83-2FF077485C77}"/>
    <hyperlink ref="B681:E681" location="input!A1" tooltip="back to top" display="Other" xr:uid="{E67BF5E4-9A8D-4020-9C83-104A6830B02A}"/>
    <hyperlink ref="B691:E691" location="input!A1" tooltip="back to top" display="Process" xr:uid="{19AA4A47-CAAF-438A-8012-F585F315FD5E}"/>
    <hyperlink ref="A565" location="'EIF-Steph'!A118" tooltip="Contents menu" display="C.4" xr:uid="{9E04B644-8F27-4D29-92E0-71605381F7E5}"/>
    <hyperlink ref="B719:E719" location="input!A1" tooltip="back to top" display="Requests and responses for exoneration help" xr:uid="{B4BE694F-BC6F-4328-A005-F097D36B88C9}"/>
    <hyperlink ref="B762:E762" location="input!A1" tooltip="back to top" display="Collateral consequences of conviction" xr:uid="{23997A14-DD51-4F3E-966A-4BBE4E9C28F7}"/>
    <hyperlink ref="B839:E839" location="input!A1" tooltip="back to top" display="Claimant narrative" xr:uid="{D9E30B50-0BF6-4E0D-B493-0425AC280EDE}"/>
    <hyperlink ref="B882:E882" location="input!A1" tooltip="back to top" display="Dynamic Relating" xr:uid="{172E5564-7E4A-472C-ABF0-F9A37E8C2D28}"/>
    <hyperlink ref="B1062:E1062" location="input!A1" tooltip="back to top" display="Compensation" xr:uid="{8459BC33-A6B7-4A66-A040-6DF9331EF16D}"/>
    <hyperlink ref="B1104:E1104" location="input!A1" tooltip="back to top" display="Options" xr:uid="{6A24C0B6-3A84-48D7-888B-05B73DC1471C}"/>
    <hyperlink ref="B1196:E1196" location="input!A1" tooltip="back to top" display="Supporter(s)" xr:uid="{92C221FC-3203-46E7-B232-F76F742C7B97}"/>
    <hyperlink ref="B1476:E1476" location="input!A1" tooltip="back to top" display="Notifying" xr:uid="{29027EC8-F3D6-4889-85B5-3BB5CB41AE94}"/>
    <hyperlink ref="B1550:E1550" location="input!A1" tooltip="back to top" display="Independent Verifier(s)" xr:uid="{87BAC090-97C8-4635-BE65-B6263A726E20}"/>
    <hyperlink ref="B1597:E1597" location="input!A1" tooltip="back to top" display="Next" xr:uid="{621D0241-CDA3-46FD-96A3-BE67CCB3E54E}"/>
    <hyperlink ref="B1211" location="'S02'!A1:F1" tooltip="CLICK to go to Supporter 2 tab" display="Supporter 02" xr:uid="{28C651CE-2E74-4410-9161-F0B0D9D399CA}"/>
    <hyperlink ref="B1221" location="'S03'!A1:F1" tooltip="CLICK to go to Supporter 3 tab" display="Supporter 03" xr:uid="{AB6E5FF1-1213-4627-B457-F2FE6452D56E}"/>
    <hyperlink ref="B1231" location="'S04'!A1:F1" tooltip="CLICK to go to Supporter 4 tab" display="Supporter 04" xr:uid="{373D502A-36F2-4E69-A586-D2814CED3D9D}"/>
    <hyperlink ref="B1241" location="'N5'!A1:F1" tooltip="CLICK to go to Supporter 5 tab" display="Supporter 05" xr:uid="{BF50739F-5E14-4A37-BB2B-B27557970E71}"/>
    <hyperlink ref="B1251" location="'S06'!A1:F1" tooltip="CLICK to go to Supporter 6 tab" display="Supporter 06" xr:uid="{BB933012-CC59-414D-940E-486588386A4F}"/>
    <hyperlink ref="B1261" location="'S07'!A1:F1" tooltip="CLICK to go to Supporter 7 tab" display="Supporter 07" xr:uid="{32371745-9A0C-42B9-A33C-A3A318A5DC5E}"/>
    <hyperlink ref="B1271" location="'S08'!A1:F1" tooltip="CLICK to go to Supporter 8 tab" display="Supporter 08" xr:uid="{02345E58-1D1C-4A0D-8F4D-75D8CB41B3C2}"/>
    <hyperlink ref="B1281" location="'S09'!A1:F1" tooltip="CLICK to go to Supporter 9 tab" display="Supporter 09" xr:uid="{93318C6D-DD3D-4CD9-8DDA-D986455D79B2}"/>
    <hyperlink ref="B1291" location="'S10'!A1:F1" tooltip="CLICK to go to Supporter 10 tab" display="Supporter 10" xr:uid="{23533F57-9502-4289-9190-A098ED141C50}"/>
    <hyperlink ref="B1301" location="'S11'!A1:F1" tooltip="CLICK to go to Supporter 11 tab" display="Supporter 11" xr:uid="{AB47F7C3-E16B-480F-940E-8E1876937E2C}"/>
    <hyperlink ref="B1311" location="'S12'!A1:F1" tooltip="CLICK to go to Supporter 12 tab" display="Supporter 12" xr:uid="{C2662516-5D7F-460B-8FA5-2E320A2DDD00}"/>
    <hyperlink ref="B1321" location="'S13'!A1:F1" tooltip="CLICK to go to Supporter 13 tab" display="Supporter 13" xr:uid="{A3AEA546-1588-4648-B284-7EAD469B8E35}"/>
    <hyperlink ref="B1331" location="'S14'!A1:F1" tooltip="CLICK to go to Supporter 14 tab" display="Supporter 14" xr:uid="{826D91F4-FF3E-481F-AE6E-F3AE15AF090F}"/>
    <hyperlink ref="B301" r:id="rId19" xr:uid="{652FD39A-ABD6-4A15-B522-E195E7662ABC}"/>
    <hyperlink ref="B311" r:id="rId20" xr:uid="{D001388B-93E2-4140-B1D1-20A4A9D2D7B1}"/>
    <hyperlink ref="B321" r:id="rId21" xr:uid="{A64ACA37-FB89-425C-AD5F-FDA53997C4B6}"/>
    <hyperlink ref="B351" r:id="rId22" xr:uid="{A30C35B5-2423-48EE-BB2A-792562BD805D}"/>
    <hyperlink ref="B361" r:id="rId23" xr:uid="{0E2316D5-8394-4CB7-81F6-D21CB4F96A7C}"/>
    <hyperlink ref="B371" r:id="rId24" xr:uid="{E2826247-85F6-40D0-AE7D-A17E6C00C8B1}"/>
    <hyperlink ref="B341" r:id="rId25" xr:uid="{C96B771A-B7D5-46A5-BBC4-906A80DBD6EF}"/>
    <hyperlink ref="B538" r:id="rId26" tooltip="Wikipedia entry" xr:uid="{13F66E1D-1F32-4040-8EBE-BE4AF5866098}"/>
    <hyperlink ref="B533" r:id="rId27" tooltip="Government website info on tunnel vision" xr:uid="{FE8D2FEB-FA25-462A-B0F8-D0DD03BE86FC}"/>
    <hyperlink ref="B2221" r:id="rId28" display="http://www.wrongfulconvictionlawyers.com/state-statutes/" xr:uid="{9B38B1B9-0E57-44D9-8D43-3A23C0273210}"/>
    <hyperlink ref="AB2256" r:id="rId29" xr:uid="{FA10CD67-9610-4A8C-826A-970A4856EF55}"/>
    <hyperlink ref="AB2258" r:id="rId30" xr:uid="{66A4B74E-51FE-4C5D-B4BE-49A482531645}"/>
    <hyperlink ref="AB2293" r:id="rId31" xr:uid="{2F5A943C-89B6-42AC-BD44-90A9C543D5C0}"/>
    <hyperlink ref="B1608" r:id="rId32" tooltip="Hoffman, Morris B. (2007). The Myth of Factual Innocence. 82 Chi.-Kent L. Rev. 663. | judicial official | def. &quot;actual innocence&quot; | qualitative method" xr:uid="{3AAC5537-3033-4327-9BFE-75E467E312FF}"/>
    <hyperlink ref="AC1605:AE1605" r:id="rId33" tooltip="source" display="https://leg.mt.gov/content/Committees/Interim/2019-2020/Law-and-Justice/Meetings/Nov-2019/sj19-doj-map-sex-offenders-per-capita-november-2019.pdf" xr:uid="{8C8F3650-5AAD-4454-9580-AE45BC256A22}"/>
    <hyperlink ref="B1611" r:id="rId34" tooltip="Cassell, Paul G. (2018). Overstating America’s Wrongful Conviction Rate? Reassessing the Conventional Wisdom About the Prevalence of Wrongful Convictions. Arizona Law Review, 60:815." xr:uid="{41C2BF6F-FDF0-4F38-B153-FE444C738E30}"/>
    <hyperlink ref="B1614" r:id="rId35" tooltip="Kansas v. Marsh (2006). U.S. Supreme Court Justice Antonin Scalia, quoting Joshua Marquis in U.S. Supreme Court opinion; Marquis, J. (2005). The Myth of Innocence, 95 J. Crim. L. &amp; Criminology 501." xr:uid="{EBB5A89B-94DC-405A-9B5C-F26475C46A7D}"/>
    <hyperlink ref="B1617" r:id="rId36" tooltip="Zalman, Marvin (2012). Qualitatively Estimating the Incidence of Wrongful Convictions. Criminal Law Bulletin, 48:2, 219-279." xr:uid="{4378E38E-2AA2-4CF7-994C-84D2010D36CE}"/>
    <hyperlink ref="B1620" r:id="rId37" tooltip="Ramsey, Robert H. and Frank, James (2007). Wrongful Conviction: Perceptions of Criminal Justice Professionals Regarding the Frequency of Wrongful Conviction and the Extent of System Errors. Crime &amp; Delinq, 53:3, 436-470." xr:uid="{D88C19DA-712D-454E-B726-AF9E65419339}"/>
    <hyperlink ref="B1623" r:id="rId38" tooltip="Gross, Samuel R. (2008). “Frequency and Predictors of False Conviction: Why We Know So Little, and New Data on Capital Cases.” B. O’Brien, co-author. J. Empirical Legal Stud. 5, no. 4: 927-6" xr:uid="{98B3CEB1-9280-4EA3-935E-7E1585D2500F}"/>
    <hyperlink ref="B1626" r:id="rId39" tooltip="Risinger, D.M. (2007). Innocents Convicted: An Empirical Justified Factual Wrongful Conviction Rate, J. Crim. L. &amp; Criminology 97:761." xr:uid="{755EA02D-63A3-4243-8D76-C706F8B93B7E}"/>
    <hyperlink ref="B1629" r:id="rId40" tooltip="Samuel R. Gross, Barbara O’Brien, Chen Hu, and Edward H. Kennedy (2014). Rate of False Conviction of Criminal Defendants Who are Sentenced to Death. Proceedings of the National Academy of Science, 111:2, 7230-7235." xr:uid="{CAC93E58-55FC-4055-833D-F31CC4DBB287}"/>
    <hyperlink ref="B1632" r:id="rId41" tooltip="John Roman, Kelly Walsh, Pamela Lachman, and Jennifer Yahner (2012). Post-Conviction DNA Testing and Wrongful Conviction. Urban Institute." xr:uid="{8C4F1389-5F7C-42A7-A6E9-73A994BCC86B}"/>
    <hyperlink ref="B1635" r:id="rId42" tooltip="Loeffler, C.E., Hyatt, J. &amp; Ridgeway, G. (2019). Measuring Self-Reported Wrongful Convictions Among Prisoners. J Quant Criminol 35, 259–286." xr:uid="{51761FDE-411E-4CDA-A373-F2706228A313}"/>
    <hyperlink ref="B1638" r:id="rId43" tooltip="Walsh, K., Hussemann, J., Flynn, A., Yahner, J., Golian, L. (2017). Estimating the Prevalence of Wrongful Conviction. Office of Justice Programs’ National Criminal Justice Reference Service." xr:uid="{22B82A06-1672-42FF-A35D-33A655315799}"/>
    <hyperlink ref="B1641" r:id="rId44" tooltip="Poveda, T.G. (2001). Estimating Wrongful Convictions. Justice Quarterly, 18:3, 689-708." xr:uid="{024FCC87-0442-43EE-944C-34A5F62D5059}"/>
    <hyperlink ref="A112" location="'EIF-Steph'!A462:F530" tooltip="&gt;&gt; click to go to section C.1 &lt;&lt;" display="C.1" xr:uid="{61F8887E-D3FD-4F23-B92B-48436EE207CE}"/>
    <hyperlink ref="B149" location="'EIF-Steph'!A1" tooltip="back to top" display="Case information" xr:uid="{CDB6FE52-71EC-4B01-BF21-46B969782532}"/>
    <hyperlink ref="B296" location="'EIF-Steph'!A1" tooltip="back to top" display="Documentation for verification" xr:uid="{6D43EB51-035E-43E4-9EF8-4B5BB62BCF89}"/>
    <hyperlink ref="B462" location="'EIF-Steph'!A1" tooltip="back to top" display="Common factors in wrongful convictions" xr:uid="{867650CB-784D-456F-BFA8-39BAA63F78F9}"/>
    <hyperlink ref="B531" location="'EIF-Steph'!A1" tooltip="back to top" display="Investigative factors" xr:uid="{51074A79-F98B-4018-A8C4-1B059264B97A}"/>
    <hyperlink ref="B565" location="'EIF-Steph'!A1" tooltip="back to top" display="Complicating factors" xr:uid="{E7FAB7B5-2471-4D8D-ABB2-8749567846DF}"/>
    <hyperlink ref="B599" location="'EIF-Steph'!A1" tooltip="back to top" display="Claimant’s demonstratable innocence" xr:uid="{F0B76086-6FC0-4A16-A1B2-0D035F342949}"/>
    <hyperlink ref="B642" location="'EIF-Steph'!A1" tooltip="back to top" display="Claimant’s innocence recognized by others" xr:uid="{C23B9FA5-CF23-42D1-A3E1-E4C38A68A20A}"/>
    <hyperlink ref="B681" location="'EIF-Steph'!A1" tooltip="back to top" display="Other" xr:uid="{A3D595BC-C02A-415D-BE1B-A099A33FB4D1}"/>
    <hyperlink ref="B719" location="'EIF-Steph'!A1" tooltip="back to top" display="Requests and responses for exoneration help" xr:uid="{65ACE180-49FF-472B-8F25-DFC44D3E641B}"/>
    <hyperlink ref="B762" location="'EIF-Steph'!A1" tooltip="back to top" display="Collateral consequences of conviction" xr:uid="{A987DF6D-87BA-4B96-8E40-B22D0A94B7EF}"/>
    <hyperlink ref="B839" location="'EIF-Steph'!A1" tooltip="back to top" display="Claimant narrative" xr:uid="{CF258F94-F930-4C49-9F3D-E351D21DCAC5}"/>
    <hyperlink ref="B1062" location="'EIF-Steph'!A1" tooltip="back to top" display="Compensation" xr:uid="{5CFF7FC4-6EAA-4401-A1F4-46BA3A792E85}"/>
    <hyperlink ref="B1597" location="'EIF-Steph'!A1" tooltip="back to top" display="You're not alone" xr:uid="{39AF0557-0723-495B-BD30-B62C1AF509CF}"/>
    <hyperlink ref="A1597" location="'EIF-Steph'!A136" display="H." xr:uid="{136BB465-6F65-498B-A18C-52E61FA68848}"/>
    <hyperlink ref="F149" location="'EIF-Steph'!A296:F296" tooltip="to B. Documentation for verfication" display="$" xr:uid="{696F89C9-E840-40AC-BB8C-56DD7B9EBD61}"/>
    <hyperlink ref="F296" location="'EIF-Steph'!A462:F462" tooltip="to C.1 Common factors in wrongful convictions" display="$" xr:uid="{F294FD0A-C623-4EDA-A1B2-C96E9E93FAC4}"/>
    <hyperlink ref="F462" location="'EIF-Steph'!A497:F497" tooltip="to C.2 Evidentiary factors" display="$" xr:uid="{9009F57F-E4B2-4CC3-9BF5-4D78986B779A}"/>
    <hyperlink ref="F691" location="'EIF-Steph'!A719:F719" tooltip="to D. Requests &amp; responses for exoneration help" display="$" xr:uid="{CD62F29C-9D72-4BA5-82E8-D62D1A7A5F64}"/>
    <hyperlink ref="F681" location="'EIF-Steph'!A691:F691" tooltip="C.8 Process" display="$" xr:uid="{92DEF7C2-4E12-4119-A40E-06FD09B88ED3}"/>
    <hyperlink ref="F642" location="'EIF-Steph'!A681:F681" tooltip="to C.7 Other" display="$" xr:uid="{134A5264-6C45-4A4F-9490-43A5B6B7F162}"/>
    <hyperlink ref="F599" location="'EIF-Steph'!A642:F642" tooltip="to C.6 Claimant's innocence recognized by others" display="$" xr:uid="{71CB6364-405B-4AD7-9B6D-1C05DF65BD2F}"/>
    <hyperlink ref="F565" location="'EIF-Steph'!A599:F599" tooltip="to C.5 Claimant's demonstrable innocence" display="$" xr:uid="{BAF4C4CF-3B76-41B5-9A20-93A95633972E}"/>
    <hyperlink ref="F531" location="'EIF-Steph'!A565:F565" tooltip="to C.4 Complicating factors" display="$" xr:uid="{F3DF9316-74B7-4E9F-9828-1F61F9D7EF24}"/>
    <hyperlink ref="F497" location="'EIF-Steph'!A531:F531" tooltip="to C.3 Investigative factors" display="$" xr:uid="{3F8BB4F0-5ED2-4322-A11D-0FA2D1BBDD3C}"/>
    <hyperlink ref="A134" location="'EIF-Steph'!A1062:F1103" tooltip="&gt;&gt; click to go to section G &lt;&lt;" display="'EIF-Steph'!A1062:F1103" xr:uid="{D554BE04-C113-4037-A563-21DC329024CA}"/>
    <hyperlink ref="A136" location="'EIF-Steph'!A1597:F1646" tooltip="&gt;&gt; click to go to section H &lt;&lt;" display="'EIF-Steph'!A1597:F1646" xr:uid="{7FCC3678-1D21-4ABD-8083-CB898112AA54}"/>
    <hyperlink ref="F719" location="'EIF-Steph'!A762:F762" tooltip="to E. Collateral consequences of wrongful conviction" display="$" xr:uid="{C6E908CC-D5AC-421B-B975-EDC7A6819EAB}"/>
    <hyperlink ref="F762" location="'EIF-Steph'!A839:F839" tooltip="F. Claimant narrative" display="$" xr:uid="{9C1536E3-CD51-4C07-A887-0CCF35FFCED5}"/>
    <hyperlink ref="F839" location="'EIF-Steph'!A1062:F1062" tooltip="G. Compensation" display="$" xr:uid="{AE440426-80A7-4B30-84DA-F9091A93F8E1}"/>
    <hyperlink ref="F1062" location="'EIF-Steph'!A1597:F1597" tooltip="H. You're not alone" display="$" xr:uid="{FE59CB4F-6934-415A-AC0F-8BE82AAA4466}"/>
    <hyperlink ref="F1597" location="'EIF-Steph'!A1:F3" tooltip="back to the top" display="#" xr:uid="{A8942A99-8808-4947-A84A-2D4AFFCE6EE5}"/>
  </hyperlinks>
  <pageMargins left="0.7" right="0.7" top="0.75" bottom="0.75" header="0.3" footer="0.3"/>
  <pageSetup orientation="portrait" r:id="rId45"/>
  <headerFooter>
    <oddHeader xml:space="preserve">&amp;L&amp;"-,Bold"&amp;14Estimated Innocence Form &amp;K01+048-A&amp;R&amp;D
</oddHeader>
    <oddFooter>&amp;L&amp;A&amp;C&amp;P&amp;R&amp;G</oddFooter>
  </headerFooter>
  <drawing r:id="rId46"/>
  <legacyDrawing r:id="rId47"/>
  <legacyDrawingHF r:id="rId48"/>
  <extLst>
    <ext xmlns:x14="http://schemas.microsoft.com/office/spreadsheetml/2009/9/main" uri="{78C0D931-6437-407d-A8EE-F0AAD7539E65}">
      <x14:conditionalFormattings>
        <x14:conditionalFormatting xmlns:xm="http://schemas.microsoft.com/office/excel/2006/main">
          <x14:cfRule type="containsText" priority="482" operator="containsText" id="{36AC962A-E4C2-4319-9C45-BC9758512172}">
            <xm:f>NOT(ISERROR(SEARCH($AM$1,BG1)))</xm:f>
            <xm:f>$AM$1</xm:f>
            <x14:dxf>
              <font>
                <color rgb="FF00B050"/>
              </font>
              <fill>
                <patternFill>
                  <bgColor theme="2"/>
                </patternFill>
              </fill>
            </x14:dxf>
          </x14:cfRule>
          <x14:cfRule type="containsText" priority="483" operator="containsText" id="{DE754C18-A1CE-40EF-8C4C-D064E7536B09}">
            <xm:f>NOT(ISERROR(SEARCH($AL$1,BG1)))</xm:f>
            <xm:f>$AL$1</xm:f>
            <x14:dxf>
              <font>
                <color rgb="FF92D050"/>
              </font>
              <fill>
                <patternFill>
                  <bgColor theme="2"/>
                </patternFill>
              </fill>
            </x14:dxf>
          </x14:cfRule>
          <x14:cfRule type="containsText" priority="484" operator="containsText" id="{60BB41C8-5224-4D49-AD74-015C7B7D7EAC}">
            <xm:f>NOT(ISERROR(SEARCH($AK$1,BG1)))</xm:f>
            <xm:f>$AK$1</xm:f>
            <x14:dxf>
              <font>
                <color theme="7" tint="-0.24994659260841701"/>
              </font>
              <fill>
                <patternFill patternType="solid">
                  <bgColor theme="2"/>
                </patternFill>
              </fill>
            </x14:dxf>
          </x14:cfRule>
          <x14:cfRule type="containsText" priority="485" operator="containsText" id="{2688B354-3E99-4EBE-88F5-EB75738FFE42}">
            <xm:f>NOT(ISERROR(SEARCH($AJ$1,BG1)))</xm:f>
            <xm:f>$AJ$1</xm:f>
            <x14:dxf>
              <font>
                <color theme="5" tint="-0.24994659260841701"/>
              </font>
              <fill>
                <patternFill patternType="solid">
                  <bgColor theme="2"/>
                </patternFill>
              </fill>
            </x14:dxf>
          </x14:cfRule>
          <x14:cfRule type="containsText" priority="486" operator="containsText" id="{3F1E7AAC-38A3-40A3-8287-E1A1E2228C87}">
            <xm:f>NOT(ISERROR(SEARCH($AI$1,BG1)))</xm:f>
            <xm:f>$AI$1</xm:f>
            <x14:dxf>
              <font>
                <strike val="0"/>
                <color rgb="FF9C0006"/>
              </font>
              <fill>
                <patternFill patternType="solid">
                  <bgColor theme="2"/>
                </patternFill>
              </fill>
            </x14:dxf>
          </x14:cfRule>
          <xm:sqref>BG1</xm:sqref>
        </x14:conditionalFormatting>
        <x14:conditionalFormatting xmlns:xm="http://schemas.microsoft.com/office/excel/2006/main">
          <x14:cfRule type="containsText" priority="477" operator="containsText" id="{1B366E4A-9727-4401-AFFA-0E439A665093}">
            <xm:f>NOT(ISERROR(SEARCH($AM$1,BG2)))</xm:f>
            <xm:f>$AM$1</xm:f>
            <x14:dxf>
              <font>
                <color rgb="FF00B050"/>
              </font>
              <fill>
                <patternFill>
                  <bgColor theme="2"/>
                </patternFill>
              </fill>
            </x14:dxf>
          </x14:cfRule>
          <x14:cfRule type="containsText" priority="478" operator="containsText" id="{CB39920A-D108-4156-9825-F9ED503C1D61}">
            <xm:f>NOT(ISERROR(SEARCH($AL$1,BG2)))</xm:f>
            <xm:f>$AL$1</xm:f>
            <x14:dxf>
              <font>
                <color rgb="FF92D050"/>
              </font>
              <fill>
                <patternFill>
                  <bgColor theme="2"/>
                </patternFill>
              </fill>
            </x14:dxf>
          </x14:cfRule>
          <x14:cfRule type="containsText" priority="479" operator="containsText" id="{385D9711-F538-44E0-9E24-0E2D54DA2D0B}">
            <xm:f>NOT(ISERROR(SEARCH($AK$1,BG2)))</xm:f>
            <xm:f>$AK$1</xm:f>
            <x14:dxf>
              <font>
                <color theme="7" tint="-0.24994659260841701"/>
              </font>
              <fill>
                <patternFill patternType="solid">
                  <bgColor theme="2"/>
                </patternFill>
              </fill>
            </x14:dxf>
          </x14:cfRule>
          <x14:cfRule type="containsText" priority="480" operator="containsText" id="{B457FB1A-9FD2-4C9B-8980-8234BF0832CB}">
            <xm:f>NOT(ISERROR(SEARCH($AJ$1,BG2)))</xm:f>
            <xm:f>$AJ$1</xm:f>
            <x14:dxf>
              <font>
                <color theme="5" tint="-0.24994659260841701"/>
              </font>
              <fill>
                <patternFill patternType="solid">
                  <bgColor theme="2"/>
                </patternFill>
              </fill>
            </x14:dxf>
          </x14:cfRule>
          <x14:cfRule type="containsText" priority="481" operator="containsText" id="{7EF38E0A-543F-4C15-9680-4EAECF9359EA}">
            <xm:f>NOT(ISERROR(SEARCH($AI$1,BG2)))</xm:f>
            <xm:f>$AI$1</xm:f>
            <x14:dxf>
              <font>
                <strike val="0"/>
                <color rgb="FF9C0006"/>
              </font>
              <fill>
                <patternFill patternType="solid">
                  <bgColor theme="2"/>
                </patternFill>
              </fill>
            </x14:dxf>
          </x14:cfRule>
          <xm:sqref>BG2:BG3</xm:sqref>
        </x14:conditionalFormatting>
        <x14:conditionalFormatting xmlns:xm="http://schemas.microsoft.com/office/excel/2006/main">
          <x14:cfRule type="containsText" priority="279" operator="containsText" id="{C2111ADA-15A1-4707-AF87-64FBB285687C}">
            <xm:f>NOT(ISERROR(SEARCH($AG$14,B14)))</xm:f>
            <xm:f>$AG$14</xm:f>
            <x14:dxf>
              <font>
                <color theme="0" tint="-0.499984740745262"/>
              </font>
              <fill>
                <patternFill>
                  <bgColor theme="0" tint="-0.14996795556505021"/>
                </patternFill>
              </fill>
            </x14:dxf>
          </x14:cfRule>
          <xm:sqref>B14:D14</xm:sqref>
        </x14:conditionalFormatting>
        <x14:conditionalFormatting xmlns:xm="http://schemas.microsoft.com/office/excel/2006/main">
          <x14:cfRule type="containsText" priority="858" operator="containsText" id="{CA187835-8421-4AE2-8BBD-F61B2719A2FB}">
            <xm:f>NOT(ISERROR(SEARCH($D$1862,B280)))</xm:f>
            <xm:f>$D$1862</xm:f>
            <x14:dxf>
              <font>
                <color auto="1"/>
              </font>
              <fill>
                <patternFill>
                  <bgColor theme="0"/>
                </patternFill>
              </fill>
              <border>
                <bottom style="thin">
                  <color rgb="FFEAE3D2"/>
                </bottom>
              </border>
            </x14:dxf>
          </x14:cfRule>
          <xm:sqref>B280:D280</xm:sqref>
        </x14:conditionalFormatting>
        <x14:conditionalFormatting xmlns:xm="http://schemas.microsoft.com/office/excel/2006/main">
          <x14:cfRule type="containsText" priority="271" operator="containsText" id="{4302CFB5-E6EA-43E6-9702-FAEFBB495C73}">
            <xm:f>NOT(ISERROR(SEARCH($C$152,B59)))</xm:f>
            <xm:f>$C$152</xm:f>
            <x14:dxf>
              <font>
                <color auto="1"/>
              </font>
              <fill>
                <patternFill>
                  <bgColor theme="0"/>
                </patternFill>
              </fill>
            </x14:dxf>
          </x14:cfRule>
          <xm:sqref>B59:D59</xm:sqref>
        </x14:conditionalFormatting>
        <x14:conditionalFormatting xmlns:xm="http://schemas.microsoft.com/office/excel/2006/main">
          <x14:cfRule type="containsText" priority="270" operator="containsText" id="{2EBA9F1A-0442-4322-A90D-E8031DFF1B88}">
            <xm:f>NOT(ISERROR(SEARCH($C$152,B60)))</xm:f>
            <xm:f>$C$152</xm:f>
            <x14:dxf>
              <font>
                <color auto="1"/>
              </font>
              <fill>
                <patternFill>
                  <bgColor theme="0"/>
                </patternFill>
              </fill>
            </x14:dxf>
          </x14:cfRule>
          <xm:sqref>B60:D60</xm:sqref>
        </x14:conditionalFormatting>
        <x14:conditionalFormatting xmlns:xm="http://schemas.microsoft.com/office/excel/2006/main">
          <x14:cfRule type="containsText" priority="257" operator="containsText" id="{AEFBC7C2-E8EB-4489-9675-B313AD5C3C7E}">
            <xm:f>NOT(ISERROR(SEARCH($AM$1,D1)))</xm:f>
            <xm:f>$AM$1</xm:f>
            <x14:dxf>
              <font>
                <color rgb="FF00B050"/>
              </font>
              <fill>
                <patternFill>
                  <bgColor theme="2"/>
                </patternFill>
              </fill>
            </x14:dxf>
          </x14:cfRule>
          <x14:cfRule type="containsText" priority="258" operator="containsText" id="{E6464710-4A2A-4D6B-922F-048B095D5BB0}">
            <xm:f>NOT(ISERROR(SEARCH($AL$1,D1)))</xm:f>
            <xm:f>$AL$1</xm:f>
            <x14:dxf>
              <font>
                <color rgb="FF92D050"/>
              </font>
              <fill>
                <patternFill>
                  <bgColor theme="2"/>
                </patternFill>
              </fill>
            </x14:dxf>
          </x14:cfRule>
          <x14:cfRule type="containsText" priority="259" operator="containsText" id="{7B92477C-C064-4147-AF52-673E30EF5B29}">
            <xm:f>NOT(ISERROR(SEARCH($AK$1,D1)))</xm:f>
            <xm:f>$AK$1</xm:f>
            <x14:dxf>
              <font>
                <color theme="7" tint="-0.24994659260841701"/>
              </font>
              <fill>
                <patternFill patternType="solid">
                  <bgColor theme="2"/>
                </patternFill>
              </fill>
            </x14:dxf>
          </x14:cfRule>
          <x14:cfRule type="containsText" priority="260" operator="containsText" id="{E4C4970A-4DD2-4F89-B49C-6649A76481AD}">
            <xm:f>NOT(ISERROR(SEARCH($AJ$1,D1)))</xm:f>
            <xm:f>$AJ$1</xm:f>
            <x14:dxf>
              <font>
                <color theme="5" tint="-0.24994659260841701"/>
              </font>
              <fill>
                <patternFill patternType="solid">
                  <bgColor theme="2"/>
                </patternFill>
              </fill>
            </x14:dxf>
          </x14:cfRule>
          <x14:cfRule type="containsText" priority="261" operator="containsText" id="{45414CF0-D3F4-47D5-BF67-D9919DECE4BD}">
            <xm:f>NOT(ISERROR(SEARCH($AI$1,D1)))</xm:f>
            <xm:f>$AI$1</xm:f>
            <x14:dxf>
              <font>
                <strike val="0"/>
                <color rgb="FF9C0006"/>
              </font>
              <fill>
                <patternFill patternType="solid">
                  <bgColor theme="2"/>
                </patternFill>
              </fill>
            </x14:dxf>
          </x14:cfRule>
          <xm:sqref>D1</xm:sqref>
        </x14:conditionalFormatting>
        <x14:conditionalFormatting xmlns:xm="http://schemas.microsoft.com/office/excel/2006/main">
          <x14:cfRule type="containsText" priority="252" operator="containsText" id="{BD05D8A0-E536-4ADC-BDDC-8034CE36BA4D}">
            <xm:f>NOT(ISERROR(SEARCH($AM$1,D2)))</xm:f>
            <xm:f>$AM$1</xm:f>
            <x14:dxf>
              <font>
                <color rgb="FF00B050"/>
              </font>
              <fill>
                <patternFill>
                  <bgColor theme="2"/>
                </patternFill>
              </fill>
            </x14:dxf>
          </x14:cfRule>
          <x14:cfRule type="containsText" priority="253" operator="containsText" id="{1580F688-1078-4B72-952D-7B812962F6B1}">
            <xm:f>NOT(ISERROR(SEARCH($AL$1,D2)))</xm:f>
            <xm:f>$AL$1</xm:f>
            <x14:dxf>
              <font>
                <color rgb="FF92D050"/>
              </font>
              <fill>
                <patternFill>
                  <bgColor theme="2"/>
                </patternFill>
              </fill>
            </x14:dxf>
          </x14:cfRule>
          <x14:cfRule type="containsText" priority="254" operator="containsText" id="{0C70E021-16F1-494A-B578-1C5E9C07238E}">
            <xm:f>NOT(ISERROR(SEARCH($AK$1,D2)))</xm:f>
            <xm:f>$AK$1</xm:f>
            <x14:dxf>
              <font>
                <color theme="7" tint="-0.24994659260841701"/>
              </font>
              <fill>
                <patternFill patternType="solid">
                  <bgColor theme="2"/>
                </patternFill>
              </fill>
            </x14:dxf>
          </x14:cfRule>
          <x14:cfRule type="containsText" priority="255" operator="containsText" id="{2E284848-DFAE-4C6A-96EE-7E87C1354092}">
            <xm:f>NOT(ISERROR(SEARCH($AJ$1,D2)))</xm:f>
            <xm:f>$AJ$1</xm:f>
            <x14:dxf>
              <font>
                <color theme="5" tint="-0.24994659260841701"/>
              </font>
              <fill>
                <patternFill patternType="solid">
                  <bgColor theme="2"/>
                </patternFill>
              </fill>
            </x14:dxf>
          </x14:cfRule>
          <x14:cfRule type="containsText" priority="256" operator="containsText" id="{2BD4BCFA-D67A-4436-BE95-6258739F2DCE}">
            <xm:f>NOT(ISERROR(SEARCH($AI$1,D2)))</xm:f>
            <xm:f>$AI$1</xm:f>
            <x14:dxf>
              <font>
                <strike val="0"/>
                <color rgb="FF9C0006"/>
              </font>
              <fill>
                <patternFill patternType="solid">
                  <bgColor theme="2"/>
                </patternFill>
              </fill>
            </x14:dxf>
          </x14:cfRule>
          <xm:sqref>D2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9</vt:i4>
      </vt:variant>
    </vt:vector>
  </HeadingPairs>
  <TitlesOfParts>
    <vt:vector size="12" baseType="lpstr">
      <vt:lpstr>EIF-new</vt:lpstr>
      <vt:lpstr>EIF-sample-full</vt:lpstr>
      <vt:lpstr>EIF-sample-brief</vt:lpstr>
      <vt:lpstr>'EIF-new'!_Hlk528272347</vt:lpstr>
      <vt:lpstr>'EIF-sample-brief'!_Hlk528272347</vt:lpstr>
      <vt:lpstr>'EIF-sample-full'!_Hlk528272347</vt:lpstr>
      <vt:lpstr>'EIF-new'!_Toc525862528</vt:lpstr>
      <vt:lpstr>'EIF-sample-brief'!_Toc525862528</vt:lpstr>
      <vt:lpstr>'EIF-sample-full'!_Toc525862528</vt:lpstr>
      <vt:lpstr>'EIF-new'!Print_Area</vt:lpstr>
      <vt:lpstr>'EIF-sample-brief'!Print_Area</vt:lpstr>
      <vt:lpstr>'EIF-sample-full'!Print_Area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dc:creator>
  <cp:lastModifiedBy>Steph</cp:lastModifiedBy>
  <cp:lastPrinted>2021-05-18T02:48:58Z</cp:lastPrinted>
  <dcterms:created xsi:type="dcterms:W3CDTF">2021-05-17T01:52:59Z</dcterms:created>
  <dcterms:modified xsi:type="dcterms:W3CDTF">2021-05-20T14:03:26Z</dcterms:modified>
</cp:coreProperties>
</file>